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ydmacm1/redgate/"/>
    </mc:Choice>
  </mc:AlternateContent>
  <xr:revisionPtr revIDLastSave="0" documentId="13_ncr:1_{2E8BAE6E-6F3D-3C49-BF30-86E60389F033}" xr6:coauthVersionLast="47" xr6:coauthVersionMax="47" xr10:uidLastSave="{00000000-0000-0000-0000-000000000000}"/>
  <bookViews>
    <workbookView xWindow="0" yWindow="680" windowWidth="30240" windowHeight="17680" activeTab="2" xr2:uid="{00000000-000D-0000-FFFF-FFFF00000000}"/>
  </bookViews>
  <sheets>
    <sheet name="2024 January" sheetId="1" r:id="rId1"/>
    <sheet name="2024 February" sheetId="3" r:id="rId2"/>
    <sheet name="2024 April" sheetId="4" r:id="rId3"/>
    <sheet name="2024 May" sheetId="5" r:id="rId4"/>
    <sheet name="2024 March" sheetId="6" r:id="rId5"/>
    <sheet name="2024 June" sheetId="7" r:id="rId6"/>
    <sheet name="2024 July" sheetId="8" r:id="rId7"/>
    <sheet name="2024 August" sheetId="9" r:id="rId8"/>
    <sheet name="2024 September" sheetId="10" r:id="rId9"/>
    <sheet name="2024 October" sheetId="11" r:id="rId10"/>
    <sheet name="2024 November" sheetId="12" r:id="rId11"/>
    <sheet name="2024 December" sheetId="13" r:id="rId12"/>
    <sheet name="2025 January" sheetId="14" r:id="rId13"/>
    <sheet name="2025 February" sheetId="15" r:id="rId14"/>
    <sheet name="2025 August" sheetId="16" r:id="rId15"/>
    <sheet name="2025 March" sheetId="17" r:id="rId16"/>
    <sheet name="2025 September" sheetId="18" r:id="rId17"/>
    <sheet name="2025 April" sheetId="19" r:id="rId18"/>
    <sheet name="2025 May" sheetId="20" r:id="rId19"/>
    <sheet name="2025 June" sheetId="21" r:id="rId20"/>
    <sheet name="2025 July" sheetId="22" r:id="rId21"/>
    <sheet name="2025 October" sheetId="23" r:id="rId22"/>
    <sheet name="2025 November" sheetId="24" r:id="rId23"/>
    <sheet name="2025 December" sheetId="25" r:id="rId24"/>
    <sheet name="2026 January" sheetId="26" r:id="rId25"/>
  </sheets>
  <definedNames>
    <definedName name="_xlnm._FilterDatabase" localSheetId="8" hidden="1">'2024 September'!$C$8:$X$168</definedName>
    <definedName name="Z_0673F5F7_2622_4210_8A6B_48BFA97FE39E_.wvu.FilterData" localSheetId="2" hidden="1">'2024 April'!$A$9:$Z$123</definedName>
    <definedName name="Z_0673F5F7_2622_4210_8A6B_48BFA97FE39E_.wvu.FilterData" localSheetId="1" hidden="1">'2024 February'!$A$9:$Z$193</definedName>
    <definedName name="Z_0A9FF2CA_86CF_426B_92D4_4C55EEEA773B_.wvu.FilterData" localSheetId="2" hidden="1">'2024 April'!$A$9:$Z$85</definedName>
    <definedName name="Z_0A9FF2CA_86CF_426B_92D4_4C55EEEA773B_.wvu.FilterData" localSheetId="1" hidden="1">'2024 February'!$A$9:$Z$193</definedName>
    <definedName name="Z_0A9FF2CA_86CF_426B_92D4_4C55EEEA773B_.wvu.FilterData" localSheetId="0" hidden="1">'2024 January'!$A$9:$Z$199</definedName>
    <definedName name="Z_0B0580CB_5201_44AB_95E0_AAB9E5DAEEB3_.wvu.FilterData" localSheetId="2" hidden="1">'2024 April'!$A$9:$Z$85</definedName>
    <definedName name="Z_0B0580CB_5201_44AB_95E0_AAB9E5DAEEB3_.wvu.FilterData" localSheetId="1" hidden="1">'2024 February'!$A$9:$Z$193</definedName>
    <definedName name="Z_0B0580CB_5201_44AB_95E0_AAB9E5DAEEB3_.wvu.FilterData" localSheetId="0" hidden="1">'2024 January'!$A$9:$Z$199</definedName>
    <definedName name="Z_0C67F4AD_E116_40FF_973D_584D89EF9B9A_.wvu.FilterData" localSheetId="2" hidden="1">'2024 April'!$A$9:$Z$85</definedName>
    <definedName name="Z_0C67F4AD_E116_40FF_973D_584D89EF9B9A_.wvu.FilterData" localSheetId="1" hidden="1">'2024 February'!$A$9:$Z$193</definedName>
    <definedName name="Z_0C67F4AD_E116_40FF_973D_584D89EF9B9A_.wvu.FilterData" localSheetId="0" hidden="1">'2024 January'!$A$9:$Z$199</definedName>
    <definedName name="Z_0C67F4AD_E116_40FF_973D_584D89EF9B9A_.wvu.FilterData" localSheetId="4" hidden="1">'2024 March'!$A$9:$Z$177</definedName>
    <definedName name="Z_0ED2A28D_785A_4BE2_B00C_51195ADD54B4_.wvu.FilterData" localSheetId="2" hidden="1">'2024 April'!$A$9:$Z$123</definedName>
    <definedName name="Z_0ED2A28D_785A_4BE2_B00C_51195ADD54B4_.wvu.FilterData" localSheetId="1" hidden="1">'2024 February'!$A$9:$Z$193</definedName>
    <definedName name="Z_12C2EF42_B18E_481F_9C22_86D0B652447F_.wvu.FilterData" localSheetId="2" hidden="1">'2024 April'!$A$9:$Z$123</definedName>
    <definedName name="Z_12C2EF42_B18E_481F_9C22_86D0B652447F_.wvu.FilterData" localSheetId="1" hidden="1">'2024 February'!$A$9:$Z$193</definedName>
    <definedName name="Z_139BD26D_4FE1_4361_9793_2F125181BAFF_.wvu.FilterData" localSheetId="2" hidden="1">'2024 April'!$A$9:$Z$130</definedName>
    <definedName name="Z_139BD26D_4FE1_4361_9793_2F125181BAFF_.wvu.FilterData" localSheetId="1" hidden="1">'2024 February'!$A$9:$Z$193</definedName>
    <definedName name="Z_139BD26D_4FE1_4361_9793_2F125181BAFF_.wvu.FilterData" localSheetId="0" hidden="1">'2024 January'!$A$9:$Z$199</definedName>
    <definedName name="Z_139BD26D_4FE1_4361_9793_2F125181BAFF_.wvu.FilterData" localSheetId="4" hidden="1">'2024 March'!$A$9:$Z$147</definedName>
    <definedName name="Z_1690381E_EDBA_489A_8E58_BB03EED6A56A_.wvu.FilterData" localSheetId="2" hidden="1">'2024 April'!$A$9:$Z$147</definedName>
    <definedName name="Z_1690381E_EDBA_489A_8E58_BB03EED6A56A_.wvu.FilterData" localSheetId="1" hidden="1">'2024 February'!$A$9:$Z$193</definedName>
    <definedName name="Z_1690381E_EDBA_489A_8E58_BB03EED6A56A_.wvu.FilterData" localSheetId="0" hidden="1">'2024 January'!$A$9:$Z$199</definedName>
    <definedName name="Z_1690381E_EDBA_489A_8E58_BB03EED6A56A_.wvu.FilterData" localSheetId="4" hidden="1">'2024 March'!$A$9:$Z$164</definedName>
    <definedName name="Z_183C6621_82E3_4B2D_9ED7_BFB1F0F7BFEB_.wvu.FilterData" localSheetId="2" hidden="1">'2024 April'!$A$9:$Z$123</definedName>
    <definedName name="Z_183C6621_82E3_4B2D_9ED7_BFB1F0F7BFEB_.wvu.FilterData" localSheetId="1" hidden="1">'2024 February'!$A$9:$Z$193</definedName>
    <definedName name="Z_1B6A235E_C50E_41E4_AD09_55C78D2BFD3B_.wvu.FilterData" localSheetId="2" hidden="1">'2024 April'!$A$9:$Z$130</definedName>
    <definedName name="Z_1B6A235E_C50E_41E4_AD09_55C78D2BFD3B_.wvu.FilterData" localSheetId="1" hidden="1">'2024 February'!$A$9:$Z$193</definedName>
    <definedName name="Z_1B6A235E_C50E_41E4_AD09_55C78D2BFD3B_.wvu.FilterData" localSheetId="0" hidden="1">'2024 January'!$A$9:$Z$199</definedName>
    <definedName name="Z_1B6A235E_C50E_41E4_AD09_55C78D2BFD3B_.wvu.FilterData" localSheetId="4" hidden="1">'2024 March'!$A$9:$Z$147</definedName>
    <definedName name="Z_1CBC6901_7D50_44EB_AA0D_4607E4ED539B_.wvu.FilterData" localSheetId="2" hidden="1">'2024 April'!$A$9:$Z$147</definedName>
    <definedName name="Z_1CBC6901_7D50_44EB_AA0D_4607E4ED539B_.wvu.FilterData" localSheetId="1" hidden="1">'2024 February'!$A$9:$Z$193</definedName>
    <definedName name="Z_1CBC6901_7D50_44EB_AA0D_4607E4ED539B_.wvu.FilterData" localSheetId="0" hidden="1">'2024 January'!$A$9:$Z$199</definedName>
    <definedName name="Z_1CBC6901_7D50_44EB_AA0D_4607E4ED539B_.wvu.FilterData" localSheetId="4" hidden="1">'2024 March'!$A$9:$Z$164</definedName>
    <definedName name="Z_2207CBB1_B653_4DCA_B373_BDA845BB1154_.wvu.FilterData" localSheetId="2" hidden="1">'2024 April'!$A$9:$Z$85</definedName>
    <definedName name="Z_2207CBB1_B653_4DCA_B373_BDA845BB1154_.wvu.FilterData" localSheetId="1" hidden="1">'2024 February'!$A$9:$Z$193</definedName>
    <definedName name="Z_2207CBB1_B653_4DCA_B373_BDA845BB1154_.wvu.FilterData" localSheetId="0" hidden="1">'2024 January'!$A$9:$Z$199</definedName>
    <definedName name="Z_2207CBB1_B653_4DCA_B373_BDA845BB1154_.wvu.FilterData" localSheetId="4" hidden="1">'2024 March'!$A$9:$Z$177</definedName>
    <definedName name="Z_25306CF5_0006_4DC6_A4C8_A5D7421F1EE6_.wvu.FilterData" localSheetId="1" hidden="1">'2024 February'!$A$9:$Z$193</definedName>
    <definedName name="Z_27F7A4B9_CEF3_48FF_B387_0C81D33048BC_.wvu.FilterData" localSheetId="2" hidden="1">'2024 April'!$A$9:$Z$147</definedName>
    <definedName name="Z_27F7A4B9_CEF3_48FF_B387_0C81D33048BC_.wvu.FilterData" localSheetId="1" hidden="1">'2024 February'!$A$9:$Z$193</definedName>
    <definedName name="Z_27F7A4B9_CEF3_48FF_B387_0C81D33048BC_.wvu.FilterData" localSheetId="0" hidden="1">'2024 January'!$A$9:$Z$199</definedName>
    <definedName name="Z_27F7A4B9_CEF3_48FF_B387_0C81D33048BC_.wvu.FilterData" localSheetId="4" hidden="1">'2024 March'!$A$9:$Z$164</definedName>
    <definedName name="Z_2A32A583_5FFF_4329_A9AB_FB460B8875F5_.wvu.FilterData" localSheetId="2" hidden="1">'2024 April'!$A$9:$Z$123</definedName>
    <definedName name="Z_2A32A583_5FFF_4329_A9AB_FB460B8875F5_.wvu.FilterData" localSheetId="1" hidden="1">'2024 February'!$A$9:$Z$193</definedName>
    <definedName name="Z_2A32A583_5FFF_4329_A9AB_FB460B8875F5_.wvu.FilterData" localSheetId="0" hidden="1">'2024 January'!$A$9:$Z$199</definedName>
    <definedName name="Z_2A32A583_5FFF_4329_A9AB_FB460B8875F5_.wvu.FilterData" localSheetId="4" hidden="1">'2024 March'!$A$9:$Z$128</definedName>
    <definedName name="Z_2A32A583_5FFF_4329_A9AB_FB460B8875F5_.wvu.FilterData" localSheetId="3" hidden="1">'2024 May'!$A$9:$Z$129</definedName>
    <definedName name="Z_2A629D90_DF55_42DE_9FE5_BBC34C3FB857_.wvu.FilterData" localSheetId="2" hidden="1">'2024 April'!$A$9:$Z$109</definedName>
    <definedName name="Z_2A629D90_DF55_42DE_9FE5_BBC34C3FB857_.wvu.FilterData" localSheetId="1" hidden="1">'2024 February'!$A$9:$Z$134</definedName>
    <definedName name="Z_2A629D90_DF55_42DE_9FE5_BBC34C3FB857_.wvu.FilterData" localSheetId="0" hidden="1">'2024 January'!$A$9:$Z$193</definedName>
    <definedName name="Z_2F330B0C_BB40_4D95_9FAB_EBC1E02E543B_.wvu.FilterData" localSheetId="2" hidden="1">'2024 April'!$A$9:$Z$109</definedName>
    <definedName name="Z_2F330B0C_BB40_4D95_9FAB_EBC1E02E543B_.wvu.FilterData" localSheetId="1" hidden="1">'2024 February'!$A$9:$Z$134</definedName>
    <definedName name="Z_2F330B0C_BB40_4D95_9FAB_EBC1E02E543B_.wvu.FilterData" localSheetId="0" hidden="1">'2024 January'!$A$9:$Z$193</definedName>
    <definedName name="Z_33795E09_EF38_4617_B78D_EEB628861E32_.wvu.FilterData" localSheetId="2" hidden="1">'2024 April'!$A$9:$Z$109</definedName>
    <definedName name="Z_33795E09_EF38_4617_B78D_EEB628861E32_.wvu.FilterData" localSheetId="1" hidden="1">'2024 February'!$A$9:$Z$134</definedName>
    <definedName name="Z_33795E09_EF38_4617_B78D_EEB628861E32_.wvu.FilterData" localSheetId="0" hidden="1">'2024 January'!$A$9:$Z$193</definedName>
    <definedName name="Z_3468AD09_8B5E_4744_B88A_12C4F47AC98C_.wvu.FilterData" localSheetId="2" hidden="1">'2024 April'!$A$9:$Z$123</definedName>
    <definedName name="Z_3468AD09_8B5E_4744_B88A_12C4F47AC98C_.wvu.FilterData" localSheetId="1" hidden="1">'2024 February'!$A$9:$Z$193</definedName>
    <definedName name="Z_3468AD09_8B5E_4744_B88A_12C4F47AC98C_.wvu.FilterData" localSheetId="0" hidden="1">'2024 January'!$A$9:$Z$199</definedName>
    <definedName name="Z_3468AD09_8B5E_4744_B88A_12C4F47AC98C_.wvu.FilterData" localSheetId="4" hidden="1">'2024 March'!$A$9:$Z$128</definedName>
    <definedName name="Z_3468AD09_8B5E_4744_B88A_12C4F47AC98C_.wvu.FilterData" localSheetId="3" hidden="1">'2024 May'!$A$9:$Z$129</definedName>
    <definedName name="Z_35CA1A2D_FFBE_4615_96BB_101481E767E8_.wvu.FilterData" localSheetId="2" hidden="1">'2024 April'!$A$9:$Z$147</definedName>
    <definedName name="Z_35CA1A2D_FFBE_4615_96BB_101481E767E8_.wvu.FilterData" localSheetId="1" hidden="1">'2024 February'!$A$9:$Z$193</definedName>
    <definedName name="Z_35CA1A2D_FFBE_4615_96BB_101481E767E8_.wvu.FilterData" localSheetId="0" hidden="1">'2024 January'!$A$9:$Z$199</definedName>
    <definedName name="Z_35CA1A2D_FFBE_4615_96BB_101481E767E8_.wvu.FilterData" localSheetId="4" hidden="1">'2024 March'!$A$9:$Z$164</definedName>
    <definedName name="Z_35D94E68_361A_447A_93C5_620C1CE60B05_.wvu.FilterData" localSheetId="2" hidden="1">'2024 April'!$A$9:$Z$109</definedName>
    <definedName name="Z_35D94E68_361A_447A_93C5_620C1CE60B05_.wvu.FilterData" localSheetId="1" hidden="1">'2024 February'!$A$9:$Z$134</definedName>
    <definedName name="Z_35D94E68_361A_447A_93C5_620C1CE60B05_.wvu.FilterData" localSheetId="0" hidden="1">'2024 January'!$A$9:$Z$193</definedName>
    <definedName name="Z_3767EBB2_5EB8_4765_81A2_AE8F06D86EDB_.wvu.FilterData" localSheetId="2" hidden="1">'2024 April'!$A$9:$Z$123</definedName>
    <definedName name="Z_3767EBB2_5EB8_4765_81A2_AE8F06D86EDB_.wvu.FilterData" localSheetId="1" hidden="1">'2024 February'!$A$9:$Z$134</definedName>
    <definedName name="Z_3C5DF5A7_F8C5_4A07_878A_4359CC650494_.wvu.FilterData" localSheetId="1" hidden="1">'2024 February'!$A$9:$Z$193</definedName>
    <definedName name="Z_3F0A35D3_9A77_4A14_9499_EF36E3940A95_.wvu.FilterData" localSheetId="2" hidden="1">'2024 April'!$A$9:$Z$123</definedName>
    <definedName name="Z_3F0A35D3_9A77_4A14_9499_EF36E3940A95_.wvu.FilterData" localSheetId="1" hidden="1">'2024 February'!$A$9:$Z$193</definedName>
    <definedName name="Z_40633660_D14D_4507_8AAB_2F75448D5D64_.wvu.FilterData" localSheetId="2" hidden="1">'2024 April'!$A$9:$Z$85</definedName>
    <definedName name="Z_40633660_D14D_4507_8AAB_2F75448D5D64_.wvu.FilterData" localSheetId="1" hidden="1">'2024 February'!$A$9:$Z$193</definedName>
    <definedName name="Z_40633660_D14D_4507_8AAB_2F75448D5D64_.wvu.FilterData" localSheetId="0" hidden="1">'2024 January'!$A$9:$Z$199</definedName>
    <definedName name="Z_45DD3965_6A36_4C34_A9FC_BB77A7D9D8C7_.wvu.FilterData" localSheetId="2" hidden="1">'2024 April'!$A$9:$Z$109</definedName>
    <definedName name="Z_45DD3965_6A36_4C34_A9FC_BB77A7D9D8C7_.wvu.FilterData" localSheetId="1" hidden="1">'2024 February'!$A$9:$Z$193</definedName>
    <definedName name="Z_45DD3965_6A36_4C34_A9FC_BB77A7D9D8C7_.wvu.FilterData" localSheetId="0" hidden="1">'2024 January'!$A$9:$Z$199</definedName>
    <definedName name="Z_4E6C842E_1AE5_4266_A760_0DBC8ED32795_.wvu.FilterData" localSheetId="2" hidden="1">'2024 April'!$A$9:$Z$86</definedName>
    <definedName name="Z_4E6C842E_1AE5_4266_A760_0DBC8ED32795_.wvu.FilterData" localSheetId="1" hidden="1">'2024 February'!$A$9:$Z$193</definedName>
    <definedName name="Z_4E6C842E_1AE5_4266_A760_0DBC8ED32795_.wvu.FilterData" localSheetId="0" hidden="1">'2024 January'!$A$9:$Z$199</definedName>
    <definedName name="Z_4E6C842E_1AE5_4266_A760_0DBC8ED32795_.wvu.FilterData" localSheetId="4" hidden="1">'2024 March'!$A$9:$Z$177</definedName>
    <definedName name="Z_4FB5B25D_07EC_4AD4_89DF_44489CD85001_.wvu.FilterData" localSheetId="2" hidden="1">'2024 April'!$A$9:$Z$123</definedName>
    <definedName name="Z_4FB5B25D_07EC_4AD4_89DF_44489CD85001_.wvu.FilterData" localSheetId="1" hidden="1">'2024 February'!$A$9:$Z$193</definedName>
    <definedName name="Z_4FB5B25D_07EC_4AD4_89DF_44489CD85001_.wvu.FilterData" localSheetId="0" hidden="1">'2024 January'!$A$9:$Z$199</definedName>
    <definedName name="Z_4FB5B25D_07EC_4AD4_89DF_44489CD85001_.wvu.FilterData" localSheetId="4" hidden="1">'2024 March'!$A$9:$Z$128</definedName>
    <definedName name="Z_543ECBD1_56F7_4935_9F65_00CA2C5C8704_.wvu.FilterData" localSheetId="1" hidden="1">'2024 February'!$A$9:$Z$193</definedName>
    <definedName name="Z_548648B0_7D60_4620_B645_B6C4B7E1F3D5_.wvu.FilterData" localSheetId="2" hidden="1">'2024 April'!$A$9:$Z$123</definedName>
    <definedName name="Z_548648B0_7D60_4620_B645_B6C4B7E1F3D5_.wvu.FilterData" localSheetId="1" hidden="1">'2024 February'!$A$9:$Z$134</definedName>
    <definedName name="Z_5E99A4E2_D6CC_43EC_AAD2_4BA9DF4A6F39_.wvu.FilterData" localSheetId="1" hidden="1">'2024 February'!$A$9:$Z$193</definedName>
    <definedName name="Z_630CEB7A_F060_4ECB_AF0B_3275C72807C0_.wvu.FilterData" localSheetId="1" hidden="1">'2024 February'!$A$9:$Z$193</definedName>
    <definedName name="Z_65C673E0_AE30_4C3F_B678_27F9F5878965_.wvu.FilterData" localSheetId="2" hidden="1">'2024 April'!$A$9:$Z$123</definedName>
    <definedName name="Z_65C673E0_AE30_4C3F_B678_27F9F5878965_.wvu.FilterData" localSheetId="1" hidden="1">'2024 February'!$A$9:$Z$193</definedName>
    <definedName name="Z_65C673E0_AE30_4C3F_B678_27F9F5878965_.wvu.FilterData" localSheetId="0" hidden="1">'2024 January'!$A$9:$Z$199</definedName>
    <definedName name="Z_65C673E0_AE30_4C3F_B678_27F9F5878965_.wvu.FilterData" localSheetId="4" hidden="1">'2024 March'!$A$9:$Z$128</definedName>
    <definedName name="Z_69F5DADC_0A3A_4234_A006_4F48C4C2962F_.wvu.FilterData" localSheetId="1" hidden="1">'2024 February'!$A$9:$Z$193</definedName>
    <definedName name="Z_6F320276_7114_4A70_86CC_9F74A1A4E0CE_.wvu.FilterData" localSheetId="1" hidden="1">'2024 February'!$A$9:$Z$193</definedName>
    <definedName name="Z_7437F761_9395_498F_AB0E_3225806203DA_.wvu.FilterData" localSheetId="1" hidden="1">'2024 February'!$A$9:$Z$193</definedName>
    <definedName name="Z_757812E9_7DA1_4C19_BA75_50F8D6FE80DA_.wvu.FilterData" localSheetId="1" hidden="1">'2024 February'!$A$9:$Z$193</definedName>
    <definedName name="Z_7590A8FA_0E93_447D_94B9_753650E86DD0_.wvu.FilterData" localSheetId="2" hidden="1">'2024 April'!$A$9:$Z$147</definedName>
    <definedName name="Z_7590A8FA_0E93_447D_94B9_753650E86DD0_.wvu.FilterData" localSheetId="1" hidden="1">'2024 February'!$A$9:$Z$193</definedName>
    <definedName name="Z_7590A8FA_0E93_447D_94B9_753650E86DD0_.wvu.FilterData" localSheetId="0" hidden="1">'2024 January'!$A$9:$Z$199</definedName>
    <definedName name="Z_7590A8FA_0E93_447D_94B9_753650E86DD0_.wvu.FilterData" localSheetId="4" hidden="1">'2024 March'!$A$9:$Z$164</definedName>
    <definedName name="Z_76FE80B7_048A_4848_BCC4_616193A540D1_.wvu.FilterData" localSheetId="2" hidden="1">'2024 April'!$A$9:$Z$123</definedName>
    <definedName name="Z_76FE80B7_048A_4848_BCC4_616193A540D1_.wvu.FilterData" localSheetId="1" hidden="1">'2024 February'!$A$9:$Z$193</definedName>
    <definedName name="Z_76FE80B7_048A_4848_BCC4_616193A540D1_.wvu.FilterData" localSheetId="0" hidden="1">'2024 January'!$A$9:$Z$199</definedName>
    <definedName name="Z_76FE80B7_048A_4848_BCC4_616193A540D1_.wvu.FilterData" localSheetId="6" hidden="1">'2024 July'!$C$8:$X$164</definedName>
    <definedName name="Z_76FE80B7_048A_4848_BCC4_616193A540D1_.wvu.FilterData" localSheetId="4" hidden="1">'2024 March'!$A$9:$Z$128</definedName>
    <definedName name="Z_76FE80B7_048A_4848_BCC4_616193A540D1_.wvu.FilterData" localSheetId="3" hidden="1">'2024 May'!$A$9:$Z$129</definedName>
    <definedName name="Z_772B0D36_4A99_4024_A175_9F9DAD74B061_.wvu.FilterData" localSheetId="2" hidden="1">'2024 April'!$A$9:$Z$123</definedName>
    <definedName name="Z_772B0D36_4A99_4024_A175_9F9DAD74B061_.wvu.FilterData" localSheetId="1" hidden="1">'2024 February'!$A$9:$Z$193</definedName>
    <definedName name="Z_7F05F71F_C270_427E_8BEF_5953501912D4_.wvu.FilterData" localSheetId="2" hidden="1">'2024 April'!$A$9:$Z$123</definedName>
    <definedName name="Z_7F05F71F_C270_427E_8BEF_5953501912D4_.wvu.FilterData" localSheetId="1" hidden="1">'2024 February'!$A$9:$Z$193</definedName>
    <definedName name="Z_7F26427E_2CC3_4738_8D6F_9D9F2F09086A_.wvu.FilterData" localSheetId="2" hidden="1">'2024 April'!$A$9:$Z$109</definedName>
    <definedName name="Z_7F26427E_2CC3_4738_8D6F_9D9F2F09086A_.wvu.FilterData" localSheetId="1" hidden="1">'2024 February'!$A$9:$Z$134</definedName>
    <definedName name="Z_7F26427E_2CC3_4738_8D6F_9D9F2F09086A_.wvu.FilterData" localSheetId="0" hidden="1">'2024 January'!$A$9:$Z$193</definedName>
    <definedName name="Z_80969A39_7711_4B04_A97F_757E47D9C537_.wvu.FilterData" localSheetId="2" hidden="1">'2024 April'!$A$9:$Z$147</definedName>
    <definedName name="Z_80969A39_7711_4B04_A97F_757E47D9C537_.wvu.FilterData" localSheetId="1" hidden="1">'2024 February'!$A$9:$Z$193</definedName>
    <definedName name="Z_80969A39_7711_4B04_A97F_757E47D9C537_.wvu.FilterData" localSheetId="0" hidden="1">'2024 January'!$A$9:$Z$199</definedName>
    <definedName name="Z_80969A39_7711_4B04_A97F_757E47D9C537_.wvu.FilterData" localSheetId="4" hidden="1">'2024 March'!$A$9:$Z$164</definedName>
    <definedName name="Z_825CFE42_E38F_4327_A52B_EA014762B8A6_.wvu.FilterData" localSheetId="2" hidden="1">'2024 April'!$A$9:$Z$147</definedName>
    <definedName name="Z_825CFE42_E38F_4327_A52B_EA014762B8A6_.wvu.FilterData" localSheetId="1" hidden="1">'2024 February'!$A$9:$Z$193</definedName>
    <definedName name="Z_825CFE42_E38F_4327_A52B_EA014762B8A6_.wvu.FilterData" localSheetId="0" hidden="1">'2024 January'!$A$9:$Z$199</definedName>
    <definedName name="Z_825CFE42_E38F_4327_A52B_EA014762B8A6_.wvu.FilterData" localSheetId="4" hidden="1">'2024 March'!$A$9:$Z$164</definedName>
    <definedName name="Z_83452753_A2E5_4895_AC39_2857EB4185A4_.wvu.FilterData" localSheetId="2" hidden="1">'2024 April'!$A$9:$Z$85</definedName>
    <definedName name="Z_83452753_A2E5_4895_AC39_2857EB4185A4_.wvu.FilterData" localSheetId="1" hidden="1">'2024 February'!$A$9:$Z$193</definedName>
    <definedName name="Z_83452753_A2E5_4895_AC39_2857EB4185A4_.wvu.FilterData" localSheetId="0" hidden="1">'2024 January'!$A$9:$Z$199</definedName>
    <definedName name="Z_83452753_A2E5_4895_AC39_2857EB4185A4_.wvu.FilterData" localSheetId="4" hidden="1">'2024 March'!$A$9:$Z$177</definedName>
    <definedName name="Z_86FE429F_8E61_4DC8_A433_B13AE04B64E6_.wvu.FilterData" localSheetId="2" hidden="1">'2024 April'!$A$9:$Z$109</definedName>
    <definedName name="Z_86FE429F_8E61_4DC8_A433_B13AE04B64E6_.wvu.FilterData" localSheetId="1" hidden="1">'2024 February'!$A$9:$Z$134</definedName>
    <definedName name="Z_86FE429F_8E61_4DC8_A433_B13AE04B64E6_.wvu.FilterData" localSheetId="0" hidden="1">'2024 January'!$A$9:$Z$193</definedName>
    <definedName name="Z_87A433BC_F3FD_4BA7_BD7F_4194C598DDE6_.wvu.FilterData" localSheetId="2" hidden="1">'2024 April'!$A$9:$Z$147</definedName>
    <definedName name="Z_87A433BC_F3FD_4BA7_BD7F_4194C598DDE6_.wvu.FilterData" localSheetId="1" hidden="1">'2024 February'!$A$9:$Z$193</definedName>
    <definedName name="Z_87A433BC_F3FD_4BA7_BD7F_4194C598DDE6_.wvu.FilterData" localSheetId="0" hidden="1">'2024 January'!$A$9:$Z$199</definedName>
    <definedName name="Z_87A433BC_F3FD_4BA7_BD7F_4194C598DDE6_.wvu.FilterData" localSheetId="4" hidden="1">'2024 March'!$A$9:$Z$164</definedName>
    <definedName name="Z_88809CA9_5E40_46D7_B1E4_FD64890E3C54_.wvu.FilterData" localSheetId="2" hidden="1">'2024 April'!$A$9:$Z$123</definedName>
    <definedName name="Z_88809CA9_5E40_46D7_B1E4_FD64890E3C54_.wvu.FilterData" localSheetId="1" hidden="1">'2024 February'!$A$9:$Z$193</definedName>
    <definedName name="Z_88809CA9_5E40_46D7_B1E4_FD64890E3C54_.wvu.FilterData" localSheetId="0" hidden="1">'2024 January'!$A$9:$Z$199</definedName>
    <definedName name="Z_88809CA9_5E40_46D7_B1E4_FD64890E3C54_.wvu.FilterData" localSheetId="4" hidden="1">'2024 March'!$A$9:$Z$128</definedName>
    <definedName name="Z_88809CA9_5E40_46D7_B1E4_FD64890E3C54_.wvu.FilterData" localSheetId="3" hidden="1">'2024 May'!$A$9:$Z$129</definedName>
    <definedName name="Z_8DF69057_10E2_434E_9A26_117BB354D6B5_.wvu.FilterData" localSheetId="2" hidden="1">'2024 April'!$A$9:$Z$85</definedName>
    <definedName name="Z_8DF69057_10E2_434E_9A26_117BB354D6B5_.wvu.FilterData" localSheetId="1" hidden="1">'2024 February'!$A$9:$Z$193</definedName>
    <definedName name="Z_8DF69057_10E2_434E_9A26_117BB354D6B5_.wvu.FilterData" localSheetId="0" hidden="1">'2024 January'!$A$9:$Z$199</definedName>
    <definedName name="Z_94D2D6FF_EAA2_40FA_89DA_C0792B4DEC2F_.wvu.FilterData" localSheetId="2" hidden="1">'2024 April'!$A$9:$Z$123</definedName>
    <definedName name="Z_94D2D6FF_EAA2_40FA_89DA_C0792B4DEC2F_.wvu.FilterData" localSheetId="1" hidden="1">'2024 February'!$A$9:$Z$193</definedName>
    <definedName name="Z_94D2D6FF_EAA2_40FA_89DA_C0792B4DEC2F_.wvu.FilterData" localSheetId="0" hidden="1">'2024 January'!$A$9:$Z$199</definedName>
    <definedName name="Z_94D2D6FF_EAA2_40FA_89DA_C0792B4DEC2F_.wvu.FilterData" localSheetId="4" hidden="1">'2024 March'!$A$9:$Z$128</definedName>
    <definedName name="Z_94E5D8CF_5BBA_467F_AB30_9DE7DCBAA5C0_.wvu.FilterData" localSheetId="1" hidden="1">'2024 February'!$A$9:$Z$193</definedName>
    <definedName name="Z_9ADA2EDB_7AFD_44B0_9D9F_59CB6B5BA861_.wvu.FilterData" localSheetId="2" hidden="1">'2024 April'!$A$9:$Z$109</definedName>
    <definedName name="Z_9ADA2EDB_7AFD_44B0_9D9F_59CB6B5BA861_.wvu.FilterData" localSheetId="1" hidden="1">'2024 February'!$C$7:$X$134</definedName>
    <definedName name="Z_9ADA2EDB_7AFD_44B0_9D9F_59CB6B5BA861_.wvu.FilterData" localSheetId="0" hidden="1">'2024 January'!$A$9:$Z$193</definedName>
    <definedName name="Z_9DA415C6_D16E_4ADE_8A63_89A6B22E7D22_.wvu.FilterData" localSheetId="2" hidden="1">'2024 April'!$A$9:$Z$85</definedName>
    <definedName name="Z_9DA415C6_D16E_4ADE_8A63_89A6B22E7D22_.wvu.FilterData" localSheetId="1" hidden="1">'2024 February'!$A$9:$Z$193</definedName>
    <definedName name="Z_9DA415C6_D16E_4ADE_8A63_89A6B22E7D22_.wvu.FilterData" localSheetId="0" hidden="1">'2024 January'!$A$9:$Z$199</definedName>
    <definedName name="Z_9DA415C6_D16E_4ADE_8A63_89A6B22E7D22_.wvu.FilterData" localSheetId="4" hidden="1">'2024 March'!$A$9:$Z$177</definedName>
    <definedName name="Z_9E0846C4_DD83_4D63_8234_28B35B617FA2_.wvu.FilterData" localSheetId="1" hidden="1">'2024 February'!$A$9:$Z$193</definedName>
    <definedName name="Z_9E0B948C_EB72_420A_9C5C_053E1B928BCC_.wvu.FilterData" localSheetId="1" hidden="1">'2024 February'!$A$9:$Z$193</definedName>
    <definedName name="Z_9E93544A_5152_4ABF_B1AB_D7952726683C_.wvu.FilterData" localSheetId="2" hidden="1">'2024 April'!$A$9:$Z$109</definedName>
    <definedName name="Z_9E93544A_5152_4ABF_B1AB_D7952726683C_.wvu.FilterData" localSheetId="1" hidden="1">'2024 February'!$A$9:$Z$134</definedName>
    <definedName name="Z_9E93544A_5152_4ABF_B1AB_D7952726683C_.wvu.FilterData" localSheetId="0" hidden="1">'2024 January'!$A$9:$Z$193</definedName>
    <definedName name="Z_A36A2149_2DF3_489A_A1FC_4611D7C761EC_.wvu.FilterData" localSheetId="2" hidden="1">'2024 April'!$A$9:$Z$85</definedName>
    <definedName name="Z_A36A2149_2DF3_489A_A1FC_4611D7C761EC_.wvu.FilterData" localSheetId="1" hidden="1">'2024 February'!$A$9:$Z$193</definedName>
    <definedName name="Z_A36A2149_2DF3_489A_A1FC_4611D7C761EC_.wvu.FilterData" localSheetId="0" hidden="1">'2024 January'!$A$9:$Z$199</definedName>
    <definedName name="Z_A3D0C1B3_1214_411E_8919_2C9FA68EBA0B_.wvu.FilterData" localSheetId="2" hidden="1">'2024 April'!$A$9:$Z$109</definedName>
    <definedName name="Z_A3D0C1B3_1214_411E_8919_2C9FA68EBA0B_.wvu.FilterData" localSheetId="1" hidden="1">'2024 February'!$A$9:$Z$134</definedName>
    <definedName name="Z_A3D0C1B3_1214_411E_8919_2C9FA68EBA0B_.wvu.FilterData" localSheetId="0" hidden="1">'2024 January'!$A$9:$Z$193</definedName>
    <definedName name="Z_A4760FDB_C58C_418D_A922_86433F2607BD_.wvu.FilterData" localSheetId="1" hidden="1">'2024 February'!$A$9:$Z$193</definedName>
    <definedName name="Z_A88120E2_7AF7_4F3D_82AF_D97CC58D97AE_.wvu.FilterData" localSheetId="2" hidden="1">'2024 April'!$A$9:$Z$123</definedName>
    <definedName name="Z_A88120E2_7AF7_4F3D_82AF_D97CC58D97AE_.wvu.FilterData" localSheetId="1" hidden="1">'2024 February'!$A$9:$Z$193</definedName>
    <definedName name="Z_A88120E2_7AF7_4F3D_82AF_D97CC58D97AE_.wvu.FilterData" localSheetId="0" hidden="1">'2024 January'!$A$9:$Z$199</definedName>
    <definedName name="Z_A88120E2_7AF7_4F3D_82AF_D97CC58D97AE_.wvu.FilterData" localSheetId="4" hidden="1">'2024 March'!$A$9:$Z$128</definedName>
    <definedName name="Z_A9E68A40_045E_4079_81E3_E0D0F4B43B67_.wvu.FilterData" localSheetId="2" hidden="1">'2024 April'!$A$9:$Z$109</definedName>
    <definedName name="Z_A9E68A40_045E_4079_81E3_E0D0F4B43B67_.wvu.FilterData" localSheetId="1" hidden="1">'2024 February'!$A$9:$Z$134</definedName>
    <definedName name="Z_A9E68A40_045E_4079_81E3_E0D0F4B43B67_.wvu.FilterData" localSheetId="0" hidden="1">'2024 January'!$A$9:$Z$193</definedName>
    <definedName name="Z_AB3EE88F_CAD3_4D5E_B2FF_371DDEE3ECEF_.wvu.FilterData" localSheetId="2" hidden="1">'2024 April'!$A$9:$Z$109</definedName>
    <definedName name="Z_AB3EE88F_CAD3_4D5E_B2FF_371DDEE3ECEF_.wvu.FilterData" localSheetId="1" hidden="1">'2024 February'!$A$9:$Z$134</definedName>
    <definedName name="Z_AB3EE88F_CAD3_4D5E_B2FF_371DDEE3ECEF_.wvu.FilterData" localSheetId="0" hidden="1">'2024 January'!$C$7:$X$199</definedName>
    <definedName name="Z_ACB92755_C1ED_41B0_9FE6_1BAF8DFF0F22_.wvu.FilterData" localSheetId="2" hidden="1">'2024 April'!$A$9:$Z$123</definedName>
    <definedName name="Z_ACB92755_C1ED_41B0_9FE6_1BAF8DFF0F22_.wvu.FilterData" localSheetId="1" hidden="1">'2024 February'!$A$9:$Z$134</definedName>
    <definedName name="Z_ADDEB23E_DB36_4807_A89B_0D9099286A16_.wvu.FilterData" localSheetId="2" hidden="1">'2024 April'!$A$9:$Z$170</definedName>
    <definedName name="Z_ADDEB23E_DB36_4807_A89B_0D9099286A16_.wvu.FilterData" localSheetId="1" hidden="1">'2024 February'!$A$9:$Z$193</definedName>
    <definedName name="Z_ADDEB23E_DB36_4807_A89B_0D9099286A16_.wvu.FilterData" localSheetId="0" hidden="1">'2024 January'!$A$9:$Z$199</definedName>
    <definedName name="Z_ADDEB23E_DB36_4807_A89B_0D9099286A16_.wvu.FilterData" localSheetId="4" hidden="1">'2024 March'!$A$9:$Z$177</definedName>
    <definedName name="Z_AFB8BB9B_1F1F_4D6C_BA97_ADFEFAB4CECC_.wvu.FilterData" localSheetId="2" hidden="1">'2024 April'!$A$9:$Z$123</definedName>
    <definedName name="Z_AFB8BB9B_1F1F_4D6C_BA97_ADFEFAB4CECC_.wvu.FilterData" localSheetId="1" hidden="1">'2024 February'!$A$9:$Z$193</definedName>
    <definedName name="Z_B16C0C81_5C81_4689_AD36_9DAE16331E67_.wvu.FilterData" localSheetId="2" hidden="1">'2024 April'!$A$9:$Z$109</definedName>
    <definedName name="Z_B16C0C81_5C81_4689_AD36_9DAE16331E67_.wvu.FilterData" localSheetId="1" hidden="1">'2024 February'!$A$9:$Z$134</definedName>
    <definedName name="Z_B16C0C81_5C81_4689_AD36_9DAE16331E67_.wvu.FilterData" localSheetId="0" hidden="1">'2024 January'!$A$9:$Z$193</definedName>
    <definedName name="Z_B27C7FFC_97C5_4667_ACD6_B05987D28B49_.wvu.FilterData" localSheetId="2" hidden="1">'2024 April'!$A$9:$Z$109</definedName>
    <definedName name="Z_B27C7FFC_97C5_4667_ACD6_B05987D28B49_.wvu.FilterData" localSheetId="1" hidden="1">'2024 February'!$A$9:$Z$134</definedName>
    <definedName name="Z_B27C7FFC_97C5_4667_ACD6_B05987D28B49_.wvu.FilterData" localSheetId="0" hidden="1">'2024 January'!$A$9:$Z$193</definedName>
    <definedName name="Z_B3D4C310_1F9A_4D29_8990_F87EA5BBA591_.wvu.FilterData" localSheetId="1" hidden="1">'2024 February'!$A$9:$Z$193</definedName>
    <definedName name="Z_C001D0BF_773D_48AF_8B1B_6C89B000FA58_.wvu.FilterData" localSheetId="2" hidden="1">'2024 April'!$A$9:$Z$170</definedName>
    <definedName name="Z_C001D0BF_773D_48AF_8B1B_6C89B000FA58_.wvu.FilterData" localSheetId="1" hidden="1">'2024 February'!$A$9:$Z$193</definedName>
    <definedName name="Z_C001D0BF_773D_48AF_8B1B_6C89B000FA58_.wvu.FilterData" localSheetId="0" hidden="1">'2024 January'!$A$9:$Z$199</definedName>
    <definedName name="Z_C001D0BF_773D_48AF_8B1B_6C89B000FA58_.wvu.FilterData" localSheetId="4" hidden="1">'2024 March'!$A$9:$Z$177</definedName>
    <definedName name="Z_C050A20F_9133_4310_B977_731B60776A95_.wvu.FilterData" localSheetId="2" hidden="1">'2024 April'!$A$9:$Z$85</definedName>
    <definedName name="Z_C050A20F_9133_4310_B977_731B60776A95_.wvu.FilterData" localSheetId="1" hidden="1">'2024 February'!$A$9:$Z$193</definedName>
    <definedName name="Z_C050A20F_9133_4310_B977_731B60776A95_.wvu.FilterData" localSheetId="0" hidden="1">'2024 January'!$A$9:$Z$199</definedName>
    <definedName name="Z_C13C60AA_B3BC_4446_AA19_480F740F36DD_.wvu.FilterData" localSheetId="2" hidden="1">'2024 April'!$A$9:$Z$147</definedName>
    <definedName name="Z_C13C60AA_B3BC_4446_AA19_480F740F36DD_.wvu.FilterData" localSheetId="1" hidden="1">'2024 February'!$A$9:$Z$193</definedName>
    <definedName name="Z_C13C60AA_B3BC_4446_AA19_480F740F36DD_.wvu.FilterData" localSheetId="0" hidden="1">'2024 January'!$A$9:$Z$199</definedName>
    <definedName name="Z_C13C60AA_B3BC_4446_AA19_480F740F36DD_.wvu.FilterData" localSheetId="4" hidden="1">'2024 March'!$A$9:$Z$164</definedName>
    <definedName name="Z_C9E4DC5B_6C9B_4228_AF8D_36B7DDB94531_.wvu.FilterData" localSheetId="1" hidden="1">'2024 February'!$A$9:$Z$193</definedName>
    <definedName name="Z_CB82114B_CA35_4C6F_AC7B_23D8D17266C7_.wvu.FilterData" localSheetId="2" hidden="1">'2024 April'!$A$9:$Z$123</definedName>
    <definedName name="Z_CB82114B_CA35_4C6F_AC7B_23D8D17266C7_.wvu.FilterData" localSheetId="1" hidden="1">'2024 February'!$A$9:$Z$134</definedName>
    <definedName name="Z_CB82114B_CA35_4C6F_AC7B_23D8D17266C7_.wvu.FilterData" localSheetId="0" hidden="1">'2024 January'!$A$9:$Z$193</definedName>
    <definedName name="Z_CEF88DD0_1604_4B95_9A0A_613F636F67B5_.wvu.FilterData" localSheetId="2" hidden="1">'2024 April'!$A$9:$Z$147</definedName>
    <definedName name="Z_CEF88DD0_1604_4B95_9A0A_613F636F67B5_.wvu.FilterData" localSheetId="1" hidden="1">'2024 February'!$A$9:$Z$193</definedName>
    <definedName name="Z_CEF88DD0_1604_4B95_9A0A_613F636F67B5_.wvu.FilterData" localSheetId="0" hidden="1">'2024 January'!$A$9:$Z$199</definedName>
    <definedName name="Z_CEF88DD0_1604_4B95_9A0A_613F636F67B5_.wvu.FilterData" localSheetId="4" hidden="1">'2024 March'!$A$9:$Z$164</definedName>
    <definedName name="Z_D9CA35BC_DA14_46BF_9E20_F47B49B00140_.wvu.FilterData" localSheetId="1" hidden="1">'2024 February'!$A$9:$Z$193</definedName>
    <definedName name="Z_DB1300D5_F54A_4B75_91EB_D9AE03F73FEC_.wvu.FilterData" localSheetId="2" hidden="1">'2024 April'!$A$9:$Z$123</definedName>
    <definedName name="Z_DB1300D5_F54A_4B75_91EB_D9AE03F73FEC_.wvu.FilterData" localSheetId="1" hidden="1">'2024 February'!$A$9:$Z$193</definedName>
    <definedName name="Z_DB57DBB9_B5E7_4A59_84CA_95C2D93DEADE_.wvu.FilterData" localSheetId="2" hidden="1">'2024 April'!$A$9:$Z$109</definedName>
    <definedName name="Z_DB57DBB9_B5E7_4A59_84CA_95C2D93DEADE_.wvu.FilterData" localSheetId="1" hidden="1">'2024 February'!$A$9:$Z$134</definedName>
    <definedName name="Z_DB57DBB9_B5E7_4A59_84CA_95C2D93DEADE_.wvu.FilterData" localSheetId="0" hidden="1">'2024 January'!$A$9:$Z$193</definedName>
    <definedName name="Z_E16DDF1D_967D_4E29_861E_E839B69883ED_.wvu.FilterData" localSheetId="2" hidden="1">'2024 April'!$A$9:$Z$109</definedName>
    <definedName name="Z_E16DDF1D_967D_4E29_861E_E839B69883ED_.wvu.FilterData" localSheetId="1" hidden="1">'2024 February'!$A$9:$Z$134</definedName>
    <definedName name="Z_E16DDF1D_967D_4E29_861E_E839B69883ED_.wvu.FilterData" localSheetId="0" hidden="1">'2024 January'!$A$9:$Z$193</definedName>
    <definedName name="Z_E1D3DF5B_EEE5_4541_9EE8_3CF33782D022_.wvu.FilterData" localSheetId="2" hidden="1">'2024 April'!$A$9:$Z$147</definedName>
    <definedName name="Z_E1D3DF5B_EEE5_4541_9EE8_3CF33782D022_.wvu.FilterData" localSheetId="1" hidden="1">'2024 February'!$A$9:$Z$193</definedName>
    <definedName name="Z_E1D3DF5B_EEE5_4541_9EE8_3CF33782D022_.wvu.FilterData" localSheetId="0" hidden="1">'2024 January'!$A$9:$Z$199</definedName>
    <definedName name="Z_E1D3DF5B_EEE5_4541_9EE8_3CF33782D022_.wvu.FilterData" localSheetId="4" hidden="1">'2024 March'!$A$9:$Z$164</definedName>
    <definedName name="Z_E6449D9D_6C38_411F_8A7E_4B5317648CE0_.wvu.FilterData" localSheetId="2" hidden="1">'2024 April'!$A$9:$Z$109</definedName>
    <definedName name="Z_E6449D9D_6C38_411F_8A7E_4B5317648CE0_.wvu.FilterData" localSheetId="1" hidden="1">'2024 February'!$A$9:$Z$134</definedName>
    <definedName name="Z_E6449D9D_6C38_411F_8A7E_4B5317648CE0_.wvu.FilterData" localSheetId="0" hidden="1">'2024 January'!$A$9:$Z$199</definedName>
    <definedName name="Z_E661CD77_B31F_4C3C_8CD5_3A6BB7A3C70D_.wvu.FilterData" localSheetId="2" hidden="1">'2024 April'!$A$9:$Z$123</definedName>
    <definedName name="Z_E661CD77_B31F_4C3C_8CD5_3A6BB7A3C70D_.wvu.FilterData" localSheetId="1" hidden="1">'2024 February'!$A$9:$Z$193</definedName>
    <definedName name="Z_E661CD77_B31F_4C3C_8CD5_3A6BB7A3C70D_.wvu.FilterData" localSheetId="0" hidden="1">'2024 January'!$A$9:$Z$199</definedName>
    <definedName name="Z_E661CD77_B31F_4C3C_8CD5_3A6BB7A3C70D_.wvu.FilterData" localSheetId="4" hidden="1">'2024 March'!$A$9:$Z$128</definedName>
    <definedName name="Z_E661CD77_B31F_4C3C_8CD5_3A6BB7A3C70D_.wvu.FilterData" localSheetId="3" hidden="1">'2024 May'!$A$9:$Z$129</definedName>
    <definedName name="Z_F86C0712_89BA_473B_A384_E1088865C57F_.wvu.FilterData" localSheetId="2" hidden="1">'2024 April'!$A$9:$Z$109</definedName>
    <definedName name="Z_F86C0712_89BA_473B_A384_E1088865C57F_.wvu.FilterData" localSheetId="1" hidden="1">'2024 February'!$A$9:$Z$134</definedName>
    <definedName name="Z_F86C0712_89BA_473B_A384_E1088865C57F_.wvu.FilterData" localSheetId="0" hidden="1">'2024 January'!$A$9:$Z$199</definedName>
    <definedName name="Z_FA039B71_8583_434B_AF5C_F7A0DD0543E2_.wvu.FilterData" localSheetId="2" hidden="1">'2024 April'!$A$9:$Z$109</definedName>
    <definedName name="Z_FA039B71_8583_434B_AF5C_F7A0DD0543E2_.wvu.FilterData" localSheetId="1" hidden="1">'2024 February'!$A$9:$Z$134</definedName>
    <definedName name="Z_FA039B71_8583_434B_AF5C_F7A0DD0543E2_.wvu.FilterData" localSheetId="0" hidden="1">'2024 January'!$A$9:$Z$193</definedName>
    <definedName name="Z_FE3E62DE_4CB7_4BB9_873B_C0E5A641A3C7_.wvu.FilterData" localSheetId="2" hidden="1">'2024 April'!$A$9:$Z$147</definedName>
    <definedName name="Z_FE3E62DE_4CB7_4BB9_873B_C0E5A641A3C7_.wvu.FilterData" localSheetId="1" hidden="1">'2024 February'!$A$9:$Z$193</definedName>
    <definedName name="Z_FE3E62DE_4CB7_4BB9_873B_C0E5A641A3C7_.wvu.FilterData" localSheetId="0" hidden="1">'2024 January'!$A$9:$Z$199</definedName>
    <definedName name="Z_FE3E62DE_4CB7_4BB9_873B_C0E5A641A3C7_.wvu.FilterData" localSheetId="4" hidden="1">'2024 March'!$A$9:$Z$164</definedName>
    <definedName name="Z_FF771FF5_0C19_4FC1_8B9D_FCCC8E4FDA7F_.wvu.FilterData" localSheetId="2" hidden="1">'2024 April'!$A$9:$Z$123</definedName>
    <definedName name="Z_FF771FF5_0C19_4FC1_8B9D_FCCC8E4FDA7F_.wvu.FilterData" localSheetId="1" hidden="1">'2024 February'!$A$9:$Z$193</definedName>
  </definedNames>
  <calcPr calcId="191029"/>
  <customWorkbookViews>
    <customWorkbookView name="Filtre 70" guid="{C9E4DC5B-6C9B-4228-AF8D-36B7DDB94531}" maximized="1" windowWidth="0" windowHeight="0" activeSheetId="0"/>
    <customWorkbookView name="Filtre 72" guid="{3C5DF5A7-F8C5-4A07-878A-4359CC650494}" maximized="1" windowWidth="0" windowHeight="0" activeSheetId="0"/>
    <customWorkbookView name="Filtre 71" guid="{B3D4C310-1F9A-4D29-8990-F87EA5BBA591}" maximized="1" windowWidth="0" windowHeight="0" activeSheetId="0"/>
    <customWorkbookView name="Filtre 30" guid="{83452753-A2E5-4895-AC39-2857EB4185A4}" maximized="1" windowWidth="0" windowHeight="0" activeSheetId="0"/>
    <customWorkbookView name="Filtre 74" guid="{25306CF5-0006-4DC6-A4C8-A5D7421F1EE6}" maximized="1" windowWidth="0" windowHeight="0" activeSheetId="0"/>
    <customWorkbookView name="Filtre 73" guid="{9E0846C4-DD83-4D63-8234-28B35B617FA2}" maximized="1" windowWidth="0" windowHeight="0" activeSheetId="0"/>
    <customWorkbookView name="Filtre 29" guid="{9DA415C6-D16E-4ADE-8A63-89A6B22E7D22}" maximized="1" windowWidth="0" windowHeight="0" activeSheetId="0"/>
    <customWorkbookView name="Filtre 28" guid="{2207CBB1-B653-4DCA-B373-BDA845BB1154}" maximized="1" windowWidth="0" windowHeight="0" activeSheetId="0"/>
    <customWorkbookView name="Filtre 21" guid="{27F7A4B9-CEF3-48FF-B387-0C81D33048BC}" maximized="1" windowWidth="0" windowHeight="0" activeSheetId="0"/>
    <customWorkbookView name="Filtre 65" guid="{FF771FF5-0C19-4FC1-8B9D-FCCC8E4FDA7F}" maximized="1" windowWidth="0" windowHeight="0" activeSheetId="0"/>
    <customWorkbookView name="Filtre 20" guid="{825CFE42-E38F-4327-A52B-EA014762B8A6}" maximized="1" windowWidth="0" windowHeight="0" activeSheetId="0"/>
    <customWorkbookView name="Filtre 64" guid="{7F05F71F-C270-427E-8BEF-5953501912D4}" maximized="1" windowWidth="0" windowHeight="0" activeSheetId="0"/>
    <customWorkbookView name="Filtre 23" guid="{CEF88DD0-1604-4B95-9A0A-613F636F67B5}" maximized="1" windowWidth="0" windowHeight="0" activeSheetId="0"/>
    <customWorkbookView name="Filtre 67" guid="{12C2EF42-B18E-481F-9C22-86D0B652447F}" maximized="1" windowWidth="0" windowHeight="0" activeSheetId="0"/>
    <customWorkbookView name="Filtre 22" guid="{C13C60AA-B3BC-4446-AA19-480F740F36DD}" maximized="1" windowWidth="0" windowHeight="0" activeSheetId="0"/>
    <customWorkbookView name="Filtre 66" guid="{0673F5F7-2622-4210-8A6B-48BFA97FE39E}" maximized="1" windowWidth="0" windowHeight="0" activeSheetId="0"/>
    <customWorkbookView name="Filtre 25" guid="{ADDEB23E-DB36-4807-A89B-0D9099286A16}" maximized="1" windowWidth="0" windowHeight="0" activeSheetId="0"/>
    <customWorkbookView name="Filtre 69" guid="{DB1300D5-F54A-4B75-91EB-D9AE03F73FEC}" maximized="1" windowWidth="0" windowHeight="0" activeSheetId="0"/>
    <customWorkbookView name="Filtre 24" guid="{C001D0BF-773D-48AF-8B1B-6C89B000FA58}" maximized="1" windowWidth="0" windowHeight="0" activeSheetId="0"/>
    <customWorkbookView name="Filtre 68" guid="{0ED2A28D-785A-4BE2-B00C-51195ADD54B4}" maximized="1" windowWidth="0" windowHeight="0" activeSheetId="0"/>
    <customWorkbookView name="Filtre 27" guid="{0C67F4AD-E116-40FF-973D-584D89EF9B9A}" maximized="1" windowWidth="0" windowHeight="0" activeSheetId="0"/>
    <customWorkbookView name="Filtre 26" guid="{4E6C842E-1AE5-4266-A760-0DBC8ED32795}" maximized="1" windowWidth="0" windowHeight="0" activeSheetId="0"/>
    <customWorkbookView name="Filtre 81" guid="{757812E9-7DA1-4C19-BA75-50F8D6FE80DA}" maximized="1" windowWidth="0" windowHeight="0" activeSheetId="0"/>
    <customWorkbookView name="Filtre 80" guid="{D9CA35BC-DA14-46BF-9E20-F47B49B00140}" maximized="1" windowWidth="0" windowHeight="0" activeSheetId="0"/>
    <customWorkbookView name="Filtre 83" guid="{7437F761-9395-498F-AB0E-3225806203DA}" maximized="1" windowWidth="0" windowHeight="0" activeSheetId="0"/>
    <customWorkbookView name="Filtre 82" guid="{9E0B948C-EB72-420A-9C5C-053E1B928BCC}" maximized="1" windowWidth="0" windowHeight="0" activeSheetId="0"/>
    <customWorkbookView name="Filtre 41" guid="{2A629D90-DF55-42DE-9FE5-BBC34C3FB857}" maximized="1" windowWidth="0" windowHeight="0" activeSheetId="0"/>
    <customWorkbookView name="Filtre 85" guid="{A4760FDB-C58C-418D-A922-86433F2607BD}" maximized="1" windowWidth="0" windowHeight="0" activeSheetId="0"/>
    <customWorkbookView name="Filtre 40" guid="{E6449D9D-6C38-411F-8A7E-4B5317648CE0}" maximized="1" windowWidth="0" windowHeight="0" activeSheetId="0"/>
    <customWorkbookView name="Filtre 84" guid="{69F5DADC-0A3A-4234-A006-4F48C4C2962F}" maximized="1" windowWidth="0" windowHeight="0" activeSheetId="0"/>
    <customWorkbookView name="Filtre 39" guid="{AB3EE88F-CAD3-4D5E-B2FF-371DDEE3ECEF}" maximized="1" windowWidth="0" windowHeight="0" activeSheetId="0"/>
    <customWorkbookView name="Filtre 32" guid="{8DF69057-10E2-434E-9A26-117BB354D6B5}" maximized="1" windowWidth="0" windowHeight="0" activeSheetId="0"/>
    <customWorkbookView name="Filtre 76" guid="{6F320276-7114-4A70-86CC-9F74A1A4E0CE}" maximized="1" windowWidth="0" windowHeight="0" activeSheetId="0"/>
    <customWorkbookView name="Filtre 31" guid="{C050A20F-9133-4310-B977-731B60776A95}" maximized="1" windowWidth="0" windowHeight="0" activeSheetId="0"/>
    <customWorkbookView name="Filtre 75" guid="{5E99A4E2-D6CC-43EC-AAD2-4BA9DF4A6F39}" maximized="1" windowWidth="0" windowHeight="0" activeSheetId="0"/>
    <customWorkbookView name="Filtre 34" guid="{A36A2149-2DF3-489A-A1FC-4611D7C761EC}" maximized="1" windowWidth="0" windowHeight="0" activeSheetId="0"/>
    <customWorkbookView name="Filtre 78" guid="{630CEB7A-F060-4ECB-AF0B-3275C72807C0}" maximized="1" windowWidth="0" windowHeight="0" activeSheetId="0"/>
    <customWorkbookView name="Filtre 33" guid="{40633660-D14D-4507-8AAB-2F75448D5D64}" maximized="1" windowWidth="0" windowHeight="0" activeSheetId="0"/>
    <customWorkbookView name="Filtre 77" guid="{543ECBD1-56F7-4935-9F65-00CA2C5C8704}" maximized="1" windowWidth="0" windowHeight="0" activeSheetId="0"/>
    <customWorkbookView name="Filtre 36" guid="{0A9FF2CA-86CF-426B-92D4-4C55EEEA773B}" maximized="1" windowWidth="0" windowHeight="0" activeSheetId="0"/>
    <customWorkbookView name="Filtre 35" guid="{0B0580CB-5201-44AB-95E0-AAB9E5DAEEB3}" maximized="1" windowWidth="0" windowHeight="0" activeSheetId="0"/>
    <customWorkbookView name="Filtre 79" guid="{94E5D8CF-5BBA-467F-AB30-9DE7DCBAA5C0}" maximized="1" windowWidth="0" windowHeight="0" activeSheetId="0"/>
    <customWorkbookView name="Filtre 38" guid="{F86C0712-89BA-473B-A384-E1088865C57F}" maximized="1" windowWidth="0" windowHeight="0" activeSheetId="0"/>
    <customWorkbookView name="Filtre 37" guid="{45DD3965-6A36-4C34-A9FC-BB77A7D9D8C7}" maximized="1" windowWidth="0" windowHeight="0" activeSheetId="0"/>
    <customWorkbookView name="Filtre 50" guid="{FA039B71-8583-434B-AF5C-F7A0DD0543E2}" maximized="1" windowWidth="0" windowHeight="0" activeSheetId="0"/>
    <customWorkbookView name="Filtre 52" guid="{9ADA2EDB-7AFD-44B0-9D9F-59CB6B5BA861}" maximized="1" windowWidth="0" windowHeight="0" activeSheetId="0"/>
    <customWorkbookView name="Filtre 51" guid="{A9E68A40-045E-4079-81E3-E0D0F4B43B67}" maximized="1" windowWidth="0" windowHeight="0" activeSheetId="0"/>
    <customWorkbookView name="Filtre 1" guid="{76FE80B7-048A-4848-BCC4-616193A540D1}" maximized="1" windowWidth="0" windowHeight="0" activeSheetId="0"/>
    <customWorkbookView name="Filtre 5" guid="{E661CD77-B31F-4C3C-8CD5-3A6BB7A3C70D}" maximized="1" windowWidth="0" windowHeight="0" activeSheetId="0"/>
    <customWorkbookView name="Filtre 4" guid="{2A32A583-5FFF-4329-A9AB-FB460B8875F5}" maximized="1" windowWidth="0" windowHeight="0" activeSheetId="0"/>
    <customWorkbookView name="Filtre 3" guid="{3468AD09-8B5E-4744-B88A-12C4F47AC98C}" maximized="1" windowWidth="0" windowHeight="0" activeSheetId="0"/>
    <customWorkbookView name="Filtre 2" guid="{88809CA9-5E40-46D7-B1E4-FD64890E3C54}" maximized="1" windowWidth="0" windowHeight="0" activeSheetId="0"/>
    <customWorkbookView name="Filtre 9" guid="{65C673E0-AE30-4C3F-B678-27F9F5878965}" maximized="1" windowWidth="0" windowHeight="0" activeSheetId="0"/>
    <customWorkbookView name="Filtre 8" guid="{4FB5B25D-07EC-4AD4-89DF-44489CD85001}" maximized="1" windowWidth="0" windowHeight="0" activeSheetId="0"/>
    <customWorkbookView name="Filtre 7" guid="{A88120E2-7AF7-4F3D-82AF-D97CC58D97AE}" maximized="1" windowWidth="0" windowHeight="0" activeSheetId="0"/>
    <customWorkbookView name="Filtre 6" guid="{94D2D6FF-EAA2-40FA-89DA-C0792B4DEC2F}" maximized="1" windowWidth="0" windowHeight="0" activeSheetId="0"/>
    <customWorkbookView name="Filtre 43" guid="{86FE429F-8E61-4DC8-A433-B13AE04B64E6}" maximized="1" windowWidth="0" windowHeight="0" activeSheetId="0"/>
    <customWorkbookView name="Filtre 42" guid="{35D94E68-361A-447A-93C5-620C1CE60B05}" maximized="1" windowWidth="0" windowHeight="0" activeSheetId="0"/>
    <customWorkbookView name="Filtre 45" guid="{B27C7FFC-97C5-4667-ACD6-B05987D28B49}" maximized="1" windowWidth="0" windowHeight="0" activeSheetId="0"/>
    <customWorkbookView name="Filtre 44" guid="{B16C0C81-5C81-4689-AD36-9DAE16331E67}" maximized="1" windowWidth="0" windowHeight="0" activeSheetId="0"/>
    <customWorkbookView name="Filtre 47" guid="{7F26427E-2CC3-4738-8D6F-9D9F2F09086A}" maximized="1" windowWidth="0" windowHeight="0" activeSheetId="0"/>
    <customWorkbookView name="Filtre 46" guid="{DB57DBB9-B5E7-4A59-84CA-95C2D93DEADE}" maximized="1" windowWidth="0" windowHeight="0" activeSheetId="0"/>
    <customWorkbookView name="Filtre 49" guid="{E16DDF1D-967D-4E29-861E-E839B69883ED}" maximized="1" windowWidth="0" windowHeight="0" activeSheetId="0"/>
    <customWorkbookView name="Filtre 48" guid="{33795E09-EF38-4617-B78D-EEB628861E32}" maximized="1" windowWidth="0" windowHeight="0" activeSheetId="0"/>
    <customWorkbookView name="Filtre 61" guid="{772B0D36-4A99-4024-A175-9F9DAD74B061}" maximized="1" windowWidth="0" windowHeight="0" activeSheetId="0"/>
    <customWorkbookView name="Filtre 60" guid="{AFB8BB9B-1F1F-4D6C-BA97-ADFEFAB4CECC}" maximized="1" windowWidth="0" windowHeight="0" activeSheetId="0"/>
    <customWorkbookView name="Filtre 63" guid="{3F0A35D3-9A77-4A14-9499-EF36E3940A95}" maximized="1" windowWidth="0" windowHeight="0" activeSheetId="0"/>
    <customWorkbookView name="Filtre 62" guid="{183C6621-82E3-4B2D-9ED7-BFB1F0F7BFEB}" maximized="1" windowWidth="0" windowHeight="0" activeSheetId="0"/>
    <customWorkbookView name="Filtre 18" guid="{FE3E62DE-4CB7-4BB9-873B-C0E5A641A3C7}" maximized="1" windowWidth="0" windowHeight="0" activeSheetId="0"/>
    <customWorkbookView name="Filtre 17" guid="{80969A39-7711-4B04-A97F-757E47D9C537}" maximized="1" windowWidth="0" windowHeight="0" activeSheetId="0"/>
    <customWorkbookView name="Filtre 19" guid="{E1D3DF5B-EEE5-4541-9EE8-3CF33782D022}" maximized="1" windowWidth="0" windowHeight="0" activeSheetId="0"/>
    <customWorkbookView name="Filtre 10" guid="{1B6A235E-C50E-41E4-AD09-55C78D2BFD3B}" maximized="1" windowWidth="0" windowHeight="0" activeSheetId="0"/>
    <customWorkbookView name="Filtre 54" guid="{2F330B0C-BB40-4D95-9FAB-EBC1E02E543B}" maximized="1" windowWidth="0" windowHeight="0" activeSheetId="0"/>
    <customWorkbookView name="Filtre 53" guid="{A3D0C1B3-1214-411E-8919-2C9FA68EBA0B}" maximized="1" windowWidth="0" windowHeight="0" activeSheetId="0"/>
    <customWorkbookView name="Filtre 56" guid="{CB82114B-CA35-4C6F-AC7B-23D8D17266C7}" maximized="1" windowWidth="0" windowHeight="0" activeSheetId="0"/>
    <customWorkbookView name="Filtre 12" guid="{35CA1A2D-FFBE-4615-96BB-101481E767E8}" maximized="1" windowWidth="0" windowHeight="0" activeSheetId="0"/>
    <customWorkbookView name="Filtre 11" guid="{139BD26D-4FE1-4361-9793-2F125181BAFF}" maximized="1" windowWidth="0" windowHeight="0" activeSheetId="0"/>
    <customWorkbookView name="Filtre 55" guid="{9E93544A-5152-4ABF-B1AB-D7952726683C}" maximized="1" windowWidth="0" windowHeight="0" activeSheetId="0"/>
    <customWorkbookView name="Filtre 14" guid="{7590A8FA-0E93-447D-94B9-753650E86DD0}" maximized="1" windowWidth="0" windowHeight="0" activeSheetId="0"/>
    <customWorkbookView name="Filtre 58" guid="{ACB92755-C1ED-41B0-9FE6-1BAF8DFF0F22}" maximized="1" windowWidth="0" windowHeight="0" activeSheetId="0"/>
    <customWorkbookView name="Filtre 13" guid="{1690381E-EDBA-489A-8E58-BB03EED6A56A}" maximized="1" windowWidth="0" windowHeight="0" activeSheetId="0"/>
    <customWorkbookView name="Filtre 57" guid="{548648B0-7D60-4620-B645-B6C4B7E1F3D5}" maximized="1" windowWidth="0" windowHeight="0" activeSheetId="0"/>
    <customWorkbookView name="Filtre 16" guid="{1CBC6901-7D50-44EB-AA0D-4607E4ED539B}" maximized="1" windowWidth="0" windowHeight="0" activeSheetId="0"/>
    <customWorkbookView name="Filtre 15" guid="{87A433BC-F3FD-4BA7-BD7F-4194C598DDE6}" maximized="1" windowWidth="0" windowHeight="0" activeSheetId="0"/>
    <customWorkbookView name="Filtre 59" guid="{3767EBB2-5EB8-4765-81A2-AE8F06D86ED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6" l="1"/>
  <c r="K12" i="26"/>
  <c r="K11" i="26"/>
  <c r="K10" i="26"/>
  <c r="K9" i="26"/>
  <c r="K8" i="26"/>
  <c r="C3" i="26" s="1"/>
  <c r="E2" i="26" s="1"/>
  <c r="C5" i="26"/>
  <c r="C4" i="26"/>
  <c r="K167" i="25"/>
  <c r="K166" i="25"/>
  <c r="K165" i="25"/>
  <c r="K164" i="25"/>
  <c r="K163" i="25"/>
  <c r="K162" i="25"/>
  <c r="K161" i="25"/>
  <c r="K160" i="25"/>
  <c r="K159" i="25"/>
  <c r="K158" i="25"/>
  <c r="K157" i="25"/>
  <c r="K156" i="25"/>
  <c r="K155" i="25"/>
  <c r="K154" i="25"/>
  <c r="K153" i="25"/>
  <c r="K152" i="25"/>
  <c r="K151" i="25"/>
  <c r="K150" i="25"/>
  <c r="K149" i="25"/>
  <c r="K148" i="25"/>
  <c r="K147" i="25"/>
  <c r="K146" i="25"/>
  <c r="K145" i="25"/>
  <c r="K144" i="25"/>
  <c r="K143" i="25"/>
  <c r="K142" i="25"/>
  <c r="K141" i="25"/>
  <c r="K140" i="25"/>
  <c r="K139" i="25"/>
  <c r="K138" i="25"/>
  <c r="K137" i="25"/>
  <c r="K136" i="25"/>
  <c r="K135" i="25"/>
  <c r="K134" i="25"/>
  <c r="K133" i="25"/>
  <c r="K132" i="25"/>
  <c r="K131" i="25"/>
  <c r="K130" i="25"/>
  <c r="K129" i="25"/>
  <c r="K128" i="25"/>
  <c r="K127" i="25"/>
  <c r="K126" i="25"/>
  <c r="K125" i="25"/>
  <c r="K124" i="25"/>
  <c r="K123" i="25"/>
  <c r="K122" i="25"/>
  <c r="K121" i="25"/>
  <c r="K120" i="25"/>
  <c r="K119" i="25"/>
  <c r="K118" i="25"/>
  <c r="K117" i="25"/>
  <c r="K116" i="25"/>
  <c r="K115" i="25"/>
  <c r="K114" i="25"/>
  <c r="K113" i="25"/>
  <c r="K112" i="25"/>
  <c r="K111" i="25"/>
  <c r="K110" i="25"/>
  <c r="K109" i="25"/>
  <c r="K108" i="25"/>
  <c r="K107" i="25"/>
  <c r="K106" i="25"/>
  <c r="K105" i="25"/>
  <c r="K104" i="25"/>
  <c r="K103" i="25"/>
  <c r="K102" i="25"/>
  <c r="K101" i="25"/>
  <c r="K100" i="25"/>
  <c r="K99" i="25"/>
  <c r="K98" i="25"/>
  <c r="K97" i="25"/>
  <c r="K96" i="25"/>
  <c r="K95" i="25"/>
  <c r="K94" i="25"/>
  <c r="K93" i="25"/>
  <c r="K92" i="25"/>
  <c r="K91" i="25"/>
  <c r="K90" i="25"/>
  <c r="K89" i="25"/>
  <c r="K88" i="25"/>
  <c r="K87" i="25"/>
  <c r="K86" i="25"/>
  <c r="K85" i="25"/>
  <c r="K84" i="25"/>
  <c r="K83" i="25"/>
  <c r="K82" i="25"/>
  <c r="K81" i="25"/>
  <c r="K80" i="25"/>
  <c r="K79" i="25"/>
  <c r="K78" i="25"/>
  <c r="K77" i="25"/>
  <c r="K76" i="25"/>
  <c r="K75" i="25"/>
  <c r="K74" i="25"/>
  <c r="K73" i="25"/>
  <c r="K72" i="25"/>
  <c r="K71" i="25"/>
  <c r="K69" i="25"/>
  <c r="K68" i="25"/>
  <c r="K67" i="25"/>
  <c r="K66" i="25"/>
  <c r="K65" i="25"/>
  <c r="K64" i="25"/>
  <c r="K63" i="25"/>
  <c r="K62" i="25"/>
  <c r="K61" i="25"/>
  <c r="K60" i="25"/>
  <c r="K59" i="25"/>
  <c r="K58" i="25"/>
  <c r="K57" i="25"/>
  <c r="K56" i="25"/>
  <c r="K55" i="25"/>
  <c r="K54" i="25"/>
  <c r="K53" i="25"/>
  <c r="K52" i="25"/>
  <c r="K51" i="25"/>
  <c r="K50" i="25"/>
  <c r="K49" i="25"/>
  <c r="K48" i="25"/>
  <c r="K47" i="25"/>
  <c r="K46" i="25"/>
  <c r="K45" i="25"/>
  <c r="K44" i="25"/>
  <c r="K43" i="25"/>
  <c r="K42" i="25"/>
  <c r="K41" i="25"/>
  <c r="K40" i="25"/>
  <c r="K39" i="25"/>
  <c r="K38" i="25"/>
  <c r="K37" i="25"/>
  <c r="K36" i="25"/>
  <c r="K35" i="25"/>
  <c r="K34" i="25"/>
  <c r="K33" i="25"/>
  <c r="K32" i="25"/>
  <c r="K31" i="25"/>
  <c r="K30" i="25"/>
  <c r="K29" i="25"/>
  <c r="K28" i="25"/>
  <c r="K27" i="25"/>
  <c r="K26" i="25"/>
  <c r="K25" i="25"/>
  <c r="K24" i="25"/>
  <c r="K23" i="25"/>
  <c r="K22" i="25"/>
  <c r="K21" i="25"/>
  <c r="K20" i="25"/>
  <c r="K19" i="25"/>
  <c r="K18" i="25"/>
  <c r="K17" i="25"/>
  <c r="K16" i="25"/>
  <c r="K15" i="25"/>
  <c r="K14" i="25"/>
  <c r="K13" i="25"/>
  <c r="K12" i="25"/>
  <c r="K11" i="25"/>
  <c r="K10" i="25"/>
  <c r="K9" i="25"/>
  <c r="K8" i="25"/>
  <c r="C3" i="25" s="1"/>
  <c r="E2" i="25" s="1"/>
  <c r="C5" i="25"/>
  <c r="C4" i="25"/>
  <c r="K198" i="24"/>
  <c r="K197" i="24"/>
  <c r="K196" i="24"/>
  <c r="K195" i="24"/>
  <c r="K194" i="24"/>
  <c r="K193" i="24"/>
  <c r="K192" i="24"/>
  <c r="K191" i="24"/>
  <c r="K190" i="24"/>
  <c r="K189" i="24"/>
  <c r="K188" i="24"/>
  <c r="K187" i="24"/>
  <c r="K186" i="24"/>
  <c r="K185" i="24"/>
  <c r="K184" i="24"/>
  <c r="K183" i="24"/>
  <c r="K182" i="24"/>
  <c r="K181" i="24"/>
  <c r="K180" i="24"/>
  <c r="K179" i="24"/>
  <c r="K178" i="24"/>
  <c r="K177" i="24"/>
  <c r="K176" i="24"/>
  <c r="K175" i="24"/>
  <c r="K174" i="24"/>
  <c r="K173" i="24"/>
  <c r="K172" i="24"/>
  <c r="K171" i="24"/>
  <c r="K170" i="24"/>
  <c r="K169" i="24"/>
  <c r="K168" i="24"/>
  <c r="K167" i="24"/>
  <c r="K166" i="24"/>
  <c r="K165" i="24"/>
  <c r="K164" i="24"/>
  <c r="K163" i="24"/>
  <c r="K162" i="24"/>
  <c r="K161" i="24"/>
  <c r="K160" i="24"/>
  <c r="K158" i="24"/>
  <c r="K157" i="24"/>
  <c r="K156" i="24"/>
  <c r="K155" i="24"/>
  <c r="K154" i="24"/>
  <c r="K153" i="24"/>
  <c r="K152" i="24"/>
  <c r="K151" i="24"/>
  <c r="K150" i="24"/>
  <c r="K149" i="24"/>
  <c r="K148" i="24"/>
  <c r="K147" i="24"/>
  <c r="K146" i="24"/>
  <c r="K145" i="24"/>
  <c r="K144" i="24"/>
  <c r="K143" i="24"/>
  <c r="K142" i="24"/>
  <c r="K141" i="24"/>
  <c r="K140" i="24"/>
  <c r="K139" i="24"/>
  <c r="K138" i="24"/>
  <c r="K137" i="24"/>
  <c r="K136" i="24"/>
  <c r="K135" i="24"/>
  <c r="K134" i="24"/>
  <c r="K133" i="24"/>
  <c r="K132" i="24"/>
  <c r="K131" i="24"/>
  <c r="K130" i="24"/>
  <c r="K129" i="24"/>
  <c r="K128" i="24"/>
  <c r="K127" i="24"/>
  <c r="K126" i="24"/>
  <c r="K125" i="24"/>
  <c r="K124" i="24"/>
  <c r="K123" i="24"/>
  <c r="K122" i="24"/>
  <c r="K121" i="24"/>
  <c r="K120" i="24"/>
  <c r="K119" i="24"/>
  <c r="K118" i="24"/>
  <c r="K117" i="24"/>
  <c r="K116" i="24"/>
  <c r="K115" i="24"/>
  <c r="K114" i="24"/>
  <c r="K113" i="24"/>
  <c r="K112" i="24"/>
  <c r="K110" i="24"/>
  <c r="K109" i="24"/>
  <c r="K108" i="24"/>
  <c r="K107" i="24"/>
  <c r="K106" i="24"/>
  <c r="K105" i="24"/>
  <c r="K104" i="24"/>
  <c r="K103" i="24"/>
  <c r="K102" i="24"/>
  <c r="K101" i="24"/>
  <c r="K100" i="24"/>
  <c r="K99" i="24"/>
  <c r="K98" i="24"/>
  <c r="K97" i="24"/>
  <c r="K96" i="24"/>
  <c r="K95" i="24"/>
  <c r="K94" i="24"/>
  <c r="K93" i="24"/>
  <c r="K92" i="24"/>
  <c r="K91" i="24"/>
  <c r="K90" i="24"/>
  <c r="K89" i="24"/>
  <c r="K88" i="24"/>
  <c r="K87" i="24"/>
  <c r="K86" i="24"/>
  <c r="K85" i="24"/>
  <c r="K84" i="24"/>
  <c r="K83" i="24"/>
  <c r="K82" i="24"/>
  <c r="K81" i="24"/>
  <c r="K80" i="24"/>
  <c r="K79" i="24"/>
  <c r="K78" i="24"/>
  <c r="K77" i="24"/>
  <c r="K76" i="24"/>
  <c r="K75" i="24"/>
  <c r="K74" i="24"/>
  <c r="K73" i="24"/>
  <c r="K72" i="24"/>
  <c r="K71" i="24"/>
  <c r="K70" i="24"/>
  <c r="K69" i="24"/>
  <c r="K68" i="24"/>
  <c r="K67" i="24"/>
  <c r="K66" i="24"/>
  <c r="K65" i="24"/>
  <c r="K64" i="24"/>
  <c r="K63" i="24"/>
  <c r="K62" i="24"/>
  <c r="K61" i="24"/>
  <c r="K60" i="24"/>
  <c r="K59" i="24"/>
  <c r="K58" i="24"/>
  <c r="K57" i="24"/>
  <c r="K56" i="24"/>
  <c r="K55" i="24"/>
  <c r="K54" i="24"/>
  <c r="K53" i="24"/>
  <c r="K52" i="24"/>
  <c r="K51" i="24"/>
  <c r="K50" i="24"/>
  <c r="K49" i="24"/>
  <c r="K48" i="24"/>
  <c r="K47" i="24"/>
  <c r="K46" i="24"/>
  <c r="K45" i="24"/>
  <c r="K44" i="24"/>
  <c r="K43" i="24"/>
  <c r="K42" i="24"/>
  <c r="K41" i="24"/>
  <c r="K40" i="24"/>
  <c r="K39" i="24"/>
  <c r="K38" i="24"/>
  <c r="K37" i="24"/>
  <c r="K36" i="24"/>
  <c r="K35" i="24"/>
  <c r="K34" i="24"/>
  <c r="K33" i="24"/>
  <c r="K32" i="24"/>
  <c r="K31" i="24"/>
  <c r="K30" i="24"/>
  <c r="K29" i="24"/>
  <c r="K28" i="24"/>
  <c r="K27" i="24"/>
  <c r="K26" i="24"/>
  <c r="K25" i="24"/>
  <c r="K24" i="24"/>
  <c r="K23" i="24"/>
  <c r="K22" i="24"/>
  <c r="K21" i="24"/>
  <c r="K20" i="24"/>
  <c r="K19" i="24"/>
  <c r="K18" i="24"/>
  <c r="K17" i="24"/>
  <c r="K16" i="24"/>
  <c r="K15" i="24"/>
  <c r="K14" i="24"/>
  <c r="K13" i="24"/>
  <c r="K12" i="24"/>
  <c r="K11" i="24"/>
  <c r="K10" i="24"/>
  <c r="K9" i="24"/>
  <c r="K8" i="24"/>
  <c r="C3" i="24" s="1"/>
  <c r="E2" i="24" s="1"/>
  <c r="C5" i="24"/>
  <c r="C4" i="24"/>
  <c r="K231" i="23"/>
  <c r="K230" i="23"/>
  <c r="K229" i="23"/>
  <c r="K228" i="23"/>
  <c r="K227" i="23"/>
  <c r="K226" i="23"/>
  <c r="K225" i="23"/>
  <c r="K224" i="23"/>
  <c r="K223" i="23"/>
  <c r="K222" i="23"/>
  <c r="K221" i="23"/>
  <c r="K220" i="23"/>
  <c r="K219" i="23"/>
  <c r="K218" i="23"/>
  <c r="K217" i="23"/>
  <c r="K216" i="23"/>
  <c r="K215" i="23"/>
  <c r="K214" i="23"/>
  <c r="K213" i="23"/>
  <c r="K212" i="23"/>
  <c r="K211" i="23"/>
  <c r="K210" i="23"/>
  <c r="K209" i="23"/>
  <c r="K208" i="23"/>
  <c r="K207" i="23"/>
  <c r="K206" i="23"/>
  <c r="K205" i="23"/>
  <c r="K204" i="23"/>
  <c r="K203" i="23"/>
  <c r="K202" i="23"/>
  <c r="K201" i="23"/>
  <c r="K200" i="23"/>
  <c r="K199" i="23"/>
  <c r="K198" i="23"/>
  <c r="K197" i="23"/>
  <c r="K196" i="23"/>
  <c r="K195" i="23"/>
  <c r="K194" i="23"/>
  <c r="K193" i="23"/>
  <c r="K192" i="23"/>
  <c r="K191" i="23"/>
  <c r="K190" i="23"/>
  <c r="K189" i="23"/>
  <c r="K188" i="23"/>
  <c r="K187" i="23"/>
  <c r="K186" i="23"/>
  <c r="K185" i="23"/>
  <c r="K184" i="23"/>
  <c r="K183" i="23"/>
  <c r="K182" i="23"/>
  <c r="K181" i="23"/>
  <c r="K180" i="23"/>
  <c r="K179" i="23"/>
  <c r="K178" i="23"/>
  <c r="K177" i="23"/>
  <c r="K176" i="23"/>
  <c r="K175" i="23"/>
  <c r="K174" i="23"/>
  <c r="K173" i="23"/>
  <c r="K172" i="23"/>
  <c r="K171" i="23"/>
  <c r="K170" i="23"/>
  <c r="K169" i="23"/>
  <c r="K168" i="23"/>
  <c r="K167" i="23"/>
  <c r="K166" i="23"/>
  <c r="K165" i="23"/>
  <c r="K164" i="23"/>
  <c r="K163" i="23"/>
  <c r="K162" i="23"/>
  <c r="K161" i="23"/>
  <c r="K160" i="23"/>
  <c r="K159" i="23"/>
  <c r="K158" i="23"/>
  <c r="K157" i="23"/>
  <c r="K156" i="23"/>
  <c r="K155" i="23"/>
  <c r="K154" i="23"/>
  <c r="K153" i="23"/>
  <c r="K152" i="23"/>
  <c r="K151" i="23"/>
  <c r="K150" i="23"/>
  <c r="K149" i="23"/>
  <c r="K148" i="23"/>
  <c r="K147" i="23"/>
  <c r="K146" i="23"/>
  <c r="K145" i="23"/>
  <c r="K144" i="23"/>
  <c r="K143" i="23"/>
  <c r="K142" i="23"/>
  <c r="K141" i="23"/>
  <c r="K140" i="23"/>
  <c r="K139" i="23"/>
  <c r="K138" i="23"/>
  <c r="K137" i="23"/>
  <c r="K136" i="23"/>
  <c r="K135" i="23"/>
  <c r="K134" i="23"/>
  <c r="K133" i="23"/>
  <c r="K132" i="23"/>
  <c r="K131" i="23"/>
  <c r="K130" i="23"/>
  <c r="K129" i="23"/>
  <c r="K128" i="23"/>
  <c r="K127" i="23"/>
  <c r="K126" i="23"/>
  <c r="K125" i="23"/>
  <c r="K124" i="23"/>
  <c r="K123" i="23"/>
  <c r="K122" i="23"/>
  <c r="K121" i="23"/>
  <c r="K120" i="23"/>
  <c r="K119" i="23"/>
  <c r="K118" i="23"/>
  <c r="K117" i="23"/>
  <c r="K116" i="23"/>
  <c r="K115" i="23"/>
  <c r="K114" i="23"/>
  <c r="K113" i="23"/>
  <c r="K112" i="23"/>
  <c r="K111" i="23"/>
  <c r="K110" i="23"/>
  <c r="K109" i="23"/>
  <c r="K108" i="23"/>
  <c r="K107" i="23"/>
  <c r="K106" i="23"/>
  <c r="K105" i="23"/>
  <c r="K104" i="23"/>
  <c r="K103" i="23"/>
  <c r="K102" i="23"/>
  <c r="K101" i="23"/>
  <c r="K100" i="23"/>
  <c r="K99" i="23"/>
  <c r="K97" i="23"/>
  <c r="K96" i="23"/>
  <c r="K95" i="23"/>
  <c r="K94" i="23"/>
  <c r="K93" i="23"/>
  <c r="K92" i="23"/>
  <c r="K91" i="23"/>
  <c r="K90" i="23"/>
  <c r="K89" i="23"/>
  <c r="K88" i="23"/>
  <c r="K87" i="23"/>
  <c r="K86" i="23"/>
  <c r="K85" i="23"/>
  <c r="K84" i="23"/>
  <c r="K83" i="23"/>
  <c r="K82" i="23"/>
  <c r="K81" i="23"/>
  <c r="K80" i="23"/>
  <c r="K79" i="23"/>
  <c r="K78" i="23"/>
  <c r="K77" i="23"/>
  <c r="K76" i="23"/>
  <c r="K75" i="23"/>
  <c r="K74" i="23"/>
  <c r="K73" i="23"/>
  <c r="K72" i="23"/>
  <c r="K71" i="23"/>
  <c r="K70" i="23"/>
  <c r="K69" i="23"/>
  <c r="K68" i="23"/>
  <c r="K67" i="23"/>
  <c r="K66" i="23"/>
  <c r="K65" i="23"/>
  <c r="K64" i="23"/>
  <c r="K63" i="23"/>
  <c r="K62" i="23"/>
  <c r="K61" i="23"/>
  <c r="K60" i="23"/>
  <c r="K59" i="23"/>
  <c r="K58" i="23"/>
  <c r="K57" i="23"/>
  <c r="K56" i="23"/>
  <c r="K55" i="23"/>
  <c r="K54" i="23"/>
  <c r="K53" i="23"/>
  <c r="K52" i="23"/>
  <c r="K51" i="23"/>
  <c r="K50" i="23"/>
  <c r="K48" i="23"/>
  <c r="K47" i="23"/>
  <c r="K46" i="23"/>
  <c r="K45" i="23"/>
  <c r="K44" i="23"/>
  <c r="K43" i="23"/>
  <c r="K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/>
  <c r="K21" i="23"/>
  <c r="K20" i="23"/>
  <c r="K19" i="23"/>
  <c r="K18" i="23"/>
  <c r="K17" i="23"/>
  <c r="K16" i="23"/>
  <c r="K15" i="23"/>
  <c r="K14" i="23"/>
  <c r="K13" i="23"/>
  <c r="K12" i="23"/>
  <c r="K11" i="23"/>
  <c r="K10" i="23"/>
  <c r="K9" i="23"/>
  <c r="K8" i="23"/>
  <c r="C3" i="23" s="1"/>
  <c r="E2" i="23" s="1"/>
  <c r="C5" i="23"/>
  <c r="C4" i="23"/>
  <c r="K194" i="22"/>
  <c r="K193" i="22"/>
  <c r="K192" i="22"/>
  <c r="K191" i="22"/>
  <c r="K190" i="22"/>
  <c r="K189" i="22"/>
  <c r="K188" i="22"/>
  <c r="K187" i="22"/>
  <c r="K186" i="22"/>
  <c r="K185" i="22"/>
  <c r="K184" i="22"/>
  <c r="K183" i="22"/>
  <c r="K182" i="22"/>
  <c r="K181" i="22"/>
  <c r="K180" i="22"/>
  <c r="K179" i="22"/>
  <c r="K178" i="22"/>
  <c r="K177" i="22"/>
  <c r="K176" i="22"/>
  <c r="K175" i="22"/>
  <c r="K174" i="22"/>
  <c r="K173" i="22"/>
  <c r="K172" i="22"/>
  <c r="K171" i="22"/>
  <c r="K170" i="22"/>
  <c r="K169" i="22"/>
  <c r="K168" i="22"/>
  <c r="K167" i="22"/>
  <c r="K166" i="22"/>
  <c r="K165" i="22"/>
  <c r="K164" i="22"/>
  <c r="K163" i="22"/>
  <c r="K162" i="22"/>
  <c r="K161" i="22"/>
  <c r="K160" i="22"/>
  <c r="K159" i="22"/>
  <c r="K158" i="22"/>
  <c r="K157" i="22"/>
  <c r="K156" i="22"/>
  <c r="K155" i="22"/>
  <c r="K154" i="22"/>
  <c r="K153" i="22"/>
  <c r="K152" i="22"/>
  <c r="K151" i="22"/>
  <c r="K150" i="22"/>
  <c r="K149" i="22"/>
  <c r="K148" i="22"/>
  <c r="K147" i="22"/>
  <c r="K146" i="22"/>
  <c r="K145" i="22"/>
  <c r="K144" i="22"/>
  <c r="K143" i="22"/>
  <c r="K142" i="22"/>
  <c r="K141" i="22"/>
  <c r="K140" i="22"/>
  <c r="K139" i="22"/>
  <c r="K138" i="22"/>
  <c r="K137" i="22"/>
  <c r="K136" i="22"/>
  <c r="K135" i="22"/>
  <c r="K134" i="22"/>
  <c r="K133" i="22"/>
  <c r="K132" i="22"/>
  <c r="K131" i="22"/>
  <c r="K130" i="22"/>
  <c r="K129" i="22"/>
  <c r="K128" i="22"/>
  <c r="K127" i="22"/>
  <c r="K126" i="22"/>
  <c r="K125" i="22"/>
  <c r="K124" i="22"/>
  <c r="K123" i="22"/>
  <c r="K122" i="22"/>
  <c r="K121" i="22"/>
  <c r="K120" i="22"/>
  <c r="K119" i="22"/>
  <c r="K118" i="22"/>
  <c r="K117" i="22"/>
  <c r="K116" i="22"/>
  <c r="K115" i="22"/>
  <c r="K114" i="22"/>
  <c r="K113" i="22"/>
  <c r="K112" i="22"/>
  <c r="K111" i="22"/>
  <c r="K110" i="22"/>
  <c r="K109" i="22"/>
  <c r="K108" i="22"/>
  <c r="K107" i="22"/>
  <c r="K106" i="22"/>
  <c r="K105" i="22"/>
  <c r="K104" i="22"/>
  <c r="K103" i="22"/>
  <c r="K102" i="22"/>
  <c r="K101" i="22"/>
  <c r="K100" i="22"/>
  <c r="K99" i="22"/>
  <c r="K98" i="22"/>
  <c r="K97" i="22"/>
  <c r="K96" i="22"/>
  <c r="K95" i="22"/>
  <c r="K94" i="22"/>
  <c r="K93" i="22"/>
  <c r="K92" i="22"/>
  <c r="K91" i="22"/>
  <c r="K90" i="22"/>
  <c r="K89" i="22"/>
  <c r="K88" i="22"/>
  <c r="K87" i="22"/>
  <c r="K86" i="22"/>
  <c r="K85" i="22"/>
  <c r="K84" i="22"/>
  <c r="K83" i="22"/>
  <c r="K82" i="22"/>
  <c r="K81" i="22"/>
  <c r="K80" i="22"/>
  <c r="K79" i="22"/>
  <c r="K78" i="22"/>
  <c r="K77" i="22"/>
  <c r="K76" i="22"/>
  <c r="K75" i="22"/>
  <c r="K74" i="22"/>
  <c r="K73" i="22"/>
  <c r="K72" i="22"/>
  <c r="K71" i="22"/>
  <c r="K70" i="22"/>
  <c r="K69" i="22"/>
  <c r="K68" i="22"/>
  <c r="K67" i="22"/>
  <c r="K66" i="22"/>
  <c r="K65" i="22"/>
  <c r="K64" i="22"/>
  <c r="K63" i="22"/>
  <c r="K62" i="22"/>
  <c r="K61" i="22"/>
  <c r="K60" i="22"/>
  <c r="K59" i="22"/>
  <c r="K58" i="22"/>
  <c r="K57" i="22"/>
  <c r="K56" i="22"/>
  <c r="K55" i="22"/>
  <c r="K54" i="22"/>
  <c r="K53" i="22"/>
  <c r="K52" i="22"/>
  <c r="K51" i="22"/>
  <c r="K50" i="22"/>
  <c r="K49" i="22"/>
  <c r="K48" i="22"/>
  <c r="K47" i="22"/>
  <c r="K46" i="22"/>
  <c r="K45" i="22"/>
  <c r="K44" i="22"/>
  <c r="K43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12" i="22"/>
  <c r="K11" i="22"/>
  <c r="K10" i="22"/>
  <c r="K9" i="22"/>
  <c r="K8" i="22"/>
  <c r="C3" i="22" s="1"/>
  <c r="E2" i="22" s="1"/>
  <c r="C5" i="22"/>
  <c r="C4" i="22"/>
  <c r="F2" i="22"/>
  <c r="K197" i="21"/>
  <c r="K196" i="21"/>
  <c r="K195" i="21"/>
  <c r="K194" i="21"/>
  <c r="K193" i="21"/>
  <c r="K192" i="21"/>
  <c r="K191" i="21"/>
  <c r="K190" i="21"/>
  <c r="K189" i="21"/>
  <c r="K188" i="21"/>
  <c r="K187" i="21"/>
  <c r="K186" i="21"/>
  <c r="K185" i="21"/>
  <c r="K184" i="21"/>
  <c r="K183" i="21"/>
  <c r="K182" i="21"/>
  <c r="K181" i="21"/>
  <c r="K180" i="21"/>
  <c r="K179" i="21"/>
  <c r="K178" i="21"/>
  <c r="K177" i="21"/>
  <c r="K176" i="21"/>
  <c r="K175" i="21"/>
  <c r="K174" i="21"/>
  <c r="K173" i="21"/>
  <c r="K172" i="21"/>
  <c r="K171" i="21"/>
  <c r="K170" i="21"/>
  <c r="K169" i="21"/>
  <c r="K168" i="21"/>
  <c r="K167" i="21"/>
  <c r="K166" i="21"/>
  <c r="K165" i="21"/>
  <c r="K164" i="21"/>
  <c r="K163" i="21"/>
  <c r="K162" i="21"/>
  <c r="K161" i="21"/>
  <c r="K160" i="21"/>
  <c r="K159" i="21"/>
  <c r="K158" i="21"/>
  <c r="K157" i="21"/>
  <c r="K156" i="21"/>
  <c r="K155" i="21"/>
  <c r="K154" i="21"/>
  <c r="K153" i="21"/>
  <c r="K152" i="21"/>
  <c r="K151" i="21"/>
  <c r="K150" i="21"/>
  <c r="K149" i="21"/>
  <c r="K148" i="21"/>
  <c r="K147" i="21"/>
  <c r="K146" i="21"/>
  <c r="K145" i="21"/>
  <c r="K144" i="21"/>
  <c r="K143" i="21"/>
  <c r="K142" i="21"/>
  <c r="K141" i="21"/>
  <c r="K140" i="21"/>
  <c r="K139" i="21"/>
  <c r="K138" i="21"/>
  <c r="K137" i="21"/>
  <c r="K136" i="21"/>
  <c r="K135" i="21"/>
  <c r="K134" i="21"/>
  <c r="K133" i="21"/>
  <c r="K132" i="21"/>
  <c r="K131" i="21"/>
  <c r="K130" i="21"/>
  <c r="K129" i="21"/>
  <c r="K128" i="21"/>
  <c r="K127" i="21"/>
  <c r="K126" i="21"/>
  <c r="K125" i="21"/>
  <c r="K124" i="21"/>
  <c r="K123" i="21"/>
  <c r="K122" i="21"/>
  <c r="K121" i="21"/>
  <c r="K120" i="21"/>
  <c r="K119" i="21"/>
  <c r="K118" i="21"/>
  <c r="K117" i="21"/>
  <c r="K116" i="21"/>
  <c r="K115" i="21"/>
  <c r="K114" i="21"/>
  <c r="K113" i="21"/>
  <c r="K112" i="21"/>
  <c r="K111" i="21"/>
  <c r="K110" i="21"/>
  <c r="K109" i="21"/>
  <c r="K108" i="21"/>
  <c r="K107" i="21"/>
  <c r="K106" i="21"/>
  <c r="K105" i="21"/>
  <c r="K104" i="21"/>
  <c r="K103" i="21"/>
  <c r="K102" i="21"/>
  <c r="K101" i="21"/>
  <c r="K100" i="21"/>
  <c r="K99" i="21"/>
  <c r="K98" i="21"/>
  <c r="K97" i="21"/>
  <c r="K96" i="21"/>
  <c r="K95" i="21"/>
  <c r="K94" i="21"/>
  <c r="K93" i="21"/>
  <c r="K92" i="21"/>
  <c r="K91" i="21"/>
  <c r="K90" i="21"/>
  <c r="K89" i="21"/>
  <c r="K88" i="21"/>
  <c r="K87" i="21"/>
  <c r="K86" i="21"/>
  <c r="K85" i="21"/>
  <c r="K84" i="21"/>
  <c r="K83" i="21"/>
  <c r="K82" i="21"/>
  <c r="K81" i="21"/>
  <c r="K80" i="21"/>
  <c r="K79" i="21"/>
  <c r="K78" i="21"/>
  <c r="K77" i="21"/>
  <c r="K76" i="21"/>
  <c r="K75" i="21"/>
  <c r="K74" i="21"/>
  <c r="K73" i="21"/>
  <c r="K72" i="21"/>
  <c r="K71" i="21"/>
  <c r="K70" i="21"/>
  <c r="K69" i="21"/>
  <c r="K68" i="21"/>
  <c r="K67" i="21"/>
  <c r="K66" i="21"/>
  <c r="K65" i="21"/>
  <c r="K64" i="21"/>
  <c r="K63" i="21"/>
  <c r="K62" i="21"/>
  <c r="K61" i="21"/>
  <c r="K60" i="21"/>
  <c r="K59" i="21"/>
  <c r="K58" i="21"/>
  <c r="K57" i="21"/>
  <c r="K56" i="21"/>
  <c r="K55" i="21"/>
  <c r="K54" i="21"/>
  <c r="K53" i="21"/>
  <c r="K52" i="21"/>
  <c r="K51" i="21"/>
  <c r="K50" i="21"/>
  <c r="K49" i="21"/>
  <c r="K48" i="21"/>
  <c r="K47" i="21"/>
  <c r="K46" i="21"/>
  <c r="K45" i="21"/>
  <c r="K44" i="21"/>
  <c r="K43" i="21"/>
  <c r="K42" i="21"/>
  <c r="K41" i="21"/>
  <c r="K40" i="21"/>
  <c r="K39" i="21"/>
  <c r="K38" i="21"/>
  <c r="K37" i="21"/>
  <c r="K36" i="21"/>
  <c r="K35" i="21"/>
  <c r="K34" i="21"/>
  <c r="K33" i="21"/>
  <c r="K32" i="21"/>
  <c r="K31" i="21"/>
  <c r="K30" i="21"/>
  <c r="K29" i="21"/>
  <c r="K28" i="21"/>
  <c r="K27" i="21"/>
  <c r="K26" i="21"/>
  <c r="K25" i="21"/>
  <c r="K24" i="21"/>
  <c r="K23" i="21"/>
  <c r="K22" i="21"/>
  <c r="K21" i="21"/>
  <c r="K20" i="21"/>
  <c r="K19" i="21"/>
  <c r="K18" i="21"/>
  <c r="K17" i="21"/>
  <c r="K16" i="21"/>
  <c r="K15" i="21"/>
  <c r="K14" i="21"/>
  <c r="K13" i="21"/>
  <c r="K12" i="21"/>
  <c r="K11" i="21"/>
  <c r="K10" i="21"/>
  <c r="K9" i="21"/>
  <c r="C3" i="21" s="1"/>
  <c r="E2" i="21" s="1"/>
  <c r="K8" i="21"/>
  <c r="C5" i="21"/>
  <c r="C4" i="21"/>
  <c r="F2" i="21"/>
  <c r="K177" i="20"/>
  <c r="K176" i="20"/>
  <c r="K175" i="20"/>
  <c r="K174" i="20"/>
  <c r="K173" i="20"/>
  <c r="K172" i="20"/>
  <c r="K171" i="20"/>
  <c r="K170" i="20"/>
  <c r="K169" i="20"/>
  <c r="K168" i="20"/>
  <c r="K167" i="20"/>
  <c r="K166" i="20"/>
  <c r="K164" i="20"/>
  <c r="K163" i="20"/>
  <c r="K162" i="20"/>
  <c r="K161" i="20"/>
  <c r="K160" i="20"/>
  <c r="K159" i="20"/>
  <c r="K158" i="20"/>
  <c r="K157" i="20"/>
  <c r="K156" i="20"/>
  <c r="K155" i="20"/>
  <c r="K154" i="20"/>
  <c r="K153" i="20"/>
  <c r="K152" i="20"/>
  <c r="K151" i="20"/>
  <c r="K150" i="20"/>
  <c r="K149" i="20"/>
  <c r="K148" i="20"/>
  <c r="K147" i="20"/>
  <c r="K146" i="20"/>
  <c r="K145" i="20"/>
  <c r="K144" i="20"/>
  <c r="K143" i="20"/>
  <c r="K142" i="20"/>
  <c r="K141" i="20"/>
  <c r="K140" i="20"/>
  <c r="K139" i="20"/>
  <c r="K138" i="20"/>
  <c r="K137" i="20"/>
  <c r="K136" i="20"/>
  <c r="K135" i="20"/>
  <c r="K134" i="20"/>
  <c r="K133" i="20"/>
  <c r="K132" i="20"/>
  <c r="K131" i="20"/>
  <c r="K130" i="20"/>
  <c r="K129" i="20"/>
  <c r="K128" i="20"/>
  <c r="K127" i="20"/>
  <c r="K126" i="20"/>
  <c r="K125" i="20"/>
  <c r="K124" i="20"/>
  <c r="K123" i="20"/>
  <c r="K122" i="20"/>
  <c r="K121" i="20"/>
  <c r="K120" i="20"/>
  <c r="K119" i="20"/>
  <c r="K118" i="20"/>
  <c r="K117" i="20"/>
  <c r="K116" i="20"/>
  <c r="K115" i="20"/>
  <c r="K114" i="20"/>
  <c r="K113" i="20"/>
  <c r="K112" i="20"/>
  <c r="K111" i="20"/>
  <c r="K110" i="20"/>
  <c r="K109" i="20"/>
  <c r="K108" i="20"/>
  <c r="K107" i="20"/>
  <c r="K106" i="20"/>
  <c r="K105" i="20"/>
  <c r="K104" i="20"/>
  <c r="K103" i="20"/>
  <c r="K102" i="20"/>
  <c r="K101" i="20"/>
  <c r="K100" i="20"/>
  <c r="K99" i="20"/>
  <c r="K98" i="20"/>
  <c r="K97" i="20"/>
  <c r="K96" i="20"/>
  <c r="K95" i="20"/>
  <c r="K94" i="20"/>
  <c r="K93" i="20"/>
  <c r="K92" i="20"/>
  <c r="K91" i="20"/>
  <c r="K90" i="20"/>
  <c r="K89" i="20"/>
  <c r="K88" i="20"/>
  <c r="K87" i="20"/>
  <c r="K86" i="20"/>
  <c r="K85" i="20"/>
  <c r="K84" i="20"/>
  <c r="K83" i="20"/>
  <c r="K82" i="20"/>
  <c r="K81" i="20"/>
  <c r="K80" i="20"/>
  <c r="K79" i="20"/>
  <c r="K78" i="20"/>
  <c r="K77" i="20"/>
  <c r="K76" i="20"/>
  <c r="K75" i="20"/>
  <c r="K74" i="20"/>
  <c r="K73" i="20"/>
  <c r="K72" i="20"/>
  <c r="K71" i="20"/>
  <c r="K70" i="20"/>
  <c r="K69" i="20"/>
  <c r="K68" i="20"/>
  <c r="K67" i="20"/>
  <c r="K66" i="20"/>
  <c r="K65" i="20"/>
  <c r="K64" i="20"/>
  <c r="K63" i="20"/>
  <c r="K62" i="20"/>
  <c r="K61" i="20"/>
  <c r="K60" i="20"/>
  <c r="K59" i="20"/>
  <c r="K58" i="20"/>
  <c r="K57" i="20"/>
  <c r="K56" i="20"/>
  <c r="K55" i="20"/>
  <c r="K54" i="20"/>
  <c r="K52" i="20"/>
  <c r="K51" i="20"/>
  <c r="K50" i="20"/>
  <c r="K49" i="20"/>
  <c r="K48" i="20"/>
  <c r="K47" i="20"/>
  <c r="K46" i="20"/>
  <c r="K45" i="20"/>
  <c r="K44" i="20"/>
  <c r="K43" i="20"/>
  <c r="K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K9" i="20"/>
  <c r="K8" i="20"/>
  <c r="C3" i="20" s="1"/>
  <c r="E2" i="20" s="1"/>
  <c r="C5" i="20"/>
  <c r="C4" i="20"/>
  <c r="F2" i="20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C3" i="19" s="1"/>
  <c r="D2" i="19" s="1"/>
  <c r="J8" i="19"/>
  <c r="C5" i="19"/>
  <c r="C4" i="19"/>
  <c r="E2" i="19"/>
  <c r="K202" i="18"/>
  <c r="K201" i="18"/>
  <c r="K200" i="18"/>
  <c r="K199" i="18"/>
  <c r="K198" i="18"/>
  <c r="K197" i="18"/>
  <c r="K196" i="18"/>
  <c r="K195" i="18"/>
  <c r="K194" i="18"/>
  <c r="K193" i="18"/>
  <c r="K192" i="18"/>
  <c r="K191" i="18"/>
  <c r="K190" i="18"/>
  <c r="K189" i="18"/>
  <c r="K188" i="18"/>
  <c r="K187" i="18"/>
  <c r="K186" i="18"/>
  <c r="K185" i="18"/>
  <c r="K184" i="18"/>
  <c r="K183" i="18"/>
  <c r="K182" i="18"/>
  <c r="K181" i="18"/>
  <c r="K180" i="18"/>
  <c r="K179" i="18"/>
  <c r="K178" i="18"/>
  <c r="K177" i="18"/>
  <c r="K176" i="18"/>
  <c r="K175" i="18"/>
  <c r="K174" i="18"/>
  <c r="K173" i="18"/>
  <c r="K172" i="18"/>
  <c r="K171" i="18"/>
  <c r="K170" i="18"/>
  <c r="K169" i="18"/>
  <c r="K168" i="18"/>
  <c r="K167" i="18"/>
  <c r="K166" i="18"/>
  <c r="K165" i="18"/>
  <c r="K164" i="18"/>
  <c r="K163" i="18"/>
  <c r="K162" i="18"/>
  <c r="K161" i="18"/>
  <c r="K160" i="18"/>
  <c r="K159" i="18"/>
  <c r="K158" i="18"/>
  <c r="K157" i="18"/>
  <c r="K156" i="18"/>
  <c r="K155" i="18"/>
  <c r="K154" i="18"/>
  <c r="K153" i="18"/>
  <c r="K152" i="18"/>
  <c r="K151" i="18"/>
  <c r="K150" i="18"/>
  <c r="K149" i="18"/>
  <c r="K148" i="18"/>
  <c r="K147" i="18"/>
  <c r="K146" i="18"/>
  <c r="K145" i="18"/>
  <c r="K144" i="18"/>
  <c r="K143" i="18"/>
  <c r="K140" i="18"/>
  <c r="K139" i="18"/>
  <c r="K138" i="18"/>
  <c r="K137" i="18"/>
  <c r="K136" i="18"/>
  <c r="K135" i="18"/>
  <c r="K134" i="18"/>
  <c r="K133" i="18"/>
  <c r="K132" i="18"/>
  <c r="K131" i="18"/>
  <c r="K130" i="18"/>
  <c r="K129" i="18"/>
  <c r="K128" i="18"/>
  <c r="K127" i="18"/>
  <c r="K126" i="18"/>
  <c r="K124" i="18"/>
  <c r="K123" i="18"/>
  <c r="K122" i="18"/>
  <c r="K121" i="18"/>
  <c r="K120" i="18"/>
  <c r="K119" i="18"/>
  <c r="K118" i="18"/>
  <c r="K117" i="18"/>
  <c r="K116" i="18"/>
  <c r="K115" i="18"/>
  <c r="K114" i="18"/>
  <c r="K113" i="18"/>
  <c r="K112" i="18"/>
  <c r="K111" i="18"/>
  <c r="K110" i="18"/>
  <c r="K109" i="18"/>
  <c r="K108" i="18"/>
  <c r="K107" i="18"/>
  <c r="K106" i="18"/>
  <c r="K105" i="18"/>
  <c r="K104" i="18"/>
  <c r="K103" i="18"/>
  <c r="K102" i="18"/>
  <c r="K101" i="18"/>
  <c r="K100" i="18"/>
  <c r="K99" i="18"/>
  <c r="K98" i="18"/>
  <c r="K97" i="18"/>
  <c r="K96" i="18"/>
  <c r="K95" i="18"/>
  <c r="K94" i="18"/>
  <c r="K93" i="18"/>
  <c r="K92" i="18"/>
  <c r="K91" i="18"/>
  <c r="K90" i="18"/>
  <c r="K89" i="18"/>
  <c r="K88" i="18"/>
  <c r="K87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5" i="18"/>
  <c r="K64" i="18"/>
  <c r="K63" i="18"/>
  <c r="K62" i="18"/>
  <c r="K61" i="18"/>
  <c r="K60" i="18"/>
  <c r="K59" i="18"/>
  <c r="K58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C3" i="18" s="1"/>
  <c r="E2" i="18" s="1"/>
  <c r="C5" i="18"/>
  <c r="C4" i="18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2" i="17"/>
  <c r="J171" i="17"/>
  <c r="H173" i="17" s="1"/>
  <c r="J173" i="17" s="1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2" i="17"/>
  <c r="J71" i="17"/>
  <c r="J70" i="17"/>
  <c r="J69" i="17"/>
  <c r="J68" i="17"/>
  <c r="J67" i="17"/>
  <c r="J66" i="17"/>
  <c r="J65" i="17"/>
  <c r="J64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C3" i="17" s="1"/>
  <c r="D2" i="17" s="1"/>
  <c r="C5" i="17"/>
  <c r="C4" i="17"/>
  <c r="E2" i="17"/>
  <c r="K197" i="16"/>
  <c r="K196" i="16"/>
  <c r="K195" i="16"/>
  <c r="K194" i="16"/>
  <c r="K193" i="16"/>
  <c r="K192" i="16"/>
  <c r="K191" i="16"/>
  <c r="K190" i="16"/>
  <c r="K189" i="16"/>
  <c r="K188" i="16"/>
  <c r="K187" i="16"/>
  <c r="K186" i="16"/>
  <c r="K185" i="16"/>
  <c r="K184" i="16"/>
  <c r="K183" i="16"/>
  <c r="K182" i="16"/>
  <c r="K181" i="16"/>
  <c r="K180" i="16"/>
  <c r="K179" i="16"/>
  <c r="K178" i="16"/>
  <c r="K177" i="16"/>
  <c r="K176" i="16"/>
  <c r="K175" i="16"/>
  <c r="K174" i="16"/>
  <c r="K173" i="16"/>
  <c r="K172" i="16"/>
  <c r="K171" i="16"/>
  <c r="K170" i="16"/>
  <c r="K169" i="16"/>
  <c r="K168" i="16"/>
  <c r="K167" i="16"/>
  <c r="K166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52" i="16"/>
  <c r="K151" i="16"/>
  <c r="K150" i="16"/>
  <c r="K149" i="16"/>
  <c r="K148" i="16"/>
  <c r="K147" i="16"/>
  <c r="K146" i="16"/>
  <c r="K145" i="16"/>
  <c r="K144" i="16"/>
  <c r="K143" i="16"/>
  <c r="K142" i="16"/>
  <c r="K141" i="16"/>
  <c r="K140" i="16"/>
  <c r="K139" i="16"/>
  <c r="K138" i="16"/>
  <c r="K137" i="16"/>
  <c r="K136" i="16"/>
  <c r="K135" i="16"/>
  <c r="K134" i="16"/>
  <c r="K133" i="16"/>
  <c r="K132" i="16"/>
  <c r="K131" i="16"/>
  <c r="K130" i="16"/>
  <c r="K129" i="16"/>
  <c r="K128" i="16"/>
  <c r="K127" i="16"/>
  <c r="K126" i="16"/>
  <c r="K125" i="16"/>
  <c r="K124" i="16"/>
  <c r="K123" i="16"/>
  <c r="K122" i="16"/>
  <c r="K121" i="16"/>
  <c r="K120" i="16"/>
  <c r="K119" i="16"/>
  <c r="K118" i="16"/>
  <c r="K117" i="16"/>
  <c r="K116" i="16"/>
  <c r="K115" i="16"/>
  <c r="K114" i="16"/>
  <c r="K112" i="16"/>
  <c r="K111" i="16"/>
  <c r="K110" i="16"/>
  <c r="K109" i="16"/>
  <c r="K108" i="16"/>
  <c r="K106" i="16"/>
  <c r="K105" i="16"/>
  <c r="K104" i="16"/>
  <c r="K103" i="16"/>
  <c r="K102" i="16"/>
  <c r="K101" i="16"/>
  <c r="K100" i="16"/>
  <c r="K99" i="16"/>
  <c r="K98" i="16"/>
  <c r="K97" i="16"/>
  <c r="K96" i="16"/>
  <c r="K95" i="16"/>
  <c r="K94" i="16"/>
  <c r="K93" i="16"/>
  <c r="K92" i="16"/>
  <c r="K91" i="16"/>
  <c r="K90" i="16"/>
  <c r="K89" i="16"/>
  <c r="K88" i="16"/>
  <c r="K87" i="16"/>
  <c r="K86" i="16"/>
  <c r="K85" i="16"/>
  <c r="K84" i="16"/>
  <c r="K83" i="16"/>
  <c r="K82" i="16"/>
  <c r="K81" i="16"/>
  <c r="K80" i="16"/>
  <c r="K79" i="16"/>
  <c r="K78" i="16"/>
  <c r="K77" i="16"/>
  <c r="K76" i="16"/>
  <c r="K75" i="16"/>
  <c r="K74" i="16"/>
  <c r="K73" i="16"/>
  <c r="K72" i="16"/>
  <c r="K71" i="16"/>
  <c r="K70" i="16"/>
  <c r="K69" i="16"/>
  <c r="K68" i="16"/>
  <c r="K67" i="16"/>
  <c r="K66" i="16"/>
  <c r="K65" i="16"/>
  <c r="K64" i="16"/>
  <c r="K63" i="16"/>
  <c r="K62" i="16"/>
  <c r="K61" i="16"/>
  <c r="K60" i="16"/>
  <c r="K59" i="16"/>
  <c r="K58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C3" i="16" s="1"/>
  <c r="E2" i="16" s="1"/>
  <c r="C5" i="16"/>
  <c r="C4" i="16"/>
  <c r="F1" i="16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1" i="15"/>
  <c r="J40" i="15"/>
  <c r="J39" i="15"/>
  <c r="J37" i="15"/>
  <c r="J36" i="15"/>
  <c r="J35" i="15"/>
  <c r="J34" i="15"/>
  <c r="J33" i="15"/>
  <c r="J32" i="15"/>
  <c r="J31" i="15"/>
  <c r="J30" i="15"/>
  <c r="J29" i="15"/>
  <c r="J28" i="15"/>
  <c r="J21" i="15"/>
  <c r="J20" i="15"/>
  <c r="J19" i="15"/>
  <c r="J18" i="15"/>
  <c r="J16" i="15"/>
  <c r="J15" i="15"/>
  <c r="J14" i="15"/>
  <c r="J13" i="15"/>
  <c r="J12" i="15"/>
  <c r="J11" i="15"/>
  <c r="J10" i="15"/>
  <c r="C3" i="15" s="1"/>
  <c r="D2" i="15" s="1"/>
  <c r="J9" i="15"/>
  <c r="J8" i="15"/>
  <c r="C5" i="15"/>
  <c r="C4" i="15"/>
  <c r="E2" i="15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C3" i="14" s="1"/>
  <c r="D2" i="14" s="1"/>
  <c r="J9" i="14"/>
  <c r="C5" i="14"/>
  <c r="C4" i="14"/>
  <c r="K187" i="13"/>
  <c r="K186" i="13"/>
  <c r="K185" i="13"/>
  <c r="K184" i="13"/>
  <c r="K183" i="13"/>
  <c r="K182" i="13"/>
  <c r="K181" i="13"/>
  <c r="K180" i="13"/>
  <c r="K179" i="13"/>
  <c r="K178" i="13"/>
  <c r="K177" i="13"/>
  <c r="K176" i="13"/>
  <c r="K175" i="13"/>
  <c r="K174" i="13"/>
  <c r="K173" i="13"/>
  <c r="K172" i="13"/>
  <c r="K171" i="13"/>
  <c r="K170" i="13"/>
  <c r="K169" i="13"/>
  <c r="K168" i="13"/>
  <c r="K167" i="13"/>
  <c r="K166" i="13"/>
  <c r="K165" i="13"/>
  <c r="K164" i="13"/>
  <c r="K163" i="13"/>
  <c r="K162" i="13"/>
  <c r="K161" i="13"/>
  <c r="K160" i="13"/>
  <c r="K159" i="13"/>
  <c r="K158" i="13"/>
  <c r="K157" i="13"/>
  <c r="K156" i="13"/>
  <c r="K155" i="13"/>
  <c r="K154" i="13"/>
  <c r="K153" i="13"/>
  <c r="K152" i="13"/>
  <c r="K151" i="13"/>
  <c r="K150" i="13"/>
  <c r="K149" i="13"/>
  <c r="K148" i="13"/>
  <c r="K147" i="13"/>
  <c r="K146" i="13"/>
  <c r="K145" i="13"/>
  <c r="K144" i="13"/>
  <c r="K143" i="13"/>
  <c r="K142" i="13"/>
  <c r="K141" i="13"/>
  <c r="K140" i="13"/>
  <c r="K139" i="13"/>
  <c r="K138" i="13"/>
  <c r="K137" i="13"/>
  <c r="K136" i="13"/>
  <c r="K135" i="13"/>
  <c r="K134" i="13"/>
  <c r="K133" i="13"/>
  <c r="K132" i="13"/>
  <c r="K131" i="13"/>
  <c r="K130" i="13"/>
  <c r="K129" i="13"/>
  <c r="K128" i="13"/>
  <c r="K127" i="13"/>
  <c r="K126" i="13"/>
  <c r="K125" i="13"/>
  <c r="K124" i="13"/>
  <c r="K123" i="13"/>
  <c r="K122" i="13"/>
  <c r="K121" i="13"/>
  <c r="K120" i="13"/>
  <c r="K119" i="13"/>
  <c r="K118" i="13"/>
  <c r="K117" i="13"/>
  <c r="K116" i="13"/>
  <c r="K115" i="13"/>
  <c r="K114" i="13"/>
  <c r="K113" i="13"/>
  <c r="K112" i="13"/>
  <c r="K111" i="13"/>
  <c r="K110" i="13"/>
  <c r="K109" i="13"/>
  <c r="K108" i="13"/>
  <c r="K107" i="13"/>
  <c r="K106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6" i="13"/>
  <c r="K85" i="13"/>
  <c r="K84" i="13"/>
  <c r="K83" i="13"/>
  <c r="K82" i="13"/>
  <c r="K81" i="13"/>
  <c r="K80" i="13"/>
  <c r="K79" i="13"/>
  <c r="K78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D3" i="13" s="1"/>
  <c r="E2" i="13" s="1"/>
  <c r="D5" i="13"/>
  <c r="D4" i="13"/>
  <c r="K223" i="12"/>
  <c r="K222" i="12"/>
  <c r="K221" i="12"/>
  <c r="K220" i="12"/>
  <c r="K219" i="12"/>
  <c r="K218" i="12"/>
  <c r="K217" i="12"/>
  <c r="K216" i="12"/>
  <c r="K215" i="12"/>
  <c r="K214" i="12"/>
  <c r="K213" i="12"/>
  <c r="K212" i="12"/>
  <c r="K211" i="12"/>
  <c r="K210" i="12"/>
  <c r="K209" i="12"/>
  <c r="K208" i="12"/>
  <c r="K207" i="12"/>
  <c r="K206" i="12"/>
  <c r="K205" i="12"/>
  <c r="K204" i="12"/>
  <c r="K203" i="12"/>
  <c r="K202" i="12"/>
  <c r="K201" i="12"/>
  <c r="K200" i="12"/>
  <c r="K199" i="12"/>
  <c r="K198" i="12"/>
  <c r="K197" i="12"/>
  <c r="K196" i="12"/>
  <c r="K195" i="12"/>
  <c r="K194" i="12"/>
  <c r="K193" i="12"/>
  <c r="K192" i="12"/>
  <c r="K191" i="12"/>
  <c r="K190" i="12"/>
  <c r="K189" i="12"/>
  <c r="K188" i="12"/>
  <c r="K187" i="12"/>
  <c r="K186" i="12"/>
  <c r="K185" i="12"/>
  <c r="K184" i="12"/>
  <c r="K183" i="12"/>
  <c r="K182" i="12"/>
  <c r="K181" i="12"/>
  <c r="K180" i="12"/>
  <c r="K179" i="12"/>
  <c r="K178" i="12"/>
  <c r="K177" i="12"/>
  <c r="K176" i="12"/>
  <c r="K175" i="12"/>
  <c r="K174" i="12"/>
  <c r="K173" i="12"/>
  <c r="K172" i="12"/>
  <c r="K171" i="12"/>
  <c r="K170" i="12"/>
  <c r="K169" i="12"/>
  <c r="K168" i="12"/>
  <c r="K167" i="12"/>
  <c r="K166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52" i="12"/>
  <c r="K151" i="12"/>
  <c r="K150" i="12"/>
  <c r="K149" i="12"/>
  <c r="K148" i="12"/>
  <c r="K147" i="12"/>
  <c r="K145" i="12"/>
  <c r="K144" i="12"/>
  <c r="K143" i="12"/>
  <c r="K142" i="12"/>
  <c r="K141" i="12"/>
  <c r="K140" i="12"/>
  <c r="K139" i="12"/>
  <c r="K138" i="12"/>
  <c r="K137" i="12"/>
  <c r="K136" i="12"/>
  <c r="K135" i="12"/>
  <c r="K134" i="12"/>
  <c r="K133" i="12"/>
  <c r="K132" i="12"/>
  <c r="K131" i="12"/>
  <c r="K130" i="12"/>
  <c r="K129" i="12"/>
  <c r="K128" i="12"/>
  <c r="K127" i="12"/>
  <c r="K126" i="12"/>
  <c r="K125" i="12"/>
  <c r="K124" i="12"/>
  <c r="K123" i="12"/>
  <c r="K122" i="12"/>
  <c r="K121" i="12"/>
  <c r="K120" i="12"/>
  <c r="K119" i="12"/>
  <c r="K118" i="12"/>
  <c r="K117" i="12"/>
  <c r="K116" i="12"/>
  <c r="K115" i="12"/>
  <c r="K114" i="12"/>
  <c r="K113" i="12"/>
  <c r="K112" i="12"/>
  <c r="K111" i="12"/>
  <c r="K110" i="12"/>
  <c r="K109" i="12"/>
  <c r="K108" i="12"/>
  <c r="K107" i="12"/>
  <c r="K106" i="12"/>
  <c r="K105" i="12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91" i="12"/>
  <c r="K89" i="12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D5" i="12"/>
  <c r="D4" i="12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8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3" i="11"/>
  <c r="K22" i="11"/>
  <c r="K21" i="11"/>
  <c r="K20" i="11"/>
  <c r="K19" i="11"/>
  <c r="K18" i="11"/>
  <c r="K17" i="11"/>
  <c r="K16" i="11"/>
  <c r="K15" i="11"/>
  <c r="D3" i="11" s="1"/>
  <c r="E2" i="11" s="1"/>
  <c r="K14" i="11"/>
  <c r="K13" i="11"/>
  <c r="K12" i="11"/>
  <c r="K11" i="11"/>
  <c r="K10" i="11"/>
  <c r="K9" i="11"/>
  <c r="D5" i="11"/>
  <c r="D4" i="11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7" i="10"/>
  <c r="K25" i="10"/>
  <c r="K24" i="10"/>
  <c r="K23" i="10"/>
  <c r="K22" i="10"/>
  <c r="K21" i="10"/>
  <c r="K19" i="10"/>
  <c r="K18" i="10"/>
  <c r="K17" i="10"/>
  <c r="K16" i="10"/>
  <c r="K15" i="10"/>
  <c r="K14" i="10"/>
  <c r="K13" i="10"/>
  <c r="K12" i="10"/>
  <c r="K11" i="10"/>
  <c r="K10" i="10"/>
  <c r="D5" i="10"/>
  <c r="D4" i="10"/>
  <c r="D3" i="10"/>
  <c r="E2" i="10" s="1"/>
  <c r="V159" i="9"/>
  <c r="K159" i="9"/>
  <c r="V158" i="9"/>
  <c r="K158" i="9"/>
  <c r="V157" i="9"/>
  <c r="K157" i="9"/>
  <c r="V156" i="9"/>
  <c r="K156" i="9"/>
  <c r="V155" i="9"/>
  <c r="K155" i="9"/>
  <c r="V154" i="9"/>
  <c r="K154" i="9"/>
  <c r="V153" i="9"/>
  <c r="K153" i="9"/>
  <c r="V152" i="9"/>
  <c r="K152" i="9"/>
  <c r="V151" i="9"/>
  <c r="K151" i="9"/>
  <c r="V150" i="9"/>
  <c r="K150" i="9"/>
  <c r="V149" i="9"/>
  <c r="K149" i="9"/>
  <c r="V148" i="9"/>
  <c r="K148" i="9"/>
  <c r="V147" i="9"/>
  <c r="K147" i="9"/>
  <c r="V146" i="9"/>
  <c r="K146" i="9"/>
  <c r="V145" i="9"/>
  <c r="K145" i="9"/>
  <c r="V144" i="9"/>
  <c r="K144" i="9"/>
  <c r="V143" i="9"/>
  <c r="K143" i="9"/>
  <c r="V142" i="9"/>
  <c r="K142" i="9"/>
  <c r="V141" i="9"/>
  <c r="K141" i="9"/>
  <c r="V140" i="9"/>
  <c r="K140" i="9"/>
  <c r="V139" i="9"/>
  <c r="K139" i="9"/>
  <c r="V138" i="9"/>
  <c r="K138" i="9"/>
  <c r="V137" i="9"/>
  <c r="K137" i="9"/>
  <c r="V136" i="9"/>
  <c r="K136" i="9"/>
  <c r="V135" i="9"/>
  <c r="K135" i="9"/>
  <c r="V134" i="9"/>
  <c r="K134" i="9"/>
  <c r="V133" i="9"/>
  <c r="K133" i="9"/>
  <c r="V132" i="9"/>
  <c r="K132" i="9"/>
  <c r="V131" i="9"/>
  <c r="K131" i="9"/>
  <c r="V130" i="9"/>
  <c r="K130" i="9"/>
  <c r="V129" i="9"/>
  <c r="K129" i="9"/>
  <c r="V128" i="9"/>
  <c r="K128" i="9"/>
  <c r="V127" i="9"/>
  <c r="K127" i="9"/>
  <c r="V126" i="9"/>
  <c r="K126" i="9"/>
  <c r="V125" i="9"/>
  <c r="K125" i="9"/>
  <c r="V124" i="9"/>
  <c r="K124" i="9"/>
  <c r="V123" i="9"/>
  <c r="K123" i="9"/>
  <c r="V122" i="9"/>
  <c r="K122" i="9"/>
  <c r="V121" i="9"/>
  <c r="K121" i="9"/>
  <c r="V120" i="9"/>
  <c r="K120" i="9"/>
  <c r="K119" i="9"/>
  <c r="K118" i="9"/>
  <c r="V118" i="9" s="1"/>
  <c r="V117" i="9"/>
  <c r="K117" i="9"/>
  <c r="K116" i="9"/>
  <c r="V116" i="9" s="1"/>
  <c r="V115" i="9"/>
  <c r="K115" i="9"/>
  <c r="K114" i="9"/>
  <c r="V114" i="9" s="1"/>
  <c r="V113" i="9"/>
  <c r="K113" i="9"/>
  <c r="K112" i="9"/>
  <c r="V112" i="9" s="1"/>
  <c r="V111" i="9"/>
  <c r="K111" i="9"/>
  <c r="K110" i="9"/>
  <c r="V110" i="9" s="1"/>
  <c r="V109" i="9"/>
  <c r="K109" i="9"/>
  <c r="K108" i="9"/>
  <c r="V108" i="9" s="1"/>
  <c r="V107" i="9"/>
  <c r="K107" i="9"/>
  <c r="K106" i="9"/>
  <c r="V106" i="9" s="1"/>
  <c r="V105" i="9"/>
  <c r="K105" i="9"/>
  <c r="K104" i="9"/>
  <c r="V104" i="9" s="1"/>
  <c r="V103" i="9"/>
  <c r="K103" i="9"/>
  <c r="K102" i="9"/>
  <c r="V102" i="9" s="1"/>
  <c r="V101" i="9"/>
  <c r="K101" i="9"/>
  <c r="K100" i="9"/>
  <c r="V100" i="9" s="1"/>
  <c r="V99" i="9"/>
  <c r="K99" i="9"/>
  <c r="K98" i="9"/>
  <c r="V98" i="9" s="1"/>
  <c r="V97" i="9"/>
  <c r="K97" i="9"/>
  <c r="K96" i="9"/>
  <c r="V96" i="9" s="1"/>
  <c r="V95" i="9"/>
  <c r="K95" i="9"/>
  <c r="K94" i="9"/>
  <c r="V94" i="9" s="1"/>
  <c r="V93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D5" i="9"/>
  <c r="D4" i="9"/>
  <c r="V164" i="8"/>
  <c r="K164" i="8"/>
  <c r="K163" i="8"/>
  <c r="V163" i="8" s="1"/>
  <c r="V162" i="8"/>
  <c r="K162" i="8"/>
  <c r="K161" i="8"/>
  <c r="V161" i="8" s="1"/>
  <c r="V160" i="8"/>
  <c r="K160" i="8"/>
  <c r="K159" i="8"/>
  <c r="V159" i="8" s="1"/>
  <c r="V158" i="8"/>
  <c r="K158" i="8"/>
  <c r="K157" i="8"/>
  <c r="V157" i="8" s="1"/>
  <c r="V156" i="8"/>
  <c r="K156" i="8"/>
  <c r="K155" i="8"/>
  <c r="V155" i="8" s="1"/>
  <c r="V154" i="8"/>
  <c r="K154" i="8"/>
  <c r="K153" i="8"/>
  <c r="V153" i="8" s="1"/>
  <c r="V152" i="8"/>
  <c r="K152" i="8"/>
  <c r="K151" i="8"/>
  <c r="V151" i="8" s="1"/>
  <c r="V150" i="8"/>
  <c r="K150" i="8"/>
  <c r="K149" i="8"/>
  <c r="V149" i="8" s="1"/>
  <c r="V148" i="8"/>
  <c r="K148" i="8"/>
  <c r="K147" i="8"/>
  <c r="V147" i="8" s="1"/>
  <c r="V146" i="8"/>
  <c r="K146" i="8"/>
  <c r="K145" i="8"/>
  <c r="V145" i="8" s="1"/>
  <c r="V144" i="8"/>
  <c r="K144" i="8"/>
  <c r="K143" i="8"/>
  <c r="V143" i="8" s="1"/>
  <c r="V142" i="8"/>
  <c r="K142" i="8"/>
  <c r="K141" i="8"/>
  <c r="V141" i="8" s="1"/>
  <c r="V140" i="8"/>
  <c r="K140" i="8"/>
  <c r="K139" i="8"/>
  <c r="V139" i="8" s="1"/>
  <c r="V138" i="8"/>
  <c r="K138" i="8"/>
  <c r="K137" i="8"/>
  <c r="V137" i="8" s="1"/>
  <c r="V136" i="8"/>
  <c r="K136" i="8"/>
  <c r="K135" i="8"/>
  <c r="V135" i="8" s="1"/>
  <c r="V134" i="8"/>
  <c r="K134" i="8"/>
  <c r="K133" i="8"/>
  <c r="V133" i="8" s="1"/>
  <c r="V132" i="8"/>
  <c r="K132" i="8"/>
  <c r="K131" i="8"/>
  <c r="V131" i="8" s="1"/>
  <c r="V130" i="8"/>
  <c r="K130" i="8"/>
  <c r="K129" i="8"/>
  <c r="V129" i="8" s="1"/>
  <c r="V128" i="8"/>
  <c r="K128" i="8"/>
  <c r="K127" i="8"/>
  <c r="V127" i="8" s="1"/>
  <c r="V126" i="8"/>
  <c r="K126" i="8"/>
  <c r="K125" i="8"/>
  <c r="V125" i="8" s="1"/>
  <c r="V124" i="8"/>
  <c r="K124" i="8"/>
  <c r="K123" i="8"/>
  <c r="V123" i="8" s="1"/>
  <c r="V122" i="8"/>
  <c r="K122" i="8"/>
  <c r="K121" i="8"/>
  <c r="V121" i="8" s="1"/>
  <c r="V120" i="8"/>
  <c r="K120" i="8"/>
  <c r="K119" i="8"/>
  <c r="V119" i="8" s="1"/>
  <c r="V118" i="8"/>
  <c r="K118" i="8"/>
  <c r="K117" i="8"/>
  <c r="V117" i="8" s="1"/>
  <c r="V116" i="8"/>
  <c r="K116" i="8"/>
  <c r="K115" i="8"/>
  <c r="V115" i="8" s="1"/>
  <c r="V114" i="8"/>
  <c r="K114" i="8"/>
  <c r="K113" i="8"/>
  <c r="V113" i="8" s="1"/>
  <c r="V112" i="8"/>
  <c r="K112" i="8"/>
  <c r="K111" i="8"/>
  <c r="V111" i="8" s="1"/>
  <c r="V110" i="8"/>
  <c r="K110" i="8"/>
  <c r="K109" i="8"/>
  <c r="V109" i="8" s="1"/>
  <c r="V108" i="8"/>
  <c r="K108" i="8"/>
  <c r="K107" i="8"/>
  <c r="V107" i="8" s="1"/>
  <c r="V106" i="8"/>
  <c r="K106" i="8"/>
  <c r="K105" i="8"/>
  <c r="V105" i="8" s="1"/>
  <c r="V104" i="8"/>
  <c r="K104" i="8"/>
  <c r="K103" i="8"/>
  <c r="V103" i="8" s="1"/>
  <c r="V102" i="8"/>
  <c r="K102" i="8"/>
  <c r="K101" i="8"/>
  <c r="V101" i="8" s="1"/>
  <c r="V100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U83" i="8"/>
  <c r="K83" i="8"/>
  <c r="K82" i="8"/>
  <c r="K81" i="8"/>
  <c r="K80" i="8"/>
  <c r="K79" i="8"/>
  <c r="K78" i="8"/>
  <c r="U77" i="8"/>
  <c r="K77" i="8"/>
  <c r="K76" i="8"/>
  <c r="U75" i="8"/>
  <c r="K75" i="8"/>
  <c r="K74" i="8"/>
  <c r="U73" i="8"/>
  <c r="K73" i="8"/>
  <c r="K72" i="8"/>
  <c r="U71" i="8"/>
  <c r="K71" i="8"/>
  <c r="K70" i="8"/>
  <c r="U69" i="8"/>
  <c r="K69" i="8"/>
  <c r="K68" i="8"/>
  <c r="K67" i="8"/>
  <c r="K66" i="8"/>
  <c r="K65" i="8"/>
  <c r="K64" i="8"/>
  <c r="U63" i="8"/>
  <c r="K63" i="8"/>
  <c r="K62" i="8"/>
  <c r="K61" i="8"/>
  <c r="K60" i="8"/>
  <c r="U59" i="8"/>
  <c r="K59" i="8"/>
  <c r="K58" i="8"/>
  <c r="K57" i="8"/>
  <c r="U56" i="8"/>
  <c r="K56" i="8"/>
  <c r="U55" i="8"/>
  <c r="K55" i="8"/>
  <c r="K54" i="8"/>
  <c r="K53" i="8"/>
  <c r="K52" i="8"/>
  <c r="U51" i="8"/>
  <c r="K51" i="8"/>
  <c r="U50" i="8"/>
  <c r="K50" i="8"/>
  <c r="K49" i="8"/>
  <c r="K48" i="8"/>
  <c r="K47" i="8"/>
  <c r="U46" i="8"/>
  <c r="K46" i="8"/>
  <c r="U45" i="8"/>
  <c r="K45" i="8"/>
  <c r="U44" i="8"/>
  <c r="K44" i="8"/>
  <c r="U43" i="8"/>
  <c r="K43" i="8"/>
  <c r="U42" i="8"/>
  <c r="K42" i="8"/>
  <c r="U41" i="8"/>
  <c r="K41" i="8"/>
  <c r="U40" i="8"/>
  <c r="K40" i="8"/>
  <c r="K39" i="8"/>
  <c r="K38" i="8"/>
  <c r="K37" i="8"/>
  <c r="K36" i="8"/>
  <c r="K35" i="8"/>
  <c r="U34" i="8"/>
  <c r="K34" i="8"/>
  <c r="U33" i="8"/>
  <c r="K33" i="8"/>
  <c r="U32" i="8"/>
  <c r="K32" i="8"/>
  <c r="K31" i="8"/>
  <c r="U30" i="8"/>
  <c r="K30" i="8"/>
  <c r="U29" i="8"/>
  <c r="K29" i="8"/>
  <c r="U28" i="8"/>
  <c r="K28" i="8"/>
  <c r="U27" i="8"/>
  <c r="K27" i="8"/>
  <c r="U26" i="8"/>
  <c r="K26" i="8"/>
  <c r="U25" i="8"/>
  <c r="K25" i="8"/>
  <c r="U24" i="8"/>
  <c r="K24" i="8"/>
  <c r="U23" i="8"/>
  <c r="K23" i="8"/>
  <c r="U22" i="8"/>
  <c r="K22" i="8"/>
  <c r="U21" i="8"/>
  <c r="K21" i="8"/>
  <c r="U20" i="8"/>
  <c r="K20" i="8"/>
  <c r="U19" i="8"/>
  <c r="K19" i="8"/>
  <c r="U18" i="8"/>
  <c r="K18" i="8"/>
  <c r="U17" i="8"/>
  <c r="K17" i="8"/>
  <c r="U16" i="8"/>
  <c r="K16" i="8"/>
  <c r="U15" i="8"/>
  <c r="K15" i="8"/>
  <c r="U14" i="8"/>
  <c r="K14" i="8"/>
  <c r="U13" i="8"/>
  <c r="K13" i="8"/>
  <c r="K12" i="8"/>
  <c r="K11" i="8"/>
  <c r="K10" i="8"/>
  <c r="D4" i="8"/>
  <c r="V167" i="7"/>
  <c r="K167" i="7"/>
  <c r="V166" i="7"/>
  <c r="K166" i="7"/>
  <c r="V165" i="7"/>
  <c r="K165" i="7"/>
  <c r="K164" i="7"/>
  <c r="V164" i="7" s="1"/>
  <c r="V163" i="7"/>
  <c r="K163" i="7"/>
  <c r="V162" i="7"/>
  <c r="K162" i="7"/>
  <c r="K161" i="7"/>
  <c r="V161" i="7" s="1"/>
  <c r="K160" i="7"/>
  <c r="V160" i="7" s="1"/>
  <c r="K159" i="7"/>
  <c r="V159" i="7" s="1"/>
  <c r="V158" i="7"/>
  <c r="K158" i="7"/>
  <c r="K157" i="7"/>
  <c r="V157" i="7" s="1"/>
  <c r="K156" i="7"/>
  <c r="V156" i="7" s="1"/>
  <c r="V155" i="7"/>
  <c r="K155" i="7"/>
  <c r="V154" i="7"/>
  <c r="K154" i="7"/>
  <c r="V153" i="7"/>
  <c r="K153" i="7"/>
  <c r="K152" i="7"/>
  <c r="V152" i="7" s="1"/>
  <c r="V151" i="7"/>
  <c r="K151" i="7"/>
  <c r="V150" i="7"/>
  <c r="K150" i="7"/>
  <c r="V149" i="7"/>
  <c r="K149" i="7"/>
  <c r="K148" i="7"/>
  <c r="V148" i="7" s="1"/>
  <c r="K147" i="7"/>
  <c r="V147" i="7" s="1"/>
  <c r="V146" i="7"/>
  <c r="K146" i="7"/>
  <c r="V145" i="7"/>
  <c r="K145" i="7"/>
  <c r="K144" i="7"/>
  <c r="V144" i="7" s="1"/>
  <c r="K143" i="7"/>
  <c r="V143" i="7" s="1"/>
  <c r="V142" i="7"/>
  <c r="K142" i="7"/>
  <c r="K141" i="7"/>
  <c r="V141" i="7" s="1"/>
  <c r="K140" i="7"/>
  <c r="V140" i="7" s="1"/>
  <c r="V139" i="7"/>
  <c r="K139" i="7"/>
  <c r="V138" i="7"/>
  <c r="K138" i="7"/>
  <c r="V137" i="7"/>
  <c r="K137" i="7"/>
  <c r="K136" i="7"/>
  <c r="V136" i="7" s="1"/>
  <c r="V135" i="7"/>
  <c r="K135" i="7"/>
  <c r="V134" i="7"/>
  <c r="K134" i="7"/>
  <c r="V133" i="7"/>
  <c r="K133" i="7"/>
  <c r="K132" i="7"/>
  <c r="V132" i="7" s="1"/>
  <c r="V131" i="7"/>
  <c r="K131" i="7"/>
  <c r="V130" i="7"/>
  <c r="K130" i="7"/>
  <c r="K129" i="7"/>
  <c r="V129" i="7" s="1"/>
  <c r="K128" i="7"/>
  <c r="V128" i="7" s="1"/>
  <c r="K127" i="7"/>
  <c r="V127" i="7" s="1"/>
  <c r="V126" i="7"/>
  <c r="K126" i="7"/>
  <c r="K125" i="7"/>
  <c r="V125" i="7" s="1"/>
  <c r="K124" i="7"/>
  <c r="V124" i="7" s="1"/>
  <c r="V123" i="7"/>
  <c r="K123" i="7"/>
  <c r="V122" i="7"/>
  <c r="K122" i="7"/>
  <c r="V121" i="7"/>
  <c r="K121" i="7"/>
  <c r="K120" i="7"/>
  <c r="V120" i="7" s="1"/>
  <c r="V119" i="7"/>
  <c r="K119" i="7"/>
  <c r="V118" i="7"/>
  <c r="K118" i="7"/>
  <c r="V117" i="7"/>
  <c r="K117" i="7"/>
  <c r="K116" i="7"/>
  <c r="V116" i="7" s="1"/>
  <c r="K115" i="7"/>
  <c r="V115" i="7" s="1"/>
  <c r="V114" i="7"/>
  <c r="K114" i="7"/>
  <c r="V113" i="7"/>
  <c r="K113" i="7"/>
  <c r="K112" i="7"/>
  <c r="V112" i="7" s="1"/>
  <c r="K111" i="7"/>
  <c r="V111" i="7" s="1"/>
  <c r="V110" i="7"/>
  <c r="K110" i="7"/>
  <c r="K109" i="7"/>
  <c r="V109" i="7" s="1"/>
  <c r="K108" i="7"/>
  <c r="V108" i="7" s="1"/>
  <c r="V107" i="7"/>
  <c r="K107" i="7"/>
  <c r="V106" i="7"/>
  <c r="K106" i="7"/>
  <c r="V105" i="7"/>
  <c r="K105" i="7"/>
  <c r="K103" i="7"/>
  <c r="V103" i="7" s="1"/>
  <c r="V102" i="7"/>
  <c r="K102" i="7"/>
  <c r="V101" i="7"/>
  <c r="K101" i="7"/>
  <c r="V100" i="7"/>
  <c r="K100" i="7"/>
  <c r="K99" i="7"/>
  <c r="V99" i="7" s="1"/>
  <c r="V98" i="7"/>
  <c r="U98" i="7"/>
  <c r="K98" i="7"/>
  <c r="U97" i="7"/>
  <c r="K97" i="7"/>
  <c r="V97" i="7" s="1"/>
  <c r="U96" i="7"/>
  <c r="K96" i="7"/>
  <c r="V96" i="7" s="1"/>
  <c r="U95" i="7"/>
  <c r="V95" i="7" s="1"/>
  <c r="K95" i="7"/>
  <c r="V94" i="7"/>
  <c r="U94" i="7"/>
  <c r="K94" i="7"/>
  <c r="U93" i="7"/>
  <c r="K93" i="7"/>
  <c r="U92" i="7"/>
  <c r="K92" i="7"/>
  <c r="V92" i="7" s="1"/>
  <c r="V91" i="7"/>
  <c r="U91" i="7"/>
  <c r="K91" i="7"/>
  <c r="V90" i="7"/>
  <c r="K90" i="7"/>
  <c r="U89" i="7"/>
  <c r="K89" i="7"/>
  <c r="V89" i="7" s="1"/>
  <c r="V88" i="7"/>
  <c r="U88" i="7"/>
  <c r="K88" i="7"/>
  <c r="V87" i="7"/>
  <c r="K87" i="7"/>
  <c r="V86" i="7"/>
  <c r="K86" i="7"/>
  <c r="V85" i="7"/>
  <c r="K85" i="7"/>
  <c r="U84" i="7"/>
  <c r="K84" i="7"/>
  <c r="V84" i="7" s="1"/>
  <c r="V83" i="7"/>
  <c r="U83" i="7"/>
  <c r="K83" i="7"/>
  <c r="V82" i="7"/>
  <c r="U82" i="7"/>
  <c r="K82" i="7"/>
  <c r="U81" i="7"/>
  <c r="K81" i="7"/>
  <c r="V81" i="7" s="1"/>
  <c r="V80" i="7"/>
  <c r="U80" i="7"/>
  <c r="K80" i="7"/>
  <c r="V79" i="7"/>
  <c r="U79" i="7"/>
  <c r="K79" i="7"/>
  <c r="U78" i="7"/>
  <c r="K78" i="7"/>
  <c r="V78" i="7" s="1"/>
  <c r="U77" i="7"/>
  <c r="K77" i="7"/>
  <c r="K76" i="7"/>
  <c r="V76" i="7" s="1"/>
  <c r="V75" i="7"/>
  <c r="K75" i="7"/>
  <c r="U74" i="7"/>
  <c r="K74" i="7"/>
  <c r="V74" i="7" s="1"/>
  <c r="V73" i="7"/>
  <c r="U73" i="7"/>
  <c r="K73" i="7"/>
  <c r="V72" i="7"/>
  <c r="U72" i="7"/>
  <c r="K72" i="7"/>
  <c r="U71" i="7"/>
  <c r="K71" i="7"/>
  <c r="V71" i="7" s="1"/>
  <c r="K70" i="7"/>
  <c r="V70" i="7" s="1"/>
  <c r="K69" i="7"/>
  <c r="V69" i="7" s="1"/>
  <c r="V68" i="7"/>
  <c r="U68" i="7"/>
  <c r="K68" i="7"/>
  <c r="V67" i="7"/>
  <c r="U67" i="7"/>
  <c r="K67" i="7"/>
  <c r="U66" i="7"/>
  <c r="K66" i="7"/>
  <c r="V66" i="7" s="1"/>
  <c r="U65" i="7"/>
  <c r="K65" i="7"/>
  <c r="U64" i="7"/>
  <c r="K64" i="7"/>
  <c r="V64" i="7" s="1"/>
  <c r="V63" i="7"/>
  <c r="U63" i="7"/>
  <c r="K63" i="7"/>
  <c r="V62" i="7"/>
  <c r="K62" i="7"/>
  <c r="U61" i="7"/>
  <c r="K61" i="7"/>
  <c r="V61" i="7" s="1"/>
  <c r="V60" i="7"/>
  <c r="K60" i="7"/>
  <c r="U59" i="7"/>
  <c r="K59" i="7"/>
  <c r="V59" i="7" s="1"/>
  <c r="U58" i="7"/>
  <c r="K58" i="7"/>
  <c r="V58" i="7" s="1"/>
  <c r="U57" i="7"/>
  <c r="V57" i="7" s="1"/>
  <c r="K57" i="7"/>
  <c r="V56" i="7"/>
  <c r="U56" i="7"/>
  <c r="K56" i="7"/>
  <c r="K55" i="7"/>
  <c r="V55" i="7" s="1"/>
  <c r="V54" i="7"/>
  <c r="U54" i="7"/>
  <c r="K54" i="7"/>
  <c r="V53" i="7"/>
  <c r="U53" i="7"/>
  <c r="K53" i="7"/>
  <c r="K52" i="7"/>
  <c r="V52" i="7" s="1"/>
  <c r="V51" i="7"/>
  <c r="U51" i="7"/>
  <c r="K51" i="7"/>
  <c r="K50" i="7"/>
  <c r="V50" i="7" s="1"/>
  <c r="U49" i="7"/>
  <c r="K49" i="7"/>
  <c r="V49" i="7" s="1"/>
  <c r="V48" i="7"/>
  <c r="U48" i="7"/>
  <c r="K48" i="7"/>
  <c r="U47" i="7"/>
  <c r="V47" i="7" s="1"/>
  <c r="K47" i="7"/>
  <c r="K46" i="7"/>
  <c r="V46" i="7" s="1"/>
  <c r="U45" i="7"/>
  <c r="V45" i="7" s="1"/>
  <c r="K45" i="7"/>
  <c r="V44" i="7"/>
  <c r="U44" i="7"/>
  <c r="K44" i="7"/>
  <c r="U43" i="7"/>
  <c r="K43" i="7"/>
  <c r="U42" i="7"/>
  <c r="K42" i="7"/>
  <c r="V42" i="7" s="1"/>
  <c r="V41" i="7"/>
  <c r="K41" i="7"/>
  <c r="K40" i="7"/>
  <c r="V40" i="7" s="1"/>
  <c r="V39" i="7"/>
  <c r="K39" i="7"/>
  <c r="U38" i="7"/>
  <c r="K38" i="7"/>
  <c r="V38" i="7" s="1"/>
  <c r="U37" i="7"/>
  <c r="K37" i="7"/>
  <c r="V37" i="7" s="1"/>
  <c r="U36" i="7"/>
  <c r="V36" i="7" s="1"/>
  <c r="K36" i="7"/>
  <c r="V35" i="7"/>
  <c r="U35" i="7"/>
  <c r="K35" i="7"/>
  <c r="K34" i="7"/>
  <c r="V34" i="7" s="1"/>
  <c r="V33" i="7"/>
  <c r="V32" i="7"/>
  <c r="K32" i="7"/>
  <c r="V31" i="7"/>
  <c r="K31" i="7"/>
  <c r="K30" i="7"/>
  <c r="V30" i="7" s="1"/>
  <c r="V29" i="7"/>
  <c r="K29" i="7"/>
  <c r="V28" i="7"/>
  <c r="K28" i="7"/>
  <c r="U27" i="7"/>
  <c r="V27" i="7" s="1"/>
  <c r="K27" i="7"/>
  <c r="U26" i="7"/>
  <c r="K26" i="7"/>
  <c r="V26" i="7" s="1"/>
  <c r="V25" i="7"/>
  <c r="K25" i="7"/>
  <c r="K24" i="7"/>
  <c r="V24" i="7" s="1"/>
  <c r="U23" i="7"/>
  <c r="K23" i="7"/>
  <c r="V23" i="7" s="1"/>
  <c r="K22" i="7"/>
  <c r="V22" i="7" s="1"/>
  <c r="K21" i="7"/>
  <c r="V21" i="7" s="1"/>
  <c r="V20" i="7"/>
  <c r="K20" i="7"/>
  <c r="U19" i="7"/>
  <c r="K19" i="7"/>
  <c r="V19" i="7" s="1"/>
  <c r="U18" i="7"/>
  <c r="K18" i="7"/>
  <c r="V18" i="7" s="1"/>
  <c r="V17" i="7"/>
  <c r="K17" i="7"/>
  <c r="U16" i="7"/>
  <c r="K16" i="7"/>
  <c r="V16" i="7" s="1"/>
  <c r="V15" i="7"/>
  <c r="U15" i="7"/>
  <c r="K15" i="7"/>
  <c r="V14" i="7"/>
  <c r="U14" i="7"/>
  <c r="K14" i="7"/>
  <c r="U13" i="7"/>
  <c r="K13" i="7"/>
  <c r="V13" i="7" s="1"/>
  <c r="U12" i="7"/>
  <c r="K12" i="7"/>
  <c r="K11" i="7"/>
  <c r="V11" i="7" s="1"/>
  <c r="K10" i="7"/>
  <c r="D4" i="7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V164" i="6"/>
  <c r="U164" i="6"/>
  <c r="K164" i="6"/>
  <c r="U163" i="6"/>
  <c r="V163" i="6" s="1"/>
  <c r="K163" i="6"/>
  <c r="K162" i="6"/>
  <c r="V162" i="6" s="1"/>
  <c r="V161" i="6"/>
  <c r="U161" i="6"/>
  <c r="K161" i="6"/>
  <c r="K160" i="6"/>
  <c r="V160" i="6" s="1"/>
  <c r="U159" i="6"/>
  <c r="K159" i="6"/>
  <c r="V159" i="6" s="1"/>
  <c r="U158" i="6"/>
  <c r="V158" i="6" s="1"/>
  <c r="K158" i="6"/>
  <c r="V157" i="6"/>
  <c r="U157" i="6"/>
  <c r="K157" i="6"/>
  <c r="U156" i="6"/>
  <c r="K156" i="6"/>
  <c r="U155" i="6"/>
  <c r="K155" i="6"/>
  <c r="V155" i="6" s="1"/>
  <c r="V154" i="6"/>
  <c r="K154" i="6"/>
  <c r="K153" i="6"/>
  <c r="V153" i="6" s="1"/>
  <c r="V152" i="6"/>
  <c r="U152" i="6"/>
  <c r="K152" i="6"/>
  <c r="V151" i="6"/>
  <c r="K151" i="6"/>
  <c r="U150" i="6"/>
  <c r="K150" i="6"/>
  <c r="V150" i="6" s="1"/>
  <c r="U149" i="6"/>
  <c r="V149" i="6" s="1"/>
  <c r="K149" i="6"/>
  <c r="K148" i="6"/>
  <c r="V148" i="6" s="1"/>
  <c r="U147" i="6"/>
  <c r="K147" i="6"/>
  <c r="V147" i="6" s="1"/>
  <c r="U146" i="6"/>
  <c r="V146" i="6" s="1"/>
  <c r="K146" i="6"/>
  <c r="V145" i="6"/>
  <c r="U145" i="6"/>
  <c r="K145" i="6"/>
  <c r="U144" i="6"/>
  <c r="K144" i="6"/>
  <c r="U143" i="6"/>
  <c r="K143" i="6"/>
  <c r="V143" i="6" s="1"/>
  <c r="V142" i="6"/>
  <c r="U142" i="6"/>
  <c r="K142" i="6"/>
  <c r="V141" i="6"/>
  <c r="K141" i="6"/>
  <c r="U140" i="6"/>
  <c r="K140" i="6"/>
  <c r="V140" i="6" s="1"/>
  <c r="V139" i="6"/>
  <c r="U139" i="6"/>
  <c r="K139" i="6"/>
  <c r="K138" i="6"/>
  <c r="V137" i="6"/>
  <c r="U137" i="6"/>
  <c r="K137" i="6"/>
  <c r="V136" i="6"/>
  <c r="U136" i="6"/>
  <c r="K136" i="6"/>
  <c r="U135" i="6"/>
  <c r="K135" i="6"/>
  <c r="U134" i="6"/>
  <c r="K134" i="6"/>
  <c r="V134" i="6" s="1"/>
  <c r="V133" i="6"/>
  <c r="U133" i="6"/>
  <c r="K133" i="6"/>
  <c r="V132" i="6"/>
  <c r="U132" i="6"/>
  <c r="K132" i="6"/>
  <c r="U131" i="6"/>
  <c r="K131" i="6"/>
  <c r="V131" i="6" s="1"/>
  <c r="K130" i="6"/>
  <c r="V130" i="6" s="1"/>
  <c r="U129" i="6"/>
  <c r="K129" i="6"/>
  <c r="V129" i="6" s="1"/>
  <c r="U128" i="6"/>
  <c r="K128" i="6"/>
  <c r="U127" i="6"/>
  <c r="K127" i="6"/>
  <c r="V127" i="6" s="1"/>
  <c r="V126" i="6"/>
  <c r="U126" i="6"/>
  <c r="K126" i="6"/>
  <c r="V125" i="6"/>
  <c r="U125" i="6"/>
  <c r="K125" i="6"/>
  <c r="U124" i="6"/>
  <c r="K124" i="6"/>
  <c r="V124" i="6" s="1"/>
  <c r="V123" i="6"/>
  <c r="U123" i="6"/>
  <c r="K123" i="6"/>
  <c r="V122" i="6"/>
  <c r="U122" i="6"/>
  <c r="K122" i="6"/>
  <c r="U121" i="6"/>
  <c r="K121" i="6"/>
  <c r="V121" i="6" s="1"/>
  <c r="U120" i="6"/>
  <c r="K120" i="6"/>
  <c r="U119" i="6"/>
  <c r="K119" i="6"/>
  <c r="V119" i="6" s="1"/>
  <c r="V118" i="6"/>
  <c r="K118" i="6"/>
  <c r="K117" i="6"/>
  <c r="V117" i="6" s="1"/>
  <c r="V116" i="6"/>
  <c r="U116" i="6"/>
  <c r="K116" i="6"/>
  <c r="U115" i="6"/>
  <c r="V115" i="6" s="1"/>
  <c r="K115" i="6"/>
  <c r="U114" i="6"/>
  <c r="K114" i="6"/>
  <c r="V114" i="6" s="1"/>
  <c r="U113" i="6"/>
  <c r="K113" i="6"/>
  <c r="V113" i="6" s="1"/>
  <c r="U112" i="6"/>
  <c r="V112" i="6" s="1"/>
  <c r="K112" i="6"/>
  <c r="V111" i="6"/>
  <c r="K111" i="6"/>
  <c r="U110" i="6"/>
  <c r="K110" i="6"/>
  <c r="V110" i="6" s="1"/>
  <c r="V109" i="6"/>
  <c r="K109" i="6"/>
  <c r="U108" i="6"/>
  <c r="K108" i="6"/>
  <c r="K107" i="6"/>
  <c r="V107" i="6" s="1"/>
  <c r="U106" i="6"/>
  <c r="K106" i="6"/>
  <c r="V106" i="6" s="1"/>
  <c r="K105" i="6"/>
  <c r="V105" i="6" s="1"/>
  <c r="V104" i="6"/>
  <c r="U104" i="6"/>
  <c r="K104" i="6"/>
  <c r="U103" i="6"/>
  <c r="K103" i="6"/>
  <c r="V103" i="6" s="1"/>
  <c r="K102" i="6"/>
  <c r="V102" i="6" s="1"/>
  <c r="V100" i="6"/>
  <c r="K100" i="6"/>
  <c r="K99" i="6"/>
  <c r="V99" i="6" s="1"/>
  <c r="V98" i="6"/>
  <c r="U98" i="6"/>
  <c r="K98" i="6"/>
  <c r="U97" i="6"/>
  <c r="V97" i="6" s="1"/>
  <c r="K97" i="6"/>
  <c r="U96" i="6"/>
  <c r="K96" i="6"/>
  <c r="V96" i="6" s="1"/>
  <c r="V95" i="6"/>
  <c r="U95" i="6"/>
  <c r="K95" i="6"/>
  <c r="V94" i="6"/>
  <c r="K94" i="6"/>
  <c r="K93" i="6"/>
  <c r="V93" i="6" s="1"/>
  <c r="U92" i="6"/>
  <c r="V92" i="6" s="1"/>
  <c r="K92" i="6"/>
  <c r="V91" i="6"/>
  <c r="U91" i="6"/>
  <c r="K91" i="6"/>
  <c r="K90" i="6"/>
  <c r="V90" i="6" s="1"/>
  <c r="V89" i="6"/>
  <c r="U89" i="6"/>
  <c r="K89" i="6"/>
  <c r="V88" i="6"/>
  <c r="U88" i="6"/>
  <c r="K88" i="6"/>
  <c r="U87" i="6"/>
  <c r="K87" i="6"/>
  <c r="V87" i="6" s="1"/>
  <c r="V86" i="6"/>
  <c r="K86" i="6"/>
  <c r="U85" i="6"/>
  <c r="V85" i="6" s="1"/>
  <c r="K85" i="6"/>
  <c r="U84" i="6"/>
  <c r="K84" i="6"/>
  <c r="V84" i="6" s="1"/>
  <c r="V83" i="6"/>
  <c r="U83" i="6"/>
  <c r="K83" i="6"/>
  <c r="V82" i="6"/>
  <c r="U82" i="6"/>
  <c r="K82" i="6"/>
  <c r="U81" i="6"/>
  <c r="K81" i="6"/>
  <c r="V81" i="6" s="1"/>
  <c r="K80" i="6"/>
  <c r="V80" i="6" s="1"/>
  <c r="V79" i="6"/>
  <c r="K79" i="6"/>
  <c r="K78" i="6"/>
  <c r="V78" i="6" s="1"/>
  <c r="V77" i="6"/>
  <c r="U77" i="6"/>
  <c r="K77" i="6"/>
  <c r="V76" i="6"/>
  <c r="K76" i="6"/>
  <c r="K75" i="6"/>
  <c r="V75" i="6" s="1"/>
  <c r="U74" i="6"/>
  <c r="V74" i="6" s="1"/>
  <c r="K74" i="6"/>
  <c r="U73" i="6"/>
  <c r="K73" i="6"/>
  <c r="V73" i="6" s="1"/>
  <c r="U72" i="6"/>
  <c r="K72" i="6"/>
  <c r="V72" i="6" s="1"/>
  <c r="U71" i="6"/>
  <c r="V71" i="6" s="1"/>
  <c r="K71" i="6"/>
  <c r="V70" i="6"/>
  <c r="U70" i="6"/>
  <c r="K70" i="6"/>
  <c r="K69" i="6"/>
  <c r="V69" i="6" s="1"/>
  <c r="V68" i="6"/>
  <c r="K68" i="6"/>
  <c r="K67" i="6"/>
  <c r="V67" i="6" s="1"/>
  <c r="V66" i="6"/>
  <c r="U66" i="6"/>
  <c r="K66" i="6"/>
  <c r="K65" i="6"/>
  <c r="V65" i="6" s="1"/>
  <c r="U64" i="6"/>
  <c r="K64" i="6"/>
  <c r="V64" i="6" s="1"/>
  <c r="V63" i="6"/>
  <c r="U63" i="6"/>
  <c r="K63" i="6"/>
  <c r="V61" i="6"/>
  <c r="U61" i="6"/>
  <c r="K61" i="6"/>
  <c r="U60" i="6"/>
  <c r="K60" i="6"/>
  <c r="V60" i="6" s="1"/>
  <c r="U59" i="6"/>
  <c r="K59" i="6"/>
  <c r="V59" i="6" s="1"/>
  <c r="U58" i="6"/>
  <c r="V58" i="6" s="1"/>
  <c r="K58" i="6"/>
  <c r="V57" i="6"/>
  <c r="U57" i="6"/>
  <c r="K57" i="6"/>
  <c r="U56" i="6"/>
  <c r="K56" i="6"/>
  <c r="U55" i="6"/>
  <c r="K55" i="6"/>
  <c r="V55" i="6" s="1"/>
  <c r="V54" i="6"/>
  <c r="U54" i="6"/>
  <c r="K54" i="6"/>
  <c r="V53" i="6"/>
  <c r="K53" i="6"/>
  <c r="U52" i="6"/>
  <c r="K52" i="6"/>
  <c r="V52" i="6" s="1"/>
  <c r="V51" i="6"/>
  <c r="K51" i="6"/>
  <c r="K50" i="6"/>
  <c r="V50" i="6" s="1"/>
  <c r="V49" i="6"/>
  <c r="K49" i="6"/>
  <c r="K48" i="6"/>
  <c r="V48" i="6" s="1"/>
  <c r="V47" i="6"/>
  <c r="K47" i="6"/>
  <c r="U46" i="6"/>
  <c r="K46" i="6"/>
  <c r="V45" i="6"/>
  <c r="K45" i="6"/>
  <c r="V44" i="6"/>
  <c r="U44" i="6"/>
  <c r="K44" i="6"/>
  <c r="U43" i="6"/>
  <c r="K43" i="6"/>
  <c r="U42" i="6"/>
  <c r="K42" i="6"/>
  <c r="V42" i="6" s="1"/>
  <c r="V41" i="6"/>
  <c r="K41" i="6"/>
  <c r="U40" i="6"/>
  <c r="K40" i="6"/>
  <c r="V40" i="6" s="1"/>
  <c r="U39" i="6"/>
  <c r="K39" i="6"/>
  <c r="V39" i="6" s="1"/>
  <c r="V38" i="6"/>
  <c r="U38" i="6"/>
  <c r="K38" i="6"/>
  <c r="V37" i="6"/>
  <c r="U37" i="6"/>
  <c r="K37" i="6"/>
  <c r="U36" i="6"/>
  <c r="K36" i="6"/>
  <c r="V36" i="6" s="1"/>
  <c r="K35" i="6"/>
  <c r="V35" i="6" s="1"/>
  <c r="U34" i="6"/>
  <c r="K34" i="6"/>
  <c r="V34" i="6" s="1"/>
  <c r="K33" i="6"/>
  <c r="V33" i="6" s="1"/>
  <c r="V32" i="6"/>
  <c r="U32" i="6"/>
  <c r="K32" i="6"/>
  <c r="V31" i="6"/>
  <c r="U31" i="6"/>
  <c r="K31" i="6"/>
  <c r="U30" i="6"/>
  <c r="K30" i="6"/>
  <c r="V30" i="6" s="1"/>
  <c r="U29" i="6"/>
  <c r="K29" i="6"/>
  <c r="V29" i="6" s="1"/>
  <c r="U28" i="6"/>
  <c r="V28" i="6" s="1"/>
  <c r="K28" i="6"/>
  <c r="U27" i="6"/>
  <c r="V27" i="6" s="1"/>
  <c r="K27" i="6"/>
  <c r="U26" i="6"/>
  <c r="K26" i="6"/>
  <c r="V25" i="6"/>
  <c r="U25" i="6"/>
  <c r="K25" i="6"/>
  <c r="V24" i="6"/>
  <c r="K24" i="6"/>
  <c r="U23" i="6"/>
  <c r="K23" i="6"/>
  <c r="U22" i="6"/>
  <c r="K22" i="6"/>
  <c r="V22" i="6" s="1"/>
  <c r="V21" i="6"/>
  <c r="K21" i="6"/>
  <c r="U20" i="6"/>
  <c r="K20" i="6"/>
  <c r="U19" i="6"/>
  <c r="K19" i="6"/>
  <c r="V19" i="6" s="1"/>
  <c r="V18" i="6"/>
  <c r="U18" i="6"/>
  <c r="K18" i="6"/>
  <c r="U17" i="6"/>
  <c r="K17" i="6"/>
  <c r="V17" i="6" s="1"/>
  <c r="K16" i="6"/>
  <c r="V16" i="6" s="1"/>
  <c r="V15" i="6"/>
  <c r="U15" i="6"/>
  <c r="K15" i="6"/>
  <c r="U14" i="6"/>
  <c r="K14" i="6"/>
  <c r="V14" i="6" s="1"/>
  <c r="K13" i="6"/>
  <c r="V13" i="6" s="1"/>
  <c r="V12" i="6"/>
  <c r="U12" i="6"/>
  <c r="K12" i="6"/>
  <c r="U11" i="6"/>
  <c r="K11" i="6"/>
  <c r="V11" i="6" s="1"/>
  <c r="U10" i="6"/>
  <c r="K10" i="6"/>
  <c r="D4" i="6"/>
  <c r="V181" i="5"/>
  <c r="K181" i="5"/>
  <c r="K180" i="5"/>
  <c r="V180" i="5" s="1"/>
  <c r="V179" i="5"/>
  <c r="K179" i="5"/>
  <c r="K178" i="5"/>
  <c r="V178" i="5" s="1"/>
  <c r="K177" i="5"/>
  <c r="V177" i="5" s="1"/>
  <c r="K176" i="5"/>
  <c r="V176" i="5" s="1"/>
  <c r="V175" i="5"/>
  <c r="K175" i="5"/>
  <c r="K174" i="5"/>
  <c r="V174" i="5" s="1"/>
  <c r="V173" i="5"/>
  <c r="K173" i="5"/>
  <c r="K172" i="5"/>
  <c r="V172" i="5" s="1"/>
  <c r="V171" i="5"/>
  <c r="K171" i="5"/>
  <c r="K170" i="5"/>
  <c r="V170" i="5" s="1"/>
  <c r="K169" i="5"/>
  <c r="V169" i="5" s="1"/>
  <c r="K168" i="5"/>
  <c r="V168" i="5" s="1"/>
  <c r="V167" i="5"/>
  <c r="K167" i="5"/>
  <c r="K166" i="5"/>
  <c r="V166" i="5" s="1"/>
  <c r="V165" i="5"/>
  <c r="K165" i="5"/>
  <c r="K164" i="5"/>
  <c r="V164" i="5" s="1"/>
  <c r="V163" i="5"/>
  <c r="K163" i="5"/>
  <c r="K162" i="5"/>
  <c r="V162" i="5" s="1"/>
  <c r="K161" i="5"/>
  <c r="V161" i="5" s="1"/>
  <c r="K160" i="5"/>
  <c r="V160" i="5" s="1"/>
  <c r="V159" i="5"/>
  <c r="K159" i="5"/>
  <c r="K158" i="5"/>
  <c r="V158" i="5" s="1"/>
  <c r="V157" i="5"/>
  <c r="K157" i="5"/>
  <c r="K156" i="5"/>
  <c r="V156" i="5" s="1"/>
  <c r="V155" i="5"/>
  <c r="K155" i="5"/>
  <c r="K154" i="5"/>
  <c r="V154" i="5" s="1"/>
  <c r="K153" i="5"/>
  <c r="V153" i="5" s="1"/>
  <c r="K152" i="5"/>
  <c r="V152" i="5" s="1"/>
  <c r="V151" i="5"/>
  <c r="K151" i="5"/>
  <c r="K150" i="5"/>
  <c r="V150" i="5" s="1"/>
  <c r="V149" i="5"/>
  <c r="U149" i="5"/>
  <c r="K149" i="5"/>
  <c r="U148" i="5"/>
  <c r="V148" i="5" s="1"/>
  <c r="K148" i="5"/>
  <c r="K147" i="5"/>
  <c r="V147" i="5" s="1"/>
  <c r="V146" i="5"/>
  <c r="U146" i="5"/>
  <c r="K146" i="5"/>
  <c r="U145" i="5"/>
  <c r="V145" i="5" s="1"/>
  <c r="K145" i="5"/>
  <c r="U144" i="5"/>
  <c r="K144" i="5"/>
  <c r="V143" i="5"/>
  <c r="K143" i="5"/>
  <c r="V142" i="5"/>
  <c r="U142" i="5"/>
  <c r="K142" i="5"/>
  <c r="V141" i="5"/>
  <c r="V140" i="5"/>
  <c r="K140" i="5"/>
  <c r="V139" i="5"/>
  <c r="U139" i="5"/>
  <c r="K139" i="5"/>
  <c r="V138" i="5"/>
  <c r="K138" i="5"/>
  <c r="K137" i="5"/>
  <c r="V137" i="5" s="1"/>
  <c r="V136" i="5"/>
  <c r="U136" i="5"/>
  <c r="K136" i="5"/>
  <c r="V135" i="5"/>
  <c r="U135" i="5"/>
  <c r="K135" i="5"/>
  <c r="U134" i="5"/>
  <c r="K134" i="5"/>
  <c r="V133" i="5"/>
  <c r="K133" i="5"/>
  <c r="K132" i="5"/>
  <c r="V132" i="5" s="1"/>
  <c r="U131" i="5"/>
  <c r="K131" i="5"/>
  <c r="V131" i="5" s="1"/>
  <c r="U130" i="5"/>
  <c r="V130" i="5" s="1"/>
  <c r="K130" i="5"/>
  <c r="U129" i="5"/>
  <c r="V129" i="5" s="1"/>
  <c r="K129" i="5"/>
  <c r="K128" i="5"/>
  <c r="V128" i="5" s="1"/>
  <c r="U127" i="5"/>
  <c r="V127" i="5" s="1"/>
  <c r="K127" i="5"/>
  <c r="V126" i="5"/>
  <c r="U126" i="5"/>
  <c r="K126" i="5"/>
  <c r="U125" i="5"/>
  <c r="K125" i="5"/>
  <c r="U124" i="5"/>
  <c r="K124" i="5"/>
  <c r="V124" i="5" s="1"/>
  <c r="V123" i="5"/>
  <c r="U123" i="5"/>
  <c r="K123" i="5"/>
  <c r="V122" i="5"/>
  <c r="U122" i="5"/>
  <c r="K122" i="5"/>
  <c r="U121" i="5"/>
  <c r="K121" i="5"/>
  <c r="K120" i="5"/>
  <c r="V120" i="5" s="1"/>
  <c r="K119" i="5"/>
  <c r="V119" i="5" s="1"/>
  <c r="V118" i="5"/>
  <c r="U118" i="5"/>
  <c r="K118" i="5"/>
  <c r="V117" i="5"/>
  <c r="U117" i="5"/>
  <c r="K117" i="5"/>
  <c r="K116" i="5"/>
  <c r="V116" i="5" s="1"/>
  <c r="V115" i="5"/>
  <c r="K115" i="5"/>
  <c r="U114" i="5"/>
  <c r="V114" i="5" s="1"/>
  <c r="K114" i="5"/>
  <c r="U113" i="5"/>
  <c r="K113" i="5"/>
  <c r="V112" i="5"/>
  <c r="U112" i="5"/>
  <c r="K112" i="5"/>
  <c r="V111" i="5"/>
  <c r="U111" i="5"/>
  <c r="K111" i="5"/>
  <c r="U110" i="5"/>
  <c r="K110" i="5"/>
  <c r="V110" i="5" s="1"/>
  <c r="K109" i="5"/>
  <c r="V109" i="5" s="1"/>
  <c r="V108" i="5"/>
  <c r="U108" i="5"/>
  <c r="K108" i="5"/>
  <c r="V107" i="5"/>
  <c r="U107" i="5"/>
  <c r="K107" i="5"/>
  <c r="U106" i="5"/>
  <c r="K106" i="5"/>
  <c r="V106" i="5" s="1"/>
  <c r="K105" i="5"/>
  <c r="V105" i="5" s="1"/>
  <c r="U104" i="5"/>
  <c r="K104" i="5"/>
  <c r="K103" i="5"/>
  <c r="V103" i="5" s="1"/>
  <c r="V102" i="5"/>
  <c r="U102" i="5"/>
  <c r="K102" i="5"/>
  <c r="V101" i="5"/>
  <c r="K101" i="5"/>
  <c r="U100" i="5"/>
  <c r="K100" i="5"/>
  <c r="V100" i="5" s="1"/>
  <c r="V99" i="5"/>
  <c r="U99" i="5"/>
  <c r="K99" i="5"/>
  <c r="U98" i="5"/>
  <c r="K98" i="5"/>
  <c r="V98" i="5" s="1"/>
  <c r="K97" i="5"/>
  <c r="V97" i="5" s="1"/>
  <c r="V96" i="5"/>
  <c r="U96" i="5"/>
  <c r="K96" i="5"/>
  <c r="V95" i="5"/>
  <c r="K95" i="5"/>
  <c r="U94" i="5"/>
  <c r="K94" i="5"/>
  <c r="V94" i="5" s="1"/>
  <c r="V93" i="5"/>
  <c r="K93" i="5"/>
  <c r="U92" i="5"/>
  <c r="K92" i="5"/>
  <c r="U91" i="5"/>
  <c r="K91" i="5"/>
  <c r="V91" i="5" s="1"/>
  <c r="V90" i="5"/>
  <c r="K90" i="5"/>
  <c r="U89" i="5"/>
  <c r="K89" i="5"/>
  <c r="V89" i="5" s="1"/>
  <c r="V88" i="5"/>
  <c r="U88" i="5"/>
  <c r="K88" i="5"/>
  <c r="V87" i="5"/>
  <c r="U87" i="5"/>
  <c r="K87" i="5"/>
  <c r="U86" i="5"/>
  <c r="K86" i="5"/>
  <c r="U85" i="5"/>
  <c r="K85" i="5"/>
  <c r="K84" i="5"/>
  <c r="V84" i="5" s="1"/>
  <c r="U83" i="5"/>
  <c r="V83" i="5" s="1"/>
  <c r="K83" i="5"/>
  <c r="K82" i="5"/>
  <c r="V82" i="5" s="1"/>
  <c r="V81" i="5"/>
  <c r="K81" i="5"/>
  <c r="K80" i="5"/>
  <c r="V80" i="5" s="1"/>
  <c r="V79" i="5"/>
  <c r="K79" i="5"/>
  <c r="K78" i="5"/>
  <c r="V78" i="5" s="1"/>
  <c r="V77" i="5"/>
  <c r="U77" i="5"/>
  <c r="K77" i="5"/>
  <c r="U76" i="5"/>
  <c r="K76" i="5"/>
  <c r="V76" i="5" s="1"/>
  <c r="K75" i="5"/>
  <c r="V75" i="5" s="1"/>
  <c r="V74" i="5"/>
  <c r="K74" i="5"/>
  <c r="K73" i="5"/>
  <c r="V73" i="5" s="1"/>
  <c r="V72" i="5"/>
  <c r="U72" i="5"/>
  <c r="K72" i="5"/>
  <c r="K71" i="5"/>
  <c r="V71" i="5" s="1"/>
  <c r="U70" i="5"/>
  <c r="K70" i="5"/>
  <c r="V70" i="5" s="1"/>
  <c r="U69" i="5"/>
  <c r="V69" i="5" s="1"/>
  <c r="K69" i="5"/>
  <c r="K68" i="5"/>
  <c r="V68" i="5" s="1"/>
  <c r="U67" i="5"/>
  <c r="K67" i="5"/>
  <c r="V67" i="5" s="1"/>
  <c r="U66" i="5"/>
  <c r="V66" i="5" s="1"/>
  <c r="K66" i="5"/>
  <c r="V65" i="5"/>
  <c r="U65" i="5"/>
  <c r="K65" i="5"/>
  <c r="K64" i="5"/>
  <c r="V64" i="5" s="1"/>
  <c r="U63" i="5"/>
  <c r="K63" i="5"/>
  <c r="V63" i="5" s="1"/>
  <c r="V62" i="5"/>
  <c r="U62" i="5"/>
  <c r="K62" i="5"/>
  <c r="U61" i="5"/>
  <c r="K61" i="5"/>
  <c r="V61" i="5" s="1"/>
  <c r="U60" i="5"/>
  <c r="K60" i="5"/>
  <c r="V60" i="5" s="1"/>
  <c r="V59" i="5"/>
  <c r="K59" i="5"/>
  <c r="K58" i="5"/>
  <c r="V58" i="5" s="1"/>
  <c r="U57" i="5"/>
  <c r="V57" i="5" s="1"/>
  <c r="K57" i="5"/>
  <c r="U56" i="5"/>
  <c r="V56" i="5" s="1"/>
  <c r="K56" i="5"/>
  <c r="U55" i="5"/>
  <c r="K55" i="5"/>
  <c r="U54" i="5"/>
  <c r="K54" i="5"/>
  <c r="V54" i="5" s="1"/>
  <c r="V53" i="5"/>
  <c r="U53" i="5"/>
  <c r="K53" i="5"/>
  <c r="U52" i="5"/>
  <c r="K52" i="5"/>
  <c r="V52" i="5" s="1"/>
  <c r="U51" i="5"/>
  <c r="V51" i="5" s="1"/>
  <c r="K51" i="5"/>
  <c r="U50" i="5"/>
  <c r="K50" i="5"/>
  <c r="V50" i="5" s="1"/>
  <c r="U49" i="5"/>
  <c r="K49" i="5"/>
  <c r="V49" i="5" s="1"/>
  <c r="V48" i="5"/>
  <c r="K48" i="5"/>
  <c r="U47" i="5"/>
  <c r="K47" i="5"/>
  <c r="V47" i="5" s="1"/>
  <c r="V46" i="5"/>
  <c r="K46" i="5"/>
  <c r="U45" i="5"/>
  <c r="K45" i="5"/>
  <c r="V45" i="5" s="1"/>
  <c r="U44" i="5"/>
  <c r="K44" i="5"/>
  <c r="V44" i="5" s="1"/>
  <c r="K43" i="5"/>
  <c r="V43" i="5" s="1"/>
  <c r="U42" i="5"/>
  <c r="K42" i="5"/>
  <c r="V42" i="5" s="1"/>
  <c r="U41" i="5"/>
  <c r="K41" i="5"/>
  <c r="V41" i="5" s="1"/>
  <c r="U40" i="5"/>
  <c r="K40" i="5"/>
  <c r="V40" i="5" s="1"/>
  <c r="V39" i="5"/>
  <c r="U39" i="5"/>
  <c r="K39" i="5"/>
  <c r="U38" i="5"/>
  <c r="K38" i="5"/>
  <c r="U37" i="5"/>
  <c r="K37" i="5"/>
  <c r="V37" i="5" s="1"/>
  <c r="U36" i="5"/>
  <c r="K36" i="5"/>
  <c r="V36" i="5" s="1"/>
  <c r="V35" i="5"/>
  <c r="U35" i="5"/>
  <c r="K35" i="5"/>
  <c r="U34" i="5"/>
  <c r="V34" i="5" s="1"/>
  <c r="K34" i="5"/>
  <c r="U33" i="5"/>
  <c r="K33" i="5"/>
  <c r="V32" i="5"/>
  <c r="U32" i="5"/>
  <c r="K32" i="5"/>
  <c r="V31" i="5"/>
  <c r="U31" i="5"/>
  <c r="K31" i="5"/>
  <c r="U30" i="5"/>
  <c r="K30" i="5"/>
  <c r="V30" i="5" s="1"/>
  <c r="U29" i="5"/>
  <c r="K29" i="5"/>
  <c r="V29" i="5" s="1"/>
  <c r="V28" i="5"/>
  <c r="K28" i="5"/>
  <c r="U27" i="5"/>
  <c r="K27" i="5"/>
  <c r="V27" i="5" s="1"/>
  <c r="U26" i="5"/>
  <c r="K26" i="5"/>
  <c r="V25" i="5"/>
  <c r="K25" i="5"/>
  <c r="U24" i="5"/>
  <c r="K24" i="5"/>
  <c r="V24" i="5" s="1"/>
  <c r="U23" i="5"/>
  <c r="K23" i="5"/>
  <c r="V23" i="5" s="1"/>
  <c r="V22" i="5"/>
  <c r="K22" i="5"/>
  <c r="K21" i="5"/>
  <c r="V21" i="5" s="1"/>
  <c r="V20" i="5"/>
  <c r="K20" i="5"/>
  <c r="U19" i="5"/>
  <c r="V19" i="5" s="1"/>
  <c r="K19" i="5"/>
  <c r="U18" i="5"/>
  <c r="K18" i="5"/>
  <c r="U17" i="5"/>
  <c r="K17" i="5"/>
  <c r="V17" i="5" s="1"/>
  <c r="V16" i="5"/>
  <c r="U16" i="5"/>
  <c r="K16" i="5"/>
  <c r="V15" i="5"/>
  <c r="U15" i="5"/>
  <c r="K15" i="5"/>
  <c r="U14" i="5"/>
  <c r="K14" i="5"/>
  <c r="V14" i="5" s="1"/>
  <c r="U13" i="5"/>
  <c r="K13" i="5"/>
  <c r="V13" i="5" s="1"/>
  <c r="U12" i="5"/>
  <c r="V12" i="5" s="1"/>
  <c r="K12" i="5"/>
  <c r="K11" i="5"/>
  <c r="V11" i="5" s="1"/>
  <c r="U10" i="5"/>
  <c r="K10" i="5"/>
  <c r="V10" i="5" s="1"/>
  <c r="D4" i="5"/>
  <c r="V123" i="4"/>
  <c r="U123" i="4"/>
  <c r="K123" i="4"/>
  <c r="K122" i="4"/>
  <c r="V122" i="4" s="1"/>
  <c r="V121" i="4"/>
  <c r="K121" i="4"/>
  <c r="K120" i="4"/>
  <c r="V120" i="4" s="1"/>
  <c r="K119" i="4"/>
  <c r="V119" i="4" s="1"/>
  <c r="K118" i="4"/>
  <c r="V118" i="4" s="1"/>
  <c r="V117" i="4"/>
  <c r="K117" i="4"/>
  <c r="U116" i="4"/>
  <c r="K116" i="4"/>
  <c r="V115" i="4"/>
  <c r="U115" i="4"/>
  <c r="K115" i="4"/>
  <c r="U114" i="4"/>
  <c r="V114" i="4" s="1"/>
  <c r="K114" i="4"/>
  <c r="U113" i="4"/>
  <c r="K113" i="4"/>
  <c r="V113" i="4" s="1"/>
  <c r="U112" i="4"/>
  <c r="K112" i="4"/>
  <c r="V112" i="4" s="1"/>
  <c r="U111" i="4"/>
  <c r="K111" i="4"/>
  <c r="V111" i="4" s="1"/>
  <c r="V110" i="4"/>
  <c r="U110" i="4"/>
  <c r="K110" i="4"/>
  <c r="K109" i="4"/>
  <c r="V109" i="4" s="1"/>
  <c r="V108" i="4"/>
  <c r="K108" i="4"/>
  <c r="U107" i="4"/>
  <c r="K107" i="4"/>
  <c r="V107" i="4" s="1"/>
  <c r="U106" i="4"/>
  <c r="K106" i="4"/>
  <c r="U105" i="4"/>
  <c r="K105" i="4"/>
  <c r="V105" i="4" s="1"/>
  <c r="K104" i="4"/>
  <c r="V104" i="4" s="1"/>
  <c r="U103" i="4"/>
  <c r="K103" i="4"/>
  <c r="V103" i="4" s="1"/>
  <c r="U102" i="4"/>
  <c r="K102" i="4"/>
  <c r="V102" i="4" s="1"/>
  <c r="V101" i="4"/>
  <c r="U101" i="4"/>
  <c r="K101" i="4"/>
  <c r="K100" i="4"/>
  <c r="V100" i="4" s="1"/>
  <c r="U99" i="4"/>
  <c r="K99" i="4"/>
  <c r="V99" i="4" s="1"/>
  <c r="V98" i="4"/>
  <c r="U98" i="4"/>
  <c r="K98" i="4"/>
  <c r="U97" i="4"/>
  <c r="V97" i="4" s="1"/>
  <c r="K97" i="4"/>
  <c r="U96" i="4"/>
  <c r="K96" i="4"/>
  <c r="U95" i="4"/>
  <c r="K95" i="4"/>
  <c r="U94" i="4"/>
  <c r="K94" i="4"/>
  <c r="V94" i="4" s="1"/>
  <c r="U93" i="4"/>
  <c r="K93" i="4"/>
  <c r="V93" i="4" s="1"/>
  <c r="U92" i="4"/>
  <c r="K92" i="4"/>
  <c r="V92" i="4" s="1"/>
  <c r="V91" i="4"/>
  <c r="U91" i="4"/>
  <c r="K91" i="4"/>
  <c r="K90" i="4"/>
  <c r="V90" i="4" s="1"/>
  <c r="U89" i="4"/>
  <c r="K89" i="4"/>
  <c r="V89" i="4" s="1"/>
  <c r="V88" i="4"/>
  <c r="U88" i="4"/>
  <c r="K88" i="4"/>
  <c r="U87" i="4"/>
  <c r="K87" i="4"/>
  <c r="V87" i="4" s="1"/>
  <c r="U86" i="4"/>
  <c r="K86" i="4"/>
  <c r="U85" i="4"/>
  <c r="K85" i="4"/>
  <c r="V85" i="4" s="1"/>
  <c r="U84" i="4"/>
  <c r="V84" i="4" s="1"/>
  <c r="K84" i="4"/>
  <c r="V83" i="4"/>
  <c r="K83" i="4"/>
  <c r="V82" i="4"/>
  <c r="K82" i="4"/>
  <c r="V81" i="4"/>
  <c r="U81" i="4"/>
  <c r="K81" i="4"/>
  <c r="U80" i="4"/>
  <c r="K80" i="4"/>
  <c r="V80" i="4" s="1"/>
  <c r="U79" i="4"/>
  <c r="K79" i="4"/>
  <c r="V79" i="4" s="1"/>
  <c r="V78" i="4"/>
  <c r="K78" i="4"/>
  <c r="K77" i="4"/>
  <c r="V77" i="4" s="1"/>
  <c r="U76" i="4"/>
  <c r="V76" i="4" s="1"/>
  <c r="K76" i="4"/>
  <c r="U75" i="4"/>
  <c r="K75" i="4"/>
  <c r="V75" i="4" s="1"/>
  <c r="K74" i="4"/>
  <c r="V74" i="4" s="1"/>
  <c r="V73" i="4"/>
  <c r="K73" i="4"/>
  <c r="K72" i="4"/>
  <c r="V72" i="4" s="1"/>
  <c r="U71" i="4"/>
  <c r="V71" i="4" s="1"/>
  <c r="K71" i="4"/>
  <c r="V70" i="4"/>
  <c r="U70" i="4"/>
  <c r="K70" i="4"/>
  <c r="U69" i="4"/>
  <c r="K69" i="4"/>
  <c r="V69" i="4" s="1"/>
  <c r="U68" i="4"/>
  <c r="K68" i="4"/>
  <c r="V68" i="4" s="1"/>
  <c r="V67" i="4"/>
  <c r="U67" i="4"/>
  <c r="K67" i="4"/>
  <c r="U66" i="4"/>
  <c r="K66" i="4"/>
  <c r="V66" i="4" s="1"/>
  <c r="U65" i="4"/>
  <c r="K65" i="4"/>
  <c r="V65" i="4" s="1"/>
  <c r="V64" i="4"/>
  <c r="K64" i="4"/>
  <c r="V63" i="4"/>
  <c r="K63" i="4"/>
  <c r="V62" i="4"/>
  <c r="U62" i="4"/>
  <c r="K62" i="4"/>
  <c r="U61" i="4"/>
  <c r="V61" i="4" s="1"/>
  <c r="K61" i="4"/>
  <c r="U60" i="4"/>
  <c r="K60" i="4"/>
  <c r="V60" i="4" s="1"/>
  <c r="U59" i="4"/>
  <c r="K59" i="4"/>
  <c r="V59" i="4" s="1"/>
  <c r="V58" i="4"/>
  <c r="U58" i="4"/>
  <c r="K58" i="4"/>
  <c r="V57" i="4"/>
  <c r="U57" i="4"/>
  <c r="K57" i="4"/>
  <c r="K56" i="4"/>
  <c r="V56" i="4" s="1"/>
  <c r="V55" i="4"/>
  <c r="U55" i="4"/>
  <c r="K55" i="4"/>
  <c r="V54" i="4"/>
  <c r="V53" i="4"/>
  <c r="K53" i="4"/>
  <c r="U52" i="4"/>
  <c r="K52" i="4"/>
  <c r="V52" i="4" s="1"/>
  <c r="U51" i="4"/>
  <c r="K51" i="4"/>
  <c r="V50" i="4"/>
  <c r="K50" i="4"/>
  <c r="V49" i="4"/>
  <c r="U49" i="4"/>
  <c r="K49" i="4"/>
  <c r="U48" i="4"/>
  <c r="K48" i="4"/>
  <c r="V48" i="4" s="1"/>
  <c r="U47" i="4"/>
  <c r="K47" i="4"/>
  <c r="V47" i="4" s="1"/>
  <c r="V46" i="4"/>
  <c r="K46" i="4"/>
  <c r="U45" i="4"/>
  <c r="K45" i="4"/>
  <c r="V45" i="4" s="1"/>
  <c r="V44" i="4"/>
  <c r="U44" i="4"/>
  <c r="K44" i="4"/>
  <c r="U43" i="4"/>
  <c r="V43" i="4" s="1"/>
  <c r="K43" i="4"/>
  <c r="K42" i="4"/>
  <c r="V42" i="4" s="1"/>
  <c r="V41" i="4"/>
  <c r="K41" i="4"/>
  <c r="U40" i="4"/>
  <c r="K40" i="4"/>
  <c r="V40" i="4" s="1"/>
  <c r="K39" i="4"/>
  <c r="V39" i="4" s="1"/>
  <c r="U38" i="4"/>
  <c r="V38" i="4" s="1"/>
  <c r="K38" i="4"/>
  <c r="K37" i="4"/>
  <c r="V37" i="4" s="1"/>
  <c r="U36" i="4"/>
  <c r="K36" i="4"/>
  <c r="V36" i="4" s="1"/>
  <c r="K35" i="4"/>
  <c r="V35" i="4" s="1"/>
  <c r="U34" i="4"/>
  <c r="K34" i="4"/>
  <c r="U33" i="4"/>
  <c r="K33" i="4"/>
  <c r="V33" i="4" s="1"/>
  <c r="K32" i="4"/>
  <c r="V32" i="4" s="1"/>
  <c r="U31" i="4"/>
  <c r="K31" i="4"/>
  <c r="V31" i="4" s="1"/>
  <c r="U30" i="4"/>
  <c r="K30" i="4"/>
  <c r="V30" i="4" s="1"/>
  <c r="V29" i="4"/>
  <c r="U29" i="4"/>
  <c r="K29" i="4"/>
  <c r="U28" i="4"/>
  <c r="V28" i="4" s="1"/>
  <c r="K28" i="4"/>
  <c r="U27" i="4"/>
  <c r="K27" i="4"/>
  <c r="V26" i="4"/>
  <c r="U26" i="4"/>
  <c r="K26" i="4"/>
  <c r="U25" i="4"/>
  <c r="V25" i="4" s="1"/>
  <c r="K25" i="4"/>
  <c r="U24" i="4"/>
  <c r="K24" i="4"/>
  <c r="V24" i="4" s="1"/>
  <c r="U23" i="4"/>
  <c r="K23" i="4"/>
  <c r="V23" i="4" s="1"/>
  <c r="V22" i="4"/>
  <c r="U22" i="4"/>
  <c r="K22" i="4"/>
  <c r="V21" i="4"/>
  <c r="U21" i="4"/>
  <c r="K21" i="4"/>
  <c r="U20" i="4"/>
  <c r="K20" i="4"/>
  <c r="V20" i="4" s="1"/>
  <c r="U19" i="4"/>
  <c r="K19" i="4"/>
  <c r="V18" i="4"/>
  <c r="U18" i="4"/>
  <c r="K18" i="4"/>
  <c r="V17" i="4" s="1"/>
  <c r="U17" i="4"/>
  <c r="K17" i="4"/>
  <c r="V16" i="4"/>
  <c r="U16" i="4"/>
  <c r="K16" i="4"/>
  <c r="U15" i="4"/>
  <c r="K15" i="4"/>
  <c r="V15" i="4" s="1"/>
  <c r="V14" i="4"/>
  <c r="K14" i="4"/>
  <c r="U13" i="4"/>
  <c r="V13" i="4" s="1"/>
  <c r="K13" i="4"/>
  <c r="U12" i="4"/>
  <c r="K12" i="4"/>
  <c r="V11" i="4"/>
  <c r="U11" i="4"/>
  <c r="K11" i="4"/>
  <c r="D3" i="4" s="1"/>
  <c r="E2" i="4" s="1"/>
  <c r="U10" i="4"/>
  <c r="V10" i="4" s="1"/>
  <c r="K10" i="4"/>
  <c r="D4" i="4"/>
  <c r="K193" i="3"/>
  <c r="V193" i="3" s="1"/>
  <c r="K192" i="3"/>
  <c r="V192" i="3" s="1"/>
  <c r="K191" i="3"/>
  <c r="V191" i="3" s="1"/>
  <c r="K190" i="3"/>
  <c r="V190" i="3" s="1"/>
  <c r="K189" i="3"/>
  <c r="V189" i="3" s="1"/>
  <c r="V188" i="3"/>
  <c r="K188" i="3"/>
  <c r="K187" i="3"/>
  <c r="V187" i="3" s="1"/>
  <c r="K186" i="3"/>
  <c r="V186" i="3" s="1"/>
  <c r="K185" i="3"/>
  <c r="V185" i="3" s="1"/>
  <c r="V184" i="3"/>
  <c r="K184" i="3"/>
  <c r="K183" i="3"/>
  <c r="V183" i="3" s="1"/>
  <c r="K182" i="3"/>
  <c r="V182" i="3" s="1"/>
  <c r="K181" i="3"/>
  <c r="V181" i="3" s="1"/>
  <c r="V180" i="3"/>
  <c r="K180" i="3"/>
  <c r="K179" i="3"/>
  <c r="V179" i="3" s="1"/>
  <c r="K178" i="3"/>
  <c r="V178" i="3" s="1"/>
  <c r="K177" i="3"/>
  <c r="V177" i="3" s="1"/>
  <c r="U176" i="3"/>
  <c r="V176" i="3" s="1"/>
  <c r="K176" i="3"/>
  <c r="U175" i="3"/>
  <c r="K175" i="3"/>
  <c r="V175" i="3" s="1"/>
  <c r="U174" i="3"/>
  <c r="K174" i="3"/>
  <c r="U173" i="3"/>
  <c r="K173" i="3"/>
  <c r="V173" i="3" s="1"/>
  <c r="U172" i="3"/>
  <c r="V172" i="3" s="1"/>
  <c r="K172" i="3"/>
  <c r="V171" i="3"/>
  <c r="U171" i="3"/>
  <c r="K171" i="3"/>
  <c r="U170" i="3"/>
  <c r="K170" i="3"/>
  <c r="V170" i="3" s="1"/>
  <c r="U169" i="3"/>
  <c r="K169" i="3"/>
  <c r="V169" i="3" s="1"/>
  <c r="V168" i="3"/>
  <c r="K168" i="3"/>
  <c r="U167" i="3"/>
  <c r="K167" i="3"/>
  <c r="V167" i="3" s="1"/>
  <c r="V166" i="3"/>
  <c r="U166" i="3"/>
  <c r="K166" i="3"/>
  <c r="U165" i="3"/>
  <c r="V165" i="3" s="1"/>
  <c r="K165" i="3"/>
  <c r="U164" i="3"/>
  <c r="K164" i="3"/>
  <c r="V164" i="3" s="1"/>
  <c r="K163" i="3"/>
  <c r="V163" i="3" s="1"/>
  <c r="V162" i="3"/>
  <c r="U162" i="3"/>
  <c r="K162" i="3"/>
  <c r="U161" i="3"/>
  <c r="K161" i="3"/>
  <c r="V161" i="3" s="1"/>
  <c r="U160" i="3"/>
  <c r="K160" i="3"/>
  <c r="U159" i="3"/>
  <c r="K159" i="3"/>
  <c r="V159" i="3" s="1"/>
  <c r="K158" i="3"/>
  <c r="V158" i="3" s="1"/>
  <c r="K157" i="3"/>
  <c r="V157" i="3" s="1"/>
  <c r="V156" i="3"/>
  <c r="U156" i="3"/>
  <c r="K156" i="3"/>
  <c r="U155" i="3"/>
  <c r="K155" i="3"/>
  <c r="V155" i="3" s="1"/>
  <c r="U154" i="3"/>
  <c r="K154" i="3"/>
  <c r="V154" i="3" s="1"/>
  <c r="V153" i="3"/>
  <c r="U153" i="3"/>
  <c r="K153" i="3"/>
  <c r="U152" i="3"/>
  <c r="V152" i="3" s="1"/>
  <c r="K152" i="3"/>
  <c r="U151" i="3"/>
  <c r="K151" i="3"/>
  <c r="V151" i="3" s="1"/>
  <c r="K150" i="3"/>
  <c r="V150" i="3" s="1"/>
  <c r="V149" i="3"/>
  <c r="K149" i="3"/>
  <c r="U148" i="3"/>
  <c r="K148" i="3"/>
  <c r="U147" i="3"/>
  <c r="K147" i="3"/>
  <c r="V147" i="3" s="1"/>
  <c r="K146" i="3"/>
  <c r="V146" i="3" s="1"/>
  <c r="U145" i="3"/>
  <c r="K145" i="3"/>
  <c r="V145" i="3" s="1"/>
  <c r="U144" i="3"/>
  <c r="K144" i="3"/>
  <c r="V144" i="3" s="1"/>
  <c r="V143" i="3"/>
  <c r="U143" i="3"/>
  <c r="K143" i="3"/>
  <c r="U142" i="3"/>
  <c r="K142" i="3"/>
  <c r="V142" i="3" s="1"/>
  <c r="U141" i="3"/>
  <c r="K141" i="3"/>
  <c r="V141" i="3" s="1"/>
  <c r="V140" i="3"/>
  <c r="U140" i="3"/>
  <c r="K140" i="3"/>
  <c r="K139" i="3"/>
  <c r="V139" i="3" s="1"/>
  <c r="U138" i="3"/>
  <c r="K138" i="3"/>
  <c r="V138" i="3" s="1"/>
  <c r="V137" i="3"/>
  <c r="U137" i="3"/>
  <c r="K137" i="3"/>
  <c r="V136" i="3"/>
  <c r="K136" i="3"/>
  <c r="K135" i="3"/>
  <c r="V135" i="3" s="1"/>
  <c r="U134" i="3"/>
  <c r="V134" i="3" s="1"/>
  <c r="K134" i="3"/>
  <c r="V133" i="3"/>
  <c r="U133" i="3"/>
  <c r="K133" i="3"/>
  <c r="U132" i="3"/>
  <c r="K132" i="3"/>
  <c r="V132" i="3" s="1"/>
  <c r="U131" i="3"/>
  <c r="K131" i="3"/>
  <c r="V131" i="3" s="1"/>
  <c r="V130" i="3"/>
  <c r="U130" i="3"/>
  <c r="K130" i="3"/>
  <c r="U129" i="3"/>
  <c r="K129" i="3"/>
  <c r="V129" i="3" s="1"/>
  <c r="U128" i="3"/>
  <c r="K128" i="3"/>
  <c r="V128" i="3" s="1"/>
  <c r="V127" i="3"/>
  <c r="U127" i="3"/>
  <c r="K127" i="3"/>
  <c r="U126" i="3"/>
  <c r="V126" i="3" s="1"/>
  <c r="K126" i="3"/>
  <c r="U125" i="3"/>
  <c r="K125" i="3"/>
  <c r="V125" i="3" s="1"/>
  <c r="U124" i="3"/>
  <c r="K124" i="3"/>
  <c r="V124" i="3" s="1"/>
  <c r="U123" i="3"/>
  <c r="K123" i="3"/>
  <c r="V123" i="3" s="1"/>
  <c r="U122" i="3"/>
  <c r="V122" i="3" s="1"/>
  <c r="K122" i="3"/>
  <c r="K121" i="3"/>
  <c r="V121" i="3" s="1"/>
  <c r="U120" i="3"/>
  <c r="K120" i="3"/>
  <c r="V120" i="3" s="1"/>
  <c r="U119" i="3"/>
  <c r="V119" i="3" s="1"/>
  <c r="K119" i="3"/>
  <c r="U118" i="3"/>
  <c r="K118" i="3"/>
  <c r="V118" i="3" s="1"/>
  <c r="K117" i="3"/>
  <c r="V117" i="3" s="1"/>
  <c r="U116" i="3"/>
  <c r="V116" i="3" s="1"/>
  <c r="K116" i="3"/>
  <c r="V115" i="3"/>
  <c r="U115" i="3"/>
  <c r="K115" i="3"/>
  <c r="U114" i="3"/>
  <c r="K114" i="3"/>
  <c r="V114" i="3" s="1"/>
  <c r="V113" i="3"/>
  <c r="K113" i="3"/>
  <c r="U112" i="3"/>
  <c r="V112" i="3" s="1"/>
  <c r="K112" i="3"/>
  <c r="K111" i="3"/>
  <c r="V111" i="3" s="1"/>
  <c r="K110" i="3"/>
  <c r="V110" i="3" s="1"/>
  <c r="K109" i="3"/>
  <c r="V109" i="3" s="1"/>
  <c r="K108" i="3"/>
  <c r="V108" i="3" s="1"/>
  <c r="U107" i="3"/>
  <c r="K107" i="3"/>
  <c r="V106" i="3"/>
  <c r="K106" i="3"/>
  <c r="V105" i="3"/>
  <c r="U105" i="3"/>
  <c r="K105" i="3"/>
  <c r="U104" i="3"/>
  <c r="K104" i="3"/>
  <c r="V104" i="3" s="1"/>
  <c r="U103" i="3"/>
  <c r="K103" i="3"/>
  <c r="V103" i="3" s="1"/>
  <c r="V102" i="3"/>
  <c r="U102" i="3"/>
  <c r="K102" i="3"/>
  <c r="U101" i="3"/>
  <c r="V101" i="3" s="1"/>
  <c r="K101" i="3"/>
  <c r="U100" i="3"/>
  <c r="K100" i="3"/>
  <c r="V99" i="3"/>
  <c r="U99" i="3"/>
  <c r="K99" i="3"/>
  <c r="U98" i="3"/>
  <c r="V98" i="3" s="1"/>
  <c r="K98" i="3"/>
  <c r="U97" i="3"/>
  <c r="K97" i="3"/>
  <c r="V97" i="3" s="1"/>
  <c r="U96" i="3"/>
  <c r="K96" i="3"/>
  <c r="V96" i="3" s="1"/>
  <c r="V95" i="3"/>
  <c r="U95" i="3"/>
  <c r="K95" i="3"/>
  <c r="V94" i="3"/>
  <c r="U94" i="3"/>
  <c r="K94" i="3"/>
  <c r="U93" i="3"/>
  <c r="K93" i="3"/>
  <c r="V93" i="3" s="1"/>
  <c r="U92" i="3"/>
  <c r="K92" i="3"/>
  <c r="V91" i="3"/>
  <c r="K91" i="3"/>
  <c r="V90" i="3"/>
  <c r="U90" i="3"/>
  <c r="K90" i="3"/>
  <c r="U89" i="3"/>
  <c r="K89" i="3"/>
  <c r="V89" i="3" s="1"/>
  <c r="U88" i="3"/>
  <c r="K88" i="3"/>
  <c r="V88" i="3" s="1"/>
  <c r="V87" i="3"/>
  <c r="U87" i="3"/>
  <c r="K87" i="3"/>
  <c r="U86" i="3"/>
  <c r="V86" i="3" s="1"/>
  <c r="K86" i="3"/>
  <c r="U85" i="3"/>
  <c r="K85" i="3"/>
  <c r="V84" i="3"/>
  <c r="U84" i="3"/>
  <c r="K84" i="3"/>
  <c r="K83" i="3"/>
  <c r="V83" i="3" s="1"/>
  <c r="U82" i="3"/>
  <c r="K82" i="3"/>
  <c r="V82" i="3" s="1"/>
  <c r="V81" i="3"/>
  <c r="K81" i="3"/>
  <c r="U80" i="3"/>
  <c r="K80" i="3"/>
  <c r="V80" i="3" s="1"/>
  <c r="U79" i="3"/>
  <c r="K79" i="3"/>
  <c r="U78" i="3"/>
  <c r="K78" i="3"/>
  <c r="V78" i="3" s="1"/>
  <c r="K77" i="3"/>
  <c r="V77" i="3" s="1"/>
  <c r="U76" i="3"/>
  <c r="K76" i="3"/>
  <c r="V76" i="3" s="1"/>
  <c r="U75" i="3"/>
  <c r="K75" i="3"/>
  <c r="V75" i="3" s="1"/>
  <c r="V74" i="3"/>
  <c r="K74" i="3"/>
  <c r="K73" i="3"/>
  <c r="V73" i="3" s="1"/>
  <c r="U72" i="3"/>
  <c r="V72" i="3" s="1"/>
  <c r="K72" i="3"/>
  <c r="U71" i="3"/>
  <c r="K71" i="3"/>
  <c r="V71" i="3" s="1"/>
  <c r="K70" i="3"/>
  <c r="V70" i="3" s="1"/>
  <c r="K69" i="3"/>
  <c r="V69" i="3" s="1"/>
  <c r="U68" i="3"/>
  <c r="K68" i="3"/>
  <c r="U67" i="3"/>
  <c r="K67" i="3"/>
  <c r="V67" i="3" s="1"/>
  <c r="U66" i="3"/>
  <c r="V66" i="3" s="1"/>
  <c r="K66" i="3"/>
  <c r="V65" i="3"/>
  <c r="U65" i="3"/>
  <c r="K65" i="3"/>
  <c r="U64" i="3"/>
  <c r="K64" i="3"/>
  <c r="V64" i="3" s="1"/>
  <c r="U63" i="3"/>
  <c r="K63" i="3"/>
  <c r="V63" i="3" s="1"/>
  <c r="V62" i="3"/>
  <c r="U62" i="3"/>
  <c r="K62" i="3"/>
  <c r="K61" i="3"/>
  <c r="V61" i="3" s="1"/>
  <c r="U60" i="3"/>
  <c r="K60" i="3"/>
  <c r="V60" i="3" s="1"/>
  <c r="V59" i="3"/>
  <c r="U59" i="3"/>
  <c r="K59" i="3"/>
  <c r="U58" i="3"/>
  <c r="K58" i="3"/>
  <c r="V58" i="3" s="1"/>
  <c r="U57" i="3"/>
  <c r="K57" i="3"/>
  <c r="V57" i="3" s="1"/>
  <c r="V56" i="3"/>
  <c r="U56" i="3"/>
  <c r="K56" i="3"/>
  <c r="U55" i="3"/>
  <c r="V55" i="3" s="1"/>
  <c r="K55" i="3"/>
  <c r="U54" i="3"/>
  <c r="K54" i="3"/>
  <c r="V54" i="3" s="1"/>
  <c r="U53" i="3"/>
  <c r="K53" i="3"/>
  <c r="V53" i="3" s="1"/>
  <c r="U52" i="3"/>
  <c r="K52" i="3"/>
  <c r="V52" i="3" s="1"/>
  <c r="U51" i="3"/>
  <c r="V51" i="3" s="1"/>
  <c r="K51" i="3"/>
  <c r="U50" i="3"/>
  <c r="K50" i="3"/>
  <c r="V50" i="3" s="1"/>
  <c r="U49" i="3"/>
  <c r="K49" i="3"/>
  <c r="U48" i="3"/>
  <c r="K48" i="3"/>
  <c r="V48" i="3" s="1"/>
  <c r="U47" i="3"/>
  <c r="V47" i="3" s="1"/>
  <c r="K47" i="3"/>
  <c r="V46" i="3"/>
  <c r="U46" i="3"/>
  <c r="K46" i="3"/>
  <c r="U45" i="3"/>
  <c r="K45" i="3"/>
  <c r="V45" i="3" s="1"/>
  <c r="U44" i="3"/>
  <c r="K44" i="3"/>
  <c r="V44" i="3" s="1"/>
  <c r="V43" i="3"/>
  <c r="U43" i="3"/>
  <c r="K43" i="3"/>
  <c r="U42" i="3"/>
  <c r="V42" i="3" s="1"/>
  <c r="K42" i="3"/>
  <c r="U41" i="3"/>
  <c r="K41" i="3"/>
  <c r="V40" i="3"/>
  <c r="U40" i="3"/>
  <c r="K40" i="3"/>
  <c r="U39" i="3"/>
  <c r="V39" i="3" s="1"/>
  <c r="K39" i="3"/>
  <c r="K38" i="3"/>
  <c r="K37" i="3"/>
  <c r="K36" i="3"/>
  <c r="U36" i="3" s="1"/>
  <c r="U35" i="3"/>
  <c r="K35" i="3"/>
  <c r="V35" i="3" s="1"/>
  <c r="K34" i="3"/>
  <c r="U34" i="3" s="1"/>
  <c r="V34" i="3" s="1"/>
  <c r="K33" i="3"/>
  <c r="U32" i="3"/>
  <c r="K32" i="3"/>
  <c r="V32" i="3" s="1"/>
  <c r="V31" i="3"/>
  <c r="U31" i="3"/>
  <c r="K31" i="3"/>
  <c r="U30" i="3"/>
  <c r="V30" i="3" s="1"/>
  <c r="K30" i="3"/>
  <c r="U29" i="3"/>
  <c r="K29" i="3"/>
  <c r="V29" i="3" s="1"/>
  <c r="V28" i="3"/>
  <c r="K28" i="3"/>
  <c r="U27" i="3"/>
  <c r="V27" i="3" s="1"/>
  <c r="K27" i="3"/>
  <c r="U26" i="3"/>
  <c r="K26" i="3"/>
  <c r="V26" i="3" s="1"/>
  <c r="U25" i="3"/>
  <c r="K25" i="3"/>
  <c r="V25" i="3" s="1"/>
  <c r="V24" i="3"/>
  <c r="U24" i="3"/>
  <c r="K24" i="3"/>
  <c r="K23" i="3"/>
  <c r="V23" i="3" s="1"/>
  <c r="U22" i="3"/>
  <c r="K22" i="3"/>
  <c r="V22" i="3" s="1"/>
  <c r="V21" i="3"/>
  <c r="U21" i="3"/>
  <c r="K21" i="3"/>
  <c r="U20" i="3"/>
  <c r="K20" i="3"/>
  <c r="V20" i="3" s="1"/>
  <c r="K19" i="3"/>
  <c r="V19" i="3" s="1"/>
  <c r="K18" i="3"/>
  <c r="V18" i="3" s="1"/>
  <c r="K17" i="3"/>
  <c r="V17" i="3" s="1"/>
  <c r="K16" i="3"/>
  <c r="V16" i="3" s="1"/>
  <c r="K15" i="3"/>
  <c r="V15" i="3" s="1"/>
  <c r="K14" i="3"/>
  <c r="V14" i="3" s="1"/>
  <c r="V13" i="3"/>
  <c r="U13" i="3"/>
  <c r="K13" i="3"/>
  <c r="V12" i="3"/>
  <c r="K12" i="3"/>
  <c r="U11" i="3"/>
  <c r="K11" i="3"/>
  <c r="V11" i="3" s="1"/>
  <c r="V10" i="3"/>
  <c r="U10" i="3"/>
  <c r="K10" i="3"/>
  <c r="D4" i="3"/>
  <c r="K193" i="1"/>
  <c r="V193" i="1" s="1"/>
  <c r="K192" i="1"/>
  <c r="V192" i="1" s="1"/>
  <c r="K191" i="1"/>
  <c r="V191" i="1" s="1"/>
  <c r="K190" i="1"/>
  <c r="V190" i="1" s="1"/>
  <c r="V189" i="1"/>
  <c r="K189" i="1"/>
  <c r="K188" i="1"/>
  <c r="V188" i="1" s="1"/>
  <c r="V187" i="1"/>
  <c r="K187" i="1"/>
  <c r="K186" i="1"/>
  <c r="V186" i="1" s="1"/>
  <c r="K185" i="1"/>
  <c r="V185" i="1" s="1"/>
  <c r="K184" i="1"/>
  <c r="V184" i="1" s="1"/>
  <c r="K183" i="1"/>
  <c r="V183" i="1" s="1"/>
  <c r="K182" i="1"/>
  <c r="V182" i="1" s="1"/>
  <c r="V181" i="1"/>
  <c r="K181" i="1"/>
  <c r="V180" i="1"/>
  <c r="K180" i="1"/>
  <c r="K179" i="1"/>
  <c r="V179" i="1" s="1"/>
  <c r="K178" i="1"/>
  <c r="V178" i="1" s="1"/>
  <c r="K177" i="1"/>
  <c r="V177" i="1" s="1"/>
  <c r="K176" i="1"/>
  <c r="V176" i="1" s="1"/>
  <c r="K175" i="1"/>
  <c r="V175" i="1" s="1"/>
  <c r="K174" i="1"/>
  <c r="V174" i="1" s="1"/>
  <c r="V173" i="1"/>
  <c r="K173" i="1"/>
  <c r="V172" i="1"/>
  <c r="K172" i="1"/>
  <c r="V171" i="1"/>
  <c r="K171" i="1"/>
  <c r="K170" i="1"/>
  <c r="V170" i="1" s="1"/>
  <c r="K169" i="1"/>
  <c r="V169" i="1" s="1"/>
  <c r="K168" i="1"/>
  <c r="V168" i="1" s="1"/>
  <c r="K167" i="1"/>
  <c r="V167" i="1" s="1"/>
  <c r="K166" i="1"/>
  <c r="V166" i="1" s="1"/>
  <c r="K165" i="1"/>
  <c r="V165" i="1" s="1"/>
  <c r="V164" i="1"/>
  <c r="K164" i="1"/>
  <c r="V163" i="1"/>
  <c r="K163" i="1"/>
  <c r="K162" i="1"/>
  <c r="V162" i="1" s="1"/>
  <c r="K161" i="1"/>
  <c r="V161" i="1" s="1"/>
  <c r="K160" i="1"/>
  <c r="V160" i="1" s="1"/>
  <c r="K159" i="1"/>
  <c r="V159" i="1" s="1"/>
  <c r="K158" i="1"/>
  <c r="V158" i="1" s="1"/>
  <c r="V157" i="1"/>
  <c r="K157" i="1"/>
  <c r="U156" i="1"/>
  <c r="K156" i="1"/>
  <c r="V156" i="1" s="1"/>
  <c r="V155" i="1"/>
  <c r="K155" i="1"/>
  <c r="U154" i="1"/>
  <c r="K154" i="1"/>
  <c r="V154" i="1" s="1"/>
  <c r="U153" i="1"/>
  <c r="K153" i="1"/>
  <c r="V153" i="1" s="1"/>
  <c r="U152" i="1"/>
  <c r="K152" i="1"/>
  <c r="V152" i="1" s="1"/>
  <c r="V151" i="1"/>
  <c r="U151" i="1"/>
  <c r="K151" i="1"/>
  <c r="U150" i="1"/>
  <c r="V150" i="1" s="1"/>
  <c r="K150" i="1"/>
  <c r="U149" i="1"/>
  <c r="K149" i="1"/>
  <c r="V149" i="1" s="1"/>
  <c r="V148" i="1"/>
  <c r="U148" i="1"/>
  <c r="K148" i="1"/>
  <c r="U147" i="1"/>
  <c r="V147" i="1" s="1"/>
  <c r="K147" i="1"/>
  <c r="K146" i="1"/>
  <c r="V146" i="1" s="1"/>
  <c r="V145" i="1"/>
  <c r="U145" i="1"/>
  <c r="K145" i="1"/>
  <c r="U144" i="1"/>
  <c r="V144" i="1" s="1"/>
  <c r="K144" i="1"/>
  <c r="U143" i="1"/>
  <c r="K143" i="1"/>
  <c r="V143" i="1" s="1"/>
  <c r="U142" i="1"/>
  <c r="K142" i="1"/>
  <c r="V142" i="1" s="1"/>
  <c r="V141" i="1"/>
  <c r="U141" i="1"/>
  <c r="K141" i="1"/>
  <c r="U140" i="1"/>
  <c r="K140" i="1"/>
  <c r="V140" i="1" s="1"/>
  <c r="U139" i="1"/>
  <c r="K139" i="1"/>
  <c r="V139" i="1" s="1"/>
  <c r="U138" i="1"/>
  <c r="K138" i="1"/>
  <c r="V138" i="1" s="1"/>
  <c r="U137" i="1"/>
  <c r="K137" i="1"/>
  <c r="V137" i="1" s="1"/>
  <c r="U136" i="1"/>
  <c r="V136" i="1" s="1"/>
  <c r="K136" i="1"/>
  <c r="U135" i="1"/>
  <c r="K135" i="1"/>
  <c r="V135" i="1" s="1"/>
  <c r="V134" i="1"/>
  <c r="U134" i="1"/>
  <c r="K134" i="1"/>
  <c r="V133" i="1"/>
  <c r="U133" i="1"/>
  <c r="K133" i="1"/>
  <c r="U132" i="1"/>
  <c r="K132" i="1"/>
  <c r="V132" i="1" s="1"/>
  <c r="U131" i="1"/>
  <c r="K131" i="1"/>
  <c r="V131" i="1" s="1"/>
  <c r="U130" i="1"/>
  <c r="K130" i="1"/>
  <c r="U129" i="1"/>
  <c r="K129" i="1"/>
  <c r="V129" i="1" s="1"/>
  <c r="U128" i="1"/>
  <c r="V128" i="1" s="1"/>
  <c r="K128" i="1"/>
  <c r="V127" i="1"/>
  <c r="U127" i="1"/>
  <c r="K127" i="1"/>
  <c r="K126" i="1"/>
  <c r="V126" i="1" s="1"/>
  <c r="K125" i="1"/>
  <c r="V125" i="1" s="1"/>
  <c r="U124" i="1"/>
  <c r="K124" i="1"/>
  <c r="V124" i="1" s="1"/>
  <c r="U123" i="1"/>
  <c r="K123" i="1"/>
  <c r="V123" i="1" s="1"/>
  <c r="V122" i="1"/>
  <c r="U122" i="1"/>
  <c r="K122" i="1"/>
  <c r="U121" i="1"/>
  <c r="V121" i="1" s="1"/>
  <c r="K121" i="1"/>
  <c r="U120" i="1"/>
  <c r="K120" i="1"/>
  <c r="V120" i="1" s="1"/>
  <c r="U119" i="1"/>
  <c r="K119" i="1"/>
  <c r="V119" i="1" s="1"/>
  <c r="V118" i="1"/>
  <c r="U118" i="1"/>
  <c r="K118" i="1"/>
  <c r="U117" i="1"/>
  <c r="K117" i="1"/>
  <c r="V117" i="1" s="1"/>
  <c r="U116" i="1"/>
  <c r="K116" i="1"/>
  <c r="V116" i="1" s="1"/>
  <c r="V115" i="1"/>
  <c r="K115" i="1"/>
  <c r="U114" i="1"/>
  <c r="K114" i="1"/>
  <c r="V114" i="1" s="1"/>
  <c r="U113" i="1"/>
  <c r="K113" i="1"/>
  <c r="V113" i="1" s="1"/>
  <c r="U112" i="1"/>
  <c r="V112" i="1" s="1"/>
  <c r="K112" i="1"/>
  <c r="U111" i="1"/>
  <c r="V111" i="1" s="1"/>
  <c r="K111" i="1"/>
  <c r="U110" i="1"/>
  <c r="K110" i="1"/>
  <c r="V110" i="1" s="1"/>
  <c r="V109" i="1"/>
  <c r="K109" i="1"/>
  <c r="U108" i="1"/>
  <c r="V108" i="1" s="1"/>
  <c r="K108" i="1"/>
  <c r="U107" i="1"/>
  <c r="K107" i="1"/>
  <c r="V107" i="1" s="1"/>
  <c r="V106" i="1"/>
  <c r="U106" i="1"/>
  <c r="K106" i="1"/>
  <c r="U105" i="1"/>
  <c r="K105" i="1"/>
  <c r="V105" i="1" s="1"/>
  <c r="U104" i="1"/>
  <c r="K104" i="1"/>
  <c r="V104" i="1" s="1"/>
  <c r="K103" i="1"/>
  <c r="V103" i="1" s="1"/>
  <c r="U102" i="1"/>
  <c r="K102" i="1"/>
  <c r="V102" i="1" s="1"/>
  <c r="U101" i="1"/>
  <c r="K101" i="1"/>
  <c r="V101" i="1" s="1"/>
  <c r="U100" i="1"/>
  <c r="K100" i="1"/>
  <c r="V100" i="1" s="1"/>
  <c r="U99" i="1"/>
  <c r="K99" i="1"/>
  <c r="K98" i="1"/>
  <c r="V98" i="1" s="1"/>
  <c r="V97" i="1"/>
  <c r="K97" i="1"/>
  <c r="V96" i="1"/>
  <c r="K96" i="1"/>
  <c r="V95" i="1"/>
  <c r="K95" i="1"/>
  <c r="K94" i="1"/>
  <c r="V94" i="1" s="1"/>
  <c r="V93" i="1"/>
  <c r="K93" i="1"/>
  <c r="U92" i="1"/>
  <c r="K92" i="1"/>
  <c r="V92" i="1" s="1"/>
  <c r="K91" i="1"/>
  <c r="V91" i="1" s="1"/>
  <c r="U90" i="1"/>
  <c r="V90" i="1" s="1"/>
  <c r="K90" i="1"/>
  <c r="U89" i="1"/>
  <c r="K89" i="1"/>
  <c r="V89" i="1" s="1"/>
  <c r="U88" i="1"/>
  <c r="K88" i="1"/>
  <c r="V88" i="1" s="1"/>
  <c r="V87" i="1"/>
  <c r="U87" i="1"/>
  <c r="K87" i="1"/>
  <c r="K86" i="1"/>
  <c r="V86" i="1" s="1"/>
  <c r="V85" i="1"/>
  <c r="U85" i="1"/>
  <c r="K85" i="1"/>
  <c r="K84" i="1"/>
  <c r="V84" i="1" s="1"/>
  <c r="V83" i="1"/>
  <c r="K83" i="1"/>
  <c r="K82" i="1"/>
  <c r="V82" i="1" s="1"/>
  <c r="U81" i="1"/>
  <c r="K81" i="1"/>
  <c r="V81" i="1" s="1"/>
  <c r="V80" i="1"/>
  <c r="U80" i="1"/>
  <c r="K80" i="1"/>
  <c r="K79" i="1"/>
  <c r="V79" i="1" s="1"/>
  <c r="U78" i="1"/>
  <c r="K78" i="1"/>
  <c r="V78" i="1" s="1"/>
  <c r="V77" i="1"/>
  <c r="U77" i="1"/>
  <c r="K77" i="1"/>
  <c r="U76" i="1"/>
  <c r="K76" i="1"/>
  <c r="V76" i="1" s="1"/>
  <c r="U75" i="1"/>
  <c r="K75" i="1"/>
  <c r="V75" i="1" s="1"/>
  <c r="U74" i="1"/>
  <c r="K74" i="1"/>
  <c r="V74" i="1" s="1"/>
  <c r="V73" i="1"/>
  <c r="U73" i="1"/>
  <c r="K73" i="1"/>
  <c r="U72" i="1"/>
  <c r="V72" i="1" s="1"/>
  <c r="K72" i="1"/>
  <c r="U71" i="1"/>
  <c r="K71" i="1"/>
  <c r="V71" i="1" s="1"/>
  <c r="V70" i="1"/>
  <c r="U70" i="1"/>
  <c r="K70" i="1"/>
  <c r="U69" i="1"/>
  <c r="V69" i="1" s="1"/>
  <c r="K69" i="1"/>
  <c r="U68" i="1"/>
  <c r="K68" i="1"/>
  <c r="V68" i="1" s="1"/>
  <c r="K67" i="1"/>
  <c r="V67" i="1" s="1"/>
  <c r="U66" i="1"/>
  <c r="V66" i="1" s="1"/>
  <c r="K66" i="1"/>
  <c r="U65" i="1"/>
  <c r="K65" i="1"/>
  <c r="V65" i="1" s="1"/>
  <c r="K64" i="1"/>
  <c r="V64" i="1" s="1"/>
  <c r="K63" i="1"/>
  <c r="V63" i="1" s="1"/>
  <c r="K62" i="1"/>
  <c r="V62" i="1" s="1"/>
  <c r="K61" i="1"/>
  <c r="V61" i="1" s="1"/>
  <c r="V60" i="1"/>
  <c r="U60" i="1"/>
  <c r="K60" i="1"/>
  <c r="V59" i="1"/>
  <c r="U59" i="1"/>
  <c r="K59" i="1"/>
  <c r="K58" i="1"/>
  <c r="V58" i="1" s="1"/>
  <c r="V57" i="1"/>
  <c r="U57" i="1"/>
  <c r="K57" i="1"/>
  <c r="V56" i="1"/>
  <c r="U56" i="1"/>
  <c r="K56" i="1"/>
  <c r="U55" i="1"/>
  <c r="K55" i="1"/>
  <c r="V55" i="1" s="1"/>
  <c r="U54" i="1"/>
  <c r="K54" i="1"/>
  <c r="V54" i="1" s="1"/>
  <c r="U53" i="1"/>
  <c r="K53" i="1"/>
  <c r="K52" i="1"/>
  <c r="V52" i="1" s="1"/>
  <c r="V51" i="1"/>
  <c r="U51" i="1"/>
  <c r="K51" i="1"/>
  <c r="K50" i="1"/>
  <c r="V50" i="1" s="1"/>
  <c r="V49" i="1"/>
  <c r="K49" i="1"/>
  <c r="U48" i="1"/>
  <c r="K48" i="1"/>
  <c r="V48" i="1" s="1"/>
  <c r="V47" i="1"/>
  <c r="K47" i="1"/>
  <c r="U46" i="1"/>
  <c r="V46" i="1" s="1"/>
  <c r="K46" i="1"/>
  <c r="U45" i="1"/>
  <c r="K45" i="1"/>
  <c r="V45" i="1" s="1"/>
  <c r="V44" i="1"/>
  <c r="K44" i="1"/>
  <c r="U43" i="1"/>
  <c r="V43" i="1" s="1"/>
  <c r="K43" i="1"/>
  <c r="K42" i="1"/>
  <c r="V42" i="1" s="1"/>
  <c r="V41" i="1"/>
  <c r="U41" i="1"/>
  <c r="K41" i="1"/>
  <c r="K40" i="1"/>
  <c r="V40" i="1" s="1"/>
  <c r="U39" i="1"/>
  <c r="K39" i="1"/>
  <c r="V39" i="1" s="1"/>
  <c r="V38" i="1"/>
  <c r="U38" i="1"/>
  <c r="K38" i="1"/>
  <c r="U37" i="1"/>
  <c r="V37" i="1" s="1"/>
  <c r="K37" i="1"/>
  <c r="U36" i="1"/>
  <c r="K36" i="1"/>
  <c r="V36" i="1" s="1"/>
  <c r="U35" i="1"/>
  <c r="K35" i="1"/>
  <c r="V35" i="1" s="1"/>
  <c r="V34" i="1"/>
  <c r="U34" i="1"/>
  <c r="K34" i="1"/>
  <c r="U33" i="1"/>
  <c r="K33" i="1"/>
  <c r="V33" i="1" s="1"/>
  <c r="U32" i="1"/>
  <c r="K32" i="1"/>
  <c r="V32" i="1" s="1"/>
  <c r="V31" i="1"/>
  <c r="U31" i="1"/>
  <c r="K31" i="1"/>
  <c r="K30" i="1"/>
  <c r="V30" i="1" s="1"/>
  <c r="K29" i="1"/>
  <c r="V29" i="1" s="1"/>
  <c r="U28" i="1"/>
  <c r="K28" i="1"/>
  <c r="V28" i="1" s="1"/>
  <c r="U27" i="1"/>
  <c r="K27" i="1"/>
  <c r="V27" i="1" s="1"/>
  <c r="U26" i="1"/>
  <c r="K26" i="1"/>
  <c r="K25" i="1"/>
  <c r="V25" i="1" s="1"/>
  <c r="V24" i="1"/>
  <c r="K24" i="1"/>
  <c r="U23" i="1"/>
  <c r="K23" i="1"/>
  <c r="V23" i="1" s="1"/>
  <c r="U22" i="1"/>
  <c r="K22" i="1"/>
  <c r="V22" i="1" s="1"/>
  <c r="V21" i="1"/>
  <c r="K21" i="1"/>
  <c r="V20" i="1"/>
  <c r="K19" i="1"/>
  <c r="V19" i="1" s="1"/>
  <c r="V18" i="1"/>
  <c r="U18" i="1"/>
  <c r="K18" i="1"/>
  <c r="U17" i="1"/>
  <c r="V17" i="1" s="1"/>
  <c r="K17" i="1"/>
  <c r="U16" i="1"/>
  <c r="K16" i="1"/>
  <c r="V16" i="1" s="1"/>
  <c r="V15" i="1"/>
  <c r="U15" i="1"/>
  <c r="K15" i="1"/>
  <c r="U14" i="1"/>
  <c r="V14" i="1" s="1"/>
  <c r="K14" i="1"/>
  <c r="U13" i="1"/>
  <c r="K13" i="1"/>
  <c r="V13" i="1" s="1"/>
  <c r="U12" i="1"/>
  <c r="K12" i="1"/>
  <c r="V12" i="1" s="1"/>
  <c r="V11" i="1"/>
  <c r="U11" i="1"/>
  <c r="K11" i="1"/>
  <c r="K10" i="1"/>
  <c r="V10" i="1" s="1"/>
  <c r="D4" i="1"/>
  <c r="V38" i="3" l="1"/>
  <c r="U33" i="3"/>
  <c r="V33" i="3" s="1"/>
  <c r="V36" i="3"/>
  <c r="V116" i="4"/>
  <c r="V33" i="5"/>
  <c r="V86" i="5"/>
  <c r="V104" i="5"/>
  <c r="D3" i="7"/>
  <c r="E2" i="7" s="1"/>
  <c r="D3" i="1"/>
  <c r="E2" i="1" s="1"/>
  <c r="V37" i="3"/>
  <c r="V134" i="5"/>
  <c r="V20" i="6"/>
  <c r="V26" i="1"/>
  <c r="V99" i="1"/>
  <c r="U37" i="3"/>
  <c r="V49" i="3"/>
  <c r="V148" i="3"/>
  <c r="V174" i="3"/>
  <c r="V86" i="4"/>
  <c r="D3" i="6"/>
  <c r="E2" i="6" s="1"/>
  <c r="V10" i="6"/>
  <c r="U38" i="3"/>
  <c r="V41" i="3"/>
  <c r="V85" i="3"/>
  <c r="V100" i="3"/>
  <c r="V12" i="4"/>
  <c r="V27" i="4"/>
  <c r="V96" i="4"/>
  <c r="V18" i="5"/>
  <c r="V38" i="5"/>
  <c r="V121" i="5"/>
  <c r="D3" i="3"/>
  <c r="E2" i="3" s="1"/>
  <c r="V53" i="1"/>
  <c r="V130" i="1"/>
  <c r="V68" i="3"/>
  <c r="V79" i="3"/>
  <c r="V92" i="3"/>
  <c r="V107" i="3"/>
  <c r="V160" i="3"/>
  <c r="V19" i="4"/>
  <c r="V34" i="4"/>
  <c r="V51" i="4"/>
  <c r="V106" i="4"/>
  <c r="D3" i="5"/>
  <c r="E2" i="5" s="1"/>
  <c r="V26" i="5"/>
  <c r="V92" i="5"/>
  <c r="V108" i="6"/>
  <c r="D3" i="9"/>
  <c r="E2" i="9" s="1"/>
  <c r="V113" i="5"/>
  <c r="V144" i="5"/>
  <c r="V26" i="6"/>
  <c r="V46" i="6"/>
  <c r="V120" i="6"/>
  <c r="V12" i="7"/>
  <c r="V77" i="7"/>
  <c r="D3" i="8"/>
  <c r="E2" i="8" s="1"/>
  <c r="V23" i="6"/>
  <c r="V43" i="6"/>
  <c r="V156" i="6"/>
  <c r="V43" i="7"/>
  <c r="V93" i="7"/>
  <c r="D3" i="12"/>
  <c r="E2" i="12" s="1"/>
  <c r="V55" i="5"/>
  <c r="V85" i="5"/>
  <c r="V65" i="7"/>
  <c r="V125" i="5"/>
  <c r="V56" i="6"/>
  <c r="V128" i="6"/>
  <c r="V144" i="6"/>
  <c r="V135" i="6"/>
</calcChain>
</file>

<file path=xl/sharedStrings.xml><?xml version="1.0" encoding="utf-8"?>
<sst xmlns="http://schemas.openxmlformats.org/spreadsheetml/2006/main" count="32538" uniqueCount="6676">
  <si>
    <t xml:space="preserve">   </t>
  </si>
  <si>
    <t>Turnover Target</t>
  </si>
  <si>
    <t>Success</t>
  </si>
  <si>
    <t xml:space="preserve">  </t>
  </si>
  <si>
    <t>Remaining</t>
  </si>
  <si>
    <t>Day</t>
  </si>
  <si>
    <t>Time</t>
  </si>
  <si>
    <t>MEDİAMARKT ORDER CHECKLİST MAY 2022</t>
  </si>
  <si>
    <t xml:space="preserve">MM Vergi No: </t>
  </si>
  <si>
    <t xml:space="preserve"> </t>
  </si>
  <si>
    <t xml:space="preserve">PAZARLAMA </t>
  </si>
  <si>
    <t>SATINALMA</t>
  </si>
  <si>
    <t>SEVKİYAT</t>
  </si>
  <si>
    <t>İRSALİYE</t>
  </si>
  <si>
    <t>FATURA</t>
  </si>
  <si>
    <t>MALİYET</t>
  </si>
  <si>
    <t>KAR</t>
  </si>
  <si>
    <t>LİNE</t>
  </si>
  <si>
    <t>Date</t>
  </si>
  <si>
    <t>City</t>
  </si>
  <si>
    <t>Store</t>
  </si>
  <si>
    <t>Purchase</t>
  </si>
  <si>
    <t>Piece</t>
  </si>
  <si>
    <t>Total</t>
  </si>
  <si>
    <t>Maliyet</t>
  </si>
  <si>
    <t>Net kar</t>
  </si>
  <si>
    <t>Bursa</t>
  </si>
  <si>
    <t>Korupark</t>
  </si>
  <si>
    <t>Sezgin İtem</t>
  </si>
  <si>
    <t>Kanca 100cm</t>
  </si>
  <si>
    <t>Adet</t>
  </si>
  <si>
    <t>E</t>
  </si>
  <si>
    <t xml:space="preserve">RE02024000000040
</t>
  </si>
  <si>
    <t xml:space="preserve">Bursa </t>
  </si>
  <si>
    <t xml:space="preserve">Kaşe İsim Kaşesi </t>
  </si>
  <si>
    <t xml:space="preserve">RE02024000000028
</t>
  </si>
  <si>
    <t>Carrefour</t>
  </si>
  <si>
    <t>Enes Erdoğan</t>
  </si>
  <si>
    <t>Kartvizit</t>
  </si>
  <si>
    <t>M</t>
  </si>
  <si>
    <t>RE02024000000066</t>
  </si>
  <si>
    <t xml:space="preserve">İzmir </t>
  </si>
  <si>
    <t>Hilltown</t>
  </si>
  <si>
    <t>Eda Parlak</t>
  </si>
  <si>
    <t>Ajanda 2024</t>
  </si>
  <si>
    <t xml:space="preserve">RE02024000000029
</t>
  </si>
  <si>
    <t>Sakarya</t>
  </si>
  <si>
    <t>Serdivan</t>
  </si>
  <si>
    <t>Şule Karasakal</t>
  </si>
  <si>
    <t>Kağıt Alarm Etiketi</t>
  </si>
  <si>
    <t>RE02024000000015</t>
  </si>
  <si>
    <t>Ankara</t>
  </si>
  <si>
    <t>Ankamall</t>
  </si>
  <si>
    <t>Zuhal HAnım</t>
  </si>
  <si>
    <t xml:space="preserve">RE02024000000067
</t>
  </si>
  <si>
    <t>İzmit</t>
  </si>
  <si>
    <t>Bavaria</t>
  </si>
  <si>
    <t>Aydın Çakır</t>
  </si>
  <si>
    <t>Logolu Koli Bantı</t>
  </si>
  <si>
    <t xml:space="preserve">RE02024000000016
</t>
  </si>
  <si>
    <t xml:space="preserve">Adana </t>
  </si>
  <si>
    <t>Optimum</t>
  </si>
  <si>
    <t>Ümit Tanrıverdi</t>
  </si>
  <si>
    <t>Enerji Etiketi Kanguru Cep</t>
  </si>
  <si>
    <t>stok</t>
  </si>
  <si>
    <t>RE02024000000017</t>
  </si>
  <si>
    <t>Natavega</t>
  </si>
  <si>
    <t>Mehmet Karakaya</t>
  </si>
  <si>
    <t>Logolu Karton Bardak</t>
  </si>
  <si>
    <t>RE02024000000018</t>
  </si>
  <si>
    <t>Kulakiçi Kulaklık Stantı 125 cm Alt Ahşabı ile birlikte</t>
  </si>
  <si>
    <t xml:space="preserve">RE02024000000071
</t>
  </si>
  <si>
    <t>Lojistik</t>
  </si>
  <si>
    <t>RE02024000000075</t>
  </si>
  <si>
    <t>Park</t>
  </si>
  <si>
    <t>Ebru Yalçın</t>
  </si>
  <si>
    <t>Kulaklık Askılığı</t>
  </si>
  <si>
    <t>STOK</t>
  </si>
  <si>
    <t>RM02024000000003</t>
  </si>
  <si>
    <t>03.01.2024</t>
  </si>
  <si>
    <t>Yazar Kasa Rulosu 80x30</t>
  </si>
  <si>
    <t>İzmir Park  6050,00 tl 2 aya bölünmesini istiyor</t>
  </si>
  <si>
    <t xml:space="preserve">RM02024000000001
</t>
  </si>
  <si>
    <t>Patago Tutucu</t>
  </si>
  <si>
    <t>İstinyepark</t>
  </si>
  <si>
    <t>Merih Berberler</t>
  </si>
  <si>
    <t>Numberlink 1-50</t>
  </si>
  <si>
    <t>RE02024000000019</t>
  </si>
  <si>
    <t>Kırmızı Teşhir Etiketi (Kağıt 2500'lü)</t>
  </si>
  <si>
    <t>Antares</t>
  </si>
  <si>
    <t>Fatma Şahin</t>
  </si>
  <si>
    <t>RE02024000000020</t>
  </si>
  <si>
    <t>Pos Cihazı Rulosu 56x16</t>
  </si>
  <si>
    <t>Gaziantep</t>
  </si>
  <si>
    <t>Sankopark</t>
  </si>
  <si>
    <t>Celal Mutlu</t>
  </si>
  <si>
    <t>Spiralli Kablo</t>
  </si>
  <si>
    <t>RE02024000000021</t>
  </si>
  <si>
    <t>Denizli</t>
  </si>
  <si>
    <t>Teraspark</t>
  </si>
  <si>
    <t>Evrim İlhan</t>
  </si>
  <si>
    <t>Klavye Koruyucu 2 Delikli</t>
  </si>
  <si>
    <t>RE02024000000041</t>
  </si>
  <si>
    <t>Sepet Üstü Akrilik</t>
  </si>
  <si>
    <t>İstanbul</t>
  </si>
  <si>
    <t>Marmarapark-Beylikdüzü</t>
  </si>
  <si>
    <t>Mahir Oktay Demir</t>
  </si>
  <si>
    <t>RE02024000000025</t>
  </si>
  <si>
    <t>Kocaeli</t>
  </si>
  <si>
    <t>Gebze</t>
  </si>
  <si>
    <t>Faruk Orhan</t>
  </si>
  <si>
    <t>Tabure</t>
  </si>
  <si>
    <t>RE02024000000024</t>
  </si>
  <si>
    <t>Bahçeşehir-Migros</t>
  </si>
  <si>
    <t>Kemal Kaplan</t>
  </si>
  <si>
    <t>RE02024000000100</t>
  </si>
  <si>
    <t>Termal Etiket 100x100</t>
  </si>
  <si>
    <t xml:space="preserve">RE02024000000031
</t>
  </si>
  <si>
    <t>RE02024000000030</t>
  </si>
  <si>
    <t xml:space="preserve">RE02024000000058
</t>
  </si>
  <si>
    <t>Kaşe İsim Kaşesi  (Kemal Kaplan-Tuğba Karadaş)</t>
  </si>
  <si>
    <t xml:space="preserve">RE02024000000032
</t>
  </si>
  <si>
    <t>Mall Of</t>
  </si>
  <si>
    <t>Recep Kütük</t>
  </si>
  <si>
    <t>Reyon Bariyeri 125cm</t>
  </si>
  <si>
    <t xml:space="preserve">RE02024000000126
</t>
  </si>
  <si>
    <t>04.01.2024</t>
  </si>
  <si>
    <t>Kaşe Yuvarlak İsim KAşesi- Eda Çevik-Hanife Yalçın</t>
  </si>
  <si>
    <t>RE02024000000053</t>
  </si>
  <si>
    <t>Şanlıurfa</t>
  </si>
  <si>
    <t>Piazza</t>
  </si>
  <si>
    <t>Mehmet Ercan</t>
  </si>
  <si>
    <t xml:space="preserve">RE02024000000033
</t>
  </si>
  <si>
    <t xml:space="preserve">Pleksi L Tipi A5 </t>
  </si>
  <si>
    <t>RE02024000000042</t>
  </si>
  <si>
    <t xml:space="preserve">RE02024000000026
</t>
  </si>
  <si>
    <t>05.01.2024</t>
  </si>
  <si>
    <t>Forum</t>
  </si>
  <si>
    <t>Damla Yücel</t>
  </si>
  <si>
    <t>Blender Ucu Koruyucu</t>
  </si>
  <si>
    <t>RE02024000000034</t>
  </si>
  <si>
    <t>bavaria</t>
  </si>
  <si>
    <t>Kargo Cebi</t>
  </si>
  <si>
    <t>RE02024000000035</t>
  </si>
  <si>
    <t>Antalya</t>
  </si>
  <si>
    <t>Kepez Kipa</t>
  </si>
  <si>
    <t>Ülker Kabasakal</t>
  </si>
  <si>
    <t>Güvenlik Etiketi 4,5cm</t>
  </si>
  <si>
    <t xml:space="preserve">RE02024000000036
</t>
  </si>
  <si>
    <t>Samsun</t>
  </si>
  <si>
    <t>Muharrem Talay</t>
  </si>
  <si>
    <t>İSG Ayakkabısı 43-44</t>
  </si>
  <si>
    <t>RE02024000000087</t>
  </si>
  <si>
    <t>isimlik 50 Satış Danışmanı-5Satış Takım Lideri-2 Teslimat Uzmanı-4Depo Sorumlusu</t>
  </si>
  <si>
    <t>RE02024000000055</t>
  </si>
  <si>
    <t>Kadir Pektaş</t>
  </si>
  <si>
    <t>Kapı Giydirme</t>
  </si>
  <si>
    <t>RE02024000000165</t>
  </si>
  <si>
    <t>Özdilek</t>
  </si>
  <si>
    <t>Aydın Taştapan</t>
  </si>
  <si>
    <t>İSG Ayakkabısı 43-48 Numara YDS Model</t>
  </si>
  <si>
    <t>RE02024000000049</t>
  </si>
  <si>
    <t>Aydın Taşyapan</t>
  </si>
  <si>
    <t>RE02024000000037</t>
  </si>
  <si>
    <t xml:space="preserve">RE02024000000038
</t>
  </si>
  <si>
    <t>Montaj Eldiveni - En Büyük Boy-</t>
  </si>
  <si>
    <t>Egemen Çöp</t>
  </si>
  <si>
    <t>RE02024000000039</t>
  </si>
  <si>
    <t>Buse Balantekin</t>
  </si>
  <si>
    <t>Kasa 1-2-3-4 Sticker</t>
  </si>
  <si>
    <t>RE02024000000054</t>
  </si>
  <si>
    <t>Kayseri</t>
  </si>
  <si>
    <t>Gonca Özhan</t>
  </si>
  <si>
    <t xml:space="preserve">RE02024000000044
</t>
  </si>
  <si>
    <t>RE02024000000043</t>
  </si>
  <si>
    <t>Dikey Süprge Ayağı</t>
  </si>
  <si>
    <t xml:space="preserve">RM02024000000004
</t>
  </si>
  <si>
    <t>Aksesuar Sepeti</t>
  </si>
  <si>
    <t>Muzaffer Bey</t>
  </si>
  <si>
    <t>Uvex İSG Ayakkabısı 45 Numara</t>
  </si>
  <si>
    <t>RE02024000000051</t>
  </si>
  <si>
    <t>Özkan Yasun</t>
  </si>
  <si>
    <t>RE02024000000101</t>
  </si>
  <si>
    <t>Streç Film</t>
  </si>
  <si>
    <t xml:space="preserve">RE02024000000046
</t>
  </si>
  <si>
    <t>ESO</t>
  </si>
  <si>
    <t xml:space="preserve">FD02024000000025
</t>
  </si>
  <si>
    <t xml:space="preserve">RE02024000000045
</t>
  </si>
  <si>
    <t>Promotör İsimlik Plksi-Mıknatıslı</t>
  </si>
  <si>
    <t>RE02024000000059</t>
  </si>
  <si>
    <t>İsimlik Mediamarkt - 2 Teslimat Uzmanı - 4 Satış Takım Lideri</t>
  </si>
  <si>
    <t>İsimlik Mediamarkt - 4 Müşteri Hizmetleri - 8 Kasiyer</t>
  </si>
  <si>
    <t>RE02024000000060</t>
  </si>
  <si>
    <t>RE02024000000050</t>
  </si>
  <si>
    <t>Diyarbakır</t>
  </si>
  <si>
    <t>Ceylan</t>
  </si>
  <si>
    <t>Sidar Uzunca</t>
  </si>
  <si>
    <t>Strech Film -Siyah</t>
  </si>
  <si>
    <t>RE02024000000080</t>
  </si>
  <si>
    <t>Personel Yaka İpi</t>
  </si>
  <si>
    <t xml:space="preserve">RE02024000000061
</t>
  </si>
  <si>
    <t>Kentpark</t>
  </si>
  <si>
    <t>Sedat Demir</t>
  </si>
  <si>
    <t xml:space="preserve">Strech Film </t>
  </si>
  <si>
    <t>RE02024000000056</t>
  </si>
  <si>
    <t>Balonlu Naylon 150x100</t>
  </si>
  <si>
    <t>Güneşli 212</t>
  </si>
  <si>
    <t>Zorbey Bey</t>
  </si>
  <si>
    <t xml:space="preserve">RE02024000000068
</t>
  </si>
  <si>
    <t>Seda Aslanpay</t>
  </si>
  <si>
    <t>Satış Danışmanı İsimlik</t>
  </si>
  <si>
    <t>RE02024000000076</t>
  </si>
  <si>
    <t>Konya</t>
  </si>
  <si>
    <t>M1</t>
  </si>
  <si>
    <t>Alper Özçelik</t>
  </si>
  <si>
    <t>RE02024000000102</t>
  </si>
  <si>
    <t xml:space="preserve">Kocaeli </t>
  </si>
  <si>
    <t xml:space="preserve">RE02024000000062
</t>
  </si>
  <si>
    <t>Samet Genar</t>
  </si>
  <si>
    <t>RE02024000000063</t>
  </si>
  <si>
    <t>Anatolium</t>
  </si>
  <si>
    <t>Murat Özgan</t>
  </si>
  <si>
    <t>Kaşe-Mal Giriş-Mal Çıkış</t>
  </si>
  <si>
    <t>RE02024000000081</t>
  </si>
  <si>
    <t>Kaşe-İsim Kaşesi  - Sefa Yılmaz-</t>
  </si>
  <si>
    <t xml:space="preserve">İstanbul </t>
  </si>
  <si>
    <t>Teşhir Tablası Tahtası İle Birlikte</t>
  </si>
  <si>
    <t xml:space="preserve">RE02024000000069
</t>
  </si>
  <si>
    <t xml:space="preserve">RE02024000000127
</t>
  </si>
  <si>
    <t>Reyon Bariyeri 100cm</t>
  </si>
  <si>
    <t>Balçova</t>
  </si>
  <si>
    <t>Sema Hanım</t>
  </si>
  <si>
    <t>RE02024000000070</t>
  </si>
  <si>
    <t>Engin Barkad</t>
  </si>
  <si>
    <t>Yeni Tip Süpürge Tutucu</t>
  </si>
  <si>
    <t xml:space="preserve">RE02024000000103
</t>
  </si>
  <si>
    <t>Strech Film</t>
  </si>
  <si>
    <t>Hakan Özkan</t>
  </si>
  <si>
    <t xml:space="preserve">Termal Etiket 100x100 </t>
  </si>
  <si>
    <t>RE02024000000077</t>
  </si>
  <si>
    <t xml:space="preserve">RE02024000000072
</t>
  </si>
  <si>
    <t>Kerem Şentürk</t>
  </si>
  <si>
    <t>RE02024000000073</t>
  </si>
  <si>
    <t>Terracity</t>
  </si>
  <si>
    <t>Kübra Toprak</t>
  </si>
  <si>
    <t>Kurumsal Defter</t>
  </si>
  <si>
    <t>RE02024000000074</t>
  </si>
  <si>
    <t>Çanakkale</t>
  </si>
  <si>
    <t>Kipa</t>
  </si>
  <si>
    <t>Emine Özdemir</t>
  </si>
  <si>
    <t>RE02024000000082</t>
  </si>
  <si>
    <t>Çağrı Pipilos</t>
  </si>
  <si>
    <t>Sürgülü kilitli Kulakiçi Kulaklık Standı 100 cm</t>
  </si>
  <si>
    <t>FD02024000000113</t>
  </si>
  <si>
    <t>RE02024000000199</t>
  </si>
  <si>
    <t>Kulakiçi Kulaklık Tutacağı</t>
  </si>
  <si>
    <t>Sürgülü Dron Stantı 35x100h:25</t>
  </si>
  <si>
    <t>Sürgülü Dron Stantı 35x125h:25</t>
  </si>
  <si>
    <t>Pleksiglass UV Baskı -İnternet Satışı Teslim Alanı</t>
  </si>
  <si>
    <t>RE02024000000104</t>
  </si>
  <si>
    <t>Fartma ŞAhin</t>
  </si>
  <si>
    <t>Pleksiglass UV Baskı 50.5x90cm</t>
  </si>
  <si>
    <t>Tekirdağ</t>
  </si>
  <si>
    <t>Çorlu</t>
  </si>
  <si>
    <t>Glüldan Kılıç</t>
  </si>
  <si>
    <t xml:space="preserve">RE02024000000078
</t>
  </si>
  <si>
    <t xml:space="preserve">RE02024000000088
</t>
  </si>
  <si>
    <t xml:space="preserve">RE02024000000089
</t>
  </si>
  <si>
    <t>Zümrüt Alkanat</t>
  </si>
  <si>
    <t>RE02024000000105</t>
  </si>
  <si>
    <t>Pleksi Mıknatıslı Fotoğraf 10x15</t>
  </si>
  <si>
    <t>RE02024000000083</t>
  </si>
  <si>
    <t>Maltepe Piazza</t>
  </si>
  <si>
    <t>Tayfun Bey</t>
  </si>
  <si>
    <t>RE02024000000136</t>
  </si>
  <si>
    <t>Pleksi Kulaklık Askılığı</t>
  </si>
  <si>
    <t xml:space="preserve">RE02024000000210
</t>
  </si>
  <si>
    <t>Plastik Cırt Kelepçe Siyah 30cm</t>
  </si>
  <si>
    <t>Plastik Cırt Kelepçe Beyaz 30cm</t>
  </si>
  <si>
    <t>Kartvizit - Tayfun Oktay</t>
  </si>
  <si>
    <t>RE02024000000135</t>
  </si>
  <si>
    <t xml:space="preserve">RE02024000000128
</t>
  </si>
  <si>
    <t>Afyon</t>
  </si>
  <si>
    <t>Şengül HAnım</t>
  </si>
  <si>
    <t>RE02024000000090</t>
  </si>
  <si>
    <t>MarkAntalya</t>
  </si>
  <si>
    <t>Namık Bey</t>
  </si>
  <si>
    <t>RE02024000000106</t>
  </si>
  <si>
    <t>Kg Etiketi Sticker 14x14cm</t>
  </si>
  <si>
    <t>RE02024000000129</t>
  </si>
  <si>
    <t>Sinan Bey</t>
  </si>
  <si>
    <t xml:space="preserve">RE02024000000091
</t>
  </si>
  <si>
    <t>Marmarapark</t>
  </si>
  <si>
    <t>Logolu Karton Bardak (Özellikle Koli Üzerine Mahir Aldemir Dikkatine Yazılacak)</t>
  </si>
  <si>
    <t xml:space="preserve">RE02024000000092
</t>
  </si>
  <si>
    <t xml:space="preserve">RE02024000000093
</t>
  </si>
  <si>
    <t>Brandium</t>
  </si>
  <si>
    <t>Ahmet Işık</t>
  </si>
  <si>
    <t>RE02024000000084</t>
  </si>
  <si>
    <t>RE02024000000107</t>
  </si>
  <si>
    <t>TV Güvenlik Teli</t>
  </si>
  <si>
    <t>RE02024000000094</t>
  </si>
  <si>
    <t>RE02024000000095</t>
  </si>
  <si>
    <t>Aydın ÇAkır</t>
  </si>
  <si>
    <t>Termal Etiket 40x20 1000 Sarım</t>
  </si>
  <si>
    <t>RE02024000000096</t>
  </si>
  <si>
    <t>Kablo Kanalı 5x10  1 Metre</t>
  </si>
  <si>
    <t>RE02024000000108</t>
  </si>
  <si>
    <t>Pleksi Teşhir Kutusu</t>
  </si>
  <si>
    <t>RE02024000000109</t>
  </si>
  <si>
    <t xml:space="preserve">RE02024000000097
</t>
  </si>
  <si>
    <t>Kulecity</t>
  </si>
  <si>
    <t>Songül Çelik</t>
  </si>
  <si>
    <t xml:space="preserve">RE02024000000098
</t>
  </si>
  <si>
    <t>Özkan YAsun</t>
  </si>
  <si>
    <t>RE02024000000099</t>
  </si>
  <si>
    <t>Torium</t>
  </si>
  <si>
    <t>Sercan Gündoğdu</t>
  </si>
  <si>
    <t>Paket Lastiği</t>
  </si>
  <si>
    <t>Kg</t>
  </si>
  <si>
    <t>RE02024000000119</t>
  </si>
  <si>
    <t>Logolu Koli Bandı</t>
  </si>
  <si>
    <t>RE02024000000110</t>
  </si>
  <si>
    <t>RE02024000000111</t>
  </si>
  <si>
    <t>Plastik Bardak Koli</t>
  </si>
  <si>
    <t>RE02024000000112</t>
  </si>
  <si>
    <t>Kepez-Kipa</t>
  </si>
  <si>
    <t>Emre Bey</t>
  </si>
  <si>
    <t xml:space="preserve">RE02024000000113
</t>
  </si>
  <si>
    <t xml:space="preserve">RE02024000000114
</t>
  </si>
  <si>
    <t>Pleksi A4 Mıknatıslı</t>
  </si>
  <si>
    <t>RE02024000000137</t>
  </si>
  <si>
    <t xml:space="preserve">Ataşehir Optimum </t>
  </si>
  <si>
    <t>Sezer Özdemir</t>
  </si>
  <si>
    <t>RE02024000000130</t>
  </si>
  <si>
    <t>Metromall</t>
  </si>
  <si>
    <t>İbrahim Taşyonan</t>
  </si>
  <si>
    <t>RE02024000000115</t>
  </si>
  <si>
    <t>Kızılay</t>
  </si>
  <si>
    <t>Erşan Dikbaşlı</t>
  </si>
  <si>
    <t>RE02024000000116</t>
  </si>
  <si>
    <t>Esjişehir</t>
  </si>
  <si>
    <t>Vega</t>
  </si>
  <si>
    <t>Erkan Gündoğar</t>
  </si>
  <si>
    <t xml:space="preserve">RE02024000000117
</t>
  </si>
  <si>
    <t>Eskişehir</t>
  </si>
  <si>
    <t>Plastik Bardak</t>
  </si>
  <si>
    <t>RE02024000000120</t>
  </si>
  <si>
    <t>RM02024000000002</t>
  </si>
  <si>
    <t>Yeter HAn</t>
  </si>
  <si>
    <t>80x60x15 Baza (rengi teyit edilicek)</t>
  </si>
  <si>
    <t>F</t>
  </si>
  <si>
    <t>RE02024000000121</t>
  </si>
  <si>
    <t>RE02024000000122</t>
  </si>
  <si>
    <t>RE02024000000123</t>
  </si>
  <si>
    <t>RE02024000000138</t>
  </si>
  <si>
    <t xml:space="preserve">RE02024000000139
</t>
  </si>
  <si>
    <t>Weiland Düz Kablo 2 Metre</t>
  </si>
  <si>
    <t>Weiland Düz Kablo 3 Metre</t>
  </si>
  <si>
    <t>Nevçarşı</t>
  </si>
  <si>
    <t>Oktay Kayıkçı</t>
  </si>
  <si>
    <t>İsimlik Personel İsimliği (4 Kasiyer-3Müşteri Hizmetleri-2Teslimat Uzmanı)</t>
  </si>
  <si>
    <t xml:space="preserve">RE02024000000140
</t>
  </si>
  <si>
    <t>RE02024000000141</t>
  </si>
  <si>
    <t>RE02024000000142</t>
  </si>
  <si>
    <t>Bilal Uluçınar</t>
  </si>
  <si>
    <t>Strech film</t>
  </si>
  <si>
    <t>RE02024000000143</t>
  </si>
  <si>
    <t xml:space="preserve">RE02024000000144
</t>
  </si>
  <si>
    <t xml:space="preserve">RE02024000000166
</t>
  </si>
  <si>
    <t>Recep Bey</t>
  </si>
  <si>
    <t xml:space="preserve">RE02024000000176
</t>
  </si>
  <si>
    <t>Atlantis</t>
  </si>
  <si>
    <t>Murat İlgün</t>
  </si>
  <si>
    <t>Enerji Etiketi</t>
  </si>
  <si>
    <t xml:space="preserve">RE02024000000145
</t>
  </si>
  <si>
    <t>Numberlink 1-80 Arası</t>
  </si>
  <si>
    <t xml:space="preserve">RE02024000000182
</t>
  </si>
  <si>
    <t>Numberlink 1-40 Arası</t>
  </si>
  <si>
    <t>Balon Kapı Süsleme</t>
  </si>
  <si>
    <t>Maliyeti:2400tl</t>
  </si>
  <si>
    <t xml:space="preserve">RE02024000000146
</t>
  </si>
  <si>
    <t>Balon Kalp</t>
  </si>
  <si>
    <t>Maliyeti:1000tl</t>
  </si>
  <si>
    <t>RE02024000000147</t>
  </si>
  <si>
    <t>02.02.2024</t>
  </si>
  <si>
    <t>Kentmeydanı</t>
  </si>
  <si>
    <t>Ferdi Ceyhan</t>
  </si>
  <si>
    <t>RE02024000000157</t>
  </si>
  <si>
    <t>Mağaza İçi Balon Süsleme</t>
  </si>
  <si>
    <t>Maliyeti:25tl</t>
  </si>
  <si>
    <t>Pleksi Harddisk Ayağı</t>
  </si>
  <si>
    <t xml:space="preserve">RE02024000000177
</t>
  </si>
  <si>
    <t>Demet Hanım</t>
  </si>
  <si>
    <t xml:space="preserve">RE02024000000148
</t>
  </si>
  <si>
    <t>Sedat Gürbüz</t>
  </si>
  <si>
    <t>RE02024000000149</t>
  </si>
  <si>
    <t>Adana</t>
  </si>
  <si>
    <t>Ersoy Kurşun</t>
  </si>
  <si>
    <t>Klavye Koruyucu</t>
  </si>
  <si>
    <t>RE02024000000178</t>
  </si>
  <si>
    <t>Folyo Baskı+Uygulama (Robot Süpürge İçin)</t>
  </si>
  <si>
    <t>RE02024000000190</t>
  </si>
  <si>
    <t>03.02.2024</t>
  </si>
  <si>
    <t>RE02024000000150</t>
  </si>
  <si>
    <t>05.02.2024</t>
  </si>
  <si>
    <t>AtlasPark</t>
  </si>
  <si>
    <t>Bilal Duman</t>
  </si>
  <si>
    <t>İlk Yardım Çantası İY070</t>
  </si>
  <si>
    <t xml:space="preserve">RE02024000000153
</t>
  </si>
  <si>
    <t>Strech Film 50cmx300Mt 17 Micron</t>
  </si>
  <si>
    <t>Hava Kabarcıklı Ambalaj Malzemesi 100x50mt 50m2</t>
  </si>
  <si>
    <t>Panda H-1024 İthal Anahtar Dolabı 24'lü</t>
  </si>
  <si>
    <t>Maped 85110 Expert Maket Bıçağı</t>
  </si>
  <si>
    <t>Maped 85910 Expert Maket Bıçağı Yedeği</t>
  </si>
  <si>
    <t>Mas 670 Koli Bant Makinası 2'50Mm (Abs Hm.)</t>
  </si>
  <si>
    <t>Ve-Ge Bufalo Koli Bandı 45x100 Şeffaf</t>
  </si>
  <si>
    <t>Emniyeli Merdiven 5 Basamaklı Metal</t>
  </si>
  <si>
    <t>İzmir</t>
  </si>
  <si>
    <t>Bornova</t>
  </si>
  <si>
    <t>Gül Sandıklı</t>
  </si>
  <si>
    <t>RE02024000000237</t>
  </si>
  <si>
    <t>Pomotör İsimliği Pelksi Mıknatıslı</t>
  </si>
  <si>
    <t>RE02024000000154</t>
  </si>
  <si>
    <t>Bu Benim Kartı 50Kırmızı-50Sarı</t>
  </si>
  <si>
    <t>Kaşe   Ufuk Akkuş - Ayşe Gül Sandıklı-</t>
  </si>
  <si>
    <t xml:space="preserve">RE02024000000158
</t>
  </si>
  <si>
    <t>Kaşe -- Simge Türkmen</t>
  </si>
  <si>
    <t>RE02024000000159</t>
  </si>
  <si>
    <t>Spiralli Kablo 4 Metre</t>
  </si>
  <si>
    <t xml:space="preserve">RE02024000000156
</t>
  </si>
  <si>
    <t>Branda -Sizin için Yenileniyoruz-</t>
  </si>
  <si>
    <t>RE02024000000160</t>
  </si>
  <si>
    <t>Balıkesir</t>
  </si>
  <si>
    <t>10 Burda</t>
  </si>
  <si>
    <t>Selda Hanım</t>
  </si>
  <si>
    <t>Pleksi Föylük A4 L Tipi</t>
  </si>
  <si>
    <t xml:space="preserve">RE02024000000161
</t>
  </si>
  <si>
    <t>Çorum</t>
  </si>
  <si>
    <t>Ahl</t>
  </si>
  <si>
    <t>Erdem Aslan</t>
  </si>
  <si>
    <t xml:space="preserve">RE02024000000162
</t>
  </si>
  <si>
    <t>Termal Etiket 40x20 1000 sarım</t>
  </si>
  <si>
    <t>RE02024000000167</t>
  </si>
  <si>
    <t>Yakup Çamalan</t>
  </si>
  <si>
    <t>RE02024000000163</t>
  </si>
  <si>
    <t xml:space="preserve">RE02024000000168
</t>
  </si>
  <si>
    <t>Logolu Tükenmez Kalem</t>
  </si>
  <si>
    <t xml:space="preserve">RE02024000000180
</t>
  </si>
  <si>
    <t xml:space="preserve">RE02024000000164
</t>
  </si>
  <si>
    <t>RE02024000000169</t>
  </si>
  <si>
    <t>Ergin Bektaş</t>
  </si>
  <si>
    <t xml:space="preserve">Bu Benim Kartı </t>
  </si>
  <si>
    <t xml:space="preserve">RE02024000000170
</t>
  </si>
  <si>
    <t>Sidar Muhammed Uzunca</t>
  </si>
  <si>
    <t>RE02024000000171</t>
  </si>
  <si>
    <t>Apple Patago Fon Kağıdı  10,5 x 14,5 cm</t>
  </si>
  <si>
    <t>Onur Çakır</t>
  </si>
  <si>
    <t>Folyo Uygulama</t>
  </si>
  <si>
    <t>RE02024000000172</t>
  </si>
  <si>
    <t xml:space="preserve">RE02024000000179
</t>
  </si>
  <si>
    <t>Kg Etiketi Sticker 14x14</t>
  </si>
  <si>
    <t xml:space="preserve">RE02024000000183
</t>
  </si>
  <si>
    <t>Alanya</t>
  </si>
  <si>
    <t>Ferhat Kara</t>
  </si>
  <si>
    <t>RE02024000000184</t>
  </si>
  <si>
    <t>Personel İsimliği - Satış Danışmanı</t>
  </si>
  <si>
    <t>Saç Düzleştirici Tutucu</t>
  </si>
  <si>
    <t>RE02024000000200</t>
  </si>
  <si>
    <t>RE02024000000181</t>
  </si>
  <si>
    <t>Plastik Koruma(Bu Benim Kartı Konulacak)</t>
  </si>
  <si>
    <t xml:space="preserve">RE02024000000201
</t>
  </si>
  <si>
    <t>RE02024000000186</t>
  </si>
  <si>
    <t xml:space="preserve">RE02024000000185
</t>
  </si>
  <si>
    <t xml:space="preserve">Ankara </t>
  </si>
  <si>
    <t>Gordion</t>
  </si>
  <si>
    <t>Ali Rıza Eraydın</t>
  </si>
  <si>
    <t>İsimli Ajanda Münise Kuzgun</t>
  </si>
  <si>
    <t>Bedelsiz</t>
  </si>
  <si>
    <t>Fatura Kesilmedi</t>
  </si>
  <si>
    <t>İsimli  Ajanda Tuğba Şereflioğlu</t>
  </si>
  <si>
    <t>12.02.2024</t>
  </si>
  <si>
    <t xml:space="preserve">RE02024000000202-İade </t>
  </si>
  <si>
    <t>RE02024000000187</t>
  </si>
  <si>
    <t>Boy Aynası</t>
  </si>
  <si>
    <t xml:space="preserve">RE02024000000203
</t>
  </si>
  <si>
    <t>Güneşli</t>
  </si>
  <si>
    <t>RE02024000000188</t>
  </si>
  <si>
    <t>Mehmet Arslan</t>
  </si>
  <si>
    <t>RE02024000000252</t>
  </si>
  <si>
    <t>RE02024000000189</t>
  </si>
  <si>
    <t>Temizlik Personel 5 Gün (Faturaya Farklı Yazılıcak --MAĞAZA BİLGİ VERECEK)</t>
  </si>
  <si>
    <t>RE02024000000259-RE02024000000261</t>
  </si>
  <si>
    <t>RE02024000000191</t>
  </si>
  <si>
    <t>RE02024000000193</t>
  </si>
  <si>
    <t>Maliyeti 21,50tl</t>
  </si>
  <si>
    <t>RE02024000000211</t>
  </si>
  <si>
    <t>Kırmızı Teşhir Noktası -Kağıt 2500'lü</t>
  </si>
  <si>
    <t>FD02024000000108</t>
  </si>
  <si>
    <t>RE02024000000192</t>
  </si>
  <si>
    <t>ÖNEMLİ:önceki faturadan kalan 1200tldüşülecek</t>
  </si>
  <si>
    <t>RE02024000000204</t>
  </si>
  <si>
    <t>Kağan Honçe</t>
  </si>
  <si>
    <t>RE02024000000194</t>
  </si>
  <si>
    <t>RE02024000000205</t>
  </si>
  <si>
    <t>Ersin Tosun</t>
  </si>
  <si>
    <t>Kulakiçi Kulaklık Stantı -Menteşeli</t>
  </si>
  <si>
    <t>ÖNEMLİ:4 Adet Şubata-4 Adet Mart Ayına Fatura Kesilicek</t>
  </si>
  <si>
    <t>RE52024000000001
-RE02024000000280</t>
  </si>
  <si>
    <t xml:space="preserve">RE02024000000212
</t>
  </si>
  <si>
    <t xml:space="preserve">FD02024000000114
</t>
  </si>
  <si>
    <t xml:space="preserve">RE02024000000208
</t>
  </si>
  <si>
    <t>Balonlu Naylon</t>
  </si>
  <si>
    <t>Sarı A4 Kağıt (Paket Olarak)</t>
  </si>
  <si>
    <t>FD02024000000107</t>
  </si>
  <si>
    <t>RE02024000000195</t>
  </si>
  <si>
    <t>Marmara Forum</t>
  </si>
  <si>
    <t>Bahadır Kaya</t>
  </si>
  <si>
    <t>FD02024000000105</t>
  </si>
  <si>
    <t>RE02024000000196</t>
  </si>
  <si>
    <t>Teleskopik Yaylı Ayak</t>
  </si>
  <si>
    <t>FD02024000000104</t>
  </si>
  <si>
    <t xml:space="preserve">RE02024000000197
</t>
  </si>
  <si>
    <t>Isparta</t>
  </si>
  <si>
    <t>Meydan</t>
  </si>
  <si>
    <t>Secayet Coşkun</t>
  </si>
  <si>
    <t>FD02024000000106</t>
  </si>
  <si>
    <t xml:space="preserve">RE02024000000198
</t>
  </si>
  <si>
    <t xml:space="preserve"> Promotor Pleksi isimlik</t>
  </si>
  <si>
    <t>FD</t>
  </si>
  <si>
    <t>RE02024000000206</t>
  </si>
  <si>
    <t>RE02024000000233</t>
  </si>
  <si>
    <t xml:space="preserve"> İsimlik Mıknatısı</t>
  </si>
  <si>
    <t xml:space="preserve">RE02024000000207
</t>
  </si>
  <si>
    <t>RE02024000000213</t>
  </si>
  <si>
    <t xml:space="preserve">RE02024000000214
</t>
  </si>
  <si>
    <t>Abkara</t>
  </si>
  <si>
    <t>RE02024000000215</t>
  </si>
  <si>
    <t>RE02024000000216</t>
  </si>
  <si>
    <t>RE02024000000217</t>
  </si>
  <si>
    <t>Nilpark</t>
  </si>
  <si>
    <t>Didem Polat</t>
  </si>
  <si>
    <t>Beyaz Eşya Güvenlik Aparatı</t>
  </si>
  <si>
    <t xml:space="preserve">RE02024000000220
</t>
  </si>
  <si>
    <t>RE02024000000246</t>
  </si>
  <si>
    <t>Strech Film Şeffaf</t>
  </si>
  <si>
    <t>RE02024000000209</t>
  </si>
  <si>
    <t>RE02024000000264</t>
  </si>
  <si>
    <t>Alirıza Eraydın</t>
  </si>
  <si>
    <t>İsimlik Personel (1Teslimat Uzmanı-2Kasiyer-5Satış Danışmanı)</t>
  </si>
  <si>
    <t>Gökhan YAlçın</t>
  </si>
  <si>
    <t>isimlik Personel İsimliği - Satış Danışmanı-</t>
  </si>
  <si>
    <t>RE02024000000255</t>
  </si>
  <si>
    <t>Plastik Etiketlik+Teleskopik Yaylı Ayak</t>
  </si>
  <si>
    <t xml:space="preserve">RE02024000000221
</t>
  </si>
  <si>
    <t>Teşhir Tablası + Tahtası</t>
  </si>
  <si>
    <t>RE02024000000256</t>
  </si>
  <si>
    <t>RE02024000000222</t>
  </si>
  <si>
    <t xml:space="preserve">RE02024000000229
</t>
  </si>
  <si>
    <t>Serkan Elmas</t>
  </si>
  <si>
    <t>RE02024000000224</t>
  </si>
  <si>
    <t>Gökhan Bey</t>
  </si>
  <si>
    <t>RE02024000000225</t>
  </si>
  <si>
    <t>Logolu A4 Asetat</t>
  </si>
  <si>
    <t>RE02024000000265</t>
  </si>
  <si>
    <t>Forum Bornova</t>
  </si>
  <si>
    <t xml:space="preserve">RE02024000000226
</t>
  </si>
  <si>
    <t>İsim Kaşesi (Detayları Göndericem)</t>
  </si>
  <si>
    <t>RE02024000000238</t>
  </si>
  <si>
    <t>Kahramanmaraş</t>
  </si>
  <si>
    <t>Serdal Uçar</t>
  </si>
  <si>
    <t xml:space="preserve">RE02024000000227
</t>
  </si>
  <si>
    <t>İstmarina</t>
  </si>
  <si>
    <t>Semiha Emri</t>
  </si>
  <si>
    <t>Fön Makinesi Tutucu</t>
  </si>
  <si>
    <t>RE02024000000228</t>
  </si>
  <si>
    <t>İsimlik Personel İsimliği(Detayları Göndericem)</t>
  </si>
  <si>
    <t>RE02024000000257</t>
  </si>
  <si>
    <t>RE02024000000230</t>
  </si>
  <si>
    <t>Mikail Sepetçi</t>
  </si>
  <si>
    <t>Kırlangıç Bayrak Dubalı-Stokları Eritiyoruz-</t>
  </si>
  <si>
    <t xml:space="preserve">RE02024000000239
</t>
  </si>
  <si>
    <t>Nurgül Kartal</t>
  </si>
  <si>
    <t>RE02024000000266</t>
  </si>
  <si>
    <t>Maltepe Park</t>
  </si>
  <si>
    <t>Ceyhan Çambel</t>
  </si>
  <si>
    <t>Kaz Ayağı (10'Lu Paket)</t>
  </si>
  <si>
    <t>RE02024000000240</t>
  </si>
  <si>
    <t>Plastik Etiletlik+Teleskopik Yaylı Çubuk (Etiketlik Rengi Kırmızı Olucak)</t>
  </si>
  <si>
    <t>Logolu Ajanda (Rüzgar Gülü)</t>
  </si>
  <si>
    <t>RE02024000000262</t>
  </si>
  <si>
    <t>Özdilekpark</t>
  </si>
  <si>
    <t>RE02024000000241</t>
  </si>
  <si>
    <t xml:space="preserve">RE02024000000242
</t>
  </si>
  <si>
    <t>Panora</t>
  </si>
  <si>
    <t>Mustafa Özer</t>
  </si>
  <si>
    <t>RE02024000000243</t>
  </si>
  <si>
    <t xml:space="preserve">RE02024000000244
</t>
  </si>
  <si>
    <t>RE02024000000247</t>
  </si>
  <si>
    <t>Şule Hanım</t>
  </si>
  <si>
    <t>Kargo  Cebi 19x26 cm</t>
  </si>
  <si>
    <t>RE02024000000248</t>
  </si>
  <si>
    <t>Kenpark</t>
  </si>
  <si>
    <t>Pleksi Kahve Stanı</t>
  </si>
  <si>
    <t>RE02024000000267</t>
  </si>
  <si>
    <t>RE02024000000249</t>
  </si>
  <si>
    <t>RE02024000000250</t>
  </si>
  <si>
    <t>Çağdaş Özcan</t>
  </si>
  <si>
    <t>Light Box  180 cm x 380 cm 322 cm</t>
  </si>
  <si>
    <t xml:space="preserve">RE02024000000245
</t>
  </si>
  <si>
    <t>Light Box 243cm x 224 cm</t>
  </si>
  <si>
    <t xml:space="preserve">RE02024000000276
</t>
  </si>
  <si>
    <t>RE02024000000251</t>
  </si>
  <si>
    <t>Plastik Bardak (Koli Olarak)</t>
  </si>
  <si>
    <t>Şeffaf Koli Bandı</t>
  </si>
  <si>
    <t xml:space="preserve"> RE02024000000253</t>
  </si>
  <si>
    <t>İsimlik Personel İsimliği(İsimli İstendi)</t>
  </si>
  <si>
    <t>RE02024000000268</t>
  </si>
  <si>
    <t>Logolu Karton Bardak (Koli)</t>
  </si>
  <si>
    <t xml:space="preserve">RE02024000000254
</t>
  </si>
  <si>
    <t>Zorlu</t>
  </si>
  <si>
    <t>Erdi Ünal</t>
  </si>
  <si>
    <t>Tost Makinesi Ayracı (Logolu Olucak)</t>
  </si>
  <si>
    <t>RE02024000000279</t>
  </si>
  <si>
    <t>Pleksi Raf Bariyeri 120cm</t>
  </si>
  <si>
    <t>RE02024000000290</t>
  </si>
  <si>
    <t xml:space="preserve">RE02024000000258
</t>
  </si>
  <si>
    <t>Plastik Kelepçe Beyaz 30cm</t>
  </si>
  <si>
    <t>Kaşe İsim Kaşesi (Arzu Nur Cıvak-Mehmet Sarıgül)</t>
  </si>
  <si>
    <t>Kartvizit (Mehmet Sarıgül)</t>
  </si>
  <si>
    <t>Pleksi Üzeri UV Baskı 3mm Vidalı Olucak (Detayları Göndericem)</t>
  </si>
  <si>
    <t>RE02024000000291</t>
  </si>
  <si>
    <t>Kırmızı folyo uygulama</t>
  </si>
  <si>
    <t>RE02024000000292</t>
  </si>
  <si>
    <t>Mahir Aldemir</t>
  </si>
  <si>
    <t>Kağıt Alarm Etiketi (Bugün Kargoa Verilmesi Çok Önemli)</t>
  </si>
  <si>
    <t>RE02024000000263</t>
  </si>
  <si>
    <t>RE02024000000272</t>
  </si>
  <si>
    <t>RE02024000000271</t>
  </si>
  <si>
    <t>Termal Etiket 100x100 500 Sarım</t>
  </si>
  <si>
    <t>RE02024000000270</t>
  </si>
  <si>
    <t>RE02024000000269</t>
  </si>
  <si>
    <t>-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</t>
  </si>
  <si>
    <t>APRİL 2024</t>
  </si>
  <si>
    <t>Sepet üstü akrililk</t>
  </si>
  <si>
    <t>RE02024000000409</t>
  </si>
  <si>
    <t>Turgut Özal</t>
  </si>
  <si>
    <t>Ayça Ayata</t>
  </si>
  <si>
    <t>Pleksi üzeri UV Baskı 95x30cm Ölçülerinde Siyah Üzeri Kırmızı Yazı İle  ''Gaming'' Yazılıcak</t>
  </si>
  <si>
    <t>RE02024000000410</t>
  </si>
  <si>
    <t>Pleksi Kahve Stantı</t>
  </si>
  <si>
    <t xml:space="preserve">RE02024000000423
</t>
  </si>
  <si>
    <t>Pleksi Kulakliçi Kulaklık Stantı  (Ahşapsız) 100x10x22,5cm</t>
  </si>
  <si>
    <t>RE02024000000459</t>
  </si>
  <si>
    <t xml:space="preserve">RE02024000000464
</t>
  </si>
  <si>
    <t>RE02024000000411</t>
  </si>
  <si>
    <t>Metal Sepet Kenarlığı</t>
  </si>
  <si>
    <t xml:space="preserve">RE02024000000432
</t>
  </si>
  <si>
    <t>Cemre Bulut Açış</t>
  </si>
  <si>
    <t>RE02024000000412</t>
  </si>
  <si>
    <t>RE02024000000424</t>
  </si>
  <si>
    <t xml:space="preserve">RE02024000000413
</t>
  </si>
  <si>
    <t>RE02024000000414</t>
  </si>
  <si>
    <t>Güvenlik Etiketi 5.5cm</t>
  </si>
  <si>
    <t>01.04.2024</t>
  </si>
  <si>
    <t>RE02024000000419</t>
  </si>
  <si>
    <t>Termal Etiket 100x100 500Sarım</t>
  </si>
  <si>
    <t xml:space="preserve">RE02024000000415
</t>
  </si>
  <si>
    <t>Etiket Sökücü Sprey</t>
  </si>
  <si>
    <t>Merve Hanım</t>
  </si>
  <si>
    <t>Pleksi Üzeri UV Baskı Vidalı Kasa1-Kasa2</t>
  </si>
  <si>
    <t>RE02024000000433</t>
  </si>
  <si>
    <t>02.04.2024</t>
  </si>
  <si>
    <t>Trump</t>
  </si>
  <si>
    <t>Yıldıray Özçetin</t>
  </si>
  <si>
    <t>ÖNEMLİ:Fatura 2 ye Bölünecek</t>
  </si>
  <si>
    <t xml:space="preserve">RE02024000000425-RE02024000000506
</t>
  </si>
  <si>
    <t>Tv Güvenlik Teli</t>
  </si>
  <si>
    <t>RE02024000000416</t>
  </si>
  <si>
    <t>İsimlik Personel İsimliği (10 Adet Satış Danışmanı) - 2 Adet Satış Danışmanı (Operatör)</t>
  </si>
  <si>
    <t xml:space="preserve">RE02024000000434
</t>
  </si>
  <si>
    <t>Burak Ünlü</t>
  </si>
  <si>
    <t>Mıknatıslı A4 Pleksi Föylük</t>
  </si>
  <si>
    <t>RE02024000000426</t>
  </si>
  <si>
    <t>03.04.2024</t>
  </si>
  <si>
    <t xml:space="preserve"> Balon Kapı Süsleme 15 Nisan Akşamı</t>
  </si>
  <si>
    <t>Maliyeti:2400,00TL</t>
  </si>
  <si>
    <t>RE02024000000435</t>
  </si>
  <si>
    <t>Balon Çiçek Uygulaması</t>
  </si>
  <si>
    <t>Maliyeti: 25,00tl</t>
  </si>
  <si>
    <t>Harddisk Tutucu</t>
  </si>
  <si>
    <t xml:space="preserve">RE02024000000445
</t>
  </si>
  <si>
    <t>Kırmızı Halı 3.60 Metre</t>
  </si>
  <si>
    <t>RE02024000000427</t>
  </si>
  <si>
    <t>Gri Bant</t>
  </si>
  <si>
    <t>Damla Hanım</t>
  </si>
  <si>
    <t xml:space="preserve"> Balon Kapı Süsleme 15 Nisan Sabah</t>
  </si>
  <si>
    <t>Maliyeti: 2400,00tl</t>
  </si>
  <si>
    <t>RE02024000000436</t>
  </si>
  <si>
    <t>15.04.2024</t>
  </si>
  <si>
    <t xml:space="preserve"> Balon Çiçek Uygulaması</t>
  </si>
  <si>
    <t>Maliyeti:25,00tl</t>
  </si>
  <si>
    <t>Onur Bey</t>
  </si>
  <si>
    <t>Mağaza Cephe Görsel Uygulama</t>
  </si>
  <si>
    <t>RE02024000000420</t>
  </si>
  <si>
    <t>04.04.2024</t>
  </si>
  <si>
    <t>Edremit</t>
  </si>
  <si>
    <t>Kamil Yener</t>
  </si>
  <si>
    <t>İsim Kaşesi (Print R 24)</t>
  </si>
  <si>
    <t>RE02024000000446</t>
  </si>
  <si>
    <r>
      <rPr>
        <sz val="9"/>
        <color theme="1"/>
        <rFont val="Calibri"/>
        <family val="2"/>
      </rPr>
      <t xml:space="preserve">Kulakiçi Kulaklık Standı </t>
    </r>
    <r>
      <rPr>
        <sz val="9"/>
        <color rgb="FFFF0000"/>
        <rFont val="Calibri"/>
        <family val="2"/>
      </rPr>
      <t>(Menteşeli-Kilitli 100x22,5x10cm ölçülerinde)</t>
    </r>
  </si>
  <si>
    <t>Fatura Yarısı Nisan ayında Yarısı Mayıs  ayında kesilicek</t>
  </si>
  <si>
    <t xml:space="preserve">RE02024000000465-RE02024000000507
</t>
  </si>
  <si>
    <t xml:space="preserve">RE02024000000465
</t>
  </si>
  <si>
    <t>05.04.2024</t>
  </si>
  <si>
    <t>Özcan Yılmaz</t>
  </si>
  <si>
    <t xml:space="preserve">RE02024000000470
</t>
  </si>
  <si>
    <t>Tükenmez Kalem Logolu</t>
  </si>
  <si>
    <t>RE02024000000437</t>
  </si>
  <si>
    <t>06.04.2024</t>
  </si>
  <si>
    <t>RE02024000000438</t>
  </si>
  <si>
    <t>Şeffaf Plastik Bardak (1 Koli)</t>
  </si>
  <si>
    <t>RE02024000000447</t>
  </si>
  <si>
    <t>NEDEN ÇIKMADI?</t>
  </si>
  <si>
    <t>RE02024000000489</t>
  </si>
  <si>
    <t>Murat İygün</t>
  </si>
  <si>
    <t>isim Kaşesi Printer R17 (Deniz Üşüdür)</t>
  </si>
  <si>
    <t>RE02024000000455</t>
  </si>
  <si>
    <t>Merve HAnım</t>
  </si>
  <si>
    <t>Pleksi Üzeri UV Baskı Vidalı 60x30  Kırmızı Üzeri Beyaz Yazı Olucak (Kasa3-Kasa4-Kasa 5 İnternet Satış Teslim Alanı- Müşteri Hizmetleri)</t>
  </si>
  <si>
    <t xml:space="preserve">RE02024000000456
</t>
  </si>
  <si>
    <t>Metal Klima Askısı</t>
  </si>
  <si>
    <t>RE02024000000474</t>
  </si>
  <si>
    <t>Şule Öztürk</t>
  </si>
  <si>
    <t>RE02024000000439</t>
  </si>
  <si>
    <t>09.04.2024</t>
  </si>
  <si>
    <t>İstmarin</t>
  </si>
  <si>
    <t>Onur CAnlı</t>
  </si>
  <si>
    <t>RE02024000000448</t>
  </si>
  <si>
    <t>Emaar</t>
  </si>
  <si>
    <t>Mete Balkuv</t>
  </si>
  <si>
    <t>Pleksi Kulakliçi Kulaklık Stantı 125x22,5x10cm Ahşabı Koyu Antrasit Rengi Olucak</t>
  </si>
  <si>
    <t>RE02024000000482</t>
  </si>
  <si>
    <t>Pendik Viaport</t>
  </si>
  <si>
    <t>Erdal Bey</t>
  </si>
  <si>
    <t>RE02024000000440</t>
  </si>
  <si>
    <t>Dikey Süpürge Ayağı</t>
  </si>
  <si>
    <t>RE02024000000441</t>
  </si>
  <si>
    <t>Süpürge Hortumu Dik Tutucu</t>
  </si>
  <si>
    <t>RE02024000000483</t>
  </si>
  <si>
    <t xml:space="preserve">Balıkesir </t>
  </si>
  <si>
    <t>Bandırma</t>
  </si>
  <si>
    <t>Zeynep Gülmez</t>
  </si>
  <si>
    <t>RE02024000000460</t>
  </si>
  <si>
    <t>Sidar Bey</t>
  </si>
  <si>
    <t xml:space="preserve">RE02024000000466
</t>
  </si>
  <si>
    <t>Siyah Strech Film</t>
  </si>
  <si>
    <t>RE02024000000449</t>
  </si>
  <si>
    <t>Yazar Kasa Rulosu</t>
  </si>
  <si>
    <t>RE02024000000442</t>
  </si>
  <si>
    <t>Viza Pos Rulosu</t>
  </si>
  <si>
    <t>Bıçak Makas Bileme Aparatı</t>
  </si>
  <si>
    <t>Eso</t>
  </si>
  <si>
    <t>RE02024000000468</t>
  </si>
  <si>
    <t>Mustafa Bey</t>
  </si>
  <si>
    <t>Mağaza  1 Adet Totem Balon Süsleme</t>
  </si>
  <si>
    <t>Maliyeti 800,00tl</t>
  </si>
  <si>
    <t>RE02024000000450</t>
  </si>
  <si>
    <t>Mağaza içi Balon Çiçek</t>
  </si>
  <si>
    <t xml:space="preserve">Fön Makinesi Tutucu </t>
  </si>
  <si>
    <t xml:space="preserve">RE02024000000461
</t>
  </si>
  <si>
    <t>Promotör İsimliği Pleksi Mıknatıslı</t>
  </si>
  <si>
    <t>RE02024000000471</t>
  </si>
  <si>
    <t>16.04.2024</t>
  </si>
  <si>
    <t>İsimlik -Satış Takım Lideri</t>
  </si>
  <si>
    <t>Kaşe- Detayları Göndericem</t>
  </si>
  <si>
    <t xml:space="preserve">RE02024000000457
</t>
  </si>
  <si>
    <t>Fatma ŞAhin</t>
  </si>
  <si>
    <t>Visa Pos Rulosu</t>
  </si>
  <si>
    <t xml:space="preserve">RE02024000000467
</t>
  </si>
  <si>
    <t>Mağaza içi Balon  Çiçek</t>
  </si>
  <si>
    <t>Maliyeti :25,00tl</t>
  </si>
  <si>
    <t xml:space="preserve">RE02024000000451
</t>
  </si>
  <si>
    <t>Alkış Alanlar 26,5x29,5 0,4 micron PVC üzeri uv Baskı</t>
  </si>
  <si>
    <t xml:space="preserve">RE02024000000504
</t>
  </si>
  <si>
    <t>Light Box Tekstil Baskı 245x235</t>
  </si>
  <si>
    <t>RE02024000000462</t>
  </si>
  <si>
    <t>Light Box Tekstil Baskı 190x390</t>
  </si>
  <si>
    <t>Afyon Park</t>
  </si>
  <si>
    <t>İsimlik- Müşteri Hizmetleri</t>
  </si>
  <si>
    <t xml:space="preserve">RE02024000000472
</t>
  </si>
  <si>
    <t>17.04.2024</t>
  </si>
  <si>
    <t>RE02024000000463</t>
  </si>
  <si>
    <t>18.04.2024</t>
  </si>
  <si>
    <t>Kenrtpark</t>
  </si>
  <si>
    <t>Çiçek</t>
  </si>
  <si>
    <t>Maliyeti 700,00TL (KDV Dahil)</t>
  </si>
  <si>
    <t xml:space="preserve">RE02024000000473
</t>
  </si>
  <si>
    <t>51x89 cm Pleksi Üzeri UV Baskı Vidalı</t>
  </si>
  <si>
    <t>RE02024000000475</t>
  </si>
  <si>
    <t>63x31cm Pleksi Üzeri UV Baskı Vidalı Kırmızı üzeri Beyaz Yazı (-Kurulum-Onarım-Ekran Koruma</t>
  </si>
  <si>
    <t xml:space="preserve">RE02024000000469
</t>
  </si>
  <si>
    <t>19.04.2024</t>
  </si>
  <si>
    <t xml:space="preserve">RE02024000000494
</t>
  </si>
  <si>
    <t>22.04.2024</t>
  </si>
  <si>
    <t>Yaka İpi Beyaz Üzeri Kırmızı</t>
  </si>
  <si>
    <t>RE02024000000478</t>
  </si>
  <si>
    <t>Veli Fenni</t>
  </si>
  <si>
    <t xml:space="preserve"> Kulak içi kulaklık aparatı</t>
  </si>
  <si>
    <t>RE02024000000495</t>
  </si>
  <si>
    <t>22.04.2025</t>
  </si>
  <si>
    <t>A4 föylük L Tipi</t>
  </si>
  <si>
    <t xml:space="preserve">RE02024000000567
</t>
  </si>
  <si>
    <t xml:space="preserve">Wieland Kablo 4m Spiral </t>
  </si>
  <si>
    <t xml:space="preserve">RE02024000000484
</t>
  </si>
  <si>
    <t xml:space="preserve">Wieland 3'lü Grup Priz (çocuk korumalı) </t>
  </si>
  <si>
    <t xml:space="preserve">Saç Düzleştirici Tutucu </t>
  </si>
  <si>
    <t>RE02024000000488</t>
  </si>
  <si>
    <t xml:space="preserve">Teşhir Tablası </t>
  </si>
  <si>
    <t>Kasa 1-2-3-4 Kurulum Onarım Ekran Koruma 2 adet - İnternet Satış Teslimat Alanı- Müşteri Hizmetleri</t>
  </si>
  <si>
    <t>RE02024000000516</t>
  </si>
  <si>
    <t>Abdullah bey</t>
  </si>
  <si>
    <t xml:space="preserve">RE02024000000476
</t>
  </si>
  <si>
    <t>İsimlik Kurumsal isimlik (Detayları Göndericem)</t>
  </si>
  <si>
    <t xml:space="preserve">İsimlik Mıknatısı </t>
  </si>
  <si>
    <t>RE02024000000496</t>
  </si>
  <si>
    <t>Secyet Coşkun</t>
  </si>
  <si>
    <t>RE02024000000477</t>
  </si>
  <si>
    <t>24.04.2024</t>
  </si>
  <si>
    <t>RE02024000000479</t>
  </si>
  <si>
    <t xml:space="preserve">Meydan </t>
  </si>
  <si>
    <t>RE02024000000490</t>
  </si>
  <si>
    <t>Trabzon</t>
  </si>
  <si>
    <t>Cevahir</t>
  </si>
  <si>
    <t>Adem Terzi</t>
  </si>
  <si>
    <t>Yaka Kartı (1Paket 50'li)</t>
  </si>
  <si>
    <t>RE02024000000497</t>
  </si>
  <si>
    <t xml:space="preserve">RE02024000000485
</t>
  </si>
  <si>
    <t>Pleksi Uv Baskı Yuvarlak Vidalı</t>
  </si>
  <si>
    <t>RE02024000000491</t>
  </si>
  <si>
    <t xml:space="preserve">RE02024000000510
</t>
  </si>
  <si>
    <t>25.04.2024</t>
  </si>
  <si>
    <t>A1 Ayaklı Pano</t>
  </si>
  <si>
    <t>RE02024000000568</t>
  </si>
  <si>
    <t>Kartvizit (Bedir Kutun)</t>
  </si>
  <si>
    <t>RE02024000000569</t>
  </si>
  <si>
    <t>26.04.2024</t>
  </si>
  <si>
    <t>Pleksi Fön Makinası Tutucu</t>
  </si>
  <si>
    <t xml:space="preserve">RE02024000000511
</t>
  </si>
  <si>
    <t>Pleksi Kulakiçi Kulaklık Stantı Menteşeli Kilitli 125cm (Alt Ahşap rengini Gruptan gönderdim)</t>
  </si>
  <si>
    <t>RE02024000000572</t>
  </si>
  <si>
    <t xml:space="preserve">Carrefoursa </t>
  </si>
  <si>
    <t xml:space="preserve">Enes Erdoğan </t>
  </si>
  <si>
    <t>Kartvizit (Diğdem Hatun)</t>
  </si>
  <si>
    <t>Adem</t>
  </si>
  <si>
    <t>RE02024000000570</t>
  </si>
  <si>
    <t>Yer Stickeri</t>
  </si>
  <si>
    <t xml:space="preserve">RE02024000000517
</t>
  </si>
  <si>
    <t>27.04.2024</t>
  </si>
  <si>
    <t>Figen Toylular</t>
  </si>
  <si>
    <t>RE02024000000571</t>
  </si>
  <si>
    <t>Kulaiçi Kulaklık Tutacağı</t>
  </si>
  <si>
    <t>RE02024000000498</t>
  </si>
  <si>
    <t>29.04.2024</t>
  </si>
  <si>
    <r>
      <rPr>
        <sz val="9"/>
        <color theme="1"/>
        <rFont val="Calibri"/>
        <family val="2"/>
      </rPr>
      <t>lu Naylon</t>
    </r>
    <r>
      <rPr>
        <sz val="10"/>
        <color rgb="FFFF0000"/>
        <rFont val="Calibri"/>
        <family val="2"/>
      </rPr>
      <t xml:space="preserve"> </t>
    </r>
  </si>
  <si>
    <t xml:space="preserve">RE02024000000492
</t>
  </si>
  <si>
    <t>Gökhan Yalçın</t>
  </si>
  <si>
    <t xml:space="preserve">RE02024000000512
</t>
  </si>
  <si>
    <t xml:space="preserve">RE02024000000513
</t>
  </si>
  <si>
    <t>RE02024000000500</t>
  </si>
  <si>
    <t xml:space="preserve">Çiçek </t>
  </si>
  <si>
    <t>Maliyeti 700,00TL (Kdv Dahil)</t>
  </si>
  <si>
    <t>RE02024000000501</t>
  </si>
  <si>
    <t>30.04.2024</t>
  </si>
  <si>
    <t>Bu Benim Kartı</t>
  </si>
  <si>
    <t>RE02024000000502</t>
  </si>
  <si>
    <t>Güvenlik Etiketi 4,5 cm</t>
  </si>
  <si>
    <t>Güvenlik Etiketi 5,5cm</t>
  </si>
  <si>
    <t>RE02024000000505</t>
  </si>
  <si>
    <t>Mağaza Balon Kapı Süslemesi</t>
  </si>
  <si>
    <t xml:space="preserve">RE02024000000518
</t>
  </si>
  <si>
    <t>Balon Çiçek Süsleme</t>
  </si>
  <si>
    <t>Maliyeti:25,00TL</t>
  </si>
  <si>
    <t>AHL</t>
  </si>
  <si>
    <t xml:space="preserve">Klavye Koruyucu 2 Delikli </t>
  </si>
  <si>
    <t>RE02024000000529</t>
  </si>
  <si>
    <t>Semaver</t>
  </si>
  <si>
    <t>RE02024000000514</t>
  </si>
  <si>
    <t>RE02024000000520</t>
  </si>
  <si>
    <t xml:space="preserve">RE02024000000519
</t>
  </si>
  <si>
    <t>Urfa</t>
  </si>
  <si>
    <t xml:space="preserve">RE02024000000564
</t>
  </si>
  <si>
    <t>Mağaza İçi Balon Çiçek</t>
  </si>
  <si>
    <t xml:space="preserve">RE02024000000521
</t>
  </si>
  <si>
    <t>Balon Totem</t>
  </si>
  <si>
    <t>Maliyeti:800,00tl</t>
  </si>
  <si>
    <t xml:space="preserve">RE02024000000522
</t>
  </si>
  <si>
    <t xml:space="preserve">RE02024000000523
</t>
  </si>
  <si>
    <t>Mağaza Balon Kapı</t>
  </si>
  <si>
    <t>Maliyeti:2400,00tl</t>
  </si>
  <si>
    <t>Kırmızı Sticker Kaplama(Müşteri Hizmetleri Alanı Kaplama)</t>
  </si>
  <si>
    <t xml:space="preserve">RE02024000000528
</t>
  </si>
  <si>
    <t>RE02024000000524</t>
  </si>
  <si>
    <t>03.05.2024</t>
  </si>
  <si>
    <t xml:space="preserve">İzmit </t>
  </si>
  <si>
    <t xml:space="preserve">RE02024000000525
</t>
  </si>
  <si>
    <t xml:space="preserve">RE02024000000530
</t>
  </si>
  <si>
    <t>Logolu Balon</t>
  </si>
  <si>
    <t>RE02024000000527</t>
  </si>
  <si>
    <t>RE02024000000526</t>
  </si>
  <si>
    <t>CR 2450 Panasonic Pil (5'li)</t>
  </si>
  <si>
    <t>Personel İsimliği (Müşteri Hizmetleri)</t>
  </si>
  <si>
    <t>04.05.2024</t>
  </si>
  <si>
    <t>Erdi Bey</t>
  </si>
  <si>
    <t>RE02024000000531</t>
  </si>
  <si>
    <t>Beyaz Eşya KG Etiketi Sticker (Detayları Göndericem)</t>
  </si>
  <si>
    <t xml:space="preserve">Çift Taraflı Bant </t>
  </si>
  <si>
    <t>RE02024000000532</t>
  </si>
  <si>
    <t>MarmaraPark</t>
  </si>
  <si>
    <t>Mahir Bey</t>
  </si>
  <si>
    <t>8 gönderildi</t>
  </si>
  <si>
    <t>RE02024000000717</t>
  </si>
  <si>
    <t>Zümrüt Hanım</t>
  </si>
  <si>
    <t xml:space="preserve">RE02024000000533
</t>
  </si>
  <si>
    <t>RE02024000000534</t>
  </si>
  <si>
    <t>06.05.2024</t>
  </si>
  <si>
    <t>İsimlik Personel İsimliği (Satış Danımanı)</t>
  </si>
  <si>
    <t>Erkan Gündoğan</t>
  </si>
  <si>
    <t xml:space="preserve">RE02024000000578
</t>
  </si>
  <si>
    <t>Bilal uluçınar</t>
  </si>
  <si>
    <t xml:space="preserve">RE02024000000535
</t>
  </si>
  <si>
    <t>Totem Balon</t>
  </si>
  <si>
    <t>Maliyeti:800,00TL</t>
  </si>
  <si>
    <t>RE02024000000536</t>
  </si>
  <si>
    <t>Totem Balon (Metal Ayak İle Birlikte)</t>
  </si>
  <si>
    <t>Maliyeti:1200,00tl</t>
  </si>
  <si>
    <t>Pleksi Föylük A4 L Tipi (CUMAYA TESLİM EDİLMESİ ÇOK ÖNEMLİ)</t>
  </si>
  <si>
    <t xml:space="preserve">RE02024000000545
</t>
  </si>
  <si>
    <t>07.05.2024</t>
  </si>
  <si>
    <t>Metin Berberler</t>
  </si>
  <si>
    <t>A4 Pleksi Föylük A4 LTipi</t>
  </si>
  <si>
    <t>RE02024000000546</t>
  </si>
  <si>
    <t>RE02024000000540</t>
  </si>
  <si>
    <t>Metramall</t>
  </si>
  <si>
    <t>Ebru Böke</t>
  </si>
  <si>
    <t>Pasta (Anneler Günü İçin 100 Kişilk Çilekli-Çikolatalı Yarıyarıya)</t>
  </si>
  <si>
    <t>Maliyeti:8863,50TL</t>
  </si>
  <si>
    <t>RE02024000000547</t>
  </si>
  <si>
    <t>08.05.2024</t>
  </si>
  <si>
    <t>Pleksi Kulakiçi Kulaklık Stantı 100cm Alt Ahşabı İle Birlikte Menteşeli-*Kilitli (Ahşap Rengini Gönderdim)</t>
  </si>
  <si>
    <t xml:space="preserve">RE02024000000622
</t>
  </si>
  <si>
    <t>Pleksi Kulakiçi Kulaklık Stantı  Kilitli-Menteşeli Ahşapsız 100x22x10</t>
  </si>
  <si>
    <t>RE02024000000657</t>
  </si>
  <si>
    <t>İsimlik Personel İsimliği (Operatör Uzmanı)</t>
  </si>
  <si>
    <t xml:space="preserve">RE02024000000599
</t>
  </si>
  <si>
    <t xml:space="preserve">RE02024000000541
</t>
  </si>
  <si>
    <t>Orion</t>
  </si>
  <si>
    <t>Güldan Kılıç</t>
  </si>
  <si>
    <t xml:space="preserve">RE02024000000539
</t>
  </si>
  <si>
    <t xml:space="preserve">RE02024000000548
</t>
  </si>
  <si>
    <t>Damla Yücekl</t>
  </si>
  <si>
    <t>RE02024000000549</t>
  </si>
  <si>
    <t>Maliyet:25,00TL</t>
  </si>
  <si>
    <t>Çiçek (Anneler Günü İçin)</t>
  </si>
  <si>
    <t>Maliyeti:105,00TL</t>
  </si>
  <si>
    <t>Kupa (Bardak Kupa Anneler Günü Hediyesi)</t>
  </si>
  <si>
    <t>Maliyeti:70,00TL</t>
  </si>
  <si>
    <t xml:space="preserve">RE02024000000550
</t>
  </si>
  <si>
    <t>Pasta (20 Kişilik)</t>
  </si>
  <si>
    <t>Maliyeti:2000,00TL</t>
  </si>
  <si>
    <t xml:space="preserve">RE02024000000551
</t>
  </si>
  <si>
    <t>Pasta (Anneler Günü için 100 Kişilik Çilekli)</t>
  </si>
  <si>
    <t>Maliyeti:7727,00TL</t>
  </si>
  <si>
    <t xml:space="preserve">RE02024000000552
</t>
  </si>
  <si>
    <t>Bayrampaşa Forum</t>
  </si>
  <si>
    <t>Uğur Karamuk</t>
  </si>
  <si>
    <t>RE02024000000553</t>
  </si>
  <si>
    <t>RE02024000000565</t>
  </si>
  <si>
    <t>09.05.2024</t>
  </si>
  <si>
    <t>RE02024000000554</t>
  </si>
  <si>
    <t>Migros</t>
  </si>
  <si>
    <t>Fatma Hanım</t>
  </si>
  <si>
    <t>RE02024000000542</t>
  </si>
  <si>
    <t xml:space="preserve">RE02024000000631
</t>
  </si>
  <si>
    <t xml:space="preserve">RE02024000000586
</t>
  </si>
  <si>
    <t>Mehmet Aslan</t>
  </si>
  <si>
    <t>Pleksi Föylük A3 L Tipi</t>
  </si>
  <si>
    <t>RE02024000000555</t>
  </si>
  <si>
    <t xml:space="preserve">Diyarbakır </t>
  </si>
  <si>
    <t>Ümit Sürer</t>
  </si>
  <si>
    <t>Pleksi Üzer, UV Baskı Vidalı 93x31 (Tabletler - Otomatik Kahve Makineleri) b/k</t>
  </si>
  <si>
    <t xml:space="preserve">RE02024000000579
</t>
  </si>
  <si>
    <t>Pleksi Üzeri Uv Baskı Vidalı 63x31cm (Kurulum Onarım Ekran Koruma) k/b</t>
  </si>
  <si>
    <t>10.05.2024</t>
  </si>
  <si>
    <t>RE02024000000556</t>
  </si>
  <si>
    <t xml:space="preserve">RE02024000000557
</t>
  </si>
  <si>
    <t>Serdar Bey</t>
  </si>
  <si>
    <t>Plastik tabak çatal - Meşrubat</t>
  </si>
  <si>
    <t xml:space="preserve">RE02024000000558
</t>
  </si>
  <si>
    <t>11.05.2024</t>
  </si>
  <si>
    <t>Çiçek (Anneler günü için)</t>
  </si>
  <si>
    <t>RE02024000000559</t>
  </si>
  <si>
    <t>RE02024000000587</t>
  </si>
  <si>
    <t>Özel üretim Pleksi stand</t>
  </si>
  <si>
    <t>RE02024000000580</t>
  </si>
  <si>
    <t>13.05.2024</t>
  </si>
  <si>
    <t>Forklift Sepeti</t>
  </si>
  <si>
    <t xml:space="preserve"> RE02024000000623
</t>
  </si>
  <si>
    <t xml:space="preserve">Murat Özgan </t>
  </si>
  <si>
    <t xml:space="preserve">RE02024000000581
</t>
  </si>
  <si>
    <t xml:space="preserve">RE02024000000582
</t>
  </si>
  <si>
    <t>T Tipi Pleksi Föylük</t>
  </si>
  <si>
    <t xml:space="preserve">RE02024000000588
</t>
  </si>
  <si>
    <t>14.05.2024</t>
  </si>
  <si>
    <t>Burak Eren</t>
  </si>
  <si>
    <t>RE02024000000589</t>
  </si>
  <si>
    <t>Logolu A3 Asetat</t>
  </si>
  <si>
    <t>RE02024000000624</t>
  </si>
  <si>
    <t>RE02024000000614</t>
  </si>
  <si>
    <t>Numberlink (1-50 Arası)</t>
  </si>
  <si>
    <t>Kartal İstmarin</t>
  </si>
  <si>
    <t>Onur Canlı</t>
  </si>
  <si>
    <t>İsimlik personel isimlisi (2 İdari işler Takım Lideri-20 Satış Danışmanı)</t>
  </si>
  <si>
    <t>RE02024000000600</t>
  </si>
  <si>
    <t>Çift Taraflı Bant</t>
  </si>
  <si>
    <t xml:space="preserve">RE02024000000590
</t>
  </si>
  <si>
    <t xml:space="preserve">Ali Rıza Eraydın </t>
  </si>
  <si>
    <t>RE02024000000615</t>
  </si>
  <si>
    <t>15.05.2024</t>
  </si>
  <si>
    <t xml:space="preserve">RE02024000000583
</t>
  </si>
  <si>
    <t>Servis Hizmeti</t>
  </si>
  <si>
    <t xml:space="preserve">RE02024000000605
</t>
  </si>
  <si>
    <t>16.05.2024</t>
  </si>
  <si>
    <t>Mall of</t>
  </si>
  <si>
    <t>RE02024000000584</t>
  </si>
  <si>
    <t>Murat İyigün</t>
  </si>
  <si>
    <t xml:space="preserve">RE02024000000591
</t>
  </si>
  <si>
    <t>İzmirpark</t>
  </si>
  <si>
    <t>RM02024000000010</t>
  </si>
  <si>
    <t>İsimlik personel İsimliği (Satış Danışmanı)</t>
  </si>
  <si>
    <t>RM02024000000011</t>
  </si>
  <si>
    <t>RE02024000000592</t>
  </si>
  <si>
    <t>9kg Yıkama-9kg Kurutma= 10kg Yıkama 10kg Kurutma</t>
  </si>
  <si>
    <t xml:space="preserve">RE02024000000601
</t>
  </si>
  <si>
    <t>17.05.2024</t>
  </si>
  <si>
    <t>İzmir park</t>
  </si>
  <si>
    <t>Gül Sndıklı</t>
  </si>
  <si>
    <t xml:space="preserve">RM02024000000009
</t>
  </si>
  <si>
    <t>Metropol</t>
  </si>
  <si>
    <t>Murat Bey</t>
  </si>
  <si>
    <t>2115YK05-PRN09</t>
  </si>
  <si>
    <t xml:space="preserve">RE02024000000641
</t>
  </si>
  <si>
    <t>gönderildi FD</t>
  </si>
  <si>
    <t xml:space="preserve">RE02024000000585
</t>
  </si>
  <si>
    <t>Folyo Üzeri Dekota Baskı 1.4cmx2 Görseli Mail Üzerinden İlettim)</t>
  </si>
  <si>
    <t xml:space="preserve">RE02024000000606
</t>
  </si>
  <si>
    <t>RE02024000000593</t>
  </si>
  <si>
    <t xml:space="preserve">RE02024000000625
</t>
  </si>
  <si>
    <t>Kartvizit (Gül Sandıklı-Mert Daşdemir)</t>
  </si>
  <si>
    <t>RM02024000000013</t>
  </si>
  <si>
    <t>Dekota Üzeri Baskı (Mağaza Resmi)</t>
  </si>
  <si>
    <t>Merdiven Scooter Stantı (Toplamda 8 adet Metal Ayak ile Birlikte) (Rengi ve ölçüleri gruptan attım)</t>
  </si>
  <si>
    <t xml:space="preserve">RE02024000000595
</t>
  </si>
  <si>
    <t>20.05.2024</t>
  </si>
  <si>
    <t xml:space="preserve">RE02024000000594
</t>
  </si>
  <si>
    <t xml:space="preserve">Plastik kelepçe 25 Cm </t>
  </si>
  <si>
    <t>Çift taraflı bant (sarı silikon)</t>
  </si>
  <si>
    <t>Personel isimliği (2 Kasiyer- 2 satış takım lideri- 2 musteri hizmetleri sorumlusu- 6 satıs danısmanı</t>
  </si>
  <si>
    <t>RE02024000000616</t>
  </si>
  <si>
    <t>İzmir Park</t>
  </si>
  <si>
    <t>Pleksi isimlik mıknatıslı Promotör isimliği</t>
  </si>
  <si>
    <t>RM02024000000012</t>
  </si>
  <si>
    <t>Yuvarlak isim Kaşesi (Anıl Balık)</t>
  </si>
  <si>
    <t>RE02024000000602</t>
  </si>
  <si>
    <t>RE02024000000617</t>
  </si>
  <si>
    <t>RE02024000000596</t>
  </si>
  <si>
    <t>Pos Rulosu</t>
  </si>
  <si>
    <t>RE02024000000597</t>
  </si>
  <si>
    <t xml:space="preserve">RE02024000000603
</t>
  </si>
  <si>
    <r>
      <rPr>
        <sz val="9"/>
        <color rgb="FF000000"/>
        <rFont val="Calibri"/>
        <family val="2"/>
      </rPr>
      <t>Çift Taraflı Bant</t>
    </r>
    <r>
      <rPr>
        <sz val="9"/>
        <color rgb="FFFF0000"/>
        <rFont val="Calibri"/>
        <family val="2"/>
      </rPr>
      <t xml:space="preserve"> </t>
    </r>
  </si>
  <si>
    <t xml:space="preserve">RE02024000000607
</t>
  </si>
  <si>
    <t>21.05.2024</t>
  </si>
  <si>
    <t>Kartvizit (Kadem Karadoğan)</t>
  </si>
  <si>
    <t>RE02024000000637</t>
  </si>
  <si>
    <t xml:space="preserve">Enerji Etiketi </t>
  </si>
  <si>
    <t xml:space="preserve">RE02024000000642
</t>
  </si>
  <si>
    <t>RE02024000000604</t>
  </si>
  <si>
    <t>22.05.2024</t>
  </si>
  <si>
    <t>Kadir Bey</t>
  </si>
  <si>
    <t>Pleksi Kahve Standı</t>
  </si>
  <si>
    <t xml:space="preserve">RE02024000000632
</t>
  </si>
  <si>
    <t>Fotoğraf baskı (Dekota üzeri Folyo Baskı)</t>
  </si>
  <si>
    <t>RE02024000000608</t>
  </si>
  <si>
    <t>FD02024000000271</t>
  </si>
  <si>
    <t>RE02024000000683</t>
  </si>
  <si>
    <t>RE02024000000609</t>
  </si>
  <si>
    <t>Plastik Cırt Kelepçe (3 Paket Siyah-3 Paket Beyaz) 30cm</t>
  </si>
  <si>
    <t>23.05.2024</t>
  </si>
  <si>
    <t>Melih Berberler</t>
  </si>
  <si>
    <t>RE02024000000718</t>
  </si>
  <si>
    <t>FD02024000000264</t>
  </si>
  <si>
    <t>RE02024000000653</t>
  </si>
  <si>
    <t xml:space="preserve">RE02024000000610
</t>
  </si>
  <si>
    <t>24.05.2024</t>
  </si>
  <si>
    <t>Şükran Hanım</t>
  </si>
  <si>
    <t>Plastik Bardak 1 koli</t>
  </si>
  <si>
    <t xml:space="preserve">RE02024000000618
</t>
  </si>
  <si>
    <t>RE02024000000638</t>
  </si>
  <si>
    <t>Üsküdar</t>
  </si>
  <si>
    <t>İsimlik (3 Kasiyer-5 Satış Danışmanı)</t>
  </si>
  <si>
    <t xml:space="preserve">RE02024000000633
</t>
  </si>
  <si>
    <t>25.05.2025</t>
  </si>
  <si>
    <t>RE02024000000619</t>
  </si>
  <si>
    <t>25.05.2024</t>
  </si>
  <si>
    <t>Munise Hanım</t>
  </si>
  <si>
    <t>Pleksi Üzeri UV Baskı Vidalı 60x30  Kırmızı Üzeri Beyaz Yazı Olucak (Kasa1)</t>
  </si>
  <si>
    <t>RE02024000000643</t>
  </si>
  <si>
    <t>Pleksi Uv Baskı Yuvarlak Vidalı (Görseli whatzaptan gönderdim)</t>
  </si>
  <si>
    <t>FD02024000000265</t>
  </si>
  <si>
    <t xml:space="preserve">RE02024000000654
</t>
  </si>
  <si>
    <t>27.05.2024</t>
  </si>
  <si>
    <t>RE02024000000620</t>
  </si>
  <si>
    <t>Magnet (Konsol Donanım)</t>
  </si>
  <si>
    <t>RE02024000000639</t>
  </si>
  <si>
    <t>ahşap stand tadilat</t>
  </si>
  <si>
    <t>RE02024000000630</t>
  </si>
  <si>
    <t>28.05.2024</t>
  </si>
  <si>
    <t>RE02024000000719</t>
  </si>
  <si>
    <t>Klima Stantı      (Fatura 2'ye Bölünecek)</t>
  </si>
  <si>
    <t>ÖNEMLİ: FATURA 2 YE BÖLÜNECEK</t>
  </si>
  <si>
    <t>RE02024000000660</t>
  </si>
  <si>
    <t>Bursa Nakliye (aynı faturaya eklenecek)</t>
  </si>
  <si>
    <t xml:space="preserve">RE02024000000634
</t>
  </si>
  <si>
    <t>Van</t>
  </si>
  <si>
    <t>Mert Kahraman</t>
  </si>
  <si>
    <t>Bar Sandalyesi</t>
  </si>
  <si>
    <t>RE02024000000644</t>
  </si>
  <si>
    <t>29.05.2024</t>
  </si>
  <si>
    <t xml:space="preserve"> FD02024000000266</t>
  </si>
  <si>
    <t>RE02024000000655</t>
  </si>
  <si>
    <t>Sezer Bey</t>
  </si>
  <si>
    <t xml:space="preserve">RE02024000000670
</t>
  </si>
  <si>
    <t>30.05.2024</t>
  </si>
  <si>
    <t>Marmaraforum</t>
  </si>
  <si>
    <t>Abdullah Bey</t>
  </si>
  <si>
    <t>RE02024000000645</t>
  </si>
  <si>
    <t>31.05.2024</t>
  </si>
  <si>
    <t>Mikail Bey</t>
  </si>
  <si>
    <t xml:space="preserve">Pleksi Uv Baskı Vidalı ( 95X31)Akıllı Saatler </t>
  </si>
  <si>
    <t>RE02024000000658</t>
  </si>
  <si>
    <t>RE02024000000649</t>
  </si>
  <si>
    <t>Metal Ayak Scoter Stant Ayağı</t>
  </si>
  <si>
    <t>RE02024000000682</t>
  </si>
  <si>
    <t>Hortum Dik Tutucu:)</t>
  </si>
  <si>
    <t>RE02024000000307</t>
  </si>
  <si>
    <t xml:space="preserve">Eskişehir </t>
  </si>
  <si>
    <t>RE02024000000323</t>
  </si>
  <si>
    <t>Levent</t>
  </si>
  <si>
    <t>İlknur Yıldıran</t>
  </si>
  <si>
    <t>RE02024000000273</t>
  </si>
  <si>
    <t>İsimlik Personel İsimliği ( Kurumsal Satış Uzmanı)</t>
  </si>
  <si>
    <t>RE02024000000293</t>
  </si>
  <si>
    <t>A4 Kağıt Koli (Copier Bond)</t>
  </si>
  <si>
    <t>RE02024000000274</t>
  </si>
  <si>
    <t>RE02024000000275</t>
  </si>
  <si>
    <t xml:space="preserve">Sakarya </t>
  </si>
  <si>
    <t>T Tipi A4 Pleksi Föylük</t>
  </si>
  <si>
    <t>RE02024000000309</t>
  </si>
  <si>
    <t>Yazar Kasa Rulosu 80X30</t>
  </si>
  <si>
    <t xml:space="preserve">RE02024000000294
</t>
  </si>
  <si>
    <t xml:space="preserve">RE02024000000295
</t>
  </si>
  <si>
    <t>Aksesuar Sepet Takımı</t>
  </si>
  <si>
    <t>RE02024000000281</t>
  </si>
  <si>
    <t xml:space="preserve">Aksesuar sepeti </t>
  </si>
  <si>
    <t>Headset Pleksi Kulaklık Askılığı</t>
  </si>
  <si>
    <t>Okan Bey</t>
  </si>
  <si>
    <t xml:space="preserve">RE02024000000296
</t>
  </si>
  <si>
    <t>05.03.2024</t>
  </si>
  <si>
    <t>RE02024000000282</t>
  </si>
  <si>
    <t>Logolu Tükenmez Kalem (Kırmızı Üzeri Beyaz)</t>
  </si>
  <si>
    <t>RE02024000000324</t>
  </si>
  <si>
    <t>Viza Pos Rulosu 56x16</t>
  </si>
  <si>
    <t>RE02024000000284</t>
  </si>
  <si>
    <t>RE02024000000283</t>
  </si>
  <si>
    <t xml:space="preserve">RE02024000000285
</t>
  </si>
  <si>
    <t>RE02024000000286</t>
  </si>
  <si>
    <t>İsimlik Personel İsimliği ( İdari İşler Takım Lideri Ali Rıza E.)</t>
  </si>
  <si>
    <t>RE02024000000297</t>
  </si>
  <si>
    <t>Güven Çelik</t>
  </si>
  <si>
    <t xml:space="preserve">RE02024000000287
</t>
  </si>
  <si>
    <t>RE02024000000298</t>
  </si>
  <si>
    <t>Cırt Kelepçe Beyaz 30cm</t>
  </si>
  <si>
    <t>06.03.2024</t>
  </si>
  <si>
    <t xml:space="preserve">RE02024000000299
</t>
  </si>
  <si>
    <t xml:space="preserve">Antalya </t>
  </si>
  <si>
    <t>Kırmızı Teşhir Noktası 2500 Adet</t>
  </si>
  <si>
    <t>RE02024000000300</t>
  </si>
  <si>
    <t>Numberlink 1-50 Arası</t>
  </si>
  <si>
    <t>Kasa Önü Föylük</t>
  </si>
  <si>
    <t>RE02024000000325</t>
  </si>
  <si>
    <t>RE02024000000301</t>
  </si>
  <si>
    <t>07.03.2024</t>
  </si>
  <si>
    <t xml:space="preserve">RE02024000000302
</t>
  </si>
  <si>
    <t>Pleksi Üzeri UV Baskı 3mm Vidalı Olucak (Kasa1-Kasa2-Kasa3)</t>
  </si>
  <si>
    <t>RE02024000000303</t>
  </si>
  <si>
    <t>08.03.2024</t>
  </si>
  <si>
    <t>RE02024000000304</t>
  </si>
  <si>
    <t>RE02024000000310</t>
  </si>
  <si>
    <t>Kübra Kılıç</t>
  </si>
  <si>
    <t>Çiçek (Kadınlar Günü için)</t>
  </si>
  <si>
    <t>Adet Maliyeti 100tl</t>
  </si>
  <si>
    <t>RE02024000000305</t>
  </si>
  <si>
    <t>Bu Benim Kartı (Kırmızı Olucak)</t>
  </si>
  <si>
    <t>RE02024000000326</t>
  </si>
  <si>
    <t>İsmail Yüksek</t>
  </si>
  <si>
    <t>Çiçek (Kadınlar Günü İçin)</t>
  </si>
  <si>
    <t>Adet Maliyeti 105tl</t>
  </si>
  <si>
    <t xml:space="preserve">RE02024000000306
</t>
  </si>
  <si>
    <t>09.03.2024</t>
  </si>
  <si>
    <t>Pleksi Üzeri UV Baskı 3mm Vidalı Olucak (Kasa1-2-3-4 (Müşteri Hizmetleri2 Adet Olucak)-İnternet Satışı Teslim Alanı)</t>
  </si>
  <si>
    <t xml:space="preserve">RE02024000000311
</t>
  </si>
  <si>
    <t>Promotör isimliği Pleksi Mıknatıslı</t>
  </si>
  <si>
    <t xml:space="preserve">RE02024000000312
</t>
  </si>
  <si>
    <t>Pleksi Üzeri UV Baskı(Kasa1-2-3-4)</t>
  </si>
  <si>
    <t xml:space="preserve">RE02024000000313
</t>
  </si>
  <si>
    <t>RE02024000000314</t>
  </si>
  <si>
    <t>Pleksi Üzeri UV Baskı vidalı (Kasa 1-2-3 İnternet Satışı Teslim Alanı)</t>
  </si>
  <si>
    <t xml:space="preserve">RE02024000000315
</t>
  </si>
  <si>
    <t>İsimlik Personel İsimliği</t>
  </si>
  <si>
    <t>RE02024000000327</t>
  </si>
  <si>
    <t>İsimlik Mıknatısı</t>
  </si>
  <si>
    <t>Egemen çöp</t>
  </si>
  <si>
    <t xml:space="preserve">RE02024000000316
</t>
  </si>
  <si>
    <t xml:space="preserve">RE02024000000342
</t>
  </si>
  <si>
    <t>Van1</t>
  </si>
  <si>
    <t>Yıldıray Turhan</t>
  </si>
  <si>
    <t>RE02024000000317</t>
  </si>
  <si>
    <t xml:space="preserve">Van </t>
  </si>
  <si>
    <t xml:space="preserve">RE02024000000348
</t>
  </si>
  <si>
    <t xml:space="preserve">RE02024000000318
</t>
  </si>
  <si>
    <t>Özel Üretim Pleksi Stand</t>
  </si>
  <si>
    <t xml:space="preserve">RE02024000000328
</t>
  </si>
  <si>
    <t xml:space="preserve">Gaziantep </t>
  </si>
  <si>
    <t>RE02024000000319</t>
  </si>
  <si>
    <t>Pendorya</t>
  </si>
  <si>
    <t>Deniz Bey</t>
  </si>
  <si>
    <t>RE02024000000349</t>
  </si>
  <si>
    <t>Yer Laminasyonu</t>
  </si>
  <si>
    <t>RE02024000000329</t>
  </si>
  <si>
    <t>Kırlangıç Bayrak</t>
  </si>
  <si>
    <t xml:space="preserve">RE02024000000350
</t>
  </si>
  <si>
    <t xml:space="preserve">Kurumsal Ajanda </t>
  </si>
  <si>
    <t>RE02024000000320</t>
  </si>
  <si>
    <t>RE02024000000363</t>
  </si>
  <si>
    <t>Numberlin 1-25 Arası 2 Set</t>
  </si>
  <si>
    <t>Tahir Saydan</t>
  </si>
  <si>
    <t>Soundbar Test Paneli</t>
  </si>
  <si>
    <t xml:space="preserve">RE02024000000443
</t>
  </si>
  <si>
    <t xml:space="preserve">RE02024000000351
</t>
  </si>
  <si>
    <t>RE02024000000406</t>
  </si>
  <si>
    <t>İsimlik Personel İsimliği - Satış Danışmanı-</t>
  </si>
  <si>
    <t>RE02024000000343</t>
  </si>
  <si>
    <t xml:space="preserve">RE02024000000321
</t>
  </si>
  <si>
    <t>Pleksi Üzeri UV Baskı vidalı (Kasa 1-2-3-4 İnternet Satışı Teslim Alanı-Müşteri Hizmetleri</t>
  </si>
  <si>
    <t>RE02024000000330</t>
  </si>
  <si>
    <t xml:space="preserve">RE02024000000322
</t>
  </si>
  <si>
    <t>Merdiven Scooter Stantı</t>
  </si>
  <si>
    <t>Pleksi Üzeri UV Baskı vidalı (Kasa 1-2 İnternet Satışı Teslim Alanı-Müşteri Hizmetleri)</t>
  </si>
  <si>
    <t xml:space="preserve">RE02024000000331
</t>
  </si>
  <si>
    <t xml:space="preserve">RE02024000000332
</t>
  </si>
  <si>
    <t>Bandırma Liman</t>
  </si>
  <si>
    <t xml:space="preserve">RE02024000000352
</t>
  </si>
  <si>
    <t>RE02024000000333</t>
  </si>
  <si>
    <t>Sezgin item</t>
  </si>
  <si>
    <t>RE02024000000353</t>
  </si>
  <si>
    <t>Kaşe (Bilgileri Gönderdim)</t>
  </si>
  <si>
    <t>RE02024000000364</t>
  </si>
  <si>
    <t>Kartlık (Dikey Olucak)</t>
  </si>
  <si>
    <t xml:space="preserve">RE02024000000344
</t>
  </si>
  <si>
    <t>Ebruşah Taşyapar</t>
  </si>
  <si>
    <t xml:space="preserve">Logolu Karton Bardak </t>
  </si>
  <si>
    <t>RE02024000000334</t>
  </si>
  <si>
    <t xml:space="preserve">RE02024000000335
</t>
  </si>
  <si>
    <t xml:space="preserve">RE02024000000336
</t>
  </si>
  <si>
    <t>Pleksi Üzeri uv Baskı Vidalı - Kurulum-Onarım-Ekran Koruma</t>
  </si>
  <si>
    <t>RE02024000000354</t>
  </si>
  <si>
    <t>RE02024000000337</t>
  </si>
  <si>
    <t>Pleksi Üzeri UV Baskı Vidalı - İnternet Satışı Teslim Alanı</t>
  </si>
  <si>
    <t xml:space="preserve">RE02024000000355
</t>
  </si>
  <si>
    <t>Pleksi Üzeri UV Baskı Vidalı  Beyaz Üzeri Kırmızı 93X31cm Ölçülerinde -Akıllı Saatler- Akıllı Telefonlar- Tabletler-</t>
  </si>
  <si>
    <t>RE02024000000356</t>
  </si>
  <si>
    <t>RE02024000000338</t>
  </si>
  <si>
    <t>Maket Bıçağı İSG Uyumlu</t>
  </si>
  <si>
    <t xml:space="preserve">RE02024000000339
</t>
  </si>
  <si>
    <t xml:space="preserve">RE02024000000340
</t>
  </si>
  <si>
    <t>Şükran HAnım</t>
  </si>
  <si>
    <t>Pleksi Üzeri UV Baskı Vidalı -Kasa 1-2-3-4 (1 Pleksi Üzerinde -Kurulum-Onarım-Ekran Koruma)</t>
  </si>
  <si>
    <t xml:space="preserve">RE02024000000357
</t>
  </si>
  <si>
    <t>TV Sehpası 170x4035 cm</t>
  </si>
  <si>
    <t>RE02024000000358</t>
  </si>
  <si>
    <t>Antep</t>
  </si>
  <si>
    <t>Kampanyalarımız Panosu</t>
  </si>
  <si>
    <t>RE02024000000341</t>
  </si>
  <si>
    <t>İsimlik Personel İsimliği (İsimli Olucak Detayları Göndericem)</t>
  </si>
  <si>
    <t>RE02024000000365</t>
  </si>
  <si>
    <t>Kaşe (Bilgileri Göndericem İçe geçmeli Trodat Olucak)</t>
  </si>
  <si>
    <t xml:space="preserve">RE02024000000366
</t>
  </si>
  <si>
    <t>Kaşe Normal Yuvarlak İsim Kaşesi (Anıl Balık)</t>
  </si>
  <si>
    <t>Kaşe Detaylar Mailde</t>
  </si>
  <si>
    <t xml:space="preserve">RE02024000000367
</t>
  </si>
  <si>
    <t>RE02024000000345</t>
  </si>
  <si>
    <t>Güvenlik Etiketi 4,5</t>
  </si>
  <si>
    <t xml:space="preserve">RE02024000000346
</t>
  </si>
  <si>
    <t>RE02024000000359</t>
  </si>
  <si>
    <t>Yeter Han</t>
  </si>
  <si>
    <t>Patimarkt</t>
  </si>
  <si>
    <t>RE02024000000347</t>
  </si>
  <si>
    <t>Yelken Bayrak Dubalı</t>
  </si>
  <si>
    <t xml:space="preserve">RE02024000000360
</t>
  </si>
  <si>
    <t>Kartvizit ( Buse Balantekin-Mustafa Uzunoğlu )</t>
  </si>
  <si>
    <t>RE02024000000399</t>
  </si>
  <si>
    <t>Reyon Bariyeri 125cm Uzunluk 40cm Derinlik</t>
  </si>
  <si>
    <t>RE02024000000403</t>
  </si>
  <si>
    <t>RE02024000000368</t>
  </si>
  <si>
    <t>Pleksi Üzeri UV Baskı Vidalı 60x30cm Ölçülerinde</t>
  </si>
  <si>
    <t>FD02024000000176</t>
  </si>
  <si>
    <t xml:space="preserve">RE02024000000376
</t>
  </si>
  <si>
    <t>Pleksi Üzeri UV Baskı Vidalı 95x30cm Ölçülerinde</t>
  </si>
  <si>
    <t>Porselen Takımı Kütahya Porselen 36 Parça</t>
  </si>
  <si>
    <t>RE02024000000361</t>
  </si>
  <si>
    <t>Çelenk Gönderimi</t>
  </si>
  <si>
    <t xml:space="preserve">RE02024000000369
</t>
  </si>
  <si>
    <t>Kaşe İsim Kaşesi Yuvarlak (Alper Aktaş)</t>
  </si>
  <si>
    <t>RE02024000000389</t>
  </si>
  <si>
    <t xml:space="preserve">RE02024000000370
</t>
  </si>
  <si>
    <t>Pleksi Üzeri Uv Baskı Vidalı  93x31cm Beyaz üzeri Kırmızı Yazı ile ( Akıllı Telefonlar-Otomatik Kahve Makineleri-Dizüstü Bilgisayarlar-Taşınabilir Ses Sistemleri)</t>
  </si>
  <si>
    <t>RE02024000000390</t>
  </si>
  <si>
    <t xml:space="preserve">Kayseri </t>
  </si>
  <si>
    <t>Pleksi Üzeri Uv Baskı Vidali 51x67cm ölçülerinde (Operatör ve Finans Hizmet Masası)</t>
  </si>
  <si>
    <t>RE02024000000362</t>
  </si>
  <si>
    <t>RE02024000000371</t>
  </si>
  <si>
    <t>Pil Yuvarlak Panasonic Paketi 5'li</t>
  </si>
  <si>
    <t xml:space="preserve">RE02024000000377
</t>
  </si>
  <si>
    <t>Kale Kilit</t>
  </si>
  <si>
    <t>Sinan Şahin</t>
  </si>
  <si>
    <t>Mıknatıslı A4 Föylük</t>
  </si>
  <si>
    <t>RE02024000000428</t>
  </si>
  <si>
    <t>Kulakiçi Kulaklık Stantı Yandan Vidalı Ahşapsız olucak 125 cm</t>
  </si>
  <si>
    <t>RE02024000000454</t>
  </si>
  <si>
    <t xml:space="preserve">RE02024000000372
</t>
  </si>
  <si>
    <t>RE02024000000373</t>
  </si>
  <si>
    <t>İsimlik Personel İsimliği (Satış Danışmanı)</t>
  </si>
  <si>
    <t xml:space="preserve">RE02024000000378
</t>
  </si>
  <si>
    <t>RE02024000000374-RE02024000000421</t>
  </si>
  <si>
    <t>Toplam Faturanın 2 ye bölünecek</t>
  </si>
  <si>
    <t xml:space="preserve">Yazar Kasa Rulosu 80x80 </t>
  </si>
  <si>
    <t>RE02024000000374</t>
  </si>
  <si>
    <t>Secayet Hanım</t>
  </si>
  <si>
    <t>Bant Gri Duck Tape</t>
  </si>
  <si>
    <t>RE02024000000375</t>
  </si>
  <si>
    <t>Kırmızı çift taraflı bant</t>
  </si>
  <si>
    <t>Tükenmez Kalem Beyaz Üzeri Kırmızı Logo Baskılı</t>
  </si>
  <si>
    <t>RE02024000000407</t>
  </si>
  <si>
    <t>İsimlik Mediamarkt isimliği</t>
  </si>
  <si>
    <t xml:space="preserve">RE02024000000379
</t>
  </si>
  <si>
    <t>Patk</t>
  </si>
  <si>
    <t>Promotör yaka Kartı Pleksi-Mıknatıslı</t>
  </si>
  <si>
    <t>Dikey Süpürge Tutucu</t>
  </si>
  <si>
    <t>RE02024000000418</t>
  </si>
  <si>
    <t>Ayça Hanım</t>
  </si>
  <si>
    <t>Pleksi üzeri uv baskı vidalı 93x31cm Beyaz üzeri kırmızı yazı ile -Notebooklar-</t>
  </si>
  <si>
    <t>RE02024000000380</t>
  </si>
  <si>
    <t xml:space="preserve">Kentpark </t>
  </si>
  <si>
    <t>RE02024000000400</t>
  </si>
  <si>
    <t>A4 Yapışkanlı Cep</t>
  </si>
  <si>
    <t>RE02024000000381</t>
  </si>
  <si>
    <t>RE02024000000382</t>
  </si>
  <si>
    <t>Aksesuar Sepeti Takım</t>
  </si>
  <si>
    <t xml:space="preserve">RE02024000000383
</t>
  </si>
  <si>
    <t xml:space="preserve">RE02024000000408
</t>
  </si>
  <si>
    <t>RE02024000000391</t>
  </si>
  <si>
    <t xml:space="preserve">Hoverboard Stantı </t>
  </si>
  <si>
    <t>RE02024000000452</t>
  </si>
  <si>
    <t xml:space="preserve"> Hoverboard Stantı Lojistik</t>
  </si>
  <si>
    <t xml:space="preserve">RE02024000000392
</t>
  </si>
  <si>
    <t>RE02024000000402</t>
  </si>
  <si>
    <t>RE02024000000393</t>
  </si>
  <si>
    <t>RE02024000000394</t>
  </si>
  <si>
    <t>Scooter Stantı Metal Ayağı</t>
  </si>
  <si>
    <t>RE02024000000395</t>
  </si>
  <si>
    <t>Pleksi Üzeri UV Baskı Vidalı 60x30cm Ölçülerinde (Kasa 1-2 - Müşteri Hizmetleri- İnternet Satış Teslim Alanı)</t>
  </si>
  <si>
    <t>RE02024000000404</t>
  </si>
  <si>
    <t>Görsel Baskı Çalışması (Tablet Çalışması)</t>
  </si>
  <si>
    <t>RE02024000000453</t>
  </si>
  <si>
    <t>Ümit Süre</t>
  </si>
  <si>
    <t>RE02024000000405</t>
  </si>
  <si>
    <t>İsimlik Pesonel İsimliği ( Satış Takım Lideri)</t>
  </si>
  <si>
    <t>RE02024000000444</t>
  </si>
  <si>
    <t>Dijital Baskı Bedeli</t>
  </si>
  <si>
    <t>Mayıs servis farkı</t>
  </si>
  <si>
    <t>RE02024000000646</t>
  </si>
  <si>
    <t>A1 Ayaklı Pano- Şövalye</t>
  </si>
  <si>
    <t xml:space="preserve">RE02024000000661
</t>
  </si>
  <si>
    <t>ES</t>
  </si>
  <si>
    <t>RE02024000000647</t>
  </si>
  <si>
    <t>RE02024000000656</t>
  </si>
  <si>
    <t>Mikail sepetçi</t>
  </si>
  <si>
    <t>Scooter Stantı Merdiven Scooter Stantı Tekerlekli Kancalı (4 Metal Ayağı ile Birlikte)</t>
  </si>
  <si>
    <t>ÖNEMLİ:FATURA 2 AYA Bölünecek</t>
  </si>
  <si>
    <t xml:space="preserve">RE02024000000694-RE02024000000739
</t>
  </si>
  <si>
    <t xml:space="preserve">Zümrüt Alkanat </t>
  </si>
  <si>
    <t xml:space="preserve">RE02024000000662
</t>
  </si>
  <si>
    <t>Lamimasyonlu yer Folyosu</t>
  </si>
  <si>
    <t>RE02024000000672</t>
  </si>
  <si>
    <t>İsimlik Promotör İsimliği- Pleksi-Mıknatıslı</t>
  </si>
  <si>
    <t>RE02024000000650</t>
  </si>
  <si>
    <t xml:space="preserve">RE02024000000659
</t>
  </si>
  <si>
    <t>Kartvizit (Hakan Deliveli)</t>
  </si>
  <si>
    <t xml:space="preserve">RE02024000000743
</t>
  </si>
  <si>
    <t>Hediye Paketleme Alanı Kilitli-Kesme Aparatı ile</t>
  </si>
  <si>
    <t>ÖNEMLİ:FAtura 2 ye bölünecek</t>
  </si>
  <si>
    <t>RE02024000000695-RE02024000000740</t>
  </si>
  <si>
    <t>Mehet Karakaya</t>
  </si>
  <si>
    <t>Baza 80x60x15cm ölçülerinde (Şeklini ve Rengini gruptan gönderdim)</t>
  </si>
  <si>
    <t>RE02024000000687</t>
  </si>
  <si>
    <t>04.06.2024</t>
  </si>
  <si>
    <t xml:space="preserve">RE02024000000651
</t>
  </si>
  <si>
    <t>Mıknatıslı Fotoğraf Pleksi 10x15cm</t>
  </si>
  <si>
    <t>05.06.2024</t>
  </si>
  <si>
    <t>Kırmızı Halı (Ölçüleri Whatzaptan Gönderdim)</t>
  </si>
  <si>
    <t xml:space="preserve">RE02024000000673
</t>
  </si>
  <si>
    <t xml:space="preserve">RE02024000000731
</t>
  </si>
  <si>
    <t>Light Box Görsel Uygulaması</t>
  </si>
  <si>
    <t xml:space="preserve">RE02024000000663
</t>
  </si>
  <si>
    <t>Zafer Mot</t>
  </si>
  <si>
    <t>Klima Askı Barı 100cm</t>
  </si>
  <si>
    <t>RE02024000000732</t>
  </si>
  <si>
    <t>06.06.2024</t>
  </si>
  <si>
    <t>Van 1 AVM</t>
  </si>
  <si>
    <t>Rıdvan Uysal</t>
  </si>
  <si>
    <t>Reyon Bariyeri 98x20</t>
  </si>
  <si>
    <t>RE02024000000696</t>
  </si>
  <si>
    <t>Reyon Bariyeri 98x15</t>
  </si>
  <si>
    <t>Reyon Bariyeri 98x10</t>
  </si>
  <si>
    <t xml:space="preserve">Reyon Bariyeri 100x6 </t>
  </si>
  <si>
    <t xml:space="preserve">RE02024000000701
</t>
  </si>
  <si>
    <t>Isg Ayakkabısı 43 numara(modeli gönderdim)</t>
  </si>
  <si>
    <t>RE02024000000674</t>
  </si>
  <si>
    <t>Pleksi föylük A4 L Tipi</t>
  </si>
  <si>
    <t xml:space="preserve">RE02024000000664
</t>
  </si>
  <si>
    <t xml:space="preserve">Konya </t>
  </si>
  <si>
    <t>Furkan Bey</t>
  </si>
  <si>
    <t>RE02024000000665</t>
  </si>
  <si>
    <t>FD02024000000272</t>
  </si>
  <si>
    <t>RE02024000000684</t>
  </si>
  <si>
    <t>Klima Askı Aparatı</t>
  </si>
  <si>
    <t>RE02024000000666</t>
  </si>
  <si>
    <t>Reyon Bariyeri 125cm Derinliği:46cm olucak</t>
  </si>
  <si>
    <t>RE02024000000733</t>
  </si>
  <si>
    <t xml:space="preserve">Erkan Gündoğan </t>
  </si>
  <si>
    <t>Reyon Bariyeri  100cm Derinliği 46cm olucak</t>
  </si>
  <si>
    <t>07.06.2024</t>
  </si>
  <si>
    <t>RE02024000000675</t>
  </si>
  <si>
    <t xml:space="preserve">Numberlink 1-50 arası </t>
  </si>
  <si>
    <t>RE02024000000697</t>
  </si>
  <si>
    <t>08.06.2024</t>
  </si>
  <si>
    <t xml:space="preserve">RE02024000000676
</t>
  </si>
  <si>
    <t>10.07.2024</t>
  </si>
  <si>
    <t xml:space="preserve">RE02024000000677
</t>
  </si>
  <si>
    <t>10.06.2024</t>
  </si>
  <si>
    <t>Promotör isimliği Pleksi-Mıknatıslı</t>
  </si>
  <si>
    <t>RE02024000000678</t>
  </si>
  <si>
    <t>Kartvizit(Gökhan Bekir)</t>
  </si>
  <si>
    <t>RE02024000000744</t>
  </si>
  <si>
    <t>Rıza Bey</t>
  </si>
  <si>
    <t xml:space="preserve">Spiralli Kablo Beyaz 4 metre </t>
  </si>
  <si>
    <t>RE02024000000698</t>
  </si>
  <si>
    <t>Whieland Kablo</t>
  </si>
  <si>
    <t>11.06.2024</t>
  </si>
  <si>
    <t>Güvenlik Etiketi 4,5 CM</t>
  </si>
  <si>
    <t>RE02024000000688</t>
  </si>
  <si>
    <t>Seda Hanım</t>
  </si>
  <si>
    <t>Pleksi Kilitli Kutu 16x30x10 cm</t>
  </si>
  <si>
    <t>RE02024000000699</t>
  </si>
  <si>
    <t xml:space="preserve">RE02024000000689
</t>
  </si>
  <si>
    <t>Zuhal Hanım</t>
  </si>
  <si>
    <t>İsim Kaşesi (Can Kara) (1tl Ebatında isteniyor)</t>
  </si>
  <si>
    <t xml:space="preserve">RE02024000000700
</t>
  </si>
  <si>
    <t>RE02024000000690</t>
  </si>
  <si>
    <t>11.06.2025</t>
  </si>
  <si>
    <t>RE02024000000671</t>
  </si>
  <si>
    <t>Saniye Hanım</t>
  </si>
  <si>
    <t>Yeşil Çim Halı 4x4 metre</t>
  </si>
  <si>
    <t xml:space="preserve">RE02024000000685
</t>
  </si>
  <si>
    <t>Armut Koltuk Büyük Boy Kırmızı Mediamarkt Baskılı</t>
  </si>
  <si>
    <t>RE02024000000712</t>
  </si>
  <si>
    <t xml:space="preserve">RE02024000000691
</t>
  </si>
  <si>
    <t>İsimlik Personel İsimliği -Satış Danışmanı-</t>
  </si>
  <si>
    <t xml:space="preserve">RE02024000000692
</t>
  </si>
  <si>
    <t>12.06.2024</t>
  </si>
  <si>
    <t>İstinye</t>
  </si>
  <si>
    <t xml:space="preserve">Reyon Bariyeri 100 cm </t>
  </si>
  <si>
    <t>RE02024000000686</t>
  </si>
  <si>
    <t>Malatya</t>
  </si>
  <si>
    <t>Turgay Bey</t>
  </si>
  <si>
    <t xml:space="preserve">RE02024000000713
</t>
  </si>
  <si>
    <t>Klima Askı Barı 125cm</t>
  </si>
  <si>
    <t>Patago Arka Fon Kağıdı -Apple-</t>
  </si>
  <si>
    <t>RE02024000000704</t>
  </si>
  <si>
    <t>Metal Scooter Ayağı</t>
  </si>
  <si>
    <t>RE02024000000734</t>
  </si>
  <si>
    <t>RE02024000000693</t>
  </si>
  <si>
    <t>Rıdvan Bey</t>
  </si>
  <si>
    <t>14.06.2024</t>
  </si>
  <si>
    <t>40x20 Termal Etiket</t>
  </si>
  <si>
    <t>RE02024000000705</t>
  </si>
  <si>
    <t>RE02024000000706</t>
  </si>
  <si>
    <t>Personel dinlenme Alanı</t>
  </si>
  <si>
    <t>RE02024000000872</t>
  </si>
  <si>
    <t>Personel Servisi+ doblo 24-25 haziran  (Haziarn ayına 3 farklı Fatura Olarak Kesilicek,, KDV Dahil Fiyatı 10bini Geçmiycek)</t>
  </si>
  <si>
    <t>RE02024000000714
-RE02024000000715
RE02024000000716</t>
  </si>
  <si>
    <t>20.06.2024</t>
  </si>
  <si>
    <t>RE02024000000702</t>
  </si>
  <si>
    <t>24.06.2024</t>
  </si>
  <si>
    <t>RE02024000000707</t>
  </si>
  <si>
    <t>RE02024000000727</t>
  </si>
  <si>
    <t>RE02024000000735</t>
  </si>
  <si>
    <t>RE02024000000708</t>
  </si>
  <si>
    <t xml:space="preserve">RE02024000000709
</t>
  </si>
  <si>
    <t>RE02024000000710</t>
  </si>
  <si>
    <t>25.06.2024</t>
  </si>
  <si>
    <t xml:space="preserve">RE02024000000720
</t>
  </si>
  <si>
    <t>RE02024000000721</t>
  </si>
  <si>
    <t>Dik Süpürge Stantı</t>
  </si>
  <si>
    <t>RE02024000000736</t>
  </si>
  <si>
    <t xml:space="preserve">Wieland 3'lü Grup Priz Siyah (çocuk korumalı) </t>
  </si>
  <si>
    <t>RE02024000000745</t>
  </si>
  <si>
    <t>Logolu bardak</t>
  </si>
  <si>
    <t>RE02024000000722</t>
  </si>
  <si>
    <t>Duck Tape Gri Bant (Çarşamba günü kargoya verilemsi çok Önemli Bardaklarla Birlikte)</t>
  </si>
  <si>
    <t>RE02024000000737</t>
  </si>
  <si>
    <t>Kepez</t>
  </si>
  <si>
    <t>Ali Can Altun</t>
  </si>
  <si>
    <t>TV Güvenlik Desteği T Tipi</t>
  </si>
  <si>
    <t>RE02024000000723</t>
  </si>
  <si>
    <t>Zübeyde Hanım</t>
  </si>
  <si>
    <t>Çift Taraflı Bant Kırmızı</t>
  </si>
  <si>
    <t xml:space="preserve">RE02024000000724
</t>
  </si>
  <si>
    <t>RE02024000000725</t>
  </si>
  <si>
    <t>Gaziemir Optimum</t>
  </si>
  <si>
    <t>Bahar Hanım</t>
  </si>
  <si>
    <t>RE02024000000746</t>
  </si>
  <si>
    <t>Feyyaz Buğan</t>
  </si>
  <si>
    <t>RE02024000000747</t>
  </si>
  <si>
    <t>RE02024000000730</t>
  </si>
  <si>
    <t>RE02024000000729</t>
  </si>
  <si>
    <t xml:space="preserve">RE02024000000728
</t>
  </si>
  <si>
    <t>26.06.2024</t>
  </si>
  <si>
    <t>27.06.2024</t>
  </si>
  <si>
    <t>RE02024000000738</t>
  </si>
  <si>
    <t>28.06.2024</t>
  </si>
  <si>
    <t xml:space="preserve">RE02024000000748
</t>
  </si>
  <si>
    <t>Pınar Hanım</t>
  </si>
  <si>
    <t>Kartvizit (Pınar Sözbir)</t>
  </si>
  <si>
    <r>
      <rPr>
        <b/>
        <sz val="11"/>
        <color rgb="FF403637"/>
        <rFont val="Calibri"/>
        <family val="2"/>
        <scheme val="minor"/>
      </rPr>
      <t>RE02024000000939</t>
    </r>
  </si>
  <si>
    <t>Pleksi Üzeri UV Baskı Vidalı 95x30 Beyaz Üzeri Kırmızı Yazı le (Detayları Göndericem)</t>
  </si>
  <si>
    <t xml:space="preserve">RE02024000000767
</t>
  </si>
  <si>
    <t>Kartvizit (Eyşan Yetim)</t>
  </si>
  <si>
    <t>RE02024000000940</t>
  </si>
  <si>
    <t>29.01.2024</t>
  </si>
  <si>
    <t>Pleksi Üzeri UV Baskı Vidalı 60x30cm  Kırmızı Üzeri Beyaz Yazı ile (Kurulum-Onarım-Ekran Koruma)</t>
  </si>
  <si>
    <t>DYMO LetraTag Cihaz (artı Olarak rulosundanda isteniyor rulo adet ve fiyatını öğrenince ekliycez)</t>
  </si>
  <si>
    <t>RE02024000000768</t>
  </si>
  <si>
    <t xml:space="preserve">DYMO LetraTag yedek kartuş </t>
  </si>
  <si>
    <t>29.06.2024</t>
  </si>
  <si>
    <t>RE02024000000749</t>
  </si>
  <si>
    <t xml:space="preserve">Çağdaş Özcan </t>
  </si>
  <si>
    <t>Servis Hizmeti (9-10 Temmuz)</t>
  </si>
  <si>
    <t xml:space="preserve">RE02024000000741 </t>
  </si>
  <si>
    <t>RE02024000000742</t>
  </si>
  <si>
    <t xml:space="preserve">RE02024000000760
</t>
  </si>
  <si>
    <t>Stok</t>
  </si>
  <si>
    <t xml:space="preserve">RE02024000000750
</t>
  </si>
  <si>
    <t xml:space="preserve">Yazarkasa Rulosu 80x30 </t>
  </si>
  <si>
    <t>RE02024000000753</t>
  </si>
  <si>
    <t>RE02024000000751</t>
  </si>
  <si>
    <t>Termal Etiket 40x20cm 1000 Sarım</t>
  </si>
  <si>
    <t>RE02024000000754</t>
  </si>
  <si>
    <t xml:space="preserve">RE02024000000752
</t>
  </si>
  <si>
    <t>RE02024000000755</t>
  </si>
  <si>
    <t>Ramazan Naca</t>
  </si>
  <si>
    <t>RE02024000000761</t>
  </si>
  <si>
    <t>FD02024000000316</t>
  </si>
  <si>
    <t>RE02024000000775</t>
  </si>
  <si>
    <t>02.07.2024</t>
  </si>
  <si>
    <t>RE02024000000756</t>
  </si>
  <si>
    <t>RE02024000000757</t>
  </si>
  <si>
    <t>Plastik Bardak 1 Koli</t>
  </si>
  <si>
    <t>FD02024000000347</t>
  </si>
  <si>
    <t>Pensan Tükenmez Kalem</t>
  </si>
  <si>
    <t>RE02024000000769</t>
  </si>
  <si>
    <t>03.07.2024</t>
  </si>
  <si>
    <t>Markantalya</t>
  </si>
  <si>
    <t>Alper Bey</t>
  </si>
  <si>
    <t>RE02024000000758</t>
  </si>
  <si>
    <t>RE02024000000762</t>
  </si>
  <si>
    <t xml:space="preserve">RE02024000000763
</t>
  </si>
  <si>
    <t>05.07.2024</t>
  </si>
  <si>
    <r>
      <rPr>
        <sz val="9"/>
        <color rgb="FF000000"/>
        <rFont val="Calibri"/>
        <family val="2"/>
      </rPr>
      <t xml:space="preserve">Mangalcı 9-10 Temmuz (Fatura adını belirticekler) </t>
    </r>
    <r>
      <rPr>
        <sz val="9"/>
        <color rgb="FFFF0000"/>
        <rFont val="Calibri"/>
        <family val="2"/>
      </rPr>
      <t>içeriği mangalcı diye kesmeyelim</t>
    </r>
  </si>
  <si>
    <t>Alış:6000,00TL</t>
  </si>
  <si>
    <t>RE02024000000765</t>
  </si>
  <si>
    <r>
      <rPr>
        <sz val="9"/>
        <color theme="1"/>
        <rFont val="Calibri"/>
        <family val="2"/>
      </rPr>
      <t>Gıda Bedeli</t>
    </r>
    <r>
      <rPr>
        <sz val="9"/>
        <color rgb="FFFF0000"/>
        <rFont val="Calibri"/>
        <family val="2"/>
      </rPr>
      <t xml:space="preserve"> (Alkol alınacak bize gıda faturası kesilecek)</t>
    </r>
  </si>
  <si>
    <t>06.07.2024</t>
  </si>
  <si>
    <t>T Tipi TV Güvenlik Desteği</t>
  </si>
  <si>
    <t>RE02024000000770</t>
  </si>
  <si>
    <t>Semih Börekçi</t>
  </si>
  <si>
    <t>Yük Taşıma Arabası (Akyol Marka) Öncel Makine Tedarik edilecek</t>
  </si>
  <si>
    <t>RE02024000000764</t>
  </si>
  <si>
    <t>Pleksi Raf Bariyeri 98cm</t>
  </si>
  <si>
    <t>RE02024000000776</t>
  </si>
  <si>
    <t>08.07.2024</t>
  </si>
  <si>
    <t>RE02024000000806</t>
  </si>
  <si>
    <t>Ergin Bey</t>
  </si>
  <si>
    <t>Yazarkasa Rulosu</t>
  </si>
  <si>
    <t>RE02024000000782</t>
  </si>
  <si>
    <t xml:space="preserve">Viza Pos Rulosu </t>
  </si>
  <si>
    <t>RE02024000000783</t>
  </si>
  <si>
    <t>09.07.2024</t>
  </si>
  <si>
    <t>RE02024000000807</t>
  </si>
  <si>
    <t>RE02024000000771</t>
  </si>
  <si>
    <t>RE02024000000772</t>
  </si>
  <si>
    <t>Doğan Aydın</t>
  </si>
  <si>
    <t>RE02024000000777</t>
  </si>
  <si>
    <t>İsimlik Mediamarkt İsimliği (Müşteri Deneyimi Yöneticisi)</t>
  </si>
  <si>
    <t>RE02024000000778</t>
  </si>
  <si>
    <t>TCL</t>
  </si>
  <si>
    <t>Şahin Bey</t>
  </si>
  <si>
    <t>TCL Light Box (En:452cm Boy:490cm)</t>
  </si>
  <si>
    <t>RE02024000000805</t>
  </si>
  <si>
    <t>RE02024000000773</t>
  </si>
  <si>
    <t>11.07.2024</t>
  </si>
  <si>
    <t>FD02024000000333</t>
  </si>
  <si>
    <t>RE02024000000774</t>
  </si>
  <si>
    <t>RE02024000000779</t>
  </si>
  <si>
    <t>RE02024000000837</t>
  </si>
  <si>
    <t>12.07.2024</t>
  </si>
  <si>
    <t xml:space="preserve">Dijital Baskı Bedeli </t>
  </si>
  <si>
    <t>RE02024000000815</t>
  </si>
  <si>
    <t>RE02024000000784</t>
  </si>
  <si>
    <t>15.07.2024</t>
  </si>
  <si>
    <t>RE02024000000785</t>
  </si>
  <si>
    <t>RE02024000000792</t>
  </si>
  <si>
    <t>Bu benim Kartı (100 Sarı-100 Kırmızı)</t>
  </si>
  <si>
    <t>16.07.2024</t>
  </si>
  <si>
    <t>optimum</t>
  </si>
  <si>
    <t>İsimlik Mediamarkt İsimliği (Müşteri Deneyimi Yöneticisi) Demet Ç.)</t>
  </si>
  <si>
    <t>RE02024000000793</t>
  </si>
  <si>
    <t>Alirızaeraydın</t>
  </si>
  <si>
    <t>Balon Kapı Süslemesi</t>
  </si>
  <si>
    <t>Maliyeti2700,00</t>
  </si>
  <si>
    <t>RE02024000000786</t>
  </si>
  <si>
    <t>Maliyeti:27,50</t>
  </si>
  <si>
    <t>RE02024000000808</t>
  </si>
  <si>
    <t>Yürüyüş Yolu Yer Stickeri</t>
  </si>
  <si>
    <t>RE02024000000838</t>
  </si>
  <si>
    <t>Barista Alanı Stickerı</t>
  </si>
  <si>
    <t>Balon Kapı Süslemesi (Fatura Detyına 3 Kapı olarak Belirtelim)</t>
  </si>
  <si>
    <t>Maliyeti:7600</t>
  </si>
  <si>
    <t>RE02024000000794</t>
  </si>
  <si>
    <t>Maliyeti:25</t>
  </si>
  <si>
    <t>17.07.2024</t>
  </si>
  <si>
    <t>Maliyeti:2700,00</t>
  </si>
  <si>
    <t>RE02024000000795</t>
  </si>
  <si>
    <t>Mall Of İstanbul</t>
  </si>
  <si>
    <t>RE02024000000803</t>
  </si>
  <si>
    <t xml:space="preserve"> 17.07.2024</t>
  </si>
  <si>
    <t>Bilendir Ucu Koruyucu</t>
  </si>
  <si>
    <t>RE02024000000787</t>
  </si>
  <si>
    <t>RE02024000000809</t>
  </si>
  <si>
    <t>Mağaza içi Balon Süsleme</t>
  </si>
  <si>
    <t>RE02024000000788</t>
  </si>
  <si>
    <t>18.07.2024</t>
  </si>
  <si>
    <t>Maliyeti:2700,00tl</t>
  </si>
  <si>
    <t>RE02024000000797</t>
  </si>
  <si>
    <t>RE02024000000796</t>
  </si>
  <si>
    <t>RE02024000000798</t>
  </si>
  <si>
    <t xml:space="preserve">Çiçek Gönderimi </t>
  </si>
  <si>
    <t>Maliyeti:1000,00tl</t>
  </si>
  <si>
    <t>RE02024000000789</t>
  </si>
  <si>
    <t>İstmarine</t>
  </si>
  <si>
    <t>Depo Raf Sistemi</t>
  </si>
  <si>
    <t>tamamlandi</t>
  </si>
  <si>
    <t>RE02024000000839</t>
  </si>
  <si>
    <t>19.07.2024</t>
  </si>
  <si>
    <t>Light Box Uygulaması  241,5x231,5 cm (Görselleri Mailm Attım Bu Akşam Uygulanması İsteniyor)</t>
  </si>
  <si>
    <t>RE02024000000790</t>
  </si>
  <si>
    <t>Light Box Uygulaması  382,5x180 cm (Görselleri Mailm Attım Bu Akşam Uygulanması İsteniyor)</t>
  </si>
  <si>
    <t>RE02024000000791</t>
  </si>
  <si>
    <t>20.07.2024</t>
  </si>
  <si>
    <t>İbrahim Karanfil</t>
  </si>
  <si>
    <t>Dijital Etiket Ayağı</t>
  </si>
  <si>
    <t>FD02024000000366</t>
  </si>
  <si>
    <t>RE02024000000802</t>
  </si>
  <si>
    <t>Mehmet KArakaya</t>
  </si>
  <si>
    <t>FD02024000000348</t>
  </si>
  <si>
    <t>RE02024000000799</t>
  </si>
  <si>
    <t>RE02024000000810</t>
  </si>
  <si>
    <t>Mahir Oktay Aldemir</t>
  </si>
  <si>
    <t>Kağıt Alarm Etiketi (Barkodlu olması çok önemli düz olan istenmiyor)</t>
  </si>
  <si>
    <t>RE02024000000814</t>
  </si>
  <si>
    <t>Rıza Atasayar</t>
  </si>
  <si>
    <t>Beyaz Eşya Güvenlik aparatı</t>
  </si>
  <si>
    <t>RE02024000000828</t>
  </si>
  <si>
    <t>22.07.2024</t>
  </si>
  <si>
    <t>Güvenlik etiketi 4,5cm</t>
  </si>
  <si>
    <t>RE02024000000863</t>
  </si>
  <si>
    <t>RE02024000000811</t>
  </si>
  <si>
    <t>Antres</t>
  </si>
  <si>
    <t>Pleksi Üzeri UV Baskı Vidalı (Banka -Vodafone ) Görseli Gruptann Gönderdim)</t>
  </si>
  <si>
    <t>Pleksi Üzeri UV Baskı Viidalı(Operatör ve Finans Hizmet Masası)</t>
  </si>
  <si>
    <t>Zorbey Gültekin</t>
  </si>
  <si>
    <t>Bant Makinası</t>
  </si>
  <si>
    <t>RE02024000000816</t>
  </si>
  <si>
    <t>VAn 1</t>
  </si>
  <si>
    <t>RE02024000000840</t>
  </si>
  <si>
    <t>Van 1</t>
  </si>
  <si>
    <t>Rıdva Uysal</t>
  </si>
  <si>
    <t>Abdullah Haliloğlu</t>
  </si>
  <si>
    <t>RE02024000000812</t>
  </si>
  <si>
    <t>RE02024000000829</t>
  </si>
  <si>
    <t>23.07.2024</t>
  </si>
  <si>
    <t>Şükran Çelik</t>
  </si>
  <si>
    <t>RE02024000000813</t>
  </si>
  <si>
    <t>Erzurum</t>
  </si>
  <si>
    <t>Müge Torba</t>
  </si>
  <si>
    <t>RE02024000000817</t>
  </si>
  <si>
    <t>RE02024000000820</t>
  </si>
  <si>
    <t>FD02024000000367</t>
  </si>
  <si>
    <t>RE02024000000822</t>
  </si>
  <si>
    <t>24.07.2024</t>
  </si>
  <si>
    <t>Kağıt Alarm tiketi</t>
  </si>
  <si>
    <t>RE02024000000821</t>
  </si>
  <si>
    <t xml:space="preserve">Dijital Etiket Ayağı </t>
  </si>
  <si>
    <t>FD02024000000368</t>
  </si>
  <si>
    <t>RE02024000000823</t>
  </si>
  <si>
    <t>10 Burada</t>
  </si>
  <si>
    <t>RE02024000000830</t>
  </si>
  <si>
    <t>Mersin</t>
  </si>
  <si>
    <t>Soner Şahinüçer</t>
  </si>
  <si>
    <t>FD02024000000369</t>
  </si>
  <si>
    <t>RE02024000000824</t>
  </si>
  <si>
    <t>25.07.2024</t>
  </si>
  <si>
    <t>İStanbul</t>
  </si>
  <si>
    <t>RE02024000000841</t>
  </si>
  <si>
    <t>Selda Çıvgın</t>
  </si>
  <si>
    <t>RE02024000000818</t>
  </si>
  <si>
    <t>Espark</t>
  </si>
  <si>
    <t>Derya Gülgen</t>
  </si>
  <si>
    <t>Klavye koruyucu 2 Delikli</t>
  </si>
  <si>
    <t>RE02024000000831</t>
  </si>
  <si>
    <t>26.07.2024</t>
  </si>
  <si>
    <t>FD02024000000370</t>
  </si>
  <si>
    <t>29.07.2024</t>
  </si>
  <si>
    <t>RE02024000000842</t>
  </si>
  <si>
    <t>Tevfik Derinboğaz</t>
  </si>
  <si>
    <t>RE02024000000832</t>
  </si>
  <si>
    <t>Oem ALanı Görsel ÇAlışması</t>
  </si>
  <si>
    <t>RE02024000000833</t>
  </si>
  <si>
    <t>Asansör Camı Görsel ÇAlışması</t>
  </si>
  <si>
    <t>Tablet Tuş Takımı Koruması</t>
  </si>
  <si>
    <t>RE02024000000864</t>
  </si>
  <si>
    <t>Alican Altun</t>
  </si>
  <si>
    <t>RE02024000000843</t>
  </si>
  <si>
    <t>30.07.2024</t>
  </si>
  <si>
    <t>Balonlu NAylon</t>
  </si>
  <si>
    <t>FAturası Ağustos Ayında Kesilicek</t>
  </si>
  <si>
    <t>FD02024000000371</t>
  </si>
  <si>
    <t>RE02024000000845</t>
  </si>
  <si>
    <t>RE02024000000846</t>
  </si>
  <si>
    <t>RE02024000000834</t>
  </si>
  <si>
    <t>31.07.2024</t>
  </si>
  <si>
    <t>Logolu Koli BAntı</t>
  </si>
  <si>
    <t>RE02024000000847</t>
  </si>
  <si>
    <t>Mall of Antalya</t>
  </si>
  <si>
    <t>RE02024000000848</t>
  </si>
  <si>
    <t>Viaport</t>
  </si>
  <si>
    <t>RE02024000000849</t>
  </si>
  <si>
    <t xml:space="preserve">Pleksi Üzeri UV Baskı 95x30 </t>
  </si>
  <si>
    <t>RE02024000000850</t>
  </si>
  <si>
    <t xml:space="preserve">50x70 Gri Folyo Uygulama </t>
  </si>
  <si>
    <t>RE02024000000851</t>
  </si>
  <si>
    <t>Kartal İstmarina</t>
  </si>
  <si>
    <t>RE02024000000852</t>
  </si>
  <si>
    <t>RE02024000000853</t>
  </si>
  <si>
    <t>Çift Taraflı BAnt</t>
  </si>
  <si>
    <t>01.08.2024</t>
  </si>
  <si>
    <t>fahrettin</t>
  </si>
  <si>
    <t>RE02024000000844</t>
  </si>
  <si>
    <t>Kağıt alarm Etiketi</t>
  </si>
  <si>
    <t>RE02024000000855</t>
  </si>
  <si>
    <t>Süpürge Hortum Tutucu</t>
  </si>
  <si>
    <r>
      <rPr>
        <b/>
        <sz val="11"/>
        <color rgb="FF403637"/>
        <rFont val="Calibri"/>
        <family val="2"/>
        <scheme val="minor"/>
      </rPr>
      <t>RE02024000000909</t>
    </r>
  </si>
  <si>
    <t>RE02024000000865</t>
  </si>
  <si>
    <t>RE02024000000856</t>
  </si>
  <si>
    <t>Maliyeti:2700,00TL</t>
  </si>
  <si>
    <t>RE02024000000857</t>
  </si>
  <si>
    <t>Çiçek Gönderimi (Alper YAyla)</t>
  </si>
  <si>
    <t>MAliyeti: 2500,00TL</t>
  </si>
  <si>
    <t>RE02024000000858</t>
  </si>
  <si>
    <t>Sinan ŞAhin</t>
  </si>
  <si>
    <t>RE02024000000866</t>
  </si>
  <si>
    <t>RE02024000000854</t>
  </si>
  <si>
    <t>Plastik Cırt Kelepçe Beya 30cm</t>
  </si>
  <si>
    <t>İsimlik Personel İsimliği (Teslimat Uzmanı)</t>
  </si>
  <si>
    <t>Patago Tutucusu</t>
  </si>
  <si>
    <t>Saç Düzleştirici Tutuu</t>
  </si>
  <si>
    <t>05.08.2024</t>
  </si>
  <si>
    <t>RE02024000000867</t>
  </si>
  <si>
    <t>MAll Of</t>
  </si>
  <si>
    <t>Faruk Tekbaş</t>
  </si>
  <si>
    <t>RE02024000000868</t>
  </si>
  <si>
    <t>Pleksi Üzei UV BAskı Vidalı  60x30   -Kasa 1 -</t>
  </si>
  <si>
    <t>RE02024000000859</t>
  </si>
  <si>
    <t xml:space="preserve">Patago </t>
  </si>
  <si>
    <t>Dijital Etket Ayağı</t>
  </si>
  <si>
    <t>RE02024000000869</t>
  </si>
  <si>
    <t>06.08.2024</t>
  </si>
  <si>
    <t>RE02024000000870</t>
  </si>
  <si>
    <t>RE02024000000871</t>
  </si>
  <si>
    <t>Teleskopik Yaylı Çubuk</t>
  </si>
  <si>
    <t>RE02024000000892</t>
  </si>
  <si>
    <t xml:space="preserve">Tv Güvenlik Teli </t>
  </si>
  <si>
    <t>RE02024000000860</t>
  </si>
  <si>
    <t>FD02024000000448</t>
  </si>
  <si>
    <r>
      <rPr>
        <b/>
        <sz val="10"/>
        <color rgb="FF403637"/>
        <rFont val="Calibri"/>
        <family val="2"/>
        <scheme val="minor"/>
      </rPr>
      <t>RE02024000000899</t>
    </r>
  </si>
  <si>
    <t>İsimlik 20satış danışmanı-1satış takım lideri-5idari İlker takım lideri-3 kasa-müşteri hizmetleri</t>
  </si>
  <si>
    <t>İsimlik 4satış takım lideri</t>
  </si>
  <si>
    <t>A3 Rondo Çerçeve</t>
  </si>
  <si>
    <t>RE02024000000873</t>
  </si>
  <si>
    <t>Aksesur Sepet Takımı</t>
  </si>
  <si>
    <t>RE02024000000874</t>
  </si>
  <si>
    <t>Kargo cebi</t>
  </si>
  <si>
    <t>RE02024000000861</t>
  </si>
  <si>
    <t>Strech film siyah</t>
  </si>
  <si>
    <t>07.08.2024</t>
  </si>
  <si>
    <t>RE02024000000862</t>
  </si>
  <si>
    <t>Logolu Tükenmez KALem Kırmızı Üzeri Beyaz YAzı</t>
  </si>
  <si>
    <t>Maliyeti:450,00tl</t>
  </si>
  <si>
    <t>Mıknatıslı A4 Pleksi</t>
  </si>
  <si>
    <t>Termal Etiet 100x100</t>
  </si>
  <si>
    <t>RE02024000000875</t>
  </si>
  <si>
    <t>08.08.2024</t>
  </si>
  <si>
    <t>135x700 Dik Gönder BAyrağı Saten Tek KAt</t>
  </si>
  <si>
    <t>RE02024000000876</t>
  </si>
  <si>
    <t>Diplomat Zarf</t>
  </si>
  <si>
    <t>RE02024000000910</t>
  </si>
  <si>
    <t>09.08.2024</t>
  </si>
  <si>
    <t>GAziantep</t>
  </si>
  <si>
    <t>RE02024000000877</t>
  </si>
  <si>
    <t>10.08.2024</t>
  </si>
  <si>
    <t>12.08.2024</t>
  </si>
  <si>
    <t>Pleksi UV BAskı Vidalı 95x30cm (Detayları Göndericem)</t>
  </si>
  <si>
    <t>RE02024000000882</t>
  </si>
  <si>
    <t>Pleksi Üzeri Uv Baskı Vidalı 60x30 (Detayları Göndericem)</t>
  </si>
  <si>
    <t>RE02024000000878</t>
  </si>
  <si>
    <t>İzmirPark</t>
  </si>
  <si>
    <t>RM02024000000018</t>
  </si>
  <si>
    <t>RM02024000000016</t>
  </si>
  <si>
    <t>Kartvizit (Ebru Böke)</t>
  </si>
  <si>
    <t>RE02024000000911</t>
  </si>
  <si>
    <t>Kaşe  (Ebru Böke) 1 Tl Büyüklüğünde olucak Kaşenin Dış kısmı ve yazısı Kırmızı Olucak</t>
  </si>
  <si>
    <t>RE02024000000904</t>
  </si>
  <si>
    <t>Muzaffer Türker</t>
  </si>
  <si>
    <t>085110 Expert-Otomatik Geri Çekilen Metal Maket Bıçak</t>
  </si>
  <si>
    <t>Zümrüt Aşkabat</t>
  </si>
  <si>
    <t>13.08.2024</t>
  </si>
  <si>
    <t>RE02024000000879</t>
  </si>
  <si>
    <t>YAkup Çamalan</t>
  </si>
  <si>
    <t>RE02024000000880</t>
  </si>
  <si>
    <t>Yer Laminasyonu-Yürüyüş Yolu</t>
  </si>
  <si>
    <t>RE02024000000883</t>
  </si>
  <si>
    <t>14.08.2024</t>
  </si>
  <si>
    <t>KuleCity</t>
  </si>
  <si>
    <t>Pleksi Üzeri UV Baskı (Detayları ve Ölçüleri Göndericem)</t>
  </si>
  <si>
    <t>Pleksi Promotör İsimliği</t>
  </si>
  <si>
    <t>RE02024000000884</t>
  </si>
  <si>
    <t>BAlıkesir</t>
  </si>
  <si>
    <t>RE02024000000885</t>
  </si>
  <si>
    <t>RE02024000000886</t>
  </si>
  <si>
    <t>RE02024000000887</t>
  </si>
  <si>
    <t>15.08.2024</t>
  </si>
  <si>
    <t>RE02024000000888</t>
  </si>
  <si>
    <t>Metal Sepet Köşeliği</t>
  </si>
  <si>
    <t>RE02024000000912</t>
  </si>
  <si>
    <t xml:space="preserve">M1 </t>
  </si>
  <si>
    <t>Furkan Kara</t>
  </si>
  <si>
    <t>RE02024000000889</t>
  </si>
  <si>
    <t>FD02024000000447</t>
  </si>
  <si>
    <t>RE02024000000900</t>
  </si>
  <si>
    <t>KAyseri</t>
  </si>
  <si>
    <t>MAliyeti: 450,00</t>
  </si>
  <si>
    <t>FD02024000000445</t>
  </si>
  <si>
    <r>
      <rPr>
        <b/>
        <sz val="10"/>
        <color rgb="FF403637"/>
        <rFont val="Calibri"/>
        <family val="2"/>
        <scheme val="minor"/>
      </rPr>
      <t>RE02024000000893</t>
    </r>
  </si>
  <si>
    <t>16.08.2024</t>
  </si>
  <si>
    <t>Okan Kiraz</t>
  </si>
  <si>
    <t>FD02024000000446</t>
  </si>
  <si>
    <t>RE02024000000901</t>
  </si>
  <si>
    <t>-/*</t>
  </si>
  <si>
    <r>
      <rPr>
        <b/>
        <sz val="10"/>
        <color rgb="FF403637"/>
        <rFont val="Calibri"/>
        <family val="2"/>
        <scheme val="minor"/>
      </rPr>
      <t>RE02024000000893</t>
    </r>
  </si>
  <si>
    <t>RE02024000000894</t>
  </si>
  <si>
    <t>19.08.2024</t>
  </si>
  <si>
    <t>RE02024000000895</t>
  </si>
  <si>
    <t>Promotör Yaka Kartı Pleksi Mıknatıslı</t>
  </si>
  <si>
    <t>RE02024000000896</t>
  </si>
  <si>
    <t>RE02024000000919</t>
  </si>
  <si>
    <t>İsimlik Personel İsimliği (20 Satış Danışmanı-50 Kasiyer-2 Teslimat Uzmanı)</t>
  </si>
  <si>
    <t>FD02024000000449</t>
  </si>
  <si>
    <t>RE02024000000897</t>
  </si>
  <si>
    <t>20.08.2024</t>
  </si>
  <si>
    <t>Fatma Gezginer</t>
  </si>
  <si>
    <r>
      <rPr>
        <b/>
        <sz val="11"/>
        <color rgb="FF403637"/>
        <rFont val="Calibri"/>
        <family val="2"/>
        <scheme val="minor"/>
      </rPr>
      <t>RE02024000000957</t>
    </r>
  </si>
  <si>
    <t>RE02024000000899</t>
  </si>
  <si>
    <t>YazarKasa Rulosu</t>
  </si>
  <si>
    <t>RE02024000000905</t>
  </si>
  <si>
    <t>RE02024000000902</t>
  </si>
  <si>
    <t>21.08.2024</t>
  </si>
  <si>
    <t>RE02024000000906</t>
  </si>
  <si>
    <t>22.08.2024</t>
  </si>
  <si>
    <t>FD02024000000456</t>
  </si>
  <si>
    <t>RE02024000000907</t>
  </si>
  <si>
    <t>FD02024000000455</t>
  </si>
  <si>
    <t>RE02024000000908</t>
  </si>
  <si>
    <t>Streçh Film</t>
  </si>
  <si>
    <t>Şeffaf BAnt</t>
  </si>
  <si>
    <t>RE02024000000913</t>
  </si>
  <si>
    <t>23.08.2024</t>
  </si>
  <si>
    <t>Kübra Yılmaz</t>
  </si>
  <si>
    <t>Yürüyüş Yolu Sticker</t>
  </si>
  <si>
    <t>RE02024000000915</t>
  </si>
  <si>
    <t>Barista Club Yazı Stickerı</t>
  </si>
  <si>
    <t>RE02024000000914</t>
  </si>
  <si>
    <t>Pending Viaport</t>
  </si>
  <si>
    <t>Öznur Yener</t>
  </si>
  <si>
    <t>Reyon Bariyeri 100cm derinlik 48cm</t>
  </si>
  <si>
    <r>
      <rPr>
        <b/>
        <sz val="11"/>
        <color rgb="FF403637"/>
        <rFont val="Calibri"/>
        <family val="2"/>
        <scheme val="minor"/>
      </rPr>
      <t>RE02024000000960</t>
    </r>
  </si>
  <si>
    <t>Reyon BAriyeri 125cm derinlik 48cm</t>
  </si>
  <si>
    <r>
      <rPr>
        <b/>
        <sz val="11"/>
        <color rgb="FF403637"/>
        <rFont val="Calibri"/>
        <family val="2"/>
        <scheme val="minor"/>
      </rPr>
      <t>RE02024000000960</t>
    </r>
  </si>
  <si>
    <t>26.08.2024</t>
  </si>
  <si>
    <t>MArkAntalya</t>
  </si>
  <si>
    <t>RE02024000000920</t>
  </si>
  <si>
    <t>RE02024000000921</t>
  </si>
  <si>
    <r>
      <rPr>
        <b/>
        <sz val="11"/>
        <color rgb="FF403637"/>
        <rFont val="Calibri"/>
        <family val="2"/>
        <scheme val="minor"/>
      </rPr>
      <t>RE02024000000941</t>
    </r>
  </si>
  <si>
    <t>Kağıt Alarm Etiketi 4x4</t>
  </si>
  <si>
    <t>RE02024000000922</t>
  </si>
  <si>
    <t>RE02024000000923</t>
  </si>
  <si>
    <t>Scooter Baza 120x100 Tekerlekli-Kilitli</t>
  </si>
  <si>
    <r>
      <rPr>
        <b/>
        <sz val="11"/>
        <color rgb="FF403637"/>
        <rFont val="Calibri"/>
        <family val="2"/>
        <scheme val="minor"/>
      </rPr>
      <t>RE02024000000952</t>
    </r>
  </si>
  <si>
    <t>Scooter Baza 120x100</t>
  </si>
  <si>
    <r>
      <rPr>
        <b/>
        <sz val="11"/>
        <color rgb="FF403637"/>
        <rFont val="Calibri"/>
        <family val="2"/>
        <scheme val="minor"/>
      </rPr>
      <t>RE02024000000952</t>
    </r>
  </si>
  <si>
    <t>Manavgat</t>
  </si>
  <si>
    <t>Mağaza Açılış Paketi</t>
  </si>
  <si>
    <r>
      <rPr>
        <b/>
        <sz val="11"/>
        <color rgb="FF403637"/>
        <rFont val="Calibri"/>
        <family val="2"/>
        <scheme val="minor"/>
      </rPr>
      <t>RE02024000000916</t>
    </r>
  </si>
  <si>
    <t>Yeter kara</t>
  </si>
  <si>
    <t>Viza pos Rulosu</t>
  </si>
  <si>
    <t>RE02024000000924</t>
  </si>
  <si>
    <t>Yeter Kara</t>
  </si>
  <si>
    <t>KAğıt Alarm Etiketi 4x4</t>
  </si>
  <si>
    <t>RE02024000000925</t>
  </si>
  <si>
    <t>VAn</t>
  </si>
  <si>
    <t>Kulakiçi Kulaklık Stantı Kilitli ve menteşeli</t>
  </si>
  <si>
    <t>RE02024000000958</t>
  </si>
  <si>
    <t>VAn1</t>
  </si>
  <si>
    <t>Furkan Uysal</t>
  </si>
  <si>
    <t>RE02024000000926</t>
  </si>
  <si>
    <t>RE02024000000927</t>
  </si>
  <si>
    <t>RE02024000000928</t>
  </si>
  <si>
    <t>İnegöl</t>
  </si>
  <si>
    <t>Asaf Eren Keskin</t>
  </si>
  <si>
    <t>RE02024000000961</t>
  </si>
  <si>
    <t>RE02024000000929</t>
  </si>
  <si>
    <t>Cemre Bulut</t>
  </si>
  <si>
    <r>
      <rPr>
        <b/>
        <sz val="11"/>
        <color rgb="FF403637"/>
        <rFont val="Calibri"/>
        <family val="2"/>
        <scheme val="minor"/>
      </rPr>
      <t>RE02024000000931</t>
    </r>
  </si>
  <si>
    <t>28.08.2024</t>
  </si>
  <si>
    <r>
      <rPr>
        <b/>
        <sz val="11"/>
        <color rgb="FF403637"/>
        <rFont val="Calibri"/>
        <family val="2"/>
        <scheme val="minor"/>
      </rPr>
      <t>RE02024000000931</t>
    </r>
  </si>
  <si>
    <t>İsimlik Personel İsimliği 20 Satış Danışmanı - 4 Kasiyer- 4 Müşteri Hizmetleri</t>
  </si>
  <si>
    <r>
      <rPr>
        <b/>
        <sz val="11"/>
        <color rgb="FF403637"/>
        <rFont val="Calibri"/>
        <family val="2"/>
        <scheme val="minor"/>
      </rPr>
      <t>RE02024000000975</t>
    </r>
  </si>
  <si>
    <r>
      <rPr>
        <b/>
        <sz val="11"/>
        <color rgb="FF403637"/>
        <rFont val="Calibri"/>
        <family val="2"/>
        <scheme val="minor"/>
      </rPr>
      <t>RE02024000000975</t>
    </r>
  </si>
  <si>
    <t>41 Burda</t>
  </si>
  <si>
    <t>FD02024000000497</t>
  </si>
  <si>
    <t>RE02024000000932</t>
  </si>
  <si>
    <t>Sema Önkahraman</t>
  </si>
  <si>
    <t>RE02024000000933</t>
  </si>
  <si>
    <t>41 Burada</t>
  </si>
  <si>
    <t>Ümit TAnrıverdi</t>
  </si>
  <si>
    <t>RE02024000000934</t>
  </si>
  <si>
    <t>RE02024000000935</t>
  </si>
  <si>
    <t>29.08.2024</t>
  </si>
  <si>
    <t>Uğur Doğtürk</t>
  </si>
  <si>
    <t>FD02024000000496</t>
  </si>
  <si>
    <t>RE02024000000936</t>
  </si>
  <si>
    <t>FD02024000000485</t>
  </si>
  <si>
    <t>FD02024000000487</t>
  </si>
  <si>
    <t>Termal Etiket 100x100 500 sarım</t>
  </si>
  <si>
    <r>
      <rPr>
        <b/>
        <sz val="11"/>
        <color rgb="FF403637"/>
        <rFont val="Calibri"/>
        <family val="2"/>
        <scheme val="minor"/>
      </rPr>
      <t>RE02024000000979</t>
    </r>
  </si>
  <si>
    <t>30.08.2024</t>
  </si>
  <si>
    <r>
      <rPr>
        <b/>
        <sz val="11"/>
        <color rgb="FF403637"/>
        <rFont val="Calibri"/>
        <family val="2"/>
        <scheme val="minor"/>
      </rPr>
      <t>RE02024000000941</t>
    </r>
  </si>
  <si>
    <r>
      <rPr>
        <b/>
        <sz val="11"/>
        <color rgb="FF403637"/>
        <rFont val="Calibri"/>
        <family val="2"/>
        <scheme val="minor"/>
      </rPr>
      <t>RE02024000000959</t>
    </r>
  </si>
  <si>
    <t>Nusret Kara</t>
  </si>
  <si>
    <t>RE02024000000942</t>
  </si>
  <si>
    <t>FD02024000000495</t>
  </si>
  <si>
    <r>
      <rPr>
        <b/>
        <sz val="11"/>
        <color rgb="FF403637"/>
        <rFont val="Calibri"/>
        <family val="2"/>
        <scheme val="minor"/>
      </rPr>
      <t>RE02024000000937</t>
    </r>
  </si>
  <si>
    <t>31.08.2024</t>
  </si>
  <si>
    <t>RE02024000000943</t>
  </si>
  <si>
    <t>Ensar Güner</t>
  </si>
  <si>
    <t>RE02024000000944</t>
  </si>
  <si>
    <t>RE02024000000945</t>
  </si>
  <si>
    <t>FD02024000000494</t>
  </si>
  <si>
    <t>RE02024000000938</t>
  </si>
  <si>
    <t>Product</t>
  </si>
  <si>
    <t>01.09.2024</t>
  </si>
  <si>
    <t>RE02024000000930</t>
  </si>
  <si>
    <t>Personel Servis 17-18 Eylül</t>
  </si>
  <si>
    <t xml:space="preserve">fatura 2 ayrı günde kesildi </t>
  </si>
  <si>
    <t>RE02024000001012</t>
  </si>
  <si>
    <r>
      <rPr>
        <b/>
        <sz val="11"/>
        <color rgb="FF403637"/>
        <rFont val="Arial"/>
        <family val="2"/>
      </rPr>
      <t>RE02024000000946</t>
    </r>
  </si>
  <si>
    <t>Promotör İsimlik Pleksi Mıknatıslı</t>
  </si>
  <si>
    <r>
      <rPr>
        <b/>
        <sz val="11"/>
        <color rgb="FF403637"/>
        <rFont val="Arial"/>
        <family val="2"/>
      </rPr>
      <t>RE02024000000967</t>
    </r>
  </si>
  <si>
    <t>RE02024000000947</t>
  </si>
  <si>
    <t>RE02024000000976</t>
  </si>
  <si>
    <t>İsim Kaşesi</t>
  </si>
  <si>
    <r>
      <rPr>
        <b/>
        <sz val="11"/>
        <color rgb="FF403637"/>
        <rFont val="Calibri"/>
        <family val="2"/>
        <scheme val="minor"/>
      </rPr>
      <t>FD02024000000503</t>
    </r>
  </si>
  <si>
    <t>RE02024000000954</t>
  </si>
  <si>
    <t>Yeter Hanım</t>
  </si>
  <si>
    <t>İsimlk Personel İsimliği -Teslimat Uzmanı</t>
  </si>
  <si>
    <t>RE02024000000955</t>
  </si>
  <si>
    <t>RE02024000000948</t>
  </si>
  <si>
    <t>RE02024000000949</t>
  </si>
  <si>
    <t>Münise Kara</t>
  </si>
  <si>
    <t>FD02024000000504</t>
  </si>
  <si>
    <t>RE02024000000956</t>
  </si>
  <si>
    <t>RE02024000000984</t>
  </si>
  <si>
    <t>RE02024000000950</t>
  </si>
  <si>
    <t>RE02024000000962</t>
  </si>
  <si>
    <t>Oğuzhan Sağdıç</t>
  </si>
  <si>
    <r>
      <rPr>
        <b/>
        <sz val="11"/>
        <color rgb="FF403637"/>
        <rFont val="Arial"/>
        <family val="2"/>
      </rPr>
      <t>RE02024000000991</t>
    </r>
  </si>
  <si>
    <r>
      <rPr>
        <b/>
        <sz val="11"/>
        <color rgb="FF403637"/>
        <rFont val="Arial"/>
        <family val="2"/>
      </rPr>
      <t>RE02024000000991</t>
    </r>
  </si>
  <si>
    <t>RE02024000000992</t>
  </si>
  <si>
    <t>05.09.2024</t>
  </si>
  <si>
    <t>Uğurcan Peker</t>
  </si>
  <si>
    <t>Beyaz Eşya Kg Etiketi Sticker (Detayları İlettim)</t>
  </si>
  <si>
    <r>
      <rPr>
        <b/>
        <sz val="11"/>
        <color rgb="FF403637"/>
        <rFont val="Arial"/>
        <family val="2"/>
      </rPr>
      <t>RE02024000000980</t>
    </r>
  </si>
  <si>
    <t>Ceyhan Kara</t>
  </si>
  <si>
    <t>Skechers Ayakkabı 41 Numara</t>
  </si>
  <si>
    <t>Maliyeti 3750,00TL</t>
  </si>
  <si>
    <t>RE02024000001010</t>
  </si>
  <si>
    <t>Mark Antalya</t>
  </si>
  <si>
    <t>Namık şikaroğlu</t>
  </si>
  <si>
    <t>RE02024000000963</t>
  </si>
  <si>
    <t>RE02024000000968</t>
  </si>
  <si>
    <t>RE02024000000969</t>
  </si>
  <si>
    <t>Tost Makinesi Ayracı</t>
  </si>
  <si>
    <t>teslim edildi FD</t>
  </si>
  <si>
    <t>RE02024000001032</t>
  </si>
  <si>
    <t xml:space="preserve">Ankamall </t>
  </si>
  <si>
    <t>Plastik Kelepçe 15cm ve özellikle ince olan isteniyor -Beyaz</t>
  </si>
  <si>
    <t>Plastik Kelepçe 25cm Beyaz</t>
  </si>
  <si>
    <t>07.09.2024</t>
  </si>
  <si>
    <t>Onur Koç</t>
  </si>
  <si>
    <t>Pleksi Üzeri UV Baskı Vidalı 95x30cm</t>
  </si>
  <si>
    <t>RE02024000000964</t>
  </si>
  <si>
    <t>09.09.2024</t>
  </si>
  <si>
    <t>RE02024000000977</t>
  </si>
  <si>
    <t>RE02024000000970</t>
  </si>
  <si>
    <t>Plastik Kartlık</t>
  </si>
  <si>
    <t>RE02024000001033</t>
  </si>
  <si>
    <t>Yoyo Anahtarlık Kırmızı</t>
  </si>
  <si>
    <t>RE02024000000971</t>
  </si>
  <si>
    <t>Spiralli Kablo Beyaz 4 metre</t>
  </si>
  <si>
    <t>RE02024000000978</t>
  </si>
  <si>
    <t>A1 Baskı(Dyson Taksidi)</t>
  </si>
  <si>
    <r>
      <rPr>
        <b/>
        <sz val="10"/>
        <color theme="1"/>
        <rFont val="Arial"/>
        <family val="2"/>
      </rPr>
      <t>RE02024000001019</t>
    </r>
  </si>
  <si>
    <t>RE02024000000972</t>
  </si>
  <si>
    <t>RE02024000000973</t>
  </si>
  <si>
    <t>Logolu KArton Bardak</t>
  </si>
  <si>
    <t>RE02024000000974</t>
  </si>
  <si>
    <t>Kaşe Mağaza Kaşesi</t>
  </si>
  <si>
    <t>RE02024000000993</t>
  </si>
  <si>
    <t>10.09.2024</t>
  </si>
  <si>
    <t>RE02024000000994</t>
  </si>
  <si>
    <t>RE02024000000985</t>
  </si>
  <si>
    <t>Emrah Koç</t>
  </si>
  <si>
    <t>RE02024000000986</t>
  </si>
  <si>
    <t>RE02024000001034</t>
  </si>
  <si>
    <r>
      <rPr>
        <b/>
        <sz val="11"/>
        <color rgb="FF403637"/>
        <rFont val="Arial"/>
        <family val="2"/>
      </rPr>
      <t>RE02024000000981</t>
    </r>
  </si>
  <si>
    <t>Kaorupark</t>
  </si>
  <si>
    <t>İsimlik Personel İsimliği (Detayları Gönderdim)</t>
  </si>
  <si>
    <t>RE02024000000995</t>
  </si>
  <si>
    <t>RE02024000001035</t>
  </si>
  <si>
    <t>Palet Giydirme ( Detayları FD Görüşücek Netleştirilicek )</t>
  </si>
  <si>
    <r>
      <rPr>
        <b/>
        <sz val="11"/>
        <color rgb="FF403637"/>
        <rFont val="Arial"/>
        <family val="2"/>
      </rPr>
      <t>RE02024000001013</t>
    </r>
  </si>
  <si>
    <t>Scooter Metal Ayağı - GEniş OLacak</t>
  </si>
  <si>
    <t>RE02024000000996</t>
  </si>
  <si>
    <t>11.09.2025</t>
  </si>
  <si>
    <t xml:space="preserve">Kargo Cebi </t>
  </si>
  <si>
    <t>11.09.2024</t>
  </si>
  <si>
    <t>Hakan Karaca</t>
  </si>
  <si>
    <t>RE02024000001077</t>
  </si>
  <si>
    <t>RE02024000000987</t>
  </si>
  <si>
    <t>RE02024000000988</t>
  </si>
  <si>
    <t>12.09.2024</t>
  </si>
  <si>
    <t>Kaşe İsim Kaşesi (Mağaza Numarası Yazıyor)</t>
  </si>
  <si>
    <t>RE02024000000997</t>
  </si>
  <si>
    <t>Kaşe İsim Kaşesi (Mustafa Özer)</t>
  </si>
  <si>
    <t>Lightbox Tek Yön 284x264x22x97</t>
  </si>
  <si>
    <r>
      <rPr>
        <b/>
        <sz val="11"/>
        <color rgb="FF403637"/>
        <rFont val="Arial"/>
        <family val="2"/>
      </rPr>
      <t>RE02024000000982</t>
    </r>
  </si>
  <si>
    <t xml:space="preserve">Manavgat </t>
  </si>
  <si>
    <t>RE02024000000989</t>
  </si>
  <si>
    <t>RE02024000001014</t>
  </si>
  <si>
    <t>Pleksi Üzeri UV Baskı Vidalı 95x30 Beyaz Üzeri Kırmızı Yazı -Kahve Makineleri-</t>
  </si>
  <si>
    <t>RE02024000000998</t>
  </si>
  <si>
    <t>Hakan KAraca</t>
  </si>
  <si>
    <t>Sticker BAskı (Detayları Gönderdim)</t>
  </si>
  <si>
    <t>RE02024000000999</t>
  </si>
  <si>
    <t>13.09.2024</t>
  </si>
  <si>
    <t>Ferda Öztürk</t>
  </si>
  <si>
    <t>Kargo Cebi 19x26cm</t>
  </si>
  <si>
    <t>RE02024000001000</t>
  </si>
  <si>
    <t>Pleksi Üzeri UV Baskı 63x31 Kırmızı Üzeri Beyaz Yazı- Kasa1-Kasa2-Kasa3-İnternet Satış Teslim Alanı-Müşteri Hizmetleri-</t>
  </si>
  <si>
    <t>RE02024000001015</t>
  </si>
  <si>
    <t>İsimlik -Satış Danışmanı-</t>
  </si>
  <si>
    <t xml:space="preserve">Light Box Uygulaması  241,5x231,5 cm </t>
  </si>
  <si>
    <t>RE02024000001001</t>
  </si>
  <si>
    <t xml:space="preserve">Light Box Uygulaması  382,5x180 cm </t>
  </si>
  <si>
    <t>RE02024000001036</t>
  </si>
  <si>
    <t>16.09.2024</t>
  </si>
  <si>
    <t>Piknik organizasyonu-Mangalcı</t>
  </si>
  <si>
    <t>Yer Laminasyonu 300x300</t>
  </si>
  <si>
    <r>
      <rPr>
        <b/>
        <sz val="11"/>
        <color rgb="FF403637"/>
        <rFont val="Arial"/>
        <family val="2"/>
      </rPr>
      <t>RE02024000001013</t>
    </r>
  </si>
  <si>
    <t>İsimlik- (detayları gönderdim)</t>
  </si>
  <si>
    <t>RE02024000001037</t>
  </si>
  <si>
    <t>Promotör Yaka Kartı</t>
  </si>
  <si>
    <t>RE02024000001002</t>
  </si>
  <si>
    <t>16.09.2025</t>
  </si>
  <si>
    <r>
      <rPr>
        <sz val="9"/>
        <color rgb="FFFF0000"/>
        <rFont val="Calibri"/>
        <family val="2"/>
      </rPr>
      <t>Çeyrek Altın</t>
    </r>
    <r>
      <rPr>
        <sz val="9"/>
        <color theme="1"/>
        <rFont val="Calibri"/>
        <family val="2"/>
      </rPr>
      <t xml:space="preserve"> (Dijital Baskı Bedeli)</t>
    </r>
  </si>
  <si>
    <t>RE02024000001004</t>
  </si>
  <si>
    <t>Poster 50x70</t>
  </si>
  <si>
    <t>Poster 70x100</t>
  </si>
  <si>
    <t>RE02024000001038</t>
  </si>
  <si>
    <t>RE02024000001007</t>
  </si>
  <si>
    <t xml:space="preserve">             </t>
  </si>
  <si>
    <t>Mal Of Antalya</t>
  </si>
  <si>
    <t>RE02024000001008</t>
  </si>
  <si>
    <t>Aydın</t>
  </si>
  <si>
    <t>Kuşadası</t>
  </si>
  <si>
    <t>Eylül Mede</t>
  </si>
  <si>
    <r>
      <rPr>
        <b/>
        <sz val="11"/>
        <color rgb="FF403637"/>
        <rFont val="Arial"/>
        <family val="2"/>
      </rPr>
      <t>RE02024000001003</t>
    </r>
  </si>
  <si>
    <t>17.09.2024</t>
  </si>
  <si>
    <t>RE02024000001016</t>
  </si>
  <si>
    <t>RE02024000001039</t>
  </si>
  <si>
    <t>RE02024000001020</t>
  </si>
  <si>
    <t>18.09.2024</t>
  </si>
  <si>
    <t>Kokteyl Masa Örtüsü-kurdelesi</t>
  </si>
  <si>
    <t>RE02024000001021</t>
  </si>
  <si>
    <t>19.09.2024</t>
  </si>
  <si>
    <t xml:space="preserve">Teraspark </t>
  </si>
  <si>
    <t xml:space="preserve">Yakup Çamalan </t>
  </si>
  <si>
    <r>
      <rPr>
        <b/>
        <sz val="10"/>
        <color rgb="FF403637"/>
        <rFont val="Arial"/>
        <family val="2"/>
      </rPr>
      <t>RE02024000001025</t>
    </r>
  </si>
  <si>
    <t>RE02024000001022</t>
  </si>
  <si>
    <t>RE02024000001040</t>
  </si>
  <si>
    <t>RE02024000001026</t>
  </si>
  <si>
    <t>Kırmızı Damla Etiket (Paketi 2500 adet olan)</t>
  </si>
  <si>
    <t>22.09.2024</t>
  </si>
  <si>
    <t>RE02024000001041</t>
  </si>
  <si>
    <t>Promotör YAka KArtı Pleksi Mıknatıslı</t>
  </si>
  <si>
    <t>RE02024000001042</t>
  </si>
  <si>
    <t>İsimlik- Satış DAnışmanı</t>
  </si>
  <si>
    <t>İsg Ayakkabısı 42 Numara (Modeli Göndericem)</t>
  </si>
  <si>
    <t>RE02024000001043</t>
  </si>
  <si>
    <t>RE02024000001044</t>
  </si>
  <si>
    <t>RE02024000001045</t>
  </si>
  <si>
    <t>A4 KAğıt (PAketi 5'li)</t>
  </si>
  <si>
    <t>23.09.2024</t>
  </si>
  <si>
    <t>Kentmetdanı</t>
  </si>
  <si>
    <t>Logolu Koli Bnatı</t>
  </si>
  <si>
    <t>RE02024000001046</t>
  </si>
  <si>
    <t>23.9.2024</t>
  </si>
  <si>
    <t>Logolu Tükenmez KAlem</t>
  </si>
  <si>
    <t>Yazar KAsa Rulosu</t>
  </si>
  <si>
    <t>24.09.2024</t>
  </si>
  <si>
    <t>Kaşe R17 (Beyza Nur Dinçer-Ali Aydıner Şimşek-Muhammed Can Şenol)</t>
  </si>
  <si>
    <t>RE02024000001047</t>
  </si>
  <si>
    <t>Bu Benim Kartı Kırmızı</t>
  </si>
  <si>
    <t>25.09.2024</t>
  </si>
  <si>
    <t>RE12024000000001</t>
  </si>
  <si>
    <t>26.09.2024</t>
  </si>
  <si>
    <t>Güvenlik</t>
  </si>
  <si>
    <t>RE02024000001048</t>
  </si>
  <si>
    <t>Laminasyon Filmi 150 Mikron Şeffaf A5</t>
  </si>
  <si>
    <t>RE02024000001054</t>
  </si>
  <si>
    <t>27.09.2024</t>
  </si>
  <si>
    <t>Nusret Sak</t>
  </si>
  <si>
    <t>RE02024000001049</t>
  </si>
  <si>
    <t>Emre Köse</t>
  </si>
  <si>
    <t>RE02024000001079</t>
  </si>
  <si>
    <t>30.09.2024</t>
  </si>
  <si>
    <t>RE02024000001050</t>
  </si>
  <si>
    <t>KAğıt Alarm Etiketi</t>
  </si>
  <si>
    <t>Görsel Baskı Folyo+Baskı</t>
  </si>
  <si>
    <t>RE02024000001066</t>
  </si>
  <si>
    <t>RE02024000001051</t>
  </si>
  <si>
    <t>BAlıkesir 10</t>
  </si>
  <si>
    <t>RE02024000001052</t>
  </si>
  <si>
    <t>Headset Pleksi Kulkalık Askılığı</t>
  </si>
  <si>
    <t>Plastik Şeffaf BArdak</t>
  </si>
  <si>
    <t>RE02024000001067</t>
  </si>
  <si>
    <t>Plastik Cırt Kelepçe 30cm Beyaz</t>
  </si>
  <si>
    <t>Kaşe İsim Kaşesi Boyutunda isteniyor ( Kontrol Edildi Güvenlik )</t>
  </si>
  <si>
    <t>RE02024000001053</t>
  </si>
  <si>
    <t>Remaining Day</t>
  </si>
  <si>
    <t>SATINALMA TARİHİ</t>
  </si>
  <si>
    <t>01.10.2024</t>
  </si>
  <si>
    <t>RE12024000000002</t>
  </si>
  <si>
    <t>RE02024000001055</t>
  </si>
  <si>
    <t>RE02024000001057</t>
  </si>
  <si>
    <t>İsimlik Promotör İsimliği Pleksi-Mıknatıslı</t>
  </si>
  <si>
    <t>RE02024000001071</t>
  </si>
  <si>
    <t>İsimlik - Satış DAnışmanı</t>
  </si>
  <si>
    <t>RE02024000001058</t>
  </si>
  <si>
    <t>Buğra Uslu</t>
  </si>
  <si>
    <t>RE02024000001084</t>
  </si>
  <si>
    <t>RE02024000001080</t>
  </si>
  <si>
    <t>RE02024000001081</t>
  </si>
  <si>
    <t>03.10,2024</t>
  </si>
  <si>
    <t>RE02024000001068</t>
  </si>
  <si>
    <t>Okan KAra</t>
  </si>
  <si>
    <t>RE02024000001072</t>
  </si>
  <si>
    <t>RE02024000001085</t>
  </si>
  <si>
    <t>Onur ÇAkır</t>
  </si>
  <si>
    <t>Folyo Baskı</t>
  </si>
  <si>
    <t>RE02024000001069</t>
  </si>
  <si>
    <t>Mert Arıcı</t>
  </si>
  <si>
    <t>Reyon İnfoboard</t>
  </si>
  <si>
    <t>RE02024000001207</t>
  </si>
  <si>
    <t xml:space="preserve">Anatolium </t>
  </si>
  <si>
    <t>Murta Özgan</t>
  </si>
  <si>
    <t>RE02024000001063</t>
  </si>
  <si>
    <t>Görsel Değişimi</t>
  </si>
  <si>
    <t>RE02024000001070</t>
  </si>
  <si>
    <t>RE02024000001073</t>
  </si>
  <si>
    <t>Maltepe Hillytown</t>
  </si>
  <si>
    <t>Ayhan Yılmazer</t>
  </si>
  <si>
    <t>Damla Etiket (2500 Adet olan Tanex)</t>
  </si>
  <si>
    <t>RE02024000001074</t>
  </si>
  <si>
    <t>04.10.2024</t>
  </si>
  <si>
    <t>Paket Taşıma Arabası</t>
  </si>
  <si>
    <t>RE02024000001141</t>
  </si>
  <si>
    <t>07.10.2024</t>
  </si>
  <si>
    <t>Görsel Çalışma</t>
  </si>
  <si>
    <t>RE02024000001082</t>
  </si>
  <si>
    <t>RE02024000001083</t>
  </si>
  <si>
    <t>Azade Türkmendağ</t>
  </si>
  <si>
    <t>RE02024000001075</t>
  </si>
  <si>
    <t xml:space="preserve">Azade Türkmendağ </t>
  </si>
  <si>
    <t>RE02024000001076</t>
  </si>
  <si>
    <t>RE02024000001109</t>
  </si>
  <si>
    <t>Pleksi Raf Bariyeri 95cm</t>
  </si>
  <si>
    <t>08.10.2024</t>
  </si>
  <si>
    <t>Yaka İpi</t>
  </si>
  <si>
    <t>RE02024000001088</t>
  </si>
  <si>
    <t>Kaşe İsim KAşsi ( Furkan Çolak)</t>
  </si>
  <si>
    <t>İstnbul</t>
  </si>
  <si>
    <t>RE02024000001086</t>
  </si>
  <si>
    <t>KAğıt Alarm Etikti 4x4</t>
  </si>
  <si>
    <t>Capacity</t>
  </si>
  <si>
    <t>Gamze Kara</t>
  </si>
  <si>
    <t>RE02024000001087</t>
  </si>
  <si>
    <t>RE02024000001110</t>
  </si>
  <si>
    <t>09.10.2024</t>
  </si>
  <si>
    <t>İsimlik Persoenl İsimliği (Detayları Gönderdim)</t>
  </si>
  <si>
    <t>RE02024000001111</t>
  </si>
  <si>
    <t>Kaşe Şsim Kaşesi (Zeynep Akdağ-Erkan Gündoğar-Al, Can Dönmezler)</t>
  </si>
  <si>
    <t>RE02024000001089</t>
  </si>
  <si>
    <t>Bakırköy Capacity</t>
  </si>
  <si>
    <t xml:space="preserve">Dikey Süpürge Ayağı </t>
  </si>
  <si>
    <t>RE02024000001112</t>
  </si>
  <si>
    <t>Pleksi Föylük A4</t>
  </si>
  <si>
    <t>RE02024000001094</t>
  </si>
  <si>
    <t>Pleksi Föylük A3</t>
  </si>
  <si>
    <t>RE02024000001095</t>
  </si>
  <si>
    <t>10.10.2024</t>
  </si>
  <si>
    <t>Barış Uslu</t>
  </si>
  <si>
    <t>İsimlik-      Satış Danışmanı Ömer T.</t>
  </si>
  <si>
    <t>Kaşe MAğaza Kaşesi (Detayı Gönderdim)</t>
  </si>
  <si>
    <t>RE02024000001096</t>
  </si>
  <si>
    <t>Kaşe İsim KAşesi (Eyüp Taşkesen - Ömer Can Erdem)</t>
  </si>
  <si>
    <t>11.10.2024</t>
  </si>
  <si>
    <t>Horizon</t>
  </si>
  <si>
    <t>Tuğba Akkaya</t>
  </si>
  <si>
    <t>Kaşe İsim KAşesi ( Ebruşah Taşyapar-Evrim İlhan-Selman Kuş-Tuğba Akkaya)</t>
  </si>
  <si>
    <t>RE02024000001113</t>
  </si>
  <si>
    <t>Kaşe- (Görüldü) (Kibrit Kutusu Büyüklüğünde olan boyut isteniyor)</t>
  </si>
  <si>
    <t>RE02024000001097</t>
  </si>
  <si>
    <t>Zuhal Alkanat</t>
  </si>
  <si>
    <t>Mağaza Kaşesi</t>
  </si>
  <si>
    <t>RE02024000001114</t>
  </si>
  <si>
    <t>Kaşe İsim KAşesi - Tülay Kuşderci-</t>
  </si>
  <si>
    <t>12.10.2024</t>
  </si>
  <si>
    <t>Murta İlgün</t>
  </si>
  <si>
    <t>RE02024000001098</t>
  </si>
  <si>
    <t>Kartlık Plastik  ( Bu Benim Kartını koyfukları Kartlık)</t>
  </si>
  <si>
    <t>RE02024000001123</t>
  </si>
  <si>
    <t>RE02024000001099</t>
  </si>
  <si>
    <t>14.10.2024</t>
  </si>
  <si>
    <t>Pleksi UV BAskı Vidalı 60x30 ( İnternet Satışı Teslim Alanı)</t>
  </si>
  <si>
    <t>RE02024000001153</t>
  </si>
  <si>
    <t>RE02024000001100</t>
  </si>
  <si>
    <t>RE02024000001101</t>
  </si>
  <si>
    <t>RE02024000001102</t>
  </si>
  <si>
    <t>Reşit Hidayet Can</t>
  </si>
  <si>
    <t>RE02024000001103</t>
  </si>
  <si>
    <t>15.10.2024</t>
  </si>
  <si>
    <t>Görsel BAskı 525x150</t>
  </si>
  <si>
    <t>RE02024000001104</t>
  </si>
  <si>
    <t>Damla yücel</t>
  </si>
  <si>
    <t>RE02024000001105</t>
  </si>
  <si>
    <t>Merkez</t>
  </si>
  <si>
    <t>Neşe Tek</t>
  </si>
  <si>
    <t>RE02024000001106</t>
  </si>
  <si>
    <t>RE02024000001163</t>
  </si>
  <si>
    <t>RE02024000001107</t>
  </si>
  <si>
    <t>RE02024000001131</t>
  </si>
  <si>
    <t>RE02024000001115</t>
  </si>
  <si>
    <t>Pleksi Üzeri UV Baskı Vidalı 95x30 (Beyaz Üzeri Kırmzı Yazı Olucak) -Akıllı Telefonlar-</t>
  </si>
  <si>
    <t>RE02024000001124</t>
  </si>
  <si>
    <t>RE02024000001108</t>
  </si>
  <si>
    <t>RE02024000001116</t>
  </si>
  <si>
    <t>Mecidiyeköy Trump</t>
  </si>
  <si>
    <t xml:space="preserve">Pleksi Föylük A4 L Tipi </t>
  </si>
  <si>
    <t>RE02024000001142</t>
  </si>
  <si>
    <t>RE02024000001117</t>
  </si>
  <si>
    <t>RE02024000001164</t>
  </si>
  <si>
    <t>RE02024000001118</t>
  </si>
  <si>
    <t>RE02024000001165</t>
  </si>
  <si>
    <t>RE02024000001119</t>
  </si>
  <si>
    <t>RE02024000001166</t>
  </si>
  <si>
    <t>RE02024000001167</t>
  </si>
  <si>
    <t>RE02024000001120</t>
  </si>
  <si>
    <t>RE02024000001183</t>
  </si>
  <si>
    <t>TV Sehpası Metal Ayak 60cm Üst Tabla 80x60cm</t>
  </si>
  <si>
    <t>RE02024000001205</t>
  </si>
  <si>
    <r>
      <rPr>
        <sz val="9"/>
        <color theme="1"/>
        <rFont val="Calibri"/>
        <family val="2"/>
      </rPr>
      <t xml:space="preserve">Baskı Görseli için İskele </t>
    </r>
    <r>
      <rPr>
        <sz val="9"/>
        <color rgb="FFFF0000"/>
        <rFont val="Calibri"/>
        <family val="2"/>
      </rPr>
      <t>(bu şekilde kesmeyelim faturasını)</t>
    </r>
  </si>
  <si>
    <t>RE02024000001137</t>
  </si>
  <si>
    <t xml:space="preserve">Diital Baskı Bedeli (Görsel Dekota + folyo bedeli ) </t>
  </si>
  <si>
    <t>RE02024000001121</t>
  </si>
  <si>
    <t>RE02024000001184</t>
  </si>
  <si>
    <t>16.10.2024</t>
  </si>
  <si>
    <t>e</t>
  </si>
  <si>
    <t>RE02024000001185</t>
  </si>
  <si>
    <t>RE02024000001186</t>
  </si>
  <si>
    <t>RE02024000001125</t>
  </si>
  <si>
    <t>Saf Su Akü için 30lt</t>
  </si>
  <si>
    <t>RE02024000001126</t>
  </si>
  <si>
    <t>Wieland 3 Lü Grup Priz -Siyah-</t>
  </si>
  <si>
    <t>RE02024000001240</t>
  </si>
  <si>
    <t>Merve Kara</t>
  </si>
  <si>
    <t>RE02024000001127</t>
  </si>
  <si>
    <t>izmir</t>
  </si>
  <si>
    <t>RE02024000001128</t>
  </si>
  <si>
    <t>17.10.2024</t>
  </si>
  <si>
    <t>Kaşe (Nasibe İletildi)</t>
  </si>
  <si>
    <t>RE02024000001132</t>
  </si>
  <si>
    <t>RE02024000001187</t>
  </si>
  <si>
    <t>Yaka İpi (Kırmızı Zemin Üzeri Beyaz Logolu)</t>
  </si>
  <si>
    <t>RE02024000001129</t>
  </si>
  <si>
    <t>İsimlik Personel İsimliği ( Detaylar gönderildi)</t>
  </si>
  <si>
    <t>RE02024000001143</t>
  </si>
  <si>
    <t>Batuhan BArut</t>
  </si>
  <si>
    <t>RE02024000001130</t>
  </si>
  <si>
    <t>İsimlik Perspnel İsimliğ ( Müşteri Deneyim Yöneticisi Can T.)</t>
  </si>
  <si>
    <t>RE02024000001144</t>
  </si>
  <si>
    <t>RE02024000001188</t>
  </si>
  <si>
    <t xml:space="preserve">Yaka İpi   </t>
  </si>
  <si>
    <t>RE02024000001133</t>
  </si>
  <si>
    <t>18.10.2024</t>
  </si>
  <si>
    <t>Maltepe HillTown</t>
  </si>
  <si>
    <t>Yönetici koltuğu</t>
  </si>
  <si>
    <t>RE02024000001206</t>
  </si>
  <si>
    <t>RE02024000001154</t>
  </si>
  <si>
    <t>RE02024000001134</t>
  </si>
  <si>
    <t>RE02024000001135</t>
  </si>
  <si>
    <t>Pleksi Föylük A4 L Tipi (100 adet gidicek Faturada 110 adet yazıcak)</t>
  </si>
  <si>
    <t>RE02024000001169</t>
  </si>
  <si>
    <t>19.10.2024</t>
  </si>
  <si>
    <t>RE02024000001145</t>
  </si>
  <si>
    <t>RE02024000001155</t>
  </si>
  <si>
    <t>RE02024000001189</t>
  </si>
  <si>
    <t>21.10.2024</t>
  </si>
  <si>
    <t xml:space="preserve">Folyo BAskı + Uygulama 250x82 </t>
  </si>
  <si>
    <t>RE02024000001146</t>
  </si>
  <si>
    <t>RE02024000001136</t>
  </si>
  <si>
    <t>22.10.2024</t>
  </si>
  <si>
    <t>MAliyeti 2000,00TL</t>
  </si>
  <si>
    <t>RE02024000001156</t>
  </si>
  <si>
    <t>RE02024000001147</t>
  </si>
  <si>
    <t>RE02024000001190</t>
  </si>
  <si>
    <t>22.10.2025</t>
  </si>
  <si>
    <t>RE02024000001170</t>
  </si>
  <si>
    <t>RE02024000001148</t>
  </si>
  <si>
    <t>Reyon Bariyeri 100 cm</t>
  </si>
  <si>
    <t>RE02024000001171</t>
  </si>
  <si>
    <t>RE02024000001138</t>
  </si>
  <si>
    <t>RE02024000001149</t>
  </si>
  <si>
    <t>RE02024000001139</t>
  </si>
  <si>
    <t>23.10.2024</t>
  </si>
  <si>
    <t>RE02024000001150</t>
  </si>
  <si>
    <t>RE02024000001140</t>
  </si>
  <si>
    <t>İsimlik Personel İsimliği- İdari İşler Takım Lideri</t>
  </si>
  <si>
    <t>RE02024000001191</t>
  </si>
  <si>
    <t>Beyaz Eşya Aparatı Keçesi</t>
  </si>
  <si>
    <t>RE02024000001157</t>
  </si>
  <si>
    <t>RE02024000001158</t>
  </si>
  <si>
    <t>24.10.2024</t>
  </si>
  <si>
    <t>Pleksi klima kumanda kapağı</t>
  </si>
  <si>
    <t>Kağıt Alarm etiketi</t>
  </si>
  <si>
    <t>RE02024000001159</t>
  </si>
  <si>
    <t>Logolu A4 Asetat (Kalın olucak)</t>
  </si>
  <si>
    <t>Tarık Buğraer</t>
  </si>
  <si>
    <t xml:space="preserve">T Tipi A4 Pleksi Föylük </t>
  </si>
  <si>
    <t>RE02024000001160</t>
  </si>
  <si>
    <t>RE02024000001229</t>
  </si>
  <si>
    <t xml:space="preserve">Plastik Cırt Kelepçe 30cm Beyaz </t>
  </si>
  <si>
    <t>RE02024000001172</t>
  </si>
  <si>
    <t>25.10.2024</t>
  </si>
  <si>
    <t>Mecidiyköy</t>
  </si>
  <si>
    <t>Bu Benim Kartı (Kırmızı)</t>
  </si>
  <si>
    <t>RE02024000001161</t>
  </si>
  <si>
    <t>Plestik Cırt Kelepçe  30cm Beyaz</t>
  </si>
  <si>
    <t>RE02024000001162</t>
  </si>
  <si>
    <t>Güvenlik Etiketi  5,5cm</t>
  </si>
  <si>
    <t>26.10.2024</t>
  </si>
  <si>
    <t>RE02024000001173</t>
  </si>
  <si>
    <t>RE02024000001174</t>
  </si>
  <si>
    <t xml:space="preserve">Plastik Cırt Kelepçe 30cm Beyaz   </t>
  </si>
  <si>
    <t>28.10.2024</t>
  </si>
  <si>
    <t>RE02024000001192</t>
  </si>
  <si>
    <t>Kağıthane Axis</t>
  </si>
  <si>
    <t>Burçin Tatlı</t>
  </si>
  <si>
    <t>RE02024000001175</t>
  </si>
  <si>
    <t>29.10.2024</t>
  </si>
  <si>
    <t>RE02024000001176</t>
  </si>
  <si>
    <t>Erdal Kara</t>
  </si>
  <si>
    <t>RE02024000001177</t>
  </si>
  <si>
    <t>30.10.2024</t>
  </si>
  <si>
    <t>İsimlik Personel İsimliği(Satış TAkım LideriVeysel D.-Satış TAkım Lideri İzzet Y.-Satış TAkım Lideri Mustafa P.)</t>
  </si>
  <si>
    <t>RE02024000001178</t>
  </si>
  <si>
    <t>Rıdvan Kara</t>
  </si>
  <si>
    <t>RE02024000001193</t>
  </si>
  <si>
    <t>İsimlik Personel İsimliği - Satış TAkım Lideri-</t>
  </si>
  <si>
    <t>RE02024000001194</t>
  </si>
  <si>
    <t>31.10.2024</t>
  </si>
  <si>
    <t xml:space="preserve">Dubalı Bayrak </t>
  </si>
  <si>
    <t>Ö</t>
  </si>
  <si>
    <t>RE02024000001230</t>
  </si>
  <si>
    <t>Cumali Kara</t>
  </si>
  <si>
    <t>Numberlink 1-50- Arası</t>
  </si>
  <si>
    <t>RE02024000001195</t>
  </si>
  <si>
    <t>01.11.2024</t>
  </si>
  <si>
    <t>RE02024000001197</t>
  </si>
  <si>
    <t>Balon Çiçek</t>
  </si>
  <si>
    <t>Maliyeti:25,00</t>
  </si>
  <si>
    <t>RE02024000001232</t>
  </si>
  <si>
    <t>Ürün Teşhir Tablası</t>
  </si>
  <si>
    <t>RE02024000001242</t>
  </si>
  <si>
    <t>RE02024000001198</t>
  </si>
  <si>
    <t>İsimlik Personel İsimliği - Satış Takım Lideri-</t>
  </si>
  <si>
    <t>RE02024000001209</t>
  </si>
  <si>
    <t>İsimlik Promotör İsimliği Pleksi - Mıknatıslı</t>
  </si>
  <si>
    <t>RE02024000001199</t>
  </si>
  <si>
    <t>RE02024000001200</t>
  </si>
  <si>
    <t>Görsel Baskı Uygulama</t>
  </si>
  <si>
    <t>RE02024000001238</t>
  </si>
  <si>
    <t>MAliyeti:25,00TL</t>
  </si>
  <si>
    <t>RE02024000001201</t>
  </si>
  <si>
    <t>Maliyeti:1250,00TL</t>
  </si>
  <si>
    <t>Adem Turan</t>
  </si>
  <si>
    <t>RE02024000001202</t>
  </si>
  <si>
    <t>RE02024000001220</t>
  </si>
  <si>
    <t>Emine Kara</t>
  </si>
  <si>
    <t>RE02024000001210</t>
  </si>
  <si>
    <t>RE02024000001203</t>
  </si>
  <si>
    <t>RE02024000001221</t>
  </si>
  <si>
    <t>RE02024000001239</t>
  </si>
  <si>
    <t>Maltepe Hilltown</t>
  </si>
  <si>
    <t>Yük Taşıma Arabası</t>
  </si>
  <si>
    <t>RE02024000001251</t>
  </si>
  <si>
    <t>05.11.2024</t>
  </si>
  <si>
    <t>RE02024000001211</t>
  </si>
  <si>
    <r>
      <rPr>
        <sz val="9"/>
        <color theme="1"/>
        <rFont val="Calibri"/>
        <family val="2"/>
      </rPr>
      <t>Görsel BAskı 50x70</t>
    </r>
    <r>
      <rPr>
        <b/>
        <sz val="9"/>
        <color rgb="FFFF0000"/>
        <rFont val="Calibri"/>
        <family val="2"/>
      </rPr>
      <t xml:space="preserve"> </t>
    </r>
  </si>
  <si>
    <t>teslim edildi</t>
  </si>
  <si>
    <t>RE02024000001222</t>
  </si>
  <si>
    <t>Görsel BAskı 70x100</t>
  </si>
  <si>
    <t>Görsel Baskı</t>
  </si>
  <si>
    <t>RE02024000001250</t>
  </si>
  <si>
    <t>RE02024000001233</t>
  </si>
  <si>
    <t>RE02024000001212</t>
  </si>
  <si>
    <t>Light Box</t>
  </si>
  <si>
    <t>RE02024000001243</t>
  </si>
  <si>
    <t>Kaşe - Merkez Depo Teslimatıdr Faturalandırılıcaktır-</t>
  </si>
  <si>
    <t>RE02024000001223</t>
  </si>
  <si>
    <t>RE02024000001213</t>
  </si>
  <si>
    <t>Kartvizit (Ebruşah Taşyapar-Evrim İlhan-Selman Kuş-Tuğba Akkaya)</t>
  </si>
  <si>
    <t>RE02024000001245</t>
  </si>
  <si>
    <t>Numberlink 1-30 Aası</t>
  </si>
  <si>
    <t>RE02024000001214</t>
  </si>
  <si>
    <t>Esra Kara</t>
  </si>
  <si>
    <t>RE02024000001224</t>
  </si>
  <si>
    <t>RE02024000001215</t>
  </si>
  <si>
    <t>Personel Yaka ipi (Beyaz &lt;üzeri Kırmızı)</t>
  </si>
  <si>
    <t>RE02024000001244</t>
  </si>
  <si>
    <t xml:space="preserve">Plastik KArtlık </t>
  </si>
  <si>
    <t>Rondo Çerçeve A4</t>
  </si>
  <si>
    <t>06.11.2024</t>
  </si>
  <si>
    <t>Logolu Ajanda</t>
  </si>
  <si>
    <t>RE02024000001216</t>
  </si>
  <si>
    <t>RE02024000001217</t>
  </si>
  <si>
    <t>Dijital Baskı Bedeli (Hoover)</t>
  </si>
  <si>
    <t>RE02024000001231</t>
  </si>
  <si>
    <t>RE02024000001218</t>
  </si>
  <si>
    <t>Selman Kuş</t>
  </si>
  <si>
    <t>Kaşe  (TT Mobil İletişim Hizmetleri A.Ş.)(MM76797 Media MArkt Turkey Tic.Ltd.Şti)</t>
  </si>
  <si>
    <t>RE02024000001225</t>
  </si>
  <si>
    <t>İsimlik Personel İsimliği - (13 Adet İsimli)</t>
  </si>
  <si>
    <t>RE02024000001226</t>
  </si>
  <si>
    <t>Pleksi Üzeri UV Baskı Vidalı 60x30 Kurulum-Onarım-Ekran Koruma</t>
  </si>
  <si>
    <t>Pleksi Üzeri Uv BAskı Vidalı 90x30 Akıllı Telefonlar</t>
  </si>
  <si>
    <t>Görsel Baskı 90x30  ( True Wireless-Taşınabilir Ses)</t>
  </si>
  <si>
    <t>Görsel BAskı (Ekran Koruma Uygulaması Hizmeti)</t>
  </si>
  <si>
    <t>Görsel Baskı (Operatör ve Finans Hizmet Masası)</t>
  </si>
  <si>
    <t>Aleyna Aksoy</t>
  </si>
  <si>
    <t>Headset Kulaklık Askılığı</t>
  </si>
  <si>
    <t>RE02024000001272</t>
  </si>
  <si>
    <t>07.11.2024</t>
  </si>
  <si>
    <t>Bloknot A5</t>
  </si>
  <si>
    <t>Bloknot A4</t>
  </si>
  <si>
    <t>RE02024000001294</t>
  </si>
  <si>
    <t>RE02024000001252</t>
  </si>
  <si>
    <t>RE02024000001227</t>
  </si>
  <si>
    <t>Şeffaf Bant</t>
  </si>
  <si>
    <t>08.11.2024</t>
  </si>
  <si>
    <t xml:space="preserve">ALİ ÇEKENE MAİL ATTIM </t>
  </si>
  <si>
    <t>RE02024000001253</t>
  </si>
  <si>
    <t>Logolu Karton Bardak (Pleksi Föylüklerle birlikte gönderilicek)</t>
  </si>
  <si>
    <t>RE02024000001273</t>
  </si>
  <si>
    <t>RE02024000001254</t>
  </si>
  <si>
    <t>RE02024000001228</t>
  </si>
  <si>
    <t>RE02024000001255</t>
  </si>
  <si>
    <t>09.11.2024</t>
  </si>
  <si>
    <t>Light Box 66x44</t>
  </si>
  <si>
    <t>RE02024000001237</t>
  </si>
  <si>
    <t>RE02024000001256</t>
  </si>
  <si>
    <t>Üsküdar Nevçarşı</t>
  </si>
  <si>
    <t>Oktay KAyıkçı</t>
  </si>
  <si>
    <t>İsimlik Personel İsimliği(Satış Takım Lideri2-Operatör Uzmanı2-Satış Danışmanı10-Kasiyer2-Teslimat Uzmanı2</t>
  </si>
  <si>
    <t>RE02024000001257</t>
  </si>
  <si>
    <t>Pleksi Üzeri UV BAskı 90x30 (Akıllı Telefonlar)</t>
  </si>
  <si>
    <t>RE02024000001258</t>
  </si>
  <si>
    <t>11.11.2024</t>
  </si>
  <si>
    <t>Anatolia</t>
  </si>
  <si>
    <t>RE02024000001246</t>
  </si>
  <si>
    <t>Pleksi Üzeri UV baskı Vidalı 90x30 (Gaming Siyah üzeri kırmızı yazı olucak</t>
  </si>
  <si>
    <t>Teleskopik Yaylı Çubuk Takımı+Plastik Etiketlik</t>
  </si>
  <si>
    <t>RE02024000001259</t>
  </si>
  <si>
    <t>RE02024000001260</t>
  </si>
  <si>
    <t>Feride Güven</t>
  </si>
  <si>
    <t>RE02024000001261</t>
  </si>
  <si>
    <t>RE02024000001234</t>
  </si>
  <si>
    <t xml:space="preserve">Föylük A4 Pleksi L Tipi  </t>
  </si>
  <si>
    <t>Sepek Üstü akrilik</t>
  </si>
  <si>
    <t>Maliyeti 200,00tl</t>
  </si>
  <si>
    <t>RE02024000001235</t>
  </si>
  <si>
    <t>12.11.2024</t>
  </si>
  <si>
    <t xml:space="preserve">Adet </t>
  </si>
  <si>
    <t>Logolu Karton Bardak1"125İ</t>
  </si>
  <si>
    <t>RE02024000001236</t>
  </si>
  <si>
    <t>RE02024000001247</t>
  </si>
  <si>
    <t>13.11.2024</t>
  </si>
  <si>
    <t>RE02024000001248</t>
  </si>
  <si>
    <t>Tabure 70cm</t>
  </si>
  <si>
    <t>RE02024000001274</t>
  </si>
  <si>
    <t>14.11.2024</t>
  </si>
  <si>
    <t>İsmail Erdem</t>
  </si>
  <si>
    <t>RE02024000001249</t>
  </si>
  <si>
    <t>Güvenlik Etiketi 5,5 cm</t>
  </si>
  <si>
    <t>15.11.2024</t>
  </si>
  <si>
    <t xml:space="preserve">Feyyaz Buğan </t>
  </si>
  <si>
    <t>Pleksi A4 L Tipi</t>
  </si>
  <si>
    <t xml:space="preserve">ALİ ÇEKENE MESAJ ATTIM </t>
  </si>
  <si>
    <t>RE02024000001275</t>
  </si>
  <si>
    <t>RE02024000001262</t>
  </si>
  <si>
    <t xml:space="preserve">İstmarin </t>
  </si>
  <si>
    <t>RE02024000001263</t>
  </si>
  <si>
    <t>Onur Kara</t>
  </si>
  <si>
    <t>RE02024000001264</t>
  </si>
  <si>
    <t>RE02024000001265</t>
  </si>
  <si>
    <t>Spiralli Kablo 4m</t>
  </si>
  <si>
    <t>RE02024000001266</t>
  </si>
  <si>
    <t>18.11.2024</t>
  </si>
  <si>
    <t xml:space="preserve">Mersin </t>
  </si>
  <si>
    <t>Sayapark</t>
  </si>
  <si>
    <t>Ali Eroğlu</t>
  </si>
  <si>
    <t>RE02024000001267</t>
  </si>
  <si>
    <t>Kağıt Alarm etiketi 4x4</t>
  </si>
  <si>
    <t>RE02024000001268</t>
  </si>
  <si>
    <t>RE02024000001371</t>
  </si>
  <si>
    <t>RE02024000001276</t>
  </si>
  <si>
    <t>RE02024000001285</t>
  </si>
  <si>
    <t>Kartlık Plastik</t>
  </si>
  <si>
    <t>RE02024000001277</t>
  </si>
  <si>
    <t>RE02024000001269</t>
  </si>
  <si>
    <t>RE02024000001278</t>
  </si>
  <si>
    <t>19.11.2024</t>
  </si>
  <si>
    <t>Batuhan Barut</t>
  </si>
  <si>
    <t>RE02024000001279</t>
  </si>
  <si>
    <t>20.11.2024</t>
  </si>
  <si>
    <t>Reyon İnfoboard Yazıları</t>
  </si>
  <si>
    <t>RE02024000001280</t>
  </si>
  <si>
    <t>RE02024000001281</t>
  </si>
  <si>
    <t>Teşhir Tablası</t>
  </si>
  <si>
    <t>RE02024000001372</t>
  </si>
  <si>
    <t>Mecidiyeköy trump</t>
  </si>
  <si>
    <t>RE02024000001286</t>
  </si>
  <si>
    <t>RE02024000001287</t>
  </si>
  <si>
    <t>RE02024000001288</t>
  </si>
  <si>
    <t>RE02024000001282</t>
  </si>
  <si>
    <t>RE02024000001305</t>
  </si>
  <si>
    <t>Logolu Asetat</t>
  </si>
  <si>
    <t>Patago Arka Fon Kağıdı-Apple-Hafıza Kartı-USB Bellek</t>
  </si>
  <si>
    <t>RE02024000001318</t>
  </si>
  <si>
    <t>Görsel Baskı uygulaması</t>
  </si>
  <si>
    <t>RE02024000001283</t>
  </si>
  <si>
    <t>21.11.2024</t>
  </si>
  <si>
    <t>Kaşe İsim Kaşesi -Osman Güvercin-</t>
  </si>
  <si>
    <t>RE02024000001289</t>
  </si>
  <si>
    <t>RE02024000001290</t>
  </si>
  <si>
    <t>22.11.2024</t>
  </si>
  <si>
    <t>RE02024000001295</t>
  </si>
  <si>
    <t>Kağıt Alatm Etiketi</t>
  </si>
  <si>
    <t>Evrim ilhan</t>
  </si>
  <si>
    <t>RE02024000001296</t>
  </si>
  <si>
    <t>RE02024000001297</t>
  </si>
  <si>
    <t>BAlon KApı Süslemesi</t>
  </si>
  <si>
    <t>RE02024000001291</t>
  </si>
  <si>
    <t>BAlon Çiçek</t>
  </si>
  <si>
    <t>Zuhal Kara</t>
  </si>
  <si>
    <t>Kaşe İsim KAşesi -İlker Duman</t>
  </si>
  <si>
    <t>RE02024000001298</t>
  </si>
  <si>
    <t>MAğaza KAşesi</t>
  </si>
  <si>
    <t>KArtvizit - İlker Duman-</t>
  </si>
  <si>
    <t>RE02024000001314</t>
  </si>
  <si>
    <t>RE02024000001299</t>
  </si>
  <si>
    <t>23.11.2024</t>
  </si>
  <si>
    <t>RE02024000001292</t>
  </si>
  <si>
    <t xml:space="preserve">Light Box Mağaza içi </t>
  </si>
  <si>
    <t>25.11.2024</t>
  </si>
  <si>
    <t>RE02024000001300</t>
  </si>
  <si>
    <t>Plastik Bardak (Salı Günü Kargoya Verilmesi çok Önemli)</t>
  </si>
  <si>
    <t>RE02024000001301</t>
  </si>
  <si>
    <t>RE02024000001302</t>
  </si>
  <si>
    <t>RE02024000001303</t>
  </si>
  <si>
    <t>RE02024000001307</t>
  </si>
  <si>
    <t>26.11.2024</t>
  </si>
  <si>
    <t>İsimlik Personel isimliği -Satış Danışmanı-</t>
  </si>
  <si>
    <t>RE02024000001306</t>
  </si>
  <si>
    <t>Nuri  Binay</t>
  </si>
  <si>
    <t>Ayrılmaz ikili Bant 220mm x 45mm PP Opak Etiket</t>
  </si>
  <si>
    <t>RE02024000001319</t>
  </si>
  <si>
    <t>Tarık Buğra Koyuer</t>
  </si>
  <si>
    <t>RE02024000001320</t>
  </si>
  <si>
    <t>Yusuf Önal</t>
  </si>
  <si>
    <t>RE02024000001321</t>
  </si>
  <si>
    <t>Kadem KAradoğan</t>
  </si>
  <si>
    <t>RE02024000001322</t>
  </si>
  <si>
    <t>RE02024000001323</t>
  </si>
  <si>
    <t>Nihat Atmacalar</t>
  </si>
  <si>
    <t>RE02024000001324</t>
  </si>
  <si>
    <t>Kadir Rüzgar</t>
  </si>
  <si>
    <t>RE02024000001325</t>
  </si>
  <si>
    <t>RE02024000001326</t>
  </si>
  <si>
    <t>RE02024000001327</t>
  </si>
  <si>
    <t>RE02024000001328</t>
  </si>
  <si>
    <t>RE02024000001329</t>
  </si>
  <si>
    <t>RE02024000001330</t>
  </si>
  <si>
    <t>27.11.2024</t>
  </si>
  <si>
    <t>RE02024000001331</t>
  </si>
  <si>
    <t>RE02024000001332</t>
  </si>
  <si>
    <t xml:space="preserve">Yeni Tip Süpürge Tutucu </t>
  </si>
  <si>
    <t>RE02024000001293</t>
  </si>
  <si>
    <t>RE02024000001304</t>
  </si>
  <si>
    <t>Pleksi Kulakiçi Kulaklık Stantı 100cm Kilitli Menteşeli</t>
  </si>
  <si>
    <t>RE02024000001375</t>
  </si>
  <si>
    <t>27.11i2024</t>
  </si>
  <si>
    <t>RE02024000001308</t>
  </si>
  <si>
    <t>28.11.2024</t>
  </si>
  <si>
    <t>RE02024000001309</t>
  </si>
  <si>
    <t>Kâğıt Alarm Etiketi 4x4</t>
  </si>
  <si>
    <t>RE02024000001311</t>
  </si>
  <si>
    <t>RE02024000001310</t>
  </si>
  <si>
    <t>29.11.2024</t>
  </si>
  <si>
    <t>RE02024000001333</t>
  </si>
  <si>
    <t>RE02024000001334</t>
  </si>
  <si>
    <t>RE02024000001312</t>
  </si>
  <si>
    <t>29.11.2025</t>
  </si>
  <si>
    <t xml:space="preserve">Pleksi isimlik </t>
  </si>
  <si>
    <t>RE02024000001335</t>
  </si>
  <si>
    <t>30.11.2024</t>
  </si>
  <si>
    <t>RE02024000001336</t>
  </si>
  <si>
    <t>RE02024000001337</t>
  </si>
  <si>
    <t>RE02024000001360</t>
  </si>
  <si>
    <t>RE02024000001315</t>
  </si>
  <si>
    <t>İsimlik Promotör İsimliği Pleksi Mıknatıslı</t>
  </si>
  <si>
    <t>Kaşe İsim KAşesi- Muazzez Gözde Taşkın-</t>
  </si>
  <si>
    <t>RE02024000001338</t>
  </si>
  <si>
    <t>Rondo Çerçeve A3</t>
  </si>
  <si>
    <t>Emrak Koç</t>
  </si>
  <si>
    <t>RE02024000001339</t>
  </si>
  <si>
    <t>Paket Lastiği 100% Kauçuk 200gr (Paket Olarak)</t>
  </si>
  <si>
    <t>RE02024000001358</t>
  </si>
  <si>
    <t>Zımba Teli Leitz Marka (Paket Olarak)</t>
  </si>
  <si>
    <t>RE02024000001340</t>
  </si>
  <si>
    <t>RE02024000001316</t>
  </si>
  <si>
    <t>RE02024000001341</t>
  </si>
  <si>
    <t>RE02024000001342</t>
  </si>
  <si>
    <t>Nurgül KArtal</t>
  </si>
  <si>
    <t xml:space="preserve">iade gelecek </t>
  </si>
  <si>
    <t xml:space="preserve">MEDİAMARKT ORDER CHECKLİST </t>
  </si>
  <si>
    <t>02.12.2024</t>
  </si>
  <si>
    <t>RE02024000001346</t>
  </si>
  <si>
    <t xml:space="preserve">İsimlik Personel İsimliği Satış Danışmanı Özlem S. - Kasa Müşteri Hizmetleri Selda T.
</t>
  </si>
  <si>
    <t>RE02024000001357</t>
  </si>
  <si>
    <t>RE02024000001347</t>
  </si>
  <si>
    <t>RE02024000001348</t>
  </si>
  <si>
    <t xml:space="preserve">Görsel Baskı-Barista Alanı </t>
  </si>
  <si>
    <t>RE02024000001376</t>
  </si>
  <si>
    <t>RE02024000001349</t>
  </si>
  <si>
    <t>Dekota +Folyo Uygulama (Kasa Arkası Kaplama) 14mx3.30m</t>
  </si>
  <si>
    <t>Maliyeti:31000,00</t>
  </si>
  <si>
    <t>RE02024000001373</t>
  </si>
  <si>
    <t>Sticker (KAsa Üzeri-Müşteri Hizmetleri Yazıcak)</t>
  </si>
  <si>
    <t>RE02024000001434</t>
  </si>
  <si>
    <t xml:space="preserve">Ayrılmaz İkili Yuvarlak </t>
  </si>
  <si>
    <t>RE02024000001364</t>
  </si>
  <si>
    <t>Yapay Çiçek</t>
  </si>
  <si>
    <t>Ayrılmaz İkili Yuvarlak (100'Lü Paket)</t>
  </si>
  <si>
    <t>RE02024000001365</t>
  </si>
  <si>
    <t>RE02024000001350</t>
  </si>
  <si>
    <t xml:space="preserve">Çift Taraflı BAnt </t>
  </si>
  <si>
    <t>BAlonlu Naylon</t>
  </si>
  <si>
    <t>RE02024000001351</t>
  </si>
  <si>
    <t xml:space="preserve">Eldiven  XL </t>
  </si>
  <si>
    <t>RE02024000001402</t>
  </si>
  <si>
    <t>Enerji Etiketi Cebi-Kanguru Cep</t>
  </si>
  <si>
    <t>RE02024000001403</t>
  </si>
  <si>
    <t>Termal Etiket 40x20</t>
  </si>
  <si>
    <t>Light Box Tekstil Baskı 171x159,5</t>
  </si>
  <si>
    <t>RE02024000001366</t>
  </si>
  <si>
    <t>04.12.2024</t>
  </si>
  <si>
    <t>RE02024000001352</t>
  </si>
  <si>
    <t>05.12.2024</t>
  </si>
  <si>
    <t>Merve Acar</t>
  </si>
  <si>
    <t>RE02024000001404</t>
  </si>
  <si>
    <t>Ayrılmaz İkili Bant 220mm x 45mm PP Opak Etiket</t>
  </si>
  <si>
    <t>RE02024000001353</t>
  </si>
  <si>
    <t>İsimlik Personel isimliği - Satış Danışmanı-5 Kasiyer</t>
  </si>
  <si>
    <t>RE02024000001390</t>
  </si>
  <si>
    <t>Harddisk Ayağı</t>
  </si>
  <si>
    <t>RE02024000001438</t>
  </si>
  <si>
    <t>RE02024000001377</t>
  </si>
  <si>
    <t>Şuke Karasakal</t>
  </si>
  <si>
    <t>set Pleksi Kulaklık Askılığı</t>
  </si>
  <si>
    <t>RE02024000001359</t>
  </si>
  <si>
    <t>06.12.2024</t>
  </si>
  <si>
    <t xml:space="preserve">Numberlink 1-50 arası 5 takım siyah 5 takım kırmızı </t>
  </si>
  <si>
    <t>RE02024000001429</t>
  </si>
  <si>
    <t>07.12.2024</t>
  </si>
  <si>
    <t>RE02024000001378</t>
  </si>
  <si>
    <t>RE02024000001379</t>
  </si>
  <si>
    <t>RE02024000001380</t>
  </si>
  <si>
    <t>09.12.2024</t>
  </si>
  <si>
    <t>Yeni Tip Dikey Süpürge Tutucu</t>
  </si>
  <si>
    <t>RE02024000001405</t>
  </si>
  <si>
    <t>RE02024000001367</t>
  </si>
  <si>
    <t>RE02024000001406</t>
  </si>
  <si>
    <t>Pleksi set Kulaklık</t>
  </si>
  <si>
    <t>RE02024000001391</t>
  </si>
  <si>
    <t>8 Metre Düz Kablo</t>
  </si>
  <si>
    <t>RE02024000001363</t>
  </si>
  <si>
    <t>RE02024000001381</t>
  </si>
  <si>
    <t>Dekota Üzeri Folyo BAskı 80x60</t>
  </si>
  <si>
    <t>RE02024000001374</t>
  </si>
  <si>
    <t>Dekota Üzeri Folyo BAskı 120x60</t>
  </si>
  <si>
    <t>Dekota Üzeri Folyo BAskı 40x60</t>
  </si>
  <si>
    <t>Dekota Üzeri Folyo BAskı 60x60</t>
  </si>
  <si>
    <t>İzmit Lojistik Bedeli</t>
  </si>
  <si>
    <t>10.12.2024</t>
  </si>
  <si>
    <t>RE02024000001382</t>
  </si>
  <si>
    <t>RE02024000001362</t>
  </si>
  <si>
    <t>RE02024000001392</t>
  </si>
  <si>
    <t>11.12.2024</t>
  </si>
  <si>
    <t>RE02025000000003</t>
  </si>
  <si>
    <t>Stand folyo kaplama</t>
  </si>
  <si>
    <t>RE02024000001354</t>
  </si>
  <si>
    <t>12.12.2024</t>
  </si>
  <si>
    <t>Yeter Utan</t>
  </si>
  <si>
    <t>Kartvizit (Cumali Polat)</t>
  </si>
  <si>
    <t>RE02024000001407</t>
  </si>
  <si>
    <t>RE02024000001383</t>
  </si>
  <si>
    <t xml:space="preserve">Sedat Demir </t>
  </si>
  <si>
    <t>Baskılı Ajanda</t>
  </si>
  <si>
    <t>Maliyeti: 145,00TL</t>
  </si>
  <si>
    <t>RE02024000001384</t>
  </si>
  <si>
    <t>İsimlik Persone İsimliği (30Satış Danılmanı-20Kasa\Müşteri Hizmetleri-5İdari İşler Takım Lideri</t>
  </si>
  <si>
    <t>RE02024000001393</t>
  </si>
  <si>
    <t>Vega Avm</t>
  </si>
  <si>
    <t>Burcu Özmen</t>
  </si>
  <si>
    <t>Hoover Stand Kurulum</t>
  </si>
  <si>
    <t xml:space="preserve">mağazaya </t>
  </si>
  <si>
    <t>RE02024000001369</t>
  </si>
  <si>
    <t>13.12.2024</t>
  </si>
  <si>
    <t>RE02024000001385</t>
  </si>
  <si>
    <t>Şeffaf Koli BAntı</t>
  </si>
  <si>
    <t>RE02024000001386</t>
  </si>
  <si>
    <t>16.12.2024</t>
  </si>
  <si>
    <t>RE02024000001387</t>
  </si>
  <si>
    <t>İsimlik - Satış Danışmanı</t>
  </si>
  <si>
    <t>RE02024000001394</t>
  </si>
  <si>
    <t>gönderildi</t>
  </si>
  <si>
    <t>RE02024000001408</t>
  </si>
  <si>
    <t>set Kulaklık Askılığı</t>
  </si>
  <si>
    <t>RE02025000000004</t>
  </si>
  <si>
    <t>Merve Ceran</t>
  </si>
  <si>
    <t>RE02024000001409</t>
  </si>
  <si>
    <t>RE02024000001388</t>
  </si>
  <si>
    <t>Kübra Yıldız</t>
  </si>
  <si>
    <t>16.12.2025</t>
  </si>
  <si>
    <t>Bu Benim Kartı -Kırmızı-</t>
  </si>
  <si>
    <t>Yoyo</t>
  </si>
  <si>
    <t>RE02025000000005</t>
  </si>
  <si>
    <t>Pleksi üzeri UV Baskı Vidalı 63x31 -Kırmızı Üzeri Beyaz Kasa1-Kasa2-Kasa3</t>
  </si>
  <si>
    <t>RE02024000001395</t>
  </si>
  <si>
    <t>RE02024000001410</t>
  </si>
  <si>
    <t>Çift taraflı Bant</t>
  </si>
  <si>
    <t>17.12.2024</t>
  </si>
  <si>
    <t>RE02024000001396</t>
  </si>
  <si>
    <t>Muzaffer Türket</t>
  </si>
  <si>
    <t>RE02024000001411</t>
  </si>
  <si>
    <t>Esra Çakmak</t>
  </si>
  <si>
    <t>Logolu Tüknmez Kalem</t>
  </si>
  <si>
    <t>RE02024000001439</t>
  </si>
  <si>
    <t>RE02024000001430</t>
  </si>
  <si>
    <t>A5 Bloknot</t>
  </si>
  <si>
    <t>RE02024000001397</t>
  </si>
  <si>
    <t>RE02024000001398</t>
  </si>
  <si>
    <t>18.12.2024</t>
  </si>
  <si>
    <t>RE02024000001412</t>
  </si>
  <si>
    <t>RE02024000001399</t>
  </si>
  <si>
    <t>RE02024000001413</t>
  </si>
  <si>
    <t>RE02024000001414</t>
  </si>
  <si>
    <t>RE02024000001415</t>
  </si>
  <si>
    <t>19.12.2024</t>
  </si>
  <si>
    <t>RE02024000001416</t>
  </si>
  <si>
    <t>RE02024000001417</t>
  </si>
  <si>
    <t>RE02024000001418</t>
  </si>
  <si>
    <t>20.12.2024</t>
  </si>
  <si>
    <t>10  Burda</t>
  </si>
  <si>
    <t>RE02024000001419</t>
  </si>
  <si>
    <t xml:space="preserve"> Denizli</t>
  </si>
  <si>
    <t>RE02025000000007</t>
  </si>
  <si>
    <t>RE02025000000009</t>
  </si>
  <si>
    <t>RE02024000001420</t>
  </si>
  <si>
    <t>Erhan Veske</t>
  </si>
  <si>
    <t>RE02025000000008</t>
  </si>
  <si>
    <t>23.12.2024</t>
  </si>
  <si>
    <t>RE02024000001421</t>
  </si>
  <si>
    <t>RE02024000001422</t>
  </si>
  <si>
    <t>İsimlik Personel İsimliği  - Satış Danışmanı</t>
  </si>
  <si>
    <t>RE02024000001424</t>
  </si>
  <si>
    <t>İsimlik Promotör Pleksi Mıknatıslı</t>
  </si>
  <si>
    <t>RE02024000001431</t>
  </si>
  <si>
    <t>Store Perde Mediamarkt Baskılı</t>
  </si>
  <si>
    <t>RE02025000000023</t>
  </si>
  <si>
    <t>Personel Servisi</t>
  </si>
  <si>
    <t>RE02024000001432</t>
  </si>
  <si>
    <t>Fatura 2 ayrı fatura olarak kesilicek</t>
  </si>
  <si>
    <t>Maliyeti:7500,00</t>
  </si>
  <si>
    <t>RE02024000001435</t>
  </si>
  <si>
    <t>Maliyeti:6000,00</t>
  </si>
  <si>
    <t>RE02024000001436</t>
  </si>
  <si>
    <t>Pending Pendorya</t>
  </si>
  <si>
    <t>Gökhan Karademir</t>
  </si>
  <si>
    <t>RE02025000000010</t>
  </si>
  <si>
    <t>Mecidiyeköy</t>
  </si>
  <si>
    <t>Yıldıray Özçatin</t>
  </si>
  <si>
    <t>RE02024000001433</t>
  </si>
  <si>
    <t>RE02024000001426</t>
  </si>
  <si>
    <t>24.12.2024</t>
  </si>
  <si>
    <t>Murat Kaya</t>
  </si>
  <si>
    <t>RE02024000001440</t>
  </si>
  <si>
    <t>RE02024000001425</t>
  </si>
  <si>
    <t>25.12.2024</t>
  </si>
  <si>
    <t>Kartvizit (Tuncay Ceryan-Canan Örtülü-Ahmet Yüksel)</t>
  </si>
  <si>
    <t>RE02025000000011</t>
  </si>
  <si>
    <t>Kartvizit (Buket Savaşçı)</t>
  </si>
  <si>
    <t>RE02025000000013</t>
  </si>
  <si>
    <t>25.12.2025</t>
  </si>
  <si>
    <t>dijital Baskı Bedeli</t>
  </si>
  <si>
    <t>RE02024000001428</t>
  </si>
  <si>
    <t>26.12.2024</t>
  </si>
  <si>
    <t>RE02025000000012</t>
  </si>
  <si>
    <t>Strecch Film ( SİYAH Renk Olucak)</t>
  </si>
  <si>
    <t>RE02024000001441</t>
  </si>
  <si>
    <t>RE02025000000014</t>
  </si>
  <si>
    <t>RE02025000000015</t>
  </si>
  <si>
    <t>RE02024000001442</t>
  </si>
  <si>
    <t>Kaşe İsim KAşesi (Aylin Aydın)</t>
  </si>
  <si>
    <t>RE02025000000006</t>
  </si>
  <si>
    <t>27.12.2024</t>
  </si>
  <si>
    <t>Dekota üzeri Folyo Baskı (Yönlendirme Levhası)</t>
  </si>
  <si>
    <t>RE02024000001443</t>
  </si>
  <si>
    <t>Kayser</t>
  </si>
  <si>
    <t>RE02025000000024</t>
  </si>
  <si>
    <t>RE02024000001444</t>
  </si>
  <si>
    <t>Ajanda (Kırmızı)</t>
  </si>
  <si>
    <t>MAliyeti:88,00TL</t>
  </si>
  <si>
    <t>RE02025000000016</t>
  </si>
  <si>
    <t>28.12.2024</t>
  </si>
  <si>
    <t>Osman Ertoş</t>
  </si>
  <si>
    <t>RE02025000000025</t>
  </si>
  <si>
    <t>RE02025000000017</t>
  </si>
  <si>
    <t>RE02025000000018</t>
  </si>
  <si>
    <t>Pleksi üzeri UV Baskı Vidalı 60x30</t>
  </si>
  <si>
    <t>RE02025000000019</t>
  </si>
  <si>
    <t>Pleksi Üzeri Uv BAskı Vidalı 90x30</t>
  </si>
  <si>
    <t>29.12.2024</t>
  </si>
  <si>
    <t>RE02025000000020</t>
  </si>
  <si>
    <t>30.12.2024</t>
  </si>
  <si>
    <t>RE02025000000026</t>
  </si>
  <si>
    <t>31.12.2024</t>
  </si>
  <si>
    <t>Merve ceran</t>
  </si>
  <si>
    <t>RE02025000000021</t>
  </si>
  <si>
    <t>Emine Taştn</t>
  </si>
  <si>
    <t>Personel Dolabı - Kırmızı -</t>
  </si>
  <si>
    <t>Maliyeti:4500</t>
  </si>
  <si>
    <t>RE02025000000055</t>
  </si>
  <si>
    <t>02.01.2025</t>
  </si>
  <si>
    <t>RE02025000000028</t>
  </si>
  <si>
    <t>RE02025000000029</t>
  </si>
  <si>
    <t>03.01.2025</t>
  </si>
  <si>
    <t>Şeffaf Bardak</t>
  </si>
  <si>
    <t>RE02025000000001</t>
  </si>
  <si>
    <t>RE02025000000002</t>
  </si>
  <si>
    <t>RE02025000000030</t>
  </si>
  <si>
    <t>RE02025000000058</t>
  </si>
  <si>
    <t>04.01.2025</t>
  </si>
  <si>
    <t>RE02025000000031</t>
  </si>
  <si>
    <t>RE02025000000032</t>
  </si>
  <si>
    <t>Aksesuar Sepet Ayağı</t>
  </si>
  <si>
    <t>06.01.2025</t>
  </si>
  <si>
    <t>Kaşe (Dijital Poliçe Onayı Alınmıştır)</t>
  </si>
  <si>
    <t>A</t>
  </si>
  <si>
    <t>RE02025000000033</t>
  </si>
  <si>
    <t xml:space="preserve">Panora </t>
  </si>
  <si>
    <t xml:space="preserve">Headset kulaklık tutucu </t>
  </si>
  <si>
    <t>RE02025000000034</t>
  </si>
  <si>
    <t>06.01.2024</t>
  </si>
  <si>
    <t>RE02025000000035</t>
  </si>
  <si>
    <t>Yeter Ulan</t>
  </si>
  <si>
    <t>RE02025000000036</t>
  </si>
  <si>
    <t>07.01.2025</t>
  </si>
  <si>
    <t>Blıkesir</t>
  </si>
  <si>
    <t>Kaşe İsim Kaşesi (Selma Gül)</t>
  </si>
  <si>
    <t xml:space="preserve">Yazarkasa Rulosu </t>
  </si>
  <si>
    <t>RE02025000000037</t>
  </si>
  <si>
    <t>Folyo Görsel Baskı (Yılbaşı Paketi 5 Adet+Folyo Revize)</t>
  </si>
  <si>
    <t>RE02025000000046</t>
  </si>
  <si>
    <t xml:space="preserve">Lightbox </t>
  </si>
  <si>
    <t>RE02025000000080</t>
  </si>
  <si>
    <t>RE02025000000038</t>
  </si>
  <si>
    <t>RE02025000000059</t>
  </si>
  <si>
    <t>RE02025000000039</t>
  </si>
  <si>
    <t>Teleskopik Yaylı Çubuk Takım</t>
  </si>
  <si>
    <t>RE02025000000081</t>
  </si>
  <si>
    <t>07.01.2024</t>
  </si>
  <si>
    <t>Demet Çetin</t>
  </si>
  <si>
    <t>09.01.2025</t>
  </si>
  <si>
    <t>RE02025000000040</t>
  </si>
  <si>
    <t>RE02025000000041</t>
  </si>
  <si>
    <t>RE02025000000042</t>
  </si>
  <si>
    <t>RE02025000000043</t>
  </si>
  <si>
    <t>Operatör Uzmanı</t>
  </si>
  <si>
    <t>S</t>
  </si>
  <si>
    <t>RE02025000000060</t>
  </si>
  <si>
    <t>10.01.2025</t>
  </si>
  <si>
    <t>Gamze Hanım</t>
  </si>
  <si>
    <t>RE02025000000044</t>
  </si>
  <si>
    <t>Kaygan Zemin Tabelası</t>
  </si>
  <si>
    <t>Logolu koli Bantı</t>
  </si>
  <si>
    <t>RE02025000000047</t>
  </si>
  <si>
    <t>10.01.2024</t>
  </si>
  <si>
    <t>Önder Akalın</t>
  </si>
  <si>
    <t>RE02025000000082</t>
  </si>
  <si>
    <t>11.01.2025</t>
  </si>
  <si>
    <t>Rıdvan uysal</t>
  </si>
  <si>
    <t>RE02025000000048</t>
  </si>
  <si>
    <t>Tuncay Kaya</t>
  </si>
  <si>
    <t>RE02025000000049</t>
  </si>
  <si>
    <t>13.01.2025</t>
  </si>
  <si>
    <t>RE02025000000083</t>
  </si>
  <si>
    <t>RE02025000000050</t>
  </si>
  <si>
    <t>Yazarkasa Rulosu 80x30</t>
  </si>
  <si>
    <t>RE02025000000051</t>
  </si>
  <si>
    <t>RE02025000000061</t>
  </si>
  <si>
    <t>RE02025000000052</t>
  </si>
  <si>
    <t>RE02025000000156</t>
  </si>
  <si>
    <t>RE02025000000062</t>
  </si>
  <si>
    <t>Tava Teşhir stantı</t>
  </si>
  <si>
    <t>Kare Tahta - (Teşhir Tablasının Tahtasından )</t>
  </si>
  <si>
    <t>S Kanca</t>
  </si>
  <si>
    <t>Merdiven Scooter Stantı + 4 Ayak</t>
  </si>
  <si>
    <t>14.01.2025</t>
  </si>
  <si>
    <t>RE02025000000063</t>
  </si>
  <si>
    <t>RE02025000000064</t>
  </si>
  <si>
    <t>RE02025000000065</t>
  </si>
  <si>
    <t>15.01.2025</t>
  </si>
  <si>
    <t>Alper Düzgün</t>
  </si>
  <si>
    <t>Mıknatıslı Fotoğraf Pleksi 9x13cm</t>
  </si>
  <si>
    <t>RE02025000000057</t>
  </si>
  <si>
    <t>RE02025000000066</t>
  </si>
  <si>
    <t xml:space="preserve">Cırt Kelepçe </t>
  </si>
  <si>
    <t>RE02025000000067</t>
  </si>
  <si>
    <t>İsimlik - Satış Danışmanı-</t>
  </si>
  <si>
    <t>RE02025000000068</t>
  </si>
  <si>
    <t>Promotör İsimliğ - Pleksi Mıknatıslı</t>
  </si>
  <si>
    <t>RE02025000000072</t>
  </si>
  <si>
    <t>Beyaz Eşya KG Etiketi - 11 kg Kurutma -</t>
  </si>
  <si>
    <t>kocaelş</t>
  </si>
  <si>
    <t>Enerji Etiketi- Kanguru Cep</t>
  </si>
  <si>
    <t>RE02025000000069</t>
  </si>
  <si>
    <t>RE02025000000070</t>
  </si>
  <si>
    <t>16.01.2025</t>
  </si>
  <si>
    <t>RE02025000000071</t>
  </si>
  <si>
    <t>Trabzan</t>
  </si>
  <si>
    <t>RE02025000000084</t>
  </si>
  <si>
    <t>RE02025000000116</t>
  </si>
  <si>
    <t>Şarzlı Süpürge Stantı - Yeni Tip Süpürge Tutucu</t>
  </si>
  <si>
    <t>Seher Yılgın</t>
  </si>
  <si>
    <t>17.01.2025</t>
  </si>
  <si>
    <t>RE02025000000085</t>
  </si>
  <si>
    <t xml:space="preserve">Beyaz Eşya KG Etiketi ( Detayları Gönderdim ) </t>
  </si>
  <si>
    <t>Alkış Alanlar _A4 Boyutunda olan-</t>
  </si>
  <si>
    <t>RE02025000000123</t>
  </si>
  <si>
    <t>Alkış Alanlar - Alkış Formunda Olan-</t>
  </si>
  <si>
    <t>17.01.2024</t>
  </si>
  <si>
    <t>RE02025000000086</t>
  </si>
  <si>
    <t>Maliyeti:4,80tl</t>
  </si>
  <si>
    <t>RE02025000000103</t>
  </si>
  <si>
    <t>RE02025000000073</t>
  </si>
  <si>
    <t>RE02025000000074</t>
  </si>
  <si>
    <t>18.01.2025</t>
  </si>
  <si>
    <t>RE02025000000075</t>
  </si>
  <si>
    <t>Emine Taştan</t>
  </si>
  <si>
    <t>İsimlik - Satış Danışmanı- 10 Müşteri Hizmetleri- 10 Kasiyer-</t>
  </si>
  <si>
    <t>RE02025000000096</t>
  </si>
  <si>
    <t>İsimlik - Depo Personeli</t>
  </si>
  <si>
    <t>İş Eldiveni ( 2Adet Erkek için-1 Adet Kadın İçin)</t>
  </si>
  <si>
    <t>RE02025000000076</t>
  </si>
  <si>
    <t>19.01.2025</t>
  </si>
  <si>
    <t>RE02025000000124</t>
  </si>
  <si>
    <t>İkbal Kara</t>
  </si>
  <si>
    <t>RE02025000000087</t>
  </si>
  <si>
    <t>RE02025000000175</t>
  </si>
  <si>
    <t>RE02025000000089</t>
  </si>
  <si>
    <t>RE02025000000077</t>
  </si>
  <si>
    <t>21.01.2025</t>
  </si>
  <si>
    <t>Dijital Etiket Tutucu</t>
  </si>
  <si>
    <t>RE02025000000088</t>
  </si>
  <si>
    <t>RE02025000000090</t>
  </si>
  <si>
    <t>22.01.2025</t>
  </si>
  <si>
    <t>RE02025000000091</t>
  </si>
  <si>
    <t>RE02025000000097</t>
  </si>
  <si>
    <t>RE02025000000092</t>
  </si>
  <si>
    <t>RE02025000000125</t>
  </si>
  <si>
    <t>Reyon BAriyeri 125cm</t>
  </si>
  <si>
    <t>Korupaark</t>
  </si>
  <si>
    <t>Spiralli Kablo 4m Beyaz</t>
  </si>
  <si>
    <t>RE02025000000104</t>
  </si>
  <si>
    <t>RE02025000000093</t>
  </si>
  <si>
    <t>RE02025000000094</t>
  </si>
  <si>
    <t>23.01.2025</t>
  </si>
  <si>
    <t>RE02025000000098</t>
  </si>
  <si>
    <t>24.01.2025</t>
  </si>
  <si>
    <t>RE02025000000105</t>
  </si>
  <si>
    <t>RE02025000000099</t>
  </si>
  <si>
    <t>RE02025000000106</t>
  </si>
  <si>
    <t>26.01.2025</t>
  </si>
  <si>
    <t>RE02025000000117</t>
  </si>
  <si>
    <t>İsimlik Promotör -Mıknatıslı Pleksi</t>
  </si>
  <si>
    <t>RE02025000000126</t>
  </si>
  <si>
    <t>27.01.2025</t>
  </si>
  <si>
    <t>RE02025000000107</t>
  </si>
  <si>
    <t>RE02025000000108</t>
  </si>
  <si>
    <t>Evrim Akın</t>
  </si>
  <si>
    <t>Kartvizit (Ebruşah Taşyapar)</t>
  </si>
  <si>
    <t>RE02025000000171</t>
  </si>
  <si>
    <t>28.01.2025</t>
  </si>
  <si>
    <t>RE02025000000109</t>
  </si>
  <si>
    <t>Ayrılmaz İkili Bant</t>
  </si>
  <si>
    <t>RE02025000000110</t>
  </si>
  <si>
    <t>Tuncay Kutlu</t>
  </si>
  <si>
    <t>Wieland 3 Metre Düz Kablo</t>
  </si>
  <si>
    <t>Maliyeti:525,00TL</t>
  </si>
  <si>
    <t>RE02025000000127</t>
  </si>
  <si>
    <t>29.01.2025</t>
  </si>
  <si>
    <t>RE02025000000157</t>
  </si>
  <si>
    <t>30.01.2025</t>
  </si>
  <si>
    <t>RE02025000000202</t>
  </si>
  <si>
    <t>31.01.2025</t>
  </si>
  <si>
    <t>RE02025000000111</t>
  </si>
  <si>
    <t>İsimlik Personel İsimliği (4Kasa Takım Lideri Yardımcısı 15Satış Danışmanı 10Satış Takım Lideri</t>
  </si>
  <si>
    <t>RE02025000000128</t>
  </si>
  <si>
    <t>Kupa</t>
  </si>
  <si>
    <t>RE02025000000142</t>
  </si>
  <si>
    <t>RE02025000000158</t>
  </si>
  <si>
    <t>31.01.2024</t>
  </si>
  <si>
    <t>RE02025000000159</t>
  </si>
  <si>
    <t>sprial kablo</t>
  </si>
  <si>
    <t>RE02025000000119</t>
  </si>
  <si>
    <t>RE02025000000118</t>
  </si>
  <si>
    <t>Onur Mezitli</t>
  </si>
  <si>
    <t>GÖNDERİLDİ</t>
  </si>
  <si>
    <t>RE02025000000160</t>
  </si>
  <si>
    <t>Kaşe (Detayları Ali Beye Gönderildi)</t>
  </si>
  <si>
    <t>RE02025000000167</t>
  </si>
  <si>
    <t>feride güven</t>
  </si>
  <si>
    <t>diyarb akır</t>
  </si>
  <si>
    <t xml:space="preserve">a4 </t>
  </si>
  <si>
    <t>BİRLİKTE BAŞARACAĞIZ HEDEF 1,000,000,00 TL</t>
  </si>
  <si>
    <t>01.02.2025</t>
  </si>
  <si>
    <t>RE02025000000290</t>
  </si>
  <si>
    <t>Bu Benim Kartı  100 Adet sarı</t>
  </si>
  <si>
    <t>RE02025000000161</t>
  </si>
  <si>
    <t>Beylikdüzü</t>
  </si>
  <si>
    <t>RE02025000000162</t>
  </si>
  <si>
    <t>Bu Benim Kartı (200 Adet sarı- 200 Adet kırmızı)</t>
  </si>
  <si>
    <t>RE02025000000189</t>
  </si>
  <si>
    <t>RE02025000000144</t>
  </si>
  <si>
    <t>03.02.2025</t>
  </si>
  <si>
    <t>Patago Tutucu Plastik</t>
  </si>
  <si>
    <t>RE02025000000145</t>
  </si>
  <si>
    <t>Folyo Kesim Logo</t>
  </si>
  <si>
    <t>RE02025000000132</t>
  </si>
  <si>
    <t>istanbul</t>
  </si>
  <si>
    <t xml:space="preserve">Öznur Yener </t>
  </si>
  <si>
    <t>Çift  taraflı Bant 5 mt</t>
  </si>
  <si>
    <t>RE02025000000147</t>
  </si>
  <si>
    <t>Patago Tutucu Plastik Askı</t>
  </si>
  <si>
    <t>RE02025000000131</t>
  </si>
  <si>
    <t>Ayrılmaz İkili Rulo</t>
  </si>
  <si>
    <t>RE0202500000014</t>
  </si>
  <si>
    <t>RE02025000000133</t>
  </si>
  <si>
    <t>RE02025000000149</t>
  </si>
  <si>
    <t>TV Ünitesi ( Mart Ayından 109. satır ile birlikte kesilicek Faturası)</t>
  </si>
  <si>
    <t>RE02025000000377</t>
  </si>
  <si>
    <t>Mediamarkt Logolu Kalem</t>
  </si>
  <si>
    <t>RE02025000000150</t>
  </si>
  <si>
    <t xml:space="preserve">Patago Tutucu </t>
  </si>
  <si>
    <t>RE02025000000134</t>
  </si>
  <si>
    <t>Hediye Paketi Süsü</t>
  </si>
  <si>
    <t>04.02.2025</t>
  </si>
  <si>
    <t>Balon Süsleme</t>
  </si>
  <si>
    <t>RE02025000000121</t>
  </si>
  <si>
    <t>RE02025000000130</t>
  </si>
  <si>
    <t>(Yaka İsimliği )  Satış Sanışmanı</t>
  </si>
  <si>
    <t>RE02025000000135</t>
  </si>
  <si>
    <t>(Yaka İsimliği )  Kasiyer</t>
  </si>
  <si>
    <t>(Yaka İsimliği )  Müşteri hizmetleri</t>
  </si>
  <si>
    <t>(Yaka İsimliği ) Satış Takım Lideri</t>
  </si>
  <si>
    <t>(Yaka İsimliği ) İdari İşler</t>
  </si>
  <si>
    <t>Light Box Tekstil Avm Girişi  245cm x 235cm (sevgililer Günü)</t>
  </si>
  <si>
    <t>RE02025000000141</t>
  </si>
  <si>
    <t>Light Box Tekstil Otopark 190cm x 390cm (Sevgililer Günü)</t>
  </si>
  <si>
    <t>Light Box Tekstil Mağaza 172cm x 161cm (Sevgililer Günü)</t>
  </si>
  <si>
    <t>Kaşe -Tarihli-</t>
  </si>
  <si>
    <t>RE02025000000136</t>
  </si>
  <si>
    <t>Aydın  Çakır</t>
  </si>
  <si>
    <t>Reyon Bariyeri 100 cmlik ( ENİ 44 CM OLACAK)</t>
  </si>
  <si>
    <t>RE02025000000291</t>
  </si>
  <si>
    <t>Görsel Uygulama</t>
  </si>
  <si>
    <t>RE02025000000176</t>
  </si>
  <si>
    <t>RE02025000000177</t>
  </si>
  <si>
    <t>Bunlar Benim Kartı PVC Kabı</t>
  </si>
  <si>
    <t>05.02.2025</t>
  </si>
  <si>
    <t>Sanko</t>
  </si>
  <si>
    <t xml:space="preserve">Fön Makinası Tutucu </t>
  </si>
  <si>
    <t>RE02025000000139</t>
  </si>
  <si>
    <t>RE02025000000190</t>
  </si>
  <si>
    <t>Uğur Bey</t>
  </si>
  <si>
    <t>RE02025000000140</t>
  </si>
  <si>
    <t>Pendik Pendorya</t>
  </si>
  <si>
    <t>Canan Çapar</t>
  </si>
  <si>
    <t xml:space="preserve">Reyon Bariyeri 125cm </t>
  </si>
  <si>
    <t>RE02025000000223</t>
  </si>
  <si>
    <t xml:space="preserve">5.5 cm lik  güvenlik etiketi </t>
  </si>
  <si>
    <t>RE02025000000138</t>
  </si>
  <si>
    <t xml:space="preserve">Optimum </t>
  </si>
  <si>
    <t xml:space="preserve">4.5 cm lik güvenlik etiketi </t>
  </si>
  <si>
    <t>Termal Pos Rulosu  56x16</t>
  </si>
  <si>
    <t>RE02025000000153</t>
  </si>
  <si>
    <t>A4 Rondo çerçeve kırmızı</t>
  </si>
  <si>
    <t>RE02025000000191</t>
  </si>
  <si>
    <t>Defter isme özel</t>
  </si>
  <si>
    <t>RE02025000000192</t>
  </si>
  <si>
    <t>Maliyeti:88,00TL</t>
  </si>
  <si>
    <t>Weiland Spiral kablo 4mt</t>
  </si>
  <si>
    <t>RE02025000000193</t>
  </si>
  <si>
    <t>RE02025000000154</t>
  </si>
  <si>
    <t>Şevval Hanım</t>
  </si>
  <si>
    <t>RE02025000000151</t>
  </si>
  <si>
    <t>Zemin Değişimi</t>
  </si>
  <si>
    <t>RE02025000000155</t>
  </si>
  <si>
    <t>07.02.2025</t>
  </si>
  <si>
    <t>RE02025000000194</t>
  </si>
  <si>
    <t>RE02025000000152</t>
  </si>
  <si>
    <t>T Tipi Dikey Föylük</t>
  </si>
  <si>
    <t>RE02025000000262</t>
  </si>
  <si>
    <t>Tuğba Şereflioğlu</t>
  </si>
  <si>
    <t>Kapı Girişi Süsleme</t>
  </si>
  <si>
    <t>RE02025000000163</t>
  </si>
  <si>
    <t>Büyük Kalp Balon Süsleme</t>
  </si>
  <si>
    <t>Kolon / Spiral Süsleme</t>
  </si>
  <si>
    <t>RE02025000000165</t>
  </si>
  <si>
    <t>Kolon Kalp Süsleme</t>
  </si>
  <si>
    <t>08.02.2025</t>
  </si>
  <si>
    <t xml:space="preserve">Denizli </t>
  </si>
  <si>
    <t>Onur Aydın</t>
  </si>
  <si>
    <t>İsim Kaşesi R24</t>
  </si>
  <si>
    <t>RE02025000000174</t>
  </si>
  <si>
    <t>L Tipi Dikey Föylük</t>
  </si>
  <si>
    <t>RE02025000000266</t>
  </si>
  <si>
    <t>Spiral Süsleme</t>
  </si>
  <si>
    <t>RE02025000000173</t>
  </si>
  <si>
    <t>Büyük  Kalp Süsleme</t>
  </si>
  <si>
    <t>RE02025000000166</t>
  </si>
  <si>
    <t>Totem Kalp Süsleme</t>
  </si>
  <si>
    <t>RE02025000000172</t>
  </si>
  <si>
    <t>Weiland Grup Priz (Detayları ileteceğim)</t>
  </si>
  <si>
    <t>RE02025000000195</t>
  </si>
  <si>
    <t>Kolon / Sprial Balon Süsleme</t>
  </si>
  <si>
    <t>RE02025000000164</t>
  </si>
  <si>
    <t>Mall of İstanbul</t>
  </si>
  <si>
    <t>Enerji Etiketi Cebi</t>
  </si>
  <si>
    <t>RE02025000000170</t>
  </si>
  <si>
    <t>10.02.2025</t>
  </si>
  <si>
    <t>RE02025000000169</t>
  </si>
  <si>
    <t>RE02025000000168</t>
  </si>
  <si>
    <t>RE02025000000184</t>
  </si>
  <si>
    <t>Pleksi A4 Föylük L Tipi</t>
  </si>
  <si>
    <t>RE02025000000251</t>
  </si>
  <si>
    <t>Pleksi A3 Föylük L Tipi</t>
  </si>
  <si>
    <t>RE02025000000252</t>
  </si>
  <si>
    <t>Notebook Çantaları İnch Etiketi</t>
  </si>
  <si>
    <t>RE02025000000245</t>
  </si>
  <si>
    <t>Murat Tokel</t>
  </si>
  <si>
    <t>RE02025000000179</t>
  </si>
  <si>
    <t>RE02025000000180</t>
  </si>
  <si>
    <t>Murat iyigün</t>
  </si>
  <si>
    <t>RE02025000000183</t>
  </si>
  <si>
    <t>11.02.2025</t>
  </si>
  <si>
    <t>Yer Sticker yuvarlak</t>
  </si>
  <si>
    <t>RE02025000000186</t>
  </si>
  <si>
    <t>Yer Sticker kasalar</t>
  </si>
  <si>
    <t>Yer Sticker Şerit</t>
  </si>
  <si>
    <t>Yer Sticker Giriş</t>
  </si>
  <si>
    <t>RE02025000000196</t>
  </si>
  <si>
    <t>Görsel Baskı 50x70</t>
  </si>
  <si>
    <t>RE02025000000182</t>
  </si>
  <si>
    <t>Görsel Baskı 70x100</t>
  </si>
  <si>
    <t>DİJİTAL BASKI BEDELİ 123 M'</t>
  </si>
  <si>
    <t>RE02025000000292</t>
  </si>
  <si>
    <t>Patago Tutucu Pvc 1000 Adet</t>
  </si>
  <si>
    <t>RE02025000000197</t>
  </si>
  <si>
    <t>faruk Orhan</t>
  </si>
  <si>
    <t>KağıtAlarm Etiketi 4x4</t>
  </si>
  <si>
    <t>RE02025000000198</t>
  </si>
  <si>
    <t>-</t>
  </si>
  <si>
    <t>12.02.2025</t>
  </si>
  <si>
    <t>Ürün teşhir Tablası</t>
  </si>
  <si>
    <t>RE02025000000199</t>
  </si>
  <si>
    <t>RE02025000000253</t>
  </si>
  <si>
    <t>RE02025000000353</t>
  </si>
  <si>
    <t>Kırmızı Rulo Çift Taraflı Bant 5 Metre</t>
  </si>
  <si>
    <t>N</t>
  </si>
  <si>
    <t>RE02025000000200</t>
  </si>
  <si>
    <t>RE02025000000294</t>
  </si>
  <si>
    <t>13.02.2025</t>
  </si>
  <si>
    <t>RE02025000000201</t>
  </si>
  <si>
    <t>Uygulama Bedeli (Yenilenmiş Cihaz)</t>
  </si>
  <si>
    <t>RE02025000000181</t>
  </si>
  <si>
    <t>RE02025000000185</t>
  </si>
  <si>
    <t>Dikey Süpürge Ayağı (6 Adet Gönderilicek)</t>
  </si>
  <si>
    <t>RE02025000000276</t>
  </si>
  <si>
    <t>RE02025000000203</t>
  </si>
  <si>
    <t>Light Box (Detayları Link Olarak Gönderdim) (Samsung) (190x390 - 172x161cm ölçülerinde)</t>
  </si>
  <si>
    <t>RE02025000000204</t>
  </si>
  <si>
    <t>RE02025000000205</t>
  </si>
  <si>
    <t>Pleksi UV BAskı Vidalı 60x30 ( Kasa1-Kasa2-Kasa3 )</t>
  </si>
  <si>
    <t>RE02025000000206</t>
  </si>
  <si>
    <t>İsimlik (Merter Ş. İdari işler Takım Lideri)</t>
  </si>
  <si>
    <t>RE02025000000207</t>
  </si>
  <si>
    <t>14.02.2025</t>
  </si>
  <si>
    <t>RE02025000000220</t>
  </si>
  <si>
    <t>Görsel Baskı - Barista Alanı 140cm çapı</t>
  </si>
  <si>
    <t>RE02025000000222</t>
  </si>
  <si>
    <t>Pleksi uv baskı vidalı Beyaz üzeri kırmızı 95x30 ( Stant Mikser-Akıllı Telefonlar)</t>
  </si>
  <si>
    <t xml:space="preserve">Antares </t>
  </si>
  <si>
    <t>Rafboard Etiketi 125 cm</t>
  </si>
  <si>
    <t>RE02025000000241</t>
  </si>
  <si>
    <t>Rafboard Etiketi 100 cm</t>
  </si>
  <si>
    <t>Balon Kapı</t>
  </si>
  <si>
    <t>RE02025000000208</t>
  </si>
  <si>
    <t>Anlara</t>
  </si>
  <si>
    <t>RE02025000000209</t>
  </si>
  <si>
    <t>RE02025000000210</t>
  </si>
  <si>
    <t>RE02025000000211</t>
  </si>
  <si>
    <t>RE02025000000212</t>
  </si>
  <si>
    <t>RE02025000000213</t>
  </si>
  <si>
    <t>15.02.2025</t>
  </si>
  <si>
    <t>17.02.2025</t>
  </si>
  <si>
    <t>RE02025000000214</t>
  </si>
  <si>
    <t>İsimlik (2 Satış Takım Lideri-1 İdari İşler Takım Lideri)</t>
  </si>
  <si>
    <t>RE02025000000215</t>
  </si>
  <si>
    <t>RE02025000000216</t>
  </si>
  <si>
    <t>RE02025000000235</t>
  </si>
  <si>
    <t>20 mm Renkli Nokta Etiketi 2500'lü Rulo</t>
  </si>
  <si>
    <t>Logolu KArton BArdak</t>
  </si>
  <si>
    <t>RE02025000000217</t>
  </si>
  <si>
    <t>RE02025000000224</t>
  </si>
  <si>
    <t>Zeynep Kara</t>
  </si>
  <si>
    <t>RE02025000000225</t>
  </si>
  <si>
    <t>RE02025000000218</t>
  </si>
  <si>
    <t>Murat kara</t>
  </si>
  <si>
    <t>RE02025000000226</t>
  </si>
  <si>
    <t>Serhat Yerden</t>
  </si>
  <si>
    <t>RE02025000000219</t>
  </si>
  <si>
    <t>Pleksi Uv Baskı Vidalı 45x80cm (operatör finans hizmet masası - Denizbank Turkcell ) detayları ileticem)</t>
  </si>
  <si>
    <t>RE02025000000227</t>
  </si>
  <si>
    <t>Teleskopik Yaylı Çubuk +Çerçeve</t>
  </si>
  <si>
    <t>RE02025000000236</t>
  </si>
  <si>
    <t>RE02025000000228</t>
  </si>
  <si>
    <t>18.02.2024</t>
  </si>
  <si>
    <t>RE02025000000351</t>
  </si>
  <si>
    <t>18.02.2025</t>
  </si>
  <si>
    <t>RE02025000000238</t>
  </si>
  <si>
    <t>19.02.2025</t>
  </si>
  <si>
    <t>100*200 5mm dekota üzeri folyo +şeffaf koruma</t>
  </si>
  <si>
    <t>RE02025000000250</t>
  </si>
  <si>
    <t>100*200 5mm dekota üzeri folyo +şeffaf koruma+ Pleksi cep</t>
  </si>
  <si>
    <t>Patago Tutucu Pvc</t>
  </si>
  <si>
    <t>RE02025000000229</t>
  </si>
  <si>
    <t>RE02025000000230</t>
  </si>
  <si>
    <t>RE02025000000231</t>
  </si>
  <si>
    <t>Dolap</t>
  </si>
  <si>
    <t>RE02025000000352</t>
  </si>
  <si>
    <t>RE02025000000232</t>
  </si>
  <si>
    <t>Gaziemir</t>
  </si>
  <si>
    <t>Bahar akkaya</t>
  </si>
  <si>
    <t>Patago Tutucu PVC</t>
  </si>
  <si>
    <t>RE02025000000237</t>
  </si>
  <si>
    <t>Pleksi HArddisc Ayağı</t>
  </si>
  <si>
    <t>RE02025000000254</t>
  </si>
  <si>
    <t>İsimlik (Selma K. Güvenlik Amiri)</t>
  </si>
  <si>
    <t>RE02025000000249</t>
  </si>
  <si>
    <t>RE02025000000233</t>
  </si>
  <si>
    <t>Kulakiçi Kulkalık Stantı Kilitli ve Menteşeli (Detayları İleticem)</t>
  </si>
  <si>
    <t>RE02025000000397</t>
  </si>
  <si>
    <t>20.02.2025</t>
  </si>
  <si>
    <t>RE02025000000239</t>
  </si>
  <si>
    <t>RE02025000000255</t>
  </si>
  <si>
    <t>RE02025000000267</t>
  </si>
  <si>
    <t>Isparta Meydan</t>
  </si>
  <si>
    <t>RE02025000000242</t>
  </si>
  <si>
    <r>
      <rPr>
        <sz val="9"/>
        <color theme="1"/>
        <rFont val="Calibri"/>
        <family val="2"/>
      </rPr>
      <t>Logolu Koli Bantı</t>
    </r>
    <r>
      <rPr>
        <b/>
        <sz val="9"/>
        <color rgb="FFFF0000"/>
        <rFont val="Calibri"/>
        <family val="2"/>
      </rPr>
      <t xml:space="preserve"> </t>
    </r>
  </si>
  <si>
    <t>RE02025000000273</t>
  </si>
  <si>
    <t>24.02.2025</t>
  </si>
  <si>
    <t xml:space="preserve">Mall Of  </t>
  </si>
  <si>
    <t>RE02025000000243</t>
  </si>
  <si>
    <t>Kaşe İsim KAşesi (Merter Şile)</t>
  </si>
  <si>
    <t>RE02025000000244</t>
  </si>
  <si>
    <t>RE02025000000248</t>
  </si>
  <si>
    <t>RE02025000000263</t>
  </si>
  <si>
    <t>RE02025000000246</t>
  </si>
  <si>
    <t>RE02025000000256</t>
  </si>
  <si>
    <t>RE02025000000257</t>
  </si>
  <si>
    <t>Kağt Alarm Etiketi 4x4</t>
  </si>
  <si>
    <t>RE02025000000258</t>
  </si>
  <si>
    <t>RE02025000000247</t>
  </si>
  <si>
    <t>RE02025000000259</t>
  </si>
  <si>
    <t>Murat Kara</t>
  </si>
  <si>
    <t>RE02025000000295</t>
  </si>
  <si>
    <t>Dikey Süpürge Ayağı (alt zemin tarafında 2 delik isteniyor öncesinde görsel üzerinde onay alalım)</t>
  </si>
  <si>
    <t>RE02025000000274</t>
  </si>
  <si>
    <t>Hilal Sağgöz</t>
  </si>
  <si>
    <t>RE02025000000308</t>
  </si>
  <si>
    <t>25.02.2025</t>
  </si>
  <si>
    <t>RE02025000000260</t>
  </si>
  <si>
    <t>RE02025000000261</t>
  </si>
  <si>
    <t>17 adet gitti</t>
  </si>
  <si>
    <t>RE02025000000354</t>
  </si>
  <si>
    <t>26.02.2025</t>
  </si>
  <si>
    <t>RE02025000000296</t>
  </si>
  <si>
    <t>Dijital Etiket Arkalığı (A7)</t>
  </si>
  <si>
    <t>FD02025000000408</t>
  </si>
  <si>
    <t>RE02025000000428</t>
  </si>
  <si>
    <t>Tost MAkinesi Ayracı (Mutlaka Logolu olucak)</t>
  </si>
  <si>
    <t>RE02025000000328</t>
  </si>
  <si>
    <t>Natavegaa</t>
  </si>
  <si>
    <t>RE02025000000264</t>
  </si>
  <si>
    <t>RE02025000000265</t>
  </si>
  <si>
    <t>27.02.2025</t>
  </si>
  <si>
    <t>Demlik 2,5Lt (Ürün Linki Grupta)</t>
  </si>
  <si>
    <t>RE02025000000297</t>
  </si>
  <si>
    <t>RE02025000000268</t>
  </si>
  <si>
    <t>Kargo Cebi (3000 Adet)</t>
  </si>
  <si>
    <t>RE02025000000309</t>
  </si>
  <si>
    <t xml:space="preserve">TV Güvenlik Aparatı T Tipi </t>
  </si>
  <si>
    <t>Fatura Kesilmiycek</t>
  </si>
  <si>
    <t>Peksi Headset Kulaklık Askılığı</t>
  </si>
  <si>
    <t>RE02025000000269</t>
  </si>
  <si>
    <t>Ali Bayar</t>
  </si>
  <si>
    <t>kâğıt Alarm Etiketi</t>
  </si>
  <si>
    <t>RE02025000000271</t>
  </si>
  <si>
    <t>RE02025000000275</t>
  </si>
  <si>
    <t>tru</t>
  </si>
  <si>
    <t>Store Code</t>
  </si>
  <si>
    <t>İRSALİYE NO</t>
  </si>
  <si>
    <t>01.08.2025</t>
  </si>
  <si>
    <t>T093</t>
  </si>
  <si>
    <t>Tekira</t>
  </si>
  <si>
    <t>Burak Palabıyık</t>
  </si>
  <si>
    <t>Kağıt Alarm Etiketi 4x4 Barkodlu</t>
  </si>
  <si>
    <t>RE02025000001063</t>
  </si>
  <si>
    <t>02.08.2025</t>
  </si>
  <si>
    <t>T219</t>
  </si>
  <si>
    <t>Adanorm</t>
  </si>
  <si>
    <t>FD02025000000903</t>
  </si>
  <si>
    <t>RE02025000001058</t>
  </si>
  <si>
    <t>FD02025000000938</t>
  </si>
  <si>
    <t>RE02025000001087</t>
  </si>
  <si>
    <t>03.08.2025</t>
  </si>
  <si>
    <t>T014</t>
  </si>
  <si>
    <t>Balonlu Naylon 150x100 6kg</t>
  </si>
  <si>
    <t>RE02025000001127</t>
  </si>
  <si>
    <t>FD02025000000905</t>
  </si>
  <si>
    <t>RE02025000001072</t>
  </si>
  <si>
    <t>04.08.2025</t>
  </si>
  <si>
    <t>Sepet Kenarlığı 100x64</t>
  </si>
  <si>
    <t>FD02025000000911</t>
  </si>
  <si>
    <t>RE02025000001064</t>
  </si>
  <si>
    <t>Sepet Kenarlığı 76x64</t>
  </si>
  <si>
    <t>Sepet Kenarlığı  30x64</t>
  </si>
  <si>
    <t>Sepet Kenarlığı  84x64</t>
  </si>
  <si>
    <t>Sepet Kenarlığı 45x64</t>
  </si>
  <si>
    <t>Sepet Kenarlığı 50x64</t>
  </si>
  <si>
    <t>T097</t>
  </si>
  <si>
    <t>Murat Avcı</t>
  </si>
  <si>
    <t>RE02025000001065</t>
  </si>
  <si>
    <t>05.08.2025</t>
  </si>
  <si>
    <t>T081</t>
  </si>
  <si>
    <t>Kargo Cebi 19x26 1500 Adet</t>
  </si>
  <si>
    <t>NEJLA</t>
  </si>
  <si>
    <t>RE02025000001073</t>
  </si>
  <si>
    <t>T083</t>
  </si>
  <si>
    <t>Fevzi Ali Yıldırım</t>
  </si>
  <si>
    <t>RE02025000001066</t>
  </si>
  <si>
    <t>T209</t>
  </si>
  <si>
    <t>FD02025000000907</t>
  </si>
  <si>
    <t>RE02025000001067</t>
  </si>
  <si>
    <t>06.08.2025</t>
  </si>
  <si>
    <t>T024</t>
  </si>
  <si>
    <t>Fahri Kara</t>
  </si>
  <si>
    <t>A5 L Tipi Pleksi Föylük</t>
  </si>
  <si>
    <t>RE02025000001074</t>
  </si>
  <si>
    <t>Logolu Karton Karton</t>
  </si>
  <si>
    <t>FD02025000000915</t>
  </si>
  <si>
    <t>RE02025000001075</t>
  </si>
  <si>
    <t>07.08.2025</t>
  </si>
  <si>
    <t>T037</t>
  </si>
  <si>
    <t>Serhat Murat Aşan</t>
  </si>
  <si>
    <t>İsimlik Personel İsimliği (10Satış Danışmanı 5Kasiyer 5 Müşteri Hizmetleri)</t>
  </si>
  <si>
    <t>FD02025000000919</t>
  </si>
  <si>
    <t>RE02025000001076</t>
  </si>
  <si>
    <t>Dijital Etket tutucu Ayaklı</t>
  </si>
  <si>
    <t>06.082025</t>
  </si>
  <si>
    <t>FD02025000000920</t>
  </si>
  <si>
    <t>RE02025000001077</t>
  </si>
  <si>
    <t>FD02025000000916</t>
  </si>
  <si>
    <t>RE52025000000002</t>
  </si>
  <si>
    <t>T201</t>
  </si>
  <si>
    <t>Zühal KAra</t>
  </si>
  <si>
    <t>İsimlik Personel İsimliği (30Satış Danışmanı- 5Müşteri Hizmetleri - 5Kasiyer)</t>
  </si>
  <si>
    <t>FD02025000000924</t>
  </si>
  <si>
    <t>RE42025000000002</t>
  </si>
  <si>
    <t>Kâğıt Bant ( Boya yaparken kullanılan maskeleme bantlarından olucakmış)</t>
  </si>
  <si>
    <t>Patago Tutucu PVC 1000li</t>
  </si>
  <si>
    <t>FD02025000000921</t>
  </si>
  <si>
    <t>RE02025000001078</t>
  </si>
  <si>
    <t>FD02025000000984</t>
  </si>
  <si>
    <t>RE02025000001139</t>
  </si>
  <si>
    <t>T005</t>
  </si>
  <si>
    <t>FD02025000000922</t>
  </si>
  <si>
    <t>RE02025000001088</t>
  </si>
  <si>
    <t>08.08.2025</t>
  </si>
  <si>
    <t>T207</t>
  </si>
  <si>
    <t>Alper Baysal</t>
  </si>
  <si>
    <t>RE02025000001079</t>
  </si>
  <si>
    <t xml:space="preserve">Logolu Balon </t>
  </si>
  <si>
    <t>FD02025000000923</t>
  </si>
  <si>
    <t>RE02025000001080</t>
  </si>
  <si>
    <t>T039</t>
  </si>
  <si>
    <t>Ertan Kara</t>
  </si>
  <si>
    <t>Kaşe İsim Kaşesi</t>
  </si>
  <si>
    <t>FD02025000000928</t>
  </si>
  <si>
    <t>RE02025000001089</t>
  </si>
  <si>
    <t>T049</t>
  </si>
  <si>
    <t>RE02025000001081</t>
  </si>
  <si>
    <t>T078</t>
  </si>
  <si>
    <t>RE02025000001103</t>
  </si>
  <si>
    <t>Metal Scotter Ayağı</t>
  </si>
  <si>
    <t>FD02025000001024</t>
  </si>
  <si>
    <t>RE02025000001188</t>
  </si>
  <si>
    <t>Masa 70x95x130</t>
  </si>
  <si>
    <t>RE02025000001104</t>
  </si>
  <si>
    <t>T080</t>
  </si>
  <si>
    <t>FD02025000000929</t>
  </si>
  <si>
    <t>RE02025000001090</t>
  </si>
  <si>
    <t>RE02025000001091</t>
  </si>
  <si>
    <t>11.08.2025</t>
  </si>
  <si>
    <t>FD02025000000930</t>
  </si>
  <si>
    <t>RE02025000001085</t>
  </si>
  <si>
    <t>T006</t>
  </si>
  <si>
    <t>Murat Toker</t>
  </si>
  <si>
    <t>FD02025000000931</t>
  </si>
  <si>
    <t>RE02025000001092</t>
  </si>
  <si>
    <t>T045</t>
  </si>
  <si>
    <t>FD02025000000936</t>
  </si>
  <si>
    <t>RE02025000001093</t>
  </si>
  <si>
    <t>Dijital Etiket Arkalığı A7</t>
  </si>
  <si>
    <t>RE02025000001097</t>
  </si>
  <si>
    <t>A4 Pleksi Föylük L Tipi</t>
  </si>
  <si>
    <t>RE02025000001105</t>
  </si>
  <si>
    <t>A3 Pleksi Föylük L Tipi</t>
  </si>
  <si>
    <t>FD02025000000985</t>
  </si>
  <si>
    <t>RE02025000001147</t>
  </si>
  <si>
    <t>Lojistik Bedeli</t>
  </si>
  <si>
    <t>RE02025000001148</t>
  </si>
  <si>
    <t>12.08.2025</t>
  </si>
  <si>
    <t>Kağıt Alarm Etiketi 4x4 Cm Barkodlu</t>
  </si>
  <si>
    <t>09.08.2025</t>
  </si>
  <si>
    <t>RE02025000001094</t>
  </si>
  <si>
    <t>T061</t>
  </si>
  <si>
    <t>FD02025000000966</t>
  </si>
  <si>
    <t>RE02025000001117</t>
  </si>
  <si>
    <t>Etiket (Buna da İhtiyacın Olabilir)</t>
  </si>
  <si>
    <t>iade gelen faturaya ist</t>
  </si>
  <si>
    <t>RE02025000001084</t>
  </si>
  <si>
    <t>13.08.2025</t>
  </si>
  <si>
    <t>FD02025000000958</t>
  </si>
  <si>
    <t>RE02025000001113</t>
  </si>
  <si>
    <t>T063</t>
  </si>
  <si>
    <t>Baza</t>
  </si>
  <si>
    <t>RE02025000001128</t>
  </si>
  <si>
    <t>14.08.2025</t>
  </si>
  <si>
    <t>RE02025000001107</t>
  </si>
  <si>
    <t>RE02025000001106</t>
  </si>
  <si>
    <t>T052</t>
  </si>
  <si>
    <t>Murat Özoğul</t>
  </si>
  <si>
    <t>RE02025000001095</t>
  </si>
  <si>
    <t>RE02025000001096</t>
  </si>
  <si>
    <t>FD02025000000967</t>
  </si>
  <si>
    <t>RE02025000001118</t>
  </si>
  <si>
    <t>T009</t>
  </si>
  <si>
    <t>FD02025000000946</t>
  </si>
  <si>
    <t>RE02025000001108</t>
  </si>
  <si>
    <t>T505</t>
  </si>
  <si>
    <t>FD02025000000948</t>
  </si>
  <si>
    <t>RE02025000001109</t>
  </si>
  <si>
    <t>T032</t>
  </si>
  <si>
    <t>FD02025000000947</t>
  </si>
  <si>
    <t>RE02025000001110</t>
  </si>
  <si>
    <t>15.08.2025</t>
  </si>
  <si>
    <t>FD02025000000956</t>
  </si>
  <si>
    <t>RE02025000001114</t>
  </si>
  <si>
    <t>T208</t>
  </si>
  <si>
    <t>FD02025000000957</t>
  </si>
  <si>
    <t>RE02025000001115</t>
  </si>
  <si>
    <t>FD02025000000963</t>
  </si>
  <si>
    <t>RE02025000001111</t>
  </si>
  <si>
    <t>Dijital Etiket Tutucu Ayaklı</t>
  </si>
  <si>
    <t>16.08.2025</t>
  </si>
  <si>
    <t>Aleyna Hanım</t>
  </si>
  <si>
    <t>FD02025000000960</t>
  </si>
  <si>
    <t>RE02025000001112</t>
  </si>
  <si>
    <t>KALAN ADET İÇİN İRSALİYE KESİLMİCEK</t>
  </si>
  <si>
    <t>FD02025000000996</t>
  </si>
  <si>
    <t>RE02025000001154</t>
  </si>
  <si>
    <t>24x32x9 Lastikli Mavi Arşiv Kutusu</t>
  </si>
  <si>
    <t>FD02025000000970</t>
  </si>
  <si>
    <t>RE02025000001119</t>
  </si>
  <si>
    <t>,</t>
  </si>
  <si>
    <t>18.08.2025</t>
  </si>
  <si>
    <t>T204</t>
  </si>
  <si>
    <t>Balıkeir</t>
  </si>
  <si>
    <t>RE02025000001120</t>
  </si>
  <si>
    <t>Yazar Kasa Pos Rulosu 80x30</t>
  </si>
  <si>
    <t>FD02025000000997</t>
  </si>
  <si>
    <t>RE02025000001155</t>
  </si>
  <si>
    <t>RE02025000001121</t>
  </si>
  <si>
    <t>RE02025000001122</t>
  </si>
  <si>
    <t>8 adet gidecek</t>
  </si>
  <si>
    <t>FD02025000000986</t>
  </si>
  <si>
    <t>RE02025000001156</t>
  </si>
  <si>
    <t>FD02025000000998</t>
  </si>
  <si>
    <t>RE02025000001157</t>
  </si>
  <si>
    <t>T010</t>
  </si>
  <si>
    <t>RE02025000001129</t>
  </si>
  <si>
    <t>FD02025000000961</t>
  </si>
  <si>
    <t>RE02025000001123</t>
  </si>
  <si>
    <t>FD02025000000962</t>
  </si>
  <si>
    <t>RE02025000001124</t>
  </si>
  <si>
    <t>FD02025000000959</t>
  </si>
  <si>
    <t>RE02025000001125</t>
  </si>
  <si>
    <t>19.08.2025</t>
  </si>
  <si>
    <t>T060</t>
  </si>
  <si>
    <t>Pleksi Föylük L Tipi A4</t>
  </si>
  <si>
    <t>FD02025000000983</t>
  </si>
  <si>
    <t>RE02025000001132</t>
  </si>
  <si>
    <t>FD02025000000969</t>
  </si>
  <si>
    <t>RE02025000001133</t>
  </si>
  <si>
    <t>Kaşe İsim Kaşesi (Detayları WP İlettim)</t>
  </si>
  <si>
    <t>FD02025000000977</t>
  </si>
  <si>
    <t>RE02025000001140</t>
  </si>
  <si>
    <t>T018</t>
  </si>
  <si>
    <t>Mehmet Şükrü Koç</t>
  </si>
  <si>
    <t>A5 Ajanda</t>
  </si>
  <si>
    <t>FD02025000000976</t>
  </si>
  <si>
    <t>RE02025000001137</t>
  </si>
  <si>
    <t>Plastik Kalem</t>
  </si>
  <si>
    <t>20.08.2025</t>
  </si>
  <si>
    <t>Görsel Baskı (Fenerbahçe ve AnkaraGücü forması)</t>
  </si>
  <si>
    <t>RE02025000001130</t>
  </si>
  <si>
    <t>Light Box Giydirme (Fenerbahçe ve AnkaraGücü forması)</t>
  </si>
  <si>
    <t>Resim Çerçevesi</t>
  </si>
  <si>
    <t>FD02025000001025</t>
  </si>
  <si>
    <t>RE02025000001196</t>
  </si>
  <si>
    <t>T028</t>
  </si>
  <si>
    <t>İkbal KAra</t>
  </si>
  <si>
    <t>FD02025000000978</t>
  </si>
  <si>
    <t>RE02025000001134</t>
  </si>
  <si>
    <t>21.08.2025</t>
  </si>
  <si>
    <t>Sepet Kenarlığı (Detayları Gruptan İlettim)</t>
  </si>
  <si>
    <t>FD02025000000987</t>
  </si>
  <si>
    <t>RE02025000001141</t>
  </si>
  <si>
    <t>FD02025000000979</t>
  </si>
  <si>
    <t>RE02025000001135</t>
  </si>
  <si>
    <t>Kaşe İsim Kaşesi (Selda Tüfekçioğlu)</t>
  </si>
  <si>
    <t>FD02025000000988</t>
  </si>
  <si>
    <t>RE02025000001142</t>
  </si>
  <si>
    <t>22.08.2025</t>
  </si>
  <si>
    <t>Zühal Kara</t>
  </si>
  <si>
    <t>FD02025000000980</t>
  </si>
  <si>
    <t>RE02025000001136</t>
  </si>
  <si>
    <t>FD02025000000989</t>
  </si>
  <si>
    <t>RE02025000001149</t>
  </si>
  <si>
    <t>RE02025000001151</t>
  </si>
  <si>
    <t xml:space="preserve">Pleksi Harddisk Ayağı </t>
  </si>
  <si>
    <t xml:space="preserve">GÖNDERİLDİ </t>
  </si>
  <si>
    <t>FD02025000001011</t>
  </si>
  <si>
    <t>RE02025000001187</t>
  </si>
  <si>
    <t>Yaka Kartı PVC Kabı</t>
  </si>
  <si>
    <t>FD02025000000990</t>
  </si>
  <si>
    <t>RE02025000001143</t>
  </si>
  <si>
    <t>T503</t>
  </si>
  <si>
    <t>RE02025000001150</t>
  </si>
  <si>
    <t>23.08.2025</t>
  </si>
  <si>
    <t>Çift Taraflı Bant Küçük Boy</t>
  </si>
  <si>
    <t>FD02025000000981</t>
  </si>
  <si>
    <t>RE02025000001144</t>
  </si>
  <si>
    <t>Çift Taraflı Bant Büyük Boy</t>
  </si>
  <si>
    <t>T082</t>
  </si>
  <si>
    <t>Ceylan Karavil</t>
  </si>
  <si>
    <t xml:space="preserve">Sidar Uzunca </t>
  </si>
  <si>
    <t>RE02025000001152</t>
  </si>
  <si>
    <t>25.08.2025</t>
  </si>
  <si>
    <t>Akay Gürler</t>
  </si>
  <si>
    <t>Servis Hizmet Bedeli</t>
  </si>
  <si>
    <t>RE02025000001206</t>
  </si>
  <si>
    <t>27.08.2025</t>
  </si>
  <si>
    <t>T504</t>
  </si>
  <si>
    <t>Pleksi Reyon İsimlik</t>
  </si>
  <si>
    <t>FD02025000000995</t>
  </si>
  <si>
    <t>RE02025000001160</t>
  </si>
  <si>
    <t>YÜK TAŞIMA ARABASI EUROCAR AT2 MAXI 250KG</t>
  </si>
  <si>
    <t>FD02025000001125</t>
  </si>
  <si>
    <t>RE02025000001292</t>
  </si>
  <si>
    <t>T016</t>
  </si>
  <si>
    <t>FD02025000000994</t>
  </si>
  <si>
    <t>RE02025000001158</t>
  </si>
  <si>
    <t>28.08.2025</t>
  </si>
  <si>
    <t>FD02025000000993</t>
  </si>
  <si>
    <t>RE02025000001153</t>
  </si>
  <si>
    <t>29.08.2025</t>
  </si>
  <si>
    <t>PRINTPEN DYMO D1 45010 SEFFAF ETIKETE SIYAH (12mm x 7m)</t>
  </si>
  <si>
    <t>RE02025000001197</t>
  </si>
  <si>
    <t>MALL</t>
  </si>
  <si>
    <t xml:space="preserve">m </t>
  </si>
  <si>
    <t>03.03.2025</t>
  </si>
  <si>
    <t>Fatma Kara</t>
  </si>
  <si>
    <t>RE02025000000277</t>
  </si>
  <si>
    <t>RE02025000000350</t>
  </si>
  <si>
    <t>RE02025000000278</t>
  </si>
  <si>
    <t>RE02025000000279</t>
  </si>
  <si>
    <t>RE02025000000285</t>
  </si>
  <si>
    <t>Reyon Bariyeri</t>
  </si>
  <si>
    <t>RE02025000000312</t>
  </si>
  <si>
    <t>Kapı Folyo Değişim</t>
  </si>
  <si>
    <t>RE02025000000331</t>
  </si>
  <si>
    <t>Mutfak Camı Görsel Yapımı</t>
  </si>
  <si>
    <t>RE02025000000281</t>
  </si>
  <si>
    <t>RE02025000000280</t>
  </si>
  <si>
    <t>04.03.2025</t>
  </si>
  <si>
    <t>RE02025000000282</t>
  </si>
  <si>
    <t>FD02025000000433</t>
  </si>
  <si>
    <t>RE02025000000485</t>
  </si>
  <si>
    <t>Muzaffer Türk</t>
  </si>
  <si>
    <t>Cırt Kelepçe Beyaz 30 cm</t>
  </si>
  <si>
    <t>RE02025000000284</t>
  </si>
  <si>
    <t>RE02025000000286</t>
  </si>
  <si>
    <t>RE02025000000287</t>
  </si>
  <si>
    <t>Şevval Kara</t>
  </si>
  <si>
    <t>RE02025000000288</t>
  </si>
  <si>
    <t>RE02025000000298</t>
  </si>
  <si>
    <t>05.03.2025</t>
  </si>
  <si>
    <t>İsmail erdem</t>
  </si>
  <si>
    <t>Kağıt Alarm etileti</t>
  </si>
  <si>
    <t>RE02025000000299</t>
  </si>
  <si>
    <t>RE02025000000289</t>
  </si>
  <si>
    <t>Kağıthane</t>
  </si>
  <si>
    <t>RE02025000000300</t>
  </si>
  <si>
    <t>İsimlik (5Kasiyer-5Müşteri Hizmetleri-5Satış Danışmanı)</t>
  </si>
  <si>
    <t>FD02025000000287</t>
  </si>
  <si>
    <t>RE02025000000348</t>
  </si>
  <si>
    <t>RE02025000000349</t>
  </si>
  <si>
    <t>RE02025000000301</t>
  </si>
  <si>
    <t>06.03.2025</t>
  </si>
  <si>
    <t>RE02025000000302</t>
  </si>
  <si>
    <t>İsim Kaşesi (Kerem Pehlivan)</t>
  </si>
  <si>
    <t>RE02025000000303</t>
  </si>
  <si>
    <t>RE02025000000304</t>
  </si>
  <si>
    <t>Logolu Karton BArdak</t>
  </si>
  <si>
    <t>RE02025000000305</t>
  </si>
  <si>
    <t>07.03.2025</t>
  </si>
  <si>
    <t xml:space="preserve">Yeni Tip Süpürge Ayağı </t>
  </si>
  <si>
    <t>FD02025000000479</t>
  </si>
  <si>
    <t>RE02025000000567</t>
  </si>
  <si>
    <t>Pleksi Seperatör 43cm</t>
  </si>
  <si>
    <t>RE02025000000315</t>
  </si>
  <si>
    <t>Pleksi Reyon BAriyeri 99cm</t>
  </si>
  <si>
    <t>Pleksi Reyon BAriyeri 124cm</t>
  </si>
  <si>
    <t>Pleksi Üzeri UV Baskı Vidalı (Denizbank-Vodafone) ( Operatör ve finans hizmet masası)</t>
  </si>
  <si>
    <t>RE02025000000316</t>
  </si>
  <si>
    <t>Logolu Asetat A4 (100'lü)</t>
  </si>
  <si>
    <t>RE02025000000306</t>
  </si>
  <si>
    <t>Alrıza Eraydın</t>
  </si>
  <si>
    <t>Kartvizit (Ersin Tosun)</t>
  </si>
  <si>
    <t>RE02025000000307</t>
  </si>
  <si>
    <t>08.03.2025</t>
  </si>
  <si>
    <t>Çiçek+çikolata</t>
  </si>
  <si>
    <t>RE02025000000310</t>
  </si>
  <si>
    <t>Maliyeti:1400</t>
  </si>
  <si>
    <t>FD02025000000434</t>
  </si>
  <si>
    <t>RE02025000000486</t>
  </si>
  <si>
    <t>10.03.2025</t>
  </si>
  <si>
    <t>RE02025000000317</t>
  </si>
  <si>
    <t>FD02025000000332</t>
  </si>
  <si>
    <t>RE02025000000357</t>
  </si>
  <si>
    <t>İsimlik 1Müşteri Deneyimi Yöneticisi-10Satış Danışmanı-8Kasiyer-1İdari İşler yöneticisi-1Kasa Takım Lideri Yardımcısı-</t>
  </si>
  <si>
    <t>RE02025000000347</t>
  </si>
  <si>
    <t>RE02025000000318</t>
  </si>
  <si>
    <t>RE02025000000319</t>
  </si>
  <si>
    <t>FD02025000000303</t>
  </si>
  <si>
    <t>RE02025000000360</t>
  </si>
  <si>
    <t>Görsel Baskı ( Tuzluk,Yapay Çiçek ) Fatura Kesilmeden adı teyit edilicek</t>
  </si>
  <si>
    <t>RE02025000000401</t>
  </si>
  <si>
    <t>Maliyeti:6.422,00TL</t>
  </si>
  <si>
    <t>RE02025000000320</t>
  </si>
  <si>
    <t>Avm İçi Görsel Uygulama</t>
  </si>
  <si>
    <t>RE02025000000332</t>
  </si>
  <si>
    <t>Kapı Giydirme Uygulama</t>
  </si>
  <si>
    <t>Notebook Alanı Folyo Uygulama</t>
  </si>
  <si>
    <t>Monitör Alanı Folyo Uygulama</t>
  </si>
  <si>
    <t>Ankaya</t>
  </si>
  <si>
    <t>RE02025000000321</t>
  </si>
  <si>
    <t>Görsel Baskı 72x54 (Detaylar Gruptan İletildi)</t>
  </si>
  <si>
    <t>RE02025000000346</t>
  </si>
  <si>
    <t>11.03.2025</t>
  </si>
  <si>
    <t>RE02025000000322</t>
  </si>
  <si>
    <t>RE02025000000323</t>
  </si>
  <si>
    <t>Plastik Cırt Kelepçe 25cm</t>
  </si>
  <si>
    <t>Plastik Cırt Kelepçe 30cm</t>
  </si>
  <si>
    <t>RE02025000000324</t>
  </si>
  <si>
    <t>RE02025000000359</t>
  </si>
  <si>
    <t>yoyo</t>
  </si>
  <si>
    <t>2.75</t>
  </si>
  <si>
    <t>Kaşe (Sırdaş Print 910) Bu Modelde İsteniyor  (sezgin İtem Adına Olucak))</t>
  </si>
  <si>
    <t>RE02025000000345</t>
  </si>
  <si>
    <t xml:space="preserve">300x70cm Baza ( Gri renk) </t>
  </si>
  <si>
    <t>RE02025000000487</t>
  </si>
  <si>
    <t>Yeni Tip Süpürge Turucu</t>
  </si>
  <si>
    <t>FD02025000000480</t>
  </si>
  <si>
    <t>RE02025000000568</t>
  </si>
  <si>
    <t>Pleksi Kulakiçi Kulaklık Stantı Kilitli Menteşeli 100x17x30 (Ahşabı Gri Olucak) (Fiyatları Kontrol Edilicek)</t>
  </si>
  <si>
    <t>FD02025000000386</t>
  </si>
  <si>
    <t>RE02025000000402</t>
  </si>
  <si>
    <t>Pleksi Kulakiçi Kulaklık Stantı Kilitli Menteşeli 125x17x30 (Ahşabı Gri Olucak)(Fiyatları Kontrol Edilicek)</t>
  </si>
  <si>
    <t>12.03.2025</t>
  </si>
  <si>
    <t>FD02025000000488</t>
  </si>
  <si>
    <t>RE02025000000569</t>
  </si>
  <si>
    <t>RE02025000000325</t>
  </si>
  <si>
    <t>İsimlik Satış Danışmanı</t>
  </si>
  <si>
    <t>FD02025000000331</t>
  </si>
  <si>
    <t>RE02025000000335</t>
  </si>
  <si>
    <t>Promotör İsimliği Pelksi Mıknatıslı</t>
  </si>
  <si>
    <t>RE02025000000326</t>
  </si>
  <si>
    <t>Vera</t>
  </si>
  <si>
    <t>FD02025000000311</t>
  </si>
  <si>
    <t>RE02025000000336</t>
  </si>
  <si>
    <t>RE02025000000327</t>
  </si>
  <si>
    <t>13.03.2025</t>
  </si>
  <si>
    <t>Burak Kara</t>
  </si>
  <si>
    <t>Spiralli Kablo 4metre</t>
  </si>
  <si>
    <t>FD02025000000335</t>
  </si>
  <si>
    <t>RM02025000000002</t>
  </si>
  <si>
    <t>50*70 Poster 70*100 poster 4er adet (Fatura Kesilmeden Görüşülecek)</t>
  </si>
  <si>
    <t>RE02025000000368</t>
  </si>
  <si>
    <t>Gökhan Kartal</t>
  </si>
  <si>
    <t>FD02025000000313</t>
  </si>
  <si>
    <t>RE02025000000337</t>
  </si>
  <si>
    <t>RE02025000000369</t>
  </si>
  <si>
    <t>14.03.2025</t>
  </si>
  <si>
    <t>İsimlik _ Satış Danışmanı</t>
  </si>
  <si>
    <t>FD02025000000320</t>
  </si>
  <si>
    <t>RE02025000000338</t>
  </si>
  <si>
    <t>FD02025000000316</t>
  </si>
  <si>
    <t>RE02025000000344</t>
  </si>
  <si>
    <t>RE02025000000517</t>
  </si>
  <si>
    <t>FD02025000000314</t>
  </si>
  <si>
    <t>RE02025000000363</t>
  </si>
  <si>
    <t>RE02025000000362</t>
  </si>
  <si>
    <t>FD02025000000339</t>
  </si>
  <si>
    <t>RE02025000000361</t>
  </si>
  <si>
    <t>FD02025000000330</t>
  </si>
  <si>
    <t>RE02025000000339</t>
  </si>
  <si>
    <t>RE02025000000343</t>
  </si>
  <si>
    <t>17.03.2025</t>
  </si>
  <si>
    <t>FD02025000000325</t>
  </si>
  <si>
    <t>RE02025000000340</t>
  </si>
  <si>
    <t>Sigara İçilmez Levhası - Metal -</t>
  </si>
  <si>
    <t>FD02025000000329</t>
  </si>
  <si>
    <t>RE02025000000341</t>
  </si>
  <si>
    <t>Strech Film Siyah</t>
  </si>
  <si>
    <t>RE02025000000364</t>
  </si>
  <si>
    <t>18.03.2025</t>
  </si>
  <si>
    <t>FD02025000000326</t>
  </si>
  <si>
    <t>RE02025000000365</t>
  </si>
  <si>
    <t>FD02025000000328</t>
  </si>
  <si>
    <t>RE02025000000342</t>
  </si>
  <si>
    <t>Lojistik (Şubat Ayının 21. satırı ile birlikte kesilecek)</t>
  </si>
  <si>
    <t>FD02025000000336</t>
  </si>
  <si>
    <t>RE02025000000355</t>
  </si>
  <si>
    <t>FD02025000000337</t>
  </si>
  <si>
    <t>RE02025000000356</t>
  </si>
  <si>
    <t>20.03.2025</t>
  </si>
  <si>
    <t>Atlanis</t>
  </si>
  <si>
    <t>Görsel BAskı + Uygulama</t>
  </si>
  <si>
    <t>RE02025000000366</t>
  </si>
  <si>
    <t>Fotoğraf Baskı+Çerçeve</t>
  </si>
  <si>
    <t>RE02025000000425</t>
  </si>
  <si>
    <t>RE02025000000367</t>
  </si>
  <si>
    <t>FD02025000000351</t>
  </si>
  <si>
    <t>RE02025000000370</t>
  </si>
  <si>
    <t>RE02025000000378</t>
  </si>
  <si>
    <t>FD02025000000350</t>
  </si>
  <si>
    <t>RE02025000000371</t>
  </si>
  <si>
    <t>FD02025000000349</t>
  </si>
  <si>
    <t>RE02025000000372</t>
  </si>
  <si>
    <t>Ayrılmaz ikili Wobbler(100lü)</t>
  </si>
  <si>
    <t>FD02025000000431</t>
  </si>
  <si>
    <t>RE02025000000465</t>
  </si>
  <si>
    <t>21.03.2025</t>
  </si>
  <si>
    <t>Kaşe (Detayları WP Gönderdim)</t>
  </si>
  <si>
    <t>FD02025000000348</t>
  </si>
  <si>
    <t>RE02025000000373</t>
  </si>
  <si>
    <t xml:space="preserve">Pleksi Föylük L Tipi  A4 </t>
  </si>
  <si>
    <t>Faturası 2 aya ye bölünecek- Yarısı Mart yarısı Nisanda Kesilecek</t>
  </si>
  <si>
    <t>RE02025000000398</t>
  </si>
  <si>
    <t>RE02025000000420</t>
  </si>
  <si>
    <t>ayrı ayrı kesildi</t>
  </si>
  <si>
    <t>FD02025000000347</t>
  </si>
  <si>
    <t>RE02025000000374</t>
  </si>
  <si>
    <t>FD02025000000346</t>
  </si>
  <si>
    <t>RE02025000000375</t>
  </si>
  <si>
    <t>Turgutözal</t>
  </si>
  <si>
    <t>İsimlik(detayları wp den gönderdim)</t>
  </si>
  <si>
    <t>RE02025000000403</t>
  </si>
  <si>
    <t>Ayrılmaz İkili Wobbler (100lü)</t>
  </si>
  <si>
    <t>FD02025000000352</t>
  </si>
  <si>
    <t>RE02025000000376</t>
  </si>
  <si>
    <t>FD02025000000432</t>
  </si>
  <si>
    <t>RE02025000000466</t>
  </si>
  <si>
    <t>RE02025000000488</t>
  </si>
  <si>
    <t>FD02025000000356</t>
  </si>
  <si>
    <t>RE02025000000379</t>
  </si>
  <si>
    <t>FD02025000000355</t>
  </si>
  <si>
    <t>RE02025000000380</t>
  </si>
  <si>
    <t>FD02025000000360</t>
  </si>
  <si>
    <t>RE02025000000381</t>
  </si>
  <si>
    <t>FD02025000000470</t>
  </si>
  <si>
    <t>RE02025000000570</t>
  </si>
  <si>
    <t>Maket Bıçağı (Modeli Göndericem Trendyoldan model)</t>
  </si>
  <si>
    <t>FD02025000000387</t>
  </si>
  <si>
    <t>RE02025000000404</t>
  </si>
  <si>
    <t>24.03.2025</t>
  </si>
  <si>
    <t>FD12025000000001</t>
  </si>
  <si>
    <t>RE02025000000382</t>
  </si>
  <si>
    <t>İsimlik -Satış Danışmanı</t>
  </si>
  <si>
    <t>KG Etiketi- Sticker (Detayları Gruptan Gönderdim)</t>
  </si>
  <si>
    <t>FD02025000000388</t>
  </si>
  <si>
    <t>RE02025000000405</t>
  </si>
  <si>
    <t>Personel Yaka İpi Logolu</t>
  </si>
  <si>
    <t>16 adet daha gidicek</t>
  </si>
  <si>
    <t>FD02025000000359</t>
  </si>
  <si>
    <t>RE02025000000383</t>
  </si>
  <si>
    <t>FD02025000000353</t>
  </si>
  <si>
    <t>RE02025000000384</t>
  </si>
  <si>
    <t>RE02025000000406</t>
  </si>
  <si>
    <t>Ayrılmaz ikili Bnat</t>
  </si>
  <si>
    <t>FD02025000000361</t>
  </si>
  <si>
    <t>RE02025000000385</t>
  </si>
  <si>
    <t>FD02025000000362</t>
  </si>
  <si>
    <t>RE02025000000386</t>
  </si>
  <si>
    <t>Ayrılaz İkili Wobbler (100lü)</t>
  </si>
  <si>
    <t>FD02025000000367</t>
  </si>
  <si>
    <t>RE02025000000390</t>
  </si>
  <si>
    <t>FD02025000000363</t>
  </si>
  <si>
    <t>RE02025000000387</t>
  </si>
  <si>
    <t>Diplomat Zarf 500 Adet</t>
  </si>
  <si>
    <t>FD02025000000389</t>
  </si>
  <si>
    <t>RE02025000000422</t>
  </si>
  <si>
    <t>Maliyeti:2750,00TL</t>
  </si>
  <si>
    <t>Osman Güvercin</t>
  </si>
  <si>
    <t>Ayrılmaz İkili Bantı</t>
  </si>
  <si>
    <t>FD02025000000365</t>
  </si>
  <si>
    <t>RE02025000000388</t>
  </si>
  <si>
    <t>Ayrılmaz İkili Bant Wobbler 100lü</t>
  </si>
  <si>
    <t>FD02025000000366</t>
  </si>
  <si>
    <t>RE02025000000389</t>
  </si>
  <si>
    <t>FD02025000000369</t>
  </si>
  <si>
    <t>RE02025000000394</t>
  </si>
  <si>
    <t>RE02025000000407</t>
  </si>
  <si>
    <t>25.03.2025</t>
  </si>
  <si>
    <t>Erdi ünal</t>
  </si>
  <si>
    <t>FD02025000000370</t>
  </si>
  <si>
    <t>RE02025000000423</t>
  </si>
  <si>
    <t>FD02025000000382</t>
  </si>
  <si>
    <t>RE02025000000408</t>
  </si>
  <si>
    <t>FD02025000000372</t>
  </si>
  <si>
    <t>RE02025000000396</t>
  </si>
  <si>
    <t>FD02025000000377</t>
  </si>
  <si>
    <t>RE02025000000409</t>
  </si>
  <si>
    <t>Ömer Sezer</t>
  </si>
  <si>
    <t>Reyon Bariyeri 100x50cm</t>
  </si>
  <si>
    <t>FD02025000000520</t>
  </si>
  <si>
    <t>RE02025000000571</t>
  </si>
  <si>
    <t>Reyon Bariyeri 100x40cm</t>
  </si>
  <si>
    <t>mf</t>
  </si>
  <si>
    <t>FD02025000000481</t>
  </si>
  <si>
    <t>RE02025000000572</t>
  </si>
  <si>
    <t>RE02025000000573</t>
  </si>
  <si>
    <t>FD02025000000371</t>
  </si>
  <si>
    <t>RE02025000000395</t>
  </si>
  <si>
    <t>RE02025000000410</t>
  </si>
  <si>
    <t>RE02025000000411</t>
  </si>
  <si>
    <t>FD02025000000378</t>
  </si>
  <si>
    <t>RE02025000000426</t>
  </si>
  <si>
    <t>Zımba (Model Linkini  Gruba Gönderdim)</t>
  </si>
  <si>
    <t>FD02025000000390</t>
  </si>
  <si>
    <t>RE02025000000412</t>
  </si>
  <si>
    <t>Fatih Özkan</t>
  </si>
  <si>
    <t>FD02025000000576</t>
  </si>
  <si>
    <t>RE02025000000626</t>
  </si>
  <si>
    <t>26.03.2025</t>
  </si>
  <si>
    <t xml:space="preserve">Pleksi Kulakiçi Kulaklık Stantı Kilitli Menteşeli 125x25x40 </t>
  </si>
  <si>
    <t>FD02025000000577</t>
  </si>
  <si>
    <t>RE02025000000654</t>
  </si>
  <si>
    <t>?</t>
  </si>
  <si>
    <t>Havuz Scooter Stantı 2,5m</t>
  </si>
  <si>
    <t>RE02025000000427</t>
  </si>
  <si>
    <t xml:space="preserve">Lojistik  </t>
  </si>
  <si>
    <t>FD02025000000380</t>
  </si>
  <si>
    <t>RE02025000000413</t>
  </si>
  <si>
    <t>FD02025000000379</t>
  </si>
  <si>
    <t>RE02025000000414</t>
  </si>
  <si>
    <t>27.03.2025</t>
  </si>
  <si>
    <t>Reyon Bariyeri 125cmx40cm</t>
  </si>
  <si>
    <t>FD02025000000424</t>
  </si>
  <si>
    <t>RE02025000000441</t>
  </si>
  <si>
    <t>Reyon Bariyeri 100cmx40cm</t>
  </si>
  <si>
    <t>FD02025000000415</t>
  </si>
  <si>
    <t>RE02025000000442</t>
  </si>
  <si>
    <t>28.03.2025</t>
  </si>
  <si>
    <t>FD02025000000385</t>
  </si>
  <si>
    <t>RE02025000000443</t>
  </si>
  <si>
    <t>FD02025000000391</t>
  </si>
  <si>
    <t>RE02025000000415</t>
  </si>
  <si>
    <t>FD02025000000395</t>
  </si>
  <si>
    <t>RE02025000000418</t>
  </si>
  <si>
    <t>FD02025000000384</t>
  </si>
  <si>
    <t>RE02025000000421</t>
  </si>
  <si>
    <t>FD02025000000393</t>
  </si>
  <si>
    <t>RE02025000000416</t>
  </si>
  <si>
    <t>A4 Logolu Asetat (100 Adet)</t>
  </si>
  <si>
    <t>FD02025000000394</t>
  </si>
  <si>
    <t>RE02025000000417</t>
  </si>
  <si>
    <t>FD02025000000399</t>
  </si>
  <si>
    <t>RE02025000000444</t>
  </si>
  <si>
    <t>ŞEHİRDIŞI NAKLİYE BEDELLLERİNİ EKLEYELİM MİHRİBAN HANIM</t>
  </si>
  <si>
    <t>İZMİR VS VS</t>
  </si>
  <si>
    <t>Unit</t>
  </si>
  <si>
    <t>FD02025000000999</t>
  </si>
  <si>
    <t>RE02025000001159</t>
  </si>
  <si>
    <t>Plastik Kelepçe</t>
  </si>
  <si>
    <t>RE02025000001161</t>
  </si>
  <si>
    <t>T088</t>
  </si>
  <si>
    <t>Duygu Marmara</t>
  </si>
  <si>
    <t>FD02025000001000</t>
  </si>
  <si>
    <t>RE02025000001162</t>
  </si>
  <si>
    <t>01.09.2025</t>
  </si>
  <si>
    <t>Şeffaf Koli Bantı</t>
  </si>
  <si>
    <t>02.09.2025</t>
  </si>
  <si>
    <t>Çiçek (Kentpark-Antares-Panora-İzmir Optimum)</t>
  </si>
  <si>
    <t>RE02025000001163</t>
  </si>
  <si>
    <t>Maliyeti: 5450,00TL</t>
  </si>
  <si>
    <t>FD02025000001002</t>
  </si>
  <si>
    <t>RE02025000001164</t>
  </si>
  <si>
    <t>Kağıt Alarm Etiketi 5x5</t>
  </si>
  <si>
    <t>FD02025000001003</t>
  </si>
  <si>
    <t>RE02025000001169</t>
  </si>
  <si>
    <t>Logolu Koli Bantı - Şeffaf- Siyah</t>
  </si>
  <si>
    <t>FD02025000001018</t>
  </si>
  <si>
    <t>RE02025000001178</t>
  </si>
  <si>
    <t>RE02025000001198</t>
  </si>
  <si>
    <t>03.09.2025</t>
  </si>
  <si>
    <t>FD02025000001004</t>
  </si>
  <si>
    <t>RE02025000001171</t>
  </si>
  <si>
    <t>İsimlik Personel İsimliği (2Müşteri deneyimi Yöneticisi-10Satış Takım Lideri-20Satış Danışmanı-5Kasiyer-5Müşteri Hizmetleri Danışmanı)</t>
  </si>
  <si>
    <t>FD02025000001005</t>
  </si>
  <si>
    <t>RE02025000001170</t>
  </si>
  <si>
    <t>T026</t>
  </si>
  <si>
    <t>Piazza Avm</t>
  </si>
  <si>
    <t>Dilek Durmuş</t>
  </si>
  <si>
    <t>Saç Kurutma Makinesi Tutucu</t>
  </si>
  <si>
    <t>FD02025000001006</t>
  </si>
  <si>
    <t>RE02025000001179</t>
  </si>
  <si>
    <t>FD02025000001039</t>
  </si>
  <si>
    <t>RE02025000001199</t>
  </si>
  <si>
    <t>RE02025000001200</t>
  </si>
  <si>
    <t>FD02025000001007</t>
  </si>
  <si>
    <t>RE02025000001180</t>
  </si>
  <si>
    <t>T035</t>
  </si>
  <si>
    <t>Wieland Spiralli Kablo 4 Metre</t>
  </si>
  <si>
    <t>FD02025000001074</t>
  </si>
  <si>
    <t>RE02025000001241</t>
  </si>
  <si>
    <t>04.09.2025</t>
  </si>
  <si>
    <t>Protokol Bariyeri</t>
  </si>
  <si>
    <t>FD02025000001008</t>
  </si>
  <si>
    <t>RE02025000001165</t>
  </si>
  <si>
    <t>T085</t>
  </si>
  <si>
    <t>Kupa Logo ve İsim Baskılı</t>
  </si>
  <si>
    <t>FD02025000001048</t>
  </si>
  <si>
    <t>RE02025000001207</t>
  </si>
  <si>
    <t>T205</t>
  </si>
  <si>
    <t>RE02025000001172</t>
  </si>
  <si>
    <t>İsimlik Personel isimliği</t>
  </si>
  <si>
    <t>FD02025000001009</t>
  </si>
  <si>
    <t>RE02025000001166</t>
  </si>
  <si>
    <t>FD02025000001010</t>
  </si>
  <si>
    <t>RE02025000001167</t>
  </si>
  <si>
    <t>05.09.2025</t>
  </si>
  <si>
    <t>T210</t>
  </si>
  <si>
    <t>FD02025000001012</t>
  </si>
  <si>
    <t>RE02025000001173</t>
  </si>
  <si>
    <t>FD02025000001013</t>
  </si>
  <si>
    <t>RE02025000001174</t>
  </si>
  <si>
    <t>06.09.2025</t>
  </si>
  <si>
    <t>Yelken Bayrak Duba+Çubuk</t>
  </si>
  <si>
    <t>FD02025000001014</t>
  </si>
  <si>
    <t>RE02025000001181</t>
  </si>
  <si>
    <r>
      <rPr>
        <sz val="9"/>
        <color theme="1"/>
        <rFont val="Calibri"/>
        <family val="2"/>
      </rPr>
      <t xml:space="preserve">Pleksi UV Baskı Vidalı 95x30cm </t>
    </r>
    <r>
      <rPr>
        <sz val="9"/>
        <color rgb="FFFF0000"/>
        <rFont val="Calibri"/>
        <family val="2"/>
      </rPr>
      <t>(13 adet kesilecek 10 adet yollancak)</t>
    </r>
  </si>
  <si>
    <t>FD02025000001026</t>
  </si>
  <si>
    <t>RE02025000001201</t>
  </si>
  <si>
    <t>08.09.2025</t>
  </si>
  <si>
    <t>T216</t>
  </si>
  <si>
    <t>FD02025000001015</t>
  </si>
  <si>
    <t>RE02025000001175</t>
  </si>
  <si>
    <t>FD02025000001016</t>
  </si>
  <si>
    <t>RE02025000001176</t>
  </si>
  <si>
    <t>RE02025000001182</t>
  </si>
  <si>
    <t>FD02025000001019</t>
  </si>
  <si>
    <t>RE02025000001183</t>
  </si>
  <si>
    <t>09.09.2025</t>
  </si>
  <si>
    <t>Hediye Paketleme Bantı</t>
  </si>
  <si>
    <t>FD02025000001027</t>
  </si>
  <si>
    <t>RE02025000001189</t>
  </si>
  <si>
    <t>RE02025000001208</t>
  </si>
  <si>
    <t>RE02025000001184</t>
  </si>
  <si>
    <t>RE02025000001185</t>
  </si>
  <si>
    <t>T066</t>
  </si>
  <si>
    <t>RE02025000001186</t>
  </si>
  <si>
    <t>10.09.2025</t>
  </si>
  <si>
    <t>T091</t>
  </si>
  <si>
    <t>Tunahan Şirin</t>
  </si>
  <si>
    <t>FD02025000001029</t>
  </si>
  <si>
    <t>RE02025000001190</t>
  </si>
  <si>
    <t>T017</t>
  </si>
  <si>
    <t>Patago Tutucu PVC 1000'li</t>
  </si>
  <si>
    <t>FD02025000001030</t>
  </si>
  <si>
    <t>DOĞRU7on</t>
  </si>
  <si>
    <t>RE02025000001191</t>
  </si>
  <si>
    <t>T050</t>
  </si>
  <si>
    <t>RE02025000001209</t>
  </si>
  <si>
    <t>T055</t>
  </si>
  <si>
    <t>RE02025000001210</t>
  </si>
  <si>
    <t>FD02025000001031</t>
  </si>
  <si>
    <t>RE02025000001192</t>
  </si>
  <si>
    <t>T065</t>
  </si>
  <si>
    <t xml:space="preserve">Tekirdağ </t>
  </si>
  <si>
    <t>RE02025000001211</t>
  </si>
  <si>
    <t>FD02025000001032</t>
  </si>
  <si>
    <t>RE02025000001202</t>
  </si>
  <si>
    <t>FD02025000001050</t>
  </si>
  <si>
    <t>RE02025000001219</t>
  </si>
  <si>
    <t>FD02025000001051</t>
  </si>
  <si>
    <t>RE02025000001235</t>
  </si>
  <si>
    <t>RE02025000001212</t>
  </si>
  <si>
    <t>FD02025000001040</t>
  </si>
  <si>
    <t>RE02025000001203</t>
  </si>
  <si>
    <t>T074</t>
  </si>
  <si>
    <t>RE02025000001213</t>
  </si>
  <si>
    <t>FD02025000001041</t>
  </si>
  <si>
    <t>RE02025000001204</t>
  </si>
  <si>
    <t>12.09.2025</t>
  </si>
  <si>
    <t>FD02025000001086</t>
  </si>
  <si>
    <t>RE02025000001250</t>
  </si>
  <si>
    <t>RE02025000001251</t>
  </si>
  <si>
    <t>T025</t>
  </si>
  <si>
    <t>FD02025000001042</t>
  </si>
  <si>
    <t>RE02025000001205</t>
  </si>
  <si>
    <t>T007</t>
  </si>
  <si>
    <t>FD02025000001064</t>
  </si>
  <si>
    <t>RE02025000001231</t>
  </si>
  <si>
    <t>RE02025000001245</t>
  </si>
  <si>
    <t>15.09.2025</t>
  </si>
  <si>
    <t>Aleyna Gül</t>
  </si>
  <si>
    <t>FD02025000001043</t>
  </si>
  <si>
    <t>RE02025000001214</t>
  </si>
  <si>
    <t>FD02025000001044</t>
  </si>
  <si>
    <t>RE02025000001220</t>
  </si>
  <si>
    <t>RE02025000001215</t>
  </si>
  <si>
    <t>İsimlik Personel İsimliği  ( 10 Satış Danışmanı)</t>
  </si>
  <si>
    <t>FD02025000001045</t>
  </si>
  <si>
    <t>RE02025000001216</t>
  </si>
  <si>
    <t>RE02025000001217</t>
  </si>
  <si>
    <t xml:space="preserve">Pleksi UV Baskı Vidalı 95x30cm </t>
  </si>
  <si>
    <t>FD02025000001068</t>
  </si>
  <si>
    <t>RE02025000001242</t>
  </si>
  <si>
    <t>RE02025000001221</t>
  </si>
  <si>
    <t>İsimlik Personel İsimliği (60 Satış Danışmanı-10Kasiyer-10Müşteri Hizmetleri)</t>
  </si>
  <si>
    <t>FD02025000001052</t>
  </si>
  <si>
    <t>RE02025000001222</t>
  </si>
  <si>
    <t>Çift Taraflı Bant Küçük Boy (Kırmızı)</t>
  </si>
  <si>
    <t>Promotor Yaka Kartı Bu Benim Kartı 100'lü</t>
  </si>
  <si>
    <t xml:space="preserve">Plastik Kartlık- Bu Benim kartı İçine Koymak İçin </t>
  </si>
  <si>
    <t>FD02025000001100</t>
  </si>
  <si>
    <t>RE02025000001265</t>
  </si>
  <si>
    <t>İsim Kaşesi (Eyyüp Dağ-Mehmet Şükrü Koç- İsmail Kızıltaş)</t>
  </si>
  <si>
    <t>İsim baskılı defter + kalem</t>
  </si>
  <si>
    <t>FD02025000001143</t>
  </si>
  <si>
    <t>RE02025000001339</t>
  </si>
  <si>
    <t>FD02025000001070</t>
  </si>
  <si>
    <t>RE02025000001236</t>
  </si>
  <si>
    <t>FD02025000001053</t>
  </si>
  <si>
    <t>RE02025000001223</t>
  </si>
  <si>
    <t>İsimlik Personel İsimliği (20 Satış DAnışmanı)</t>
  </si>
  <si>
    <t>FD02025000001054</t>
  </si>
  <si>
    <t>RE02025000001224</t>
  </si>
  <si>
    <t>FD02025000001055</t>
  </si>
  <si>
    <t>RE02025000001225</t>
  </si>
  <si>
    <t>Kaşe İsim Kaşesi (Gönül Özdere)</t>
  </si>
  <si>
    <t>FD02025000001056</t>
  </si>
  <si>
    <t>RE02025000001226</t>
  </si>
  <si>
    <t>Yazar Kaza Rulosu 80x30</t>
  </si>
  <si>
    <t>FD02025000001057</t>
  </si>
  <si>
    <t>RE02025000001227</t>
  </si>
  <si>
    <r>
      <rPr>
        <sz val="9"/>
        <color theme="1"/>
        <rFont val="Calibri"/>
        <family val="2"/>
      </rPr>
      <t xml:space="preserve">Dijital Etiket Ayağı </t>
    </r>
    <r>
      <rPr>
        <sz val="9"/>
        <color rgb="FFFF0000"/>
        <rFont val="Calibri"/>
        <family val="2"/>
      </rPr>
      <t>(350 adet sevk olacak)</t>
    </r>
  </si>
  <si>
    <t>FD02025000001058</t>
  </si>
  <si>
    <t>RE02025000001228</t>
  </si>
  <si>
    <t>17.09.2025</t>
  </si>
  <si>
    <r>
      <rPr>
        <sz val="9"/>
        <color rgb="FF000000"/>
        <rFont val="Calibri"/>
        <family val="2"/>
      </rPr>
      <t xml:space="preserve">Viza Pos Rulosu 56x16 </t>
    </r>
    <r>
      <rPr>
        <sz val="9"/>
        <color rgb="FFFF0000"/>
        <rFont val="Calibri"/>
        <family val="2"/>
      </rPr>
      <t>(6 adet daha gönderilecek)</t>
    </r>
  </si>
  <si>
    <t>FD02025000001059</t>
  </si>
  <si>
    <t>RE02025000001237</t>
  </si>
  <si>
    <t>T086</t>
  </si>
  <si>
    <t>Wieland 3'lü grup Piz</t>
  </si>
  <si>
    <t>FD02025000001060</t>
  </si>
  <si>
    <t>RE02025000001243</t>
  </si>
  <si>
    <t>Wieland Spiralli Kablo 5 Metre</t>
  </si>
  <si>
    <t>18.09.2025</t>
  </si>
  <si>
    <t>FD02025000001062</t>
  </si>
  <si>
    <t>RE02025000001232</t>
  </si>
  <si>
    <t>19.09.2025</t>
  </si>
  <si>
    <t>Engin Bektaş</t>
  </si>
  <si>
    <t>FD02025000001066</t>
  </si>
  <si>
    <t>RE02025000001238</t>
  </si>
  <si>
    <t>Klavye Koruyucu 2 Delikli (Detayları İlettim)</t>
  </si>
  <si>
    <t>RE02025000001270</t>
  </si>
  <si>
    <t>RE02025000001271</t>
  </si>
  <si>
    <t>53 cm x 120 cm  Kauçuk Paspas</t>
  </si>
  <si>
    <t>FD020250000011101</t>
  </si>
  <si>
    <t>RE02025000001234</t>
  </si>
  <si>
    <t>FD02025000001067</t>
  </si>
  <si>
    <t>RE02025000001233</t>
  </si>
  <si>
    <t>20.09.2025</t>
  </si>
  <si>
    <t>KG Etiketi Sticker</t>
  </si>
  <si>
    <t>FD02025000001085</t>
  </si>
  <si>
    <t>RE02025000001252</t>
  </si>
  <si>
    <t>FD02025000001069</t>
  </si>
  <si>
    <t>RE02025000001239</t>
  </si>
  <si>
    <t>22.09.2025</t>
  </si>
  <si>
    <t>FD02025000001071</t>
  </si>
  <si>
    <t>RE02025000001244</t>
  </si>
  <si>
    <t>Gönül Özdere</t>
  </si>
  <si>
    <t>İsimlik Personel İsimliği (5Satış Takım Lideri-5Kasiyer-20Satış DAnışmanı)</t>
  </si>
  <si>
    <t>FD02025000001072</t>
  </si>
  <si>
    <t>RE02025000001246</t>
  </si>
  <si>
    <t>İsimlik için Mıknatıs</t>
  </si>
  <si>
    <t>Strech Film SİYAH</t>
  </si>
  <si>
    <t>FD02025000001073</t>
  </si>
  <si>
    <t>RE02025000001247</t>
  </si>
  <si>
    <t>T206</t>
  </si>
  <si>
    <t>RE02025000001248</t>
  </si>
  <si>
    <t>T002</t>
  </si>
  <si>
    <t>Kulakiçi Kulaklık Standı+Ahşabı Menteşeli Kilitli 100cm</t>
  </si>
  <si>
    <t>RE02025000001351</t>
  </si>
  <si>
    <t xml:space="preserve">Kulakiçi Kulaklık Standı Kilidi </t>
  </si>
  <si>
    <t>RE02025000001253</t>
  </si>
  <si>
    <t>23.09.2025</t>
  </si>
  <si>
    <t>Aksesuar Sepeti Takımı</t>
  </si>
  <si>
    <t>FD02025000001144</t>
  </si>
  <si>
    <t>RE02025000001306</t>
  </si>
  <si>
    <t>Karton Bardak</t>
  </si>
  <si>
    <t>FD02025000001078</t>
  </si>
  <si>
    <t>RE02025000001254</t>
  </si>
  <si>
    <t>24.09.2025</t>
  </si>
  <si>
    <t>T087</t>
  </si>
  <si>
    <t>RE02025000001272</t>
  </si>
  <si>
    <t>25.09.2025</t>
  </si>
  <si>
    <t>FD02025000001079</t>
  </si>
  <si>
    <t>RE02025000001255</t>
  </si>
  <si>
    <t>T2018</t>
  </si>
  <si>
    <t>FD02025000001080</t>
  </si>
  <si>
    <t>RE02025000001256</t>
  </si>
  <si>
    <t>T200</t>
  </si>
  <si>
    <t>FD02025000001081</t>
  </si>
  <si>
    <t>RE02025000001257</t>
  </si>
  <si>
    <t>T034</t>
  </si>
  <si>
    <t>FD02025000001082</t>
  </si>
  <si>
    <t>RE02025000001258</t>
  </si>
  <si>
    <t>Kaşe İsim Kaşesi (Demet Çetin)</t>
  </si>
  <si>
    <t>FD02025000001083</t>
  </si>
  <si>
    <t>RE02025000001259</t>
  </si>
  <si>
    <t>26.09.2025</t>
  </si>
  <si>
    <t>FD02025000001084</t>
  </si>
  <si>
    <t>RE02025000001261</t>
  </si>
  <si>
    <t>FD02025000001094</t>
  </si>
  <si>
    <t>RE02025000001262</t>
  </si>
  <si>
    <t>Kadem Karadoğan</t>
  </si>
  <si>
    <t xml:space="preserve">Light Box Baskı ve Değişim </t>
  </si>
  <si>
    <t>FD02025000001112</t>
  </si>
  <si>
    <t>RE02025000001273</t>
  </si>
  <si>
    <t>Branda Baskı ve Değişim</t>
  </si>
  <si>
    <t>27.09.2025</t>
  </si>
  <si>
    <t>Asaf Eren</t>
  </si>
  <si>
    <t>Wieland Dağıtıcı Soket</t>
  </si>
  <si>
    <t>FD02025000001106</t>
  </si>
  <si>
    <t>RE02025000001283</t>
  </si>
  <si>
    <t>Gamze Aydın</t>
  </si>
  <si>
    <t xml:space="preserve">Sünger Bant </t>
  </si>
  <si>
    <t>50 adet gidecek</t>
  </si>
  <si>
    <t>RE02025000001284</t>
  </si>
  <si>
    <t>Burhan Demir</t>
  </si>
  <si>
    <t>100cm x 150cm Laminasyonlu Yer Folyosu</t>
  </si>
  <si>
    <t>RE02025000001372</t>
  </si>
  <si>
    <t>110cm x 180cm Laminasyonlu Yer Folyosu</t>
  </si>
  <si>
    <t>150cm x 200cm Laminasyonlu Yer Folyosu</t>
  </si>
  <si>
    <t>Günlük İade Defteri</t>
  </si>
  <si>
    <t>FD02025000001145</t>
  </si>
  <si>
    <t>RE02025000001307</t>
  </si>
  <si>
    <t>T217</t>
  </si>
  <si>
    <t xml:space="preserve"> Wieland Spiralli Kablo 4mt</t>
  </si>
  <si>
    <t>FD02025000001090</t>
  </si>
  <si>
    <t>RE02025000001263</t>
  </si>
  <si>
    <t>Wieland Düz Kablo 4mt</t>
  </si>
  <si>
    <t>T022</t>
  </si>
  <si>
    <t>Şevket Koçak</t>
  </si>
  <si>
    <t>RE02025000001275</t>
  </si>
  <si>
    <t>29.09.2025</t>
  </si>
  <si>
    <t>İsimlik PERSONEL iSİMLİĞİ (Detayları Ali Beye İlettim)</t>
  </si>
  <si>
    <t>FD02025000001091</t>
  </si>
  <si>
    <t>RE02025000001260</t>
  </si>
  <si>
    <t>30.09.2025</t>
  </si>
  <si>
    <t>RE02025000001286</t>
  </si>
  <si>
    <t>Klasör</t>
  </si>
  <si>
    <t>FD02025000001093</t>
  </si>
  <si>
    <t>RE02025000001285</t>
  </si>
  <si>
    <t>logolu koli bandı</t>
  </si>
  <si>
    <t>Mürekkep</t>
  </si>
  <si>
    <t xml:space="preserve">Bedelsiz </t>
  </si>
  <si>
    <t>RE02025000001240</t>
  </si>
  <si>
    <t>FD02025000001087</t>
  </si>
  <si>
    <t>RE02025000001323</t>
  </si>
  <si>
    <t>04.04.2025</t>
  </si>
  <si>
    <t>Saç Şekillendirme Makinası Tutucu</t>
  </si>
  <si>
    <t>FD02025000000482</t>
  </si>
  <si>
    <t>RE02025000000528</t>
  </si>
  <si>
    <t>Saç Kurutma Makinası Tutucu</t>
  </si>
  <si>
    <t>9 Adet daha gönderilecek</t>
  </si>
  <si>
    <t>FD02025000000397</t>
  </si>
  <si>
    <t>RE02025000000429</t>
  </si>
  <si>
    <t>FD02025000000398</t>
  </si>
  <si>
    <t>RE02025000000430</t>
  </si>
  <si>
    <t>FD02025000000416</t>
  </si>
  <si>
    <t>RE02025000000445</t>
  </si>
  <si>
    <t xml:space="preserve"> A</t>
  </si>
  <si>
    <t>FD02025000000400</t>
  </si>
  <si>
    <t>RE02025000000431</t>
  </si>
  <si>
    <t>Zafer Babaoğlu</t>
  </si>
  <si>
    <t>Klima Stantı 120cm</t>
  </si>
  <si>
    <t>FD02025000000522</t>
  </si>
  <si>
    <t>RE02025000000546</t>
  </si>
  <si>
    <t>RE02025000000547</t>
  </si>
  <si>
    <t>Muzaafer Türker</t>
  </si>
  <si>
    <t>FD02025000000401</t>
  </si>
  <si>
    <t>RE02025000000437</t>
  </si>
  <si>
    <t>Saf Su 30 LT</t>
  </si>
  <si>
    <t>Balon 100 Kırmızı 100 Beyaz</t>
  </si>
  <si>
    <t>RE02025000000446</t>
  </si>
  <si>
    <t>05.04.2025</t>
  </si>
  <si>
    <t>Buket Çınar</t>
  </si>
  <si>
    <t xml:space="preserve">Kaşe - Yusuf Ünal </t>
  </si>
  <si>
    <t>RE02025000000450</t>
  </si>
  <si>
    <t>Kartvizit (Burhan Demir)</t>
  </si>
  <si>
    <t>RE02025000000470</t>
  </si>
  <si>
    <t xml:space="preserve">Streçh Film </t>
  </si>
  <si>
    <t>RE02025000000529</t>
  </si>
  <si>
    <t>07.04.2025</t>
  </si>
  <si>
    <t>FD02025000000402</t>
  </si>
  <si>
    <t>RE02025000000432</t>
  </si>
  <si>
    <t>RM02025000000004</t>
  </si>
  <si>
    <t>FD02025000000438</t>
  </si>
  <si>
    <t>RM02025000000005</t>
  </si>
  <si>
    <t xml:space="preserve">Kırmızı Kurdele 20mx4cm </t>
  </si>
  <si>
    <t>FD02025000000407</t>
  </si>
  <si>
    <t>RM02025000000003</t>
  </si>
  <si>
    <t>Kâğıt Alarm Etiketi</t>
  </si>
  <si>
    <t>RE02025000000447</t>
  </si>
  <si>
    <t>RE02025000000448</t>
  </si>
  <si>
    <t>RE02025000000451</t>
  </si>
  <si>
    <t>Kırmızı Kurdele</t>
  </si>
  <si>
    <t>FD02025000000410</t>
  </si>
  <si>
    <t>RE02025000000433</t>
  </si>
  <si>
    <t>Balon Kapı (Evlilik Kampanyası)</t>
  </si>
  <si>
    <t>RE02025000000474</t>
  </si>
  <si>
    <t>Balon Çiçek (Evlilik Kampanyası)</t>
  </si>
  <si>
    <t>BAlon Kapı (Evlilik Kampanyası)</t>
  </si>
  <si>
    <t>RE02025000000475</t>
  </si>
  <si>
    <t>Balon Çiçek (15 Nisan Salı Akşamı)(Evlilik Kampanyası)</t>
  </si>
  <si>
    <t>BAlon Kapı (16 Nisan Çarşamba Sabahı)(Evlilik Kampanyası)</t>
  </si>
  <si>
    <t>RE02025000000476</t>
  </si>
  <si>
    <t>Balon Çiçek 16 Nisan Çarşamba Sabahı)(Evlilik Kampanyası)</t>
  </si>
  <si>
    <t>Balon Kapı(Evlilik Kampanyası)</t>
  </si>
  <si>
    <t>RE02025000000477</t>
  </si>
  <si>
    <t>RE02025000000478</t>
  </si>
  <si>
    <t>Balon Kapı (MD Bölümüne Küçük)(Evlilik Kampanyası)</t>
  </si>
  <si>
    <t>RE02025000000479</t>
  </si>
  <si>
    <t>Balon Çiçek(Evlilik Kampanyası)</t>
  </si>
  <si>
    <t>RE02025000000480</t>
  </si>
  <si>
    <t>Mustafa özer</t>
  </si>
  <si>
    <t>Balon Totem(Evlilik Kampanyası)</t>
  </si>
  <si>
    <t>RE02025000000481</t>
  </si>
  <si>
    <t>RE02025000000469</t>
  </si>
  <si>
    <t>Kırmızı Kurdele+ Çiçek-Vazo (Fatura Görsel Baskı Olarak Kesilicek)</t>
  </si>
  <si>
    <t>RE02025000000530</t>
  </si>
  <si>
    <t>FD02025000000412</t>
  </si>
  <si>
    <t>RE02025000000434</t>
  </si>
  <si>
    <t>İsimlik (Detayları WP Ali Beye İlettim)</t>
  </si>
  <si>
    <t>RE02025000000482</t>
  </si>
  <si>
    <t>FD02025000000409</t>
  </si>
  <si>
    <t>RE02025000000435</t>
  </si>
  <si>
    <t>08.04.2025</t>
  </si>
  <si>
    <t>2 DEMLİKLİ JUMBO PREMIUM ÇAY MAKİNASI 23 LT</t>
  </si>
  <si>
    <t>RE02025000000436</t>
  </si>
  <si>
    <t>FD02025000000417</t>
  </si>
  <si>
    <t>RE02025000000452</t>
  </si>
  <si>
    <t>Zümrüt Akkanat</t>
  </si>
  <si>
    <t>FD02025000000435</t>
  </si>
  <si>
    <t>RE02025000000468</t>
  </si>
  <si>
    <t>FD02025000000483</t>
  </si>
  <si>
    <t>RE02025000000531</t>
  </si>
  <si>
    <t>FD02025000000418</t>
  </si>
  <si>
    <t>RE02025000000449</t>
  </si>
  <si>
    <t>FD02025000000419</t>
  </si>
  <si>
    <t>RE02025000000453</t>
  </si>
  <si>
    <t>Buna da İhtiyacın Olabilir Bant</t>
  </si>
  <si>
    <t>FD02025000000457</t>
  </si>
  <si>
    <t>RE02025000000502</t>
  </si>
  <si>
    <t>Buna da İhtiyacın Olabilir Wobbler 100'lü</t>
  </si>
  <si>
    <t>09.04.2025</t>
  </si>
  <si>
    <t>FD02025000000420</t>
  </si>
  <si>
    <t>RE02025000000454</t>
  </si>
  <si>
    <t>RE02025000000483</t>
  </si>
  <si>
    <t>FD02025000000413</t>
  </si>
  <si>
    <t>RE02025000000455</t>
  </si>
  <si>
    <t>FD02025000000414</t>
  </si>
  <si>
    <t>RE02025000000456</t>
  </si>
  <si>
    <t>RE02025000000533</t>
  </si>
  <si>
    <t>FD02025000000484</t>
  </si>
  <si>
    <t>RE02025000000532</t>
  </si>
  <si>
    <t>Patago Tutucu Pvc (1000'li)</t>
  </si>
  <si>
    <t>FD02025000000422</t>
  </si>
  <si>
    <t>RE02025000000457</t>
  </si>
  <si>
    <t>FD02025000000423</t>
  </si>
  <si>
    <t>RE02025000000458</t>
  </si>
  <si>
    <t>Buna da ihtiyacın Olabilir Bant</t>
  </si>
  <si>
    <t>FD02025000000458</t>
  </si>
  <si>
    <t>RE02025000000503</t>
  </si>
  <si>
    <t>Bunada İhtiyacın Olabilir Wobbler 100'lü</t>
  </si>
  <si>
    <t>Süngerli Bant 60cm</t>
  </si>
  <si>
    <t>FD02025000000425</t>
  </si>
  <si>
    <t>RE02025000000459</t>
  </si>
  <si>
    <t>FD02025000000426</t>
  </si>
  <si>
    <t>RE02025000000460</t>
  </si>
  <si>
    <t>10.04.2025</t>
  </si>
  <si>
    <t>FD02025000000427</t>
  </si>
  <si>
    <t>RE02025000000461</t>
  </si>
  <si>
    <t>FD02025000000430</t>
  </si>
  <si>
    <t>RE02025000000462</t>
  </si>
  <si>
    <t>10.04.2024</t>
  </si>
  <si>
    <t>İsimlik - Satış Danışmaını-</t>
  </si>
  <si>
    <t>FD02025000000429</t>
  </si>
  <si>
    <t>RE02025000000463</t>
  </si>
  <si>
    <t>FD02025000000428</t>
  </si>
  <si>
    <t>RE02025000000464</t>
  </si>
  <si>
    <t>FD02025000000494</t>
  </si>
  <si>
    <t>RE12025000000001</t>
  </si>
  <si>
    <t>RE02025000000548</t>
  </si>
  <si>
    <t>11.04.2025</t>
  </si>
  <si>
    <t>Ebro Böke</t>
  </si>
  <si>
    <t>RE02025000000549</t>
  </si>
  <si>
    <t>RE02025000000551</t>
  </si>
  <si>
    <t>Aslı Samer</t>
  </si>
  <si>
    <t>RE02025000000552</t>
  </si>
  <si>
    <t>RE02025000000575</t>
  </si>
  <si>
    <t>Süngerli Bant 60cm (ÇOK ÖNEMLİ: Yusuf Önal Dikkatine Gönderilicek)</t>
  </si>
  <si>
    <t>RE02025000000553</t>
  </si>
  <si>
    <t>RE02025000000554</t>
  </si>
  <si>
    <t>FD02025000000552</t>
  </si>
  <si>
    <t>RE02025000000602</t>
  </si>
  <si>
    <t>RE02025000000603</t>
  </si>
  <si>
    <t>Süngerli Bant 60 cm</t>
  </si>
  <si>
    <t>RE02025000000555</t>
  </si>
  <si>
    <t>RE02025000000576</t>
  </si>
  <si>
    <t>Pleksi Stand Tadımdaki Kahvemiz</t>
  </si>
  <si>
    <t>FD02025000000617</t>
  </si>
  <si>
    <t>RE02025000000699</t>
  </si>
  <si>
    <t>RE02025000000709</t>
  </si>
  <si>
    <t>Mall Off</t>
  </si>
  <si>
    <t>RE02025000000606</t>
  </si>
  <si>
    <t>RE02025000000556</t>
  </si>
  <si>
    <t>Görsel Baskı (Altın KArşılığında)</t>
  </si>
  <si>
    <t>RE02025000000668</t>
  </si>
  <si>
    <t>RE02025000000484</t>
  </si>
  <si>
    <t>RE02025000000471</t>
  </si>
  <si>
    <t>RE02025000000557</t>
  </si>
  <si>
    <t>12.04.2025</t>
  </si>
  <si>
    <t>FD02025000000553</t>
  </si>
  <si>
    <t>RE02025000000593</t>
  </si>
  <si>
    <t>13.04.2025</t>
  </si>
  <si>
    <t>FD02025000000461</t>
  </si>
  <si>
    <t>RE02025000000504</t>
  </si>
  <si>
    <t>İsimlik - Müşteri Deneyimi Yöneticisi Burhan D.</t>
  </si>
  <si>
    <t>FD02025000000463</t>
  </si>
  <si>
    <t>RE02025000000520</t>
  </si>
  <si>
    <t>Ahşap Stant - Gözlü-</t>
  </si>
  <si>
    <t>RE02025000000521</t>
  </si>
  <si>
    <t>14.04.2025</t>
  </si>
  <si>
    <t>Ali Erdoğan</t>
  </si>
  <si>
    <t>Sepet Kenarlığı (114 Adet)</t>
  </si>
  <si>
    <t>FD02025000000477</t>
  </si>
  <si>
    <t>RE02025000000522</t>
  </si>
  <si>
    <t>Palet Kenarlığı (10Adet)</t>
  </si>
  <si>
    <t>GÖNDERİDİ</t>
  </si>
  <si>
    <t>FD02025000000437</t>
  </si>
  <si>
    <t>RE02025000000472</t>
  </si>
  <si>
    <t>FD02025000000436</t>
  </si>
  <si>
    <t>RE02025000000473</t>
  </si>
  <si>
    <t>RE02025000000505</t>
  </si>
  <si>
    <t>RE02025000000558</t>
  </si>
  <si>
    <t>Kartvizit (Ali Erdoğan)</t>
  </si>
  <si>
    <t>FD02025000000462</t>
  </si>
  <si>
    <t>RE02025000000506</t>
  </si>
  <si>
    <t>İzmir PArk</t>
  </si>
  <si>
    <t>PAtago Tutucusu PVC</t>
  </si>
  <si>
    <t>FD02025000000444</t>
  </si>
  <si>
    <t>RE02025000000494</t>
  </si>
  <si>
    <t>RE02025000000507</t>
  </si>
  <si>
    <t>BAlon</t>
  </si>
  <si>
    <t>FD02025000000445</t>
  </si>
  <si>
    <t>RE02025000000495</t>
  </si>
  <si>
    <t>RE02025000000508</t>
  </si>
  <si>
    <t>Güngör Tanrıverdi</t>
  </si>
  <si>
    <t>Sünger BAnt 60cm</t>
  </si>
  <si>
    <t>RE02025000000577</t>
  </si>
  <si>
    <t>RE02025000000523</t>
  </si>
  <si>
    <t>RE02025000000559</t>
  </si>
  <si>
    <t>FD02025000000446</t>
  </si>
  <si>
    <t>RE02025000000496</t>
  </si>
  <si>
    <t>Promotör Yaka KArtı</t>
  </si>
  <si>
    <t>FD02025000000447</t>
  </si>
  <si>
    <t>RE02025000000497</t>
  </si>
  <si>
    <t>FD02025000000523</t>
  </si>
  <si>
    <t>RE02025000000578</t>
  </si>
  <si>
    <t>Personel Yaka ipi</t>
  </si>
  <si>
    <t>FD02025000000448</t>
  </si>
  <si>
    <t>RE02025000000534</t>
  </si>
  <si>
    <t>Kaşe Yuvarlak İsim KAşesi- İlayda YILDIRIM-Feyyaz BUĞAN</t>
  </si>
  <si>
    <t>RE02025000000509</t>
  </si>
  <si>
    <t>RE02025000000560</t>
  </si>
  <si>
    <t>7 adet daha gidecek</t>
  </si>
  <si>
    <t>FD02025000000464</t>
  </si>
  <si>
    <t>RE02025000000607</t>
  </si>
  <si>
    <t>FD02025000000485</t>
  </si>
  <si>
    <t>RE02025000000535</t>
  </si>
  <si>
    <t>Logolu Asetat A4 100'lü</t>
  </si>
  <si>
    <t>RE02025000000510</t>
  </si>
  <si>
    <t>15.04.2025</t>
  </si>
  <si>
    <t>Murat Özgündüz</t>
  </si>
  <si>
    <t>FD02025000000450</t>
  </si>
  <si>
    <t>RE02025000000511</t>
  </si>
  <si>
    <t>Palet Kenarlığı (6 Adet)</t>
  </si>
  <si>
    <t>FD02025000000475</t>
  </si>
  <si>
    <t>RE02025000000536</t>
  </si>
  <si>
    <t>Demet Çein</t>
  </si>
  <si>
    <t>Ali E. Gönderilicek</t>
  </si>
  <si>
    <t>FD02025000000465</t>
  </si>
  <si>
    <t>RE02025000000594</t>
  </si>
  <si>
    <t>Sünger Bant 60cm</t>
  </si>
  <si>
    <t>FD02025000000554</t>
  </si>
  <si>
    <t>RE02025000000608</t>
  </si>
  <si>
    <t>FD02025000000451</t>
  </si>
  <si>
    <t>RE02025000000512</t>
  </si>
  <si>
    <t>FD02025000000452</t>
  </si>
  <si>
    <t>RE02025000000513</t>
  </si>
  <si>
    <t>RE02025000000524</t>
  </si>
  <si>
    <t>FD02025000000454</t>
  </si>
  <si>
    <t>RE02025000000493</t>
  </si>
  <si>
    <t>RE02025000000579</t>
  </si>
  <si>
    <t>&lt;&lt;&lt;&lt;&lt;&lt;&lt;&lt;</t>
  </si>
  <si>
    <t>RE02025000000525</t>
  </si>
  <si>
    <t>16.04.2025</t>
  </si>
  <si>
    <t>Kartvizit (Yeter Han)</t>
  </si>
  <si>
    <t>RE02025000000655</t>
  </si>
  <si>
    <t>FD02025000000460</t>
  </si>
  <si>
    <t>RE02025000000491</t>
  </si>
  <si>
    <t>FD02025000000526</t>
  </si>
  <si>
    <t>RE02025000000561</t>
  </si>
  <si>
    <t>TV Güvenlik teli</t>
  </si>
  <si>
    <t>FD02025000000459</t>
  </si>
  <si>
    <t>RE02025000000492</t>
  </si>
  <si>
    <t xml:space="preserve">Samsun </t>
  </si>
  <si>
    <t>FD02025000000586</t>
  </si>
  <si>
    <t>RE02025000000656</t>
  </si>
  <si>
    <t>RE02025000000669</t>
  </si>
  <si>
    <t>RE02025000000657</t>
  </si>
  <si>
    <t>Dezenfeksiyon Alkol 5 LT</t>
  </si>
  <si>
    <t>FD02025000000568</t>
  </si>
  <si>
    <t>RE02025000000658</t>
  </si>
  <si>
    <t>18.04.2025</t>
  </si>
  <si>
    <t>FD02025000000555</t>
  </si>
  <si>
    <t>RE02025000000595</t>
  </si>
  <si>
    <t>GAziemir</t>
  </si>
  <si>
    <t>Murat KAra</t>
  </si>
  <si>
    <t>FD02025000000535</t>
  </si>
  <si>
    <t>RE02025000000580</t>
  </si>
  <si>
    <t>İkbal HAnım</t>
  </si>
  <si>
    <t>RE02025000000539</t>
  </si>
  <si>
    <t>FD02025000000466</t>
  </si>
  <si>
    <t>RE02025000000514</t>
  </si>
  <si>
    <t>RE02025000000562</t>
  </si>
  <si>
    <t>FD02025000000467</t>
  </si>
  <si>
    <t>RE02025000000515</t>
  </si>
  <si>
    <t>RE02025000000540</t>
  </si>
  <si>
    <t>Wieland 3'lü Grup Priz (Fiyatı Kontrol Edilicek Fatura Kesilmeden)</t>
  </si>
  <si>
    <t>FD02025000000486</t>
  </si>
  <si>
    <t>RE02025000000537</t>
  </si>
  <si>
    <t>Wieland 2 Metre Düz Kablo (Fiyatı Kontrol Edilicek Fatura Kesilmeden)</t>
  </si>
  <si>
    <t>FD02025000000468</t>
  </si>
  <si>
    <t>RE02025000000516</t>
  </si>
  <si>
    <t>RE02025000000541</t>
  </si>
  <si>
    <t>FD02025000000469</t>
  </si>
  <si>
    <t>RE02025000000518</t>
  </si>
  <si>
    <t>21.04.2025</t>
  </si>
  <si>
    <t>RE02025000000563</t>
  </si>
  <si>
    <t>FD02025000000478</t>
  </si>
  <si>
    <t>RE02025000000526</t>
  </si>
  <si>
    <t>Bayrampaşa</t>
  </si>
  <si>
    <t xml:space="preserve">Klavye Korucu </t>
  </si>
  <si>
    <t>RE02025000000670</t>
  </si>
  <si>
    <t>RE02025000000671</t>
  </si>
  <si>
    <t>RE02025000000700</t>
  </si>
  <si>
    <t>Kağıt Alarm Etiketi 4x4 ( Stoktaki ürünleri Gönderelim)</t>
  </si>
  <si>
    <t>RE02025000000564</t>
  </si>
  <si>
    <t>FD02025000000607</t>
  </si>
  <si>
    <t>RE02025000000690</t>
  </si>
  <si>
    <t>Görsel Baskı 50x70-70x100</t>
  </si>
  <si>
    <t>RE02025000000542</t>
  </si>
  <si>
    <t>Bu Benim Kartı Kırmızı (200 Adet)</t>
  </si>
  <si>
    <t>FD02025000000487</t>
  </si>
  <si>
    <t>RE02025000000538</t>
  </si>
  <si>
    <t>Mecidiyeköyt(trump)</t>
  </si>
  <si>
    <t>RE02025000000628</t>
  </si>
  <si>
    <t>24.04.2025</t>
  </si>
  <si>
    <t>Balıkesir-HArici</t>
  </si>
  <si>
    <t>Halil Yalça</t>
  </si>
  <si>
    <t>Fatura Kesilmeyecek</t>
  </si>
  <si>
    <t>Bayrak (150cm x 500cm)</t>
  </si>
  <si>
    <t>RE02025000000665</t>
  </si>
  <si>
    <t>25.04.2025</t>
  </si>
  <si>
    <t>FD02025000000548</t>
  </si>
  <si>
    <t>RE02025000000609</t>
  </si>
  <si>
    <t>Yakup ÇAmalan</t>
  </si>
  <si>
    <t>RE02025000000543</t>
  </si>
  <si>
    <t>26.04.2025</t>
  </si>
  <si>
    <t>FD02025000000536</t>
  </si>
  <si>
    <t>RE02025000000581</t>
  </si>
  <si>
    <t>Görsel BAskı- Yürüyüş Yolu-</t>
  </si>
  <si>
    <t>RE02025000000544</t>
  </si>
  <si>
    <t>28.04.2025</t>
  </si>
  <si>
    <t>RE02025000000582</t>
  </si>
  <si>
    <t>FD02025000000524</t>
  </si>
  <si>
    <t>RE02025000000565</t>
  </si>
  <si>
    <t>RE02025000000545</t>
  </si>
  <si>
    <t>Logol Karton Bardak</t>
  </si>
  <si>
    <t>RE02025000000566</t>
  </si>
  <si>
    <t>28.04.2024</t>
  </si>
  <si>
    <t>Metal Tabure</t>
  </si>
  <si>
    <t>RE02025000000672</t>
  </si>
  <si>
    <t>Tugut Özal</t>
  </si>
  <si>
    <t>RE02025000000583</t>
  </si>
  <si>
    <t>Pleksi A4 L tipi Föylük</t>
  </si>
  <si>
    <t>10 adet daha gidecek</t>
  </si>
  <si>
    <t>FD02025000000589</t>
  </si>
  <si>
    <t>RE02025000000673</t>
  </si>
  <si>
    <t>RE02025000000674</t>
  </si>
  <si>
    <t>Hilltown Karşıyaka</t>
  </si>
  <si>
    <t>Promotör isimliği Pleksi -Mıknatıslı</t>
  </si>
  <si>
    <t>FD02025000000549</t>
  </si>
  <si>
    <t>RE02025000000610</t>
  </si>
  <si>
    <t>İsimlik-Satış Takım Lideri</t>
  </si>
  <si>
    <t>29.04.2025</t>
  </si>
  <si>
    <t>FD02025000000533</t>
  </si>
  <si>
    <t>RE02025000000584</t>
  </si>
  <si>
    <t>FD02025000000556</t>
  </si>
  <si>
    <t>RE02025000000611</t>
  </si>
  <si>
    <t>Ümraniye</t>
  </si>
  <si>
    <t>Faruk uzun</t>
  </si>
  <si>
    <t>FD02025000000557</t>
  </si>
  <si>
    <t>RE02025000000629</t>
  </si>
  <si>
    <t>FD02025000000534</t>
  </si>
  <si>
    <t>RE02025000000585</t>
  </si>
  <si>
    <t>SALI</t>
  </si>
  <si>
    <t>FD02025000000541</t>
  </si>
  <si>
    <t>RE02025000000612</t>
  </si>
  <si>
    <t>30.04.2025</t>
  </si>
  <si>
    <t>İsimlik -25 Satış Danışmanı-2 Satış Takım Lideri-1 İdari İşler Takım Lideri</t>
  </si>
  <si>
    <t>RE02025000000630</t>
  </si>
  <si>
    <t>RE02025000000613</t>
  </si>
  <si>
    <t>RE02025000000614</t>
  </si>
  <si>
    <t>Code</t>
  </si>
  <si>
    <t>01.05.2025</t>
  </si>
  <si>
    <t>T067</t>
  </si>
  <si>
    <t>Pleksi A4 L Tipi Föylük</t>
  </si>
  <si>
    <t>RE02025000000659</t>
  </si>
  <si>
    <t>Strech Film - Siyah-</t>
  </si>
  <si>
    <t>RE02025000000632</t>
  </si>
  <si>
    <t>Çift Taraflı Bant Kırmızı 5Metre</t>
  </si>
  <si>
    <t>FD02025000000542</t>
  </si>
  <si>
    <t>RE02025000000615</t>
  </si>
  <si>
    <t>02.05.2025</t>
  </si>
  <si>
    <t>İsimlik - Satış Danışmanı (5 adet te extra arkasındaki mıknatıstan isteniyor)</t>
  </si>
  <si>
    <t>02052025"058</t>
  </si>
  <si>
    <t>RE02025000000631</t>
  </si>
  <si>
    <t>02052025"059</t>
  </si>
  <si>
    <t>RE02025000000633</t>
  </si>
  <si>
    <t>Sepet Kenarı 120x64</t>
  </si>
  <si>
    <t>FD02025000000543</t>
  </si>
  <si>
    <t>RM02025000000006</t>
  </si>
  <si>
    <t>Sepet Kenarı 100x64</t>
  </si>
  <si>
    <t>02052025"060</t>
  </si>
  <si>
    <t>03.05.2025</t>
  </si>
  <si>
    <t>FD02025000000551</t>
  </si>
  <si>
    <t>RM02025000000007</t>
  </si>
  <si>
    <t>10 adet daha gideek</t>
  </si>
  <si>
    <t>FD02025000000590</t>
  </si>
  <si>
    <t>RE02025000000675</t>
  </si>
  <si>
    <t>T214</t>
  </si>
  <si>
    <t>Gökhan KArtal</t>
  </si>
  <si>
    <t>FD02025000000558</t>
  </si>
  <si>
    <t>RE02025000000616</t>
  </si>
  <si>
    <t>Viza POs Rulosu 56x16</t>
  </si>
  <si>
    <t>FD02025000000544</t>
  </si>
  <si>
    <t>RE02025000000596</t>
  </si>
  <si>
    <t>RE02025000000617</t>
  </si>
  <si>
    <t>T012</t>
  </si>
  <si>
    <t>BAlçova</t>
  </si>
  <si>
    <t>Wieland 3lü Grup Priz</t>
  </si>
  <si>
    <t>RE02025000000618</t>
  </si>
  <si>
    <t>Zafer Babahanoğlu</t>
  </si>
  <si>
    <t>Klima Askı Demiri</t>
  </si>
  <si>
    <t>RE02025000000619</t>
  </si>
  <si>
    <t>05.05.2025</t>
  </si>
  <si>
    <t>FD02025000000545</t>
  </si>
  <si>
    <t>RE02025000000620</t>
  </si>
  <si>
    <t>Termal Etikek 40x20 1000 Sarım</t>
  </si>
  <si>
    <t>T099</t>
  </si>
  <si>
    <t>FD02025000000546</t>
  </si>
  <si>
    <t>RE02025000000621</t>
  </si>
  <si>
    <t xml:space="preserve">Baskı Görsel ( Light Box ) 106,50cm X 101,20cm
</t>
  </si>
  <si>
    <t>FD02025000000582</t>
  </si>
  <si>
    <t>RE02025000000634</t>
  </si>
  <si>
    <t>Yücel Sönmez</t>
  </si>
  <si>
    <t>FD02025000000591</t>
  </si>
  <si>
    <t>RE02025000000660</t>
  </si>
  <si>
    <t>RE02025000000704</t>
  </si>
  <si>
    <t>Logolu Karton Bardak (Beraberinde 1 tane bizdeki Redgate ajandası dan göndericez bardak kolisiyle birlikte)</t>
  </si>
  <si>
    <t>FD02025000000547</t>
  </si>
  <si>
    <t>RE02025000000622</t>
  </si>
  <si>
    <t>FD02025000000550</t>
  </si>
  <si>
    <t>RE02025000000623</t>
  </si>
  <si>
    <t>05.05.2024</t>
  </si>
  <si>
    <t>RE02025000000734</t>
  </si>
  <si>
    <t>FD02025000000565</t>
  </si>
  <si>
    <t>RE02025000000635</t>
  </si>
  <si>
    <t>Aslı Samer Kartal</t>
  </si>
  <si>
    <t>RE02025000000624</t>
  </si>
  <si>
    <t>RE02025000000679</t>
  </si>
  <si>
    <t>RE02025000000637</t>
  </si>
  <si>
    <t>FD02025000000567</t>
  </si>
  <si>
    <t>RE02025000000636</t>
  </si>
  <si>
    <t>Şeffaf Koli Bantı (Fatura Kesilmeden Fiyatı Kontrol Edilicek)</t>
  </si>
  <si>
    <t>Light Box Tekstil Otopark 190cm x 390cm (Anneler Günü)</t>
  </si>
  <si>
    <t>RE02025000000625</t>
  </si>
  <si>
    <t>Light Box Tekstil Mağaza 172cm x 161cm (Anneler Günü)</t>
  </si>
  <si>
    <t>Folyo Uygulama 161x101</t>
  </si>
  <si>
    <t>06.05.2025</t>
  </si>
  <si>
    <t>özdilek</t>
  </si>
  <si>
    <t>Hüseyin Bilal Kertlez</t>
  </si>
  <si>
    <t>FD02025000000566</t>
  </si>
  <si>
    <t>RE02025000000638</t>
  </si>
  <si>
    <t>Raf BAriyeri - Pleksi 100cm</t>
  </si>
  <si>
    <t>FD02025000000608</t>
  </si>
  <si>
    <t>RE02025000000691</t>
  </si>
  <si>
    <t>Raf BAriyeri - Pleksi 125cm</t>
  </si>
  <si>
    <t>T075</t>
  </si>
  <si>
    <t>Kaşe Detayı  (Ali Beye İlettim)</t>
  </si>
  <si>
    <t>FD02025000000569</t>
  </si>
  <si>
    <t>RE02025000000639</t>
  </si>
  <si>
    <t>FD02025000000570</t>
  </si>
  <si>
    <t>RE02025000000640</t>
  </si>
  <si>
    <t>Yazar KAsa Rulosu 80x30</t>
  </si>
  <si>
    <t>İsim Kaşesi - Samet Çalık</t>
  </si>
  <si>
    <t>FD02025000000571</t>
  </si>
  <si>
    <t>RE02025000000641</t>
  </si>
  <si>
    <t>FD02025000000572</t>
  </si>
  <si>
    <t>RE02025000000642</t>
  </si>
  <si>
    <t xml:space="preserve">Avm içi Görsel Baskı  ve uygulama 16m2 </t>
  </si>
  <si>
    <t>RE02025000000643</t>
  </si>
  <si>
    <t>07.05.2025</t>
  </si>
  <si>
    <t>FD02025000000573</t>
  </si>
  <si>
    <t>RE02025000000645</t>
  </si>
  <si>
    <t>FD02025000000574</t>
  </si>
  <si>
    <t>RE02025000000644</t>
  </si>
  <si>
    <t>RE02025000000677</t>
  </si>
  <si>
    <t>T053</t>
  </si>
  <si>
    <t>Ajanda (Rüzgar Gülü)</t>
  </si>
  <si>
    <t>FD02025000000575</t>
  </si>
  <si>
    <t>RE02025000000646</t>
  </si>
  <si>
    <t>Görsel Baskı (1 Yuvarlak 4 Büyük)</t>
  </si>
  <si>
    <t>RE02025000000647</t>
  </si>
  <si>
    <t>Pleksi Üzeri UV BAskı Vİdalı 95x30</t>
  </si>
  <si>
    <t>A1 Baskı</t>
  </si>
  <si>
    <t>50 Adet Daha Gidecek</t>
  </si>
  <si>
    <t>FD02025000000595</t>
  </si>
  <si>
    <t>RE02025000000680</t>
  </si>
  <si>
    <t>T059</t>
  </si>
  <si>
    <t>FD02025000000592</t>
  </si>
  <si>
    <t>RE02025000000678</t>
  </si>
  <si>
    <t>RE02025000000682</t>
  </si>
  <si>
    <t>T501</t>
  </si>
  <si>
    <t>FD02025000000578</t>
  </si>
  <si>
    <t>RE02025000000648</t>
  </si>
  <si>
    <t>FD02025000000579</t>
  </si>
  <si>
    <t>RE02025000000649</t>
  </si>
  <si>
    <t>FD02025000000580</t>
  </si>
  <si>
    <t>RE02025000000650</t>
  </si>
  <si>
    <t>Recep Karaali</t>
  </si>
  <si>
    <t>Satış Danışmanı (İsimli -Ali Beye İletildi İsimler)</t>
  </si>
  <si>
    <t>FD02025000000609</t>
  </si>
  <si>
    <t>kesilmeyecek</t>
  </si>
  <si>
    <t>08.05.2025</t>
  </si>
  <si>
    <t xml:space="preserve">Buna da İhtiyacın Olabilirir Bandı
</t>
  </si>
  <si>
    <t>FD02025000000581</t>
  </si>
  <si>
    <t>RE02025000000651</t>
  </si>
  <si>
    <t>Tuğba Karakaya</t>
  </si>
  <si>
    <t>Magnet 1200BTU</t>
  </si>
  <si>
    <t>RE02025000000756</t>
  </si>
  <si>
    <t>FD02025000000583</t>
  </si>
  <si>
    <t>RE02025000000652</t>
  </si>
  <si>
    <t>FD02025000000593</t>
  </si>
  <si>
    <t>RE02025000000653</t>
  </si>
  <si>
    <t>09.05.2025</t>
  </si>
  <si>
    <t>120cm x 40cm Kompozit Tabela</t>
  </si>
  <si>
    <t>RE02025000000661</t>
  </si>
  <si>
    <t>Spiralli Kablo 4 metre</t>
  </si>
  <si>
    <t>FD02025000000602</t>
  </si>
  <si>
    <t>RE02025000000683</t>
  </si>
  <si>
    <t>FD02025000000604</t>
  </si>
  <si>
    <t>RE02025000000684</t>
  </si>
  <si>
    <t>FD02025000000605</t>
  </si>
  <si>
    <t>RE02025000000685</t>
  </si>
  <si>
    <t>12.05.2025</t>
  </si>
  <si>
    <t>Namık Kara</t>
  </si>
  <si>
    <t>FD02025000000600</t>
  </si>
  <si>
    <t>RE02025000000686</t>
  </si>
  <si>
    <t>FD02025000000601</t>
  </si>
  <si>
    <t>RE02025000000687</t>
  </si>
  <si>
    <t>FD02025000000603</t>
  </si>
  <si>
    <t>RE02025000000688</t>
  </si>
  <si>
    <t>RE02025000000735</t>
  </si>
  <si>
    <t>İsimlik (Detaylar Ali Beye İletildi)</t>
  </si>
  <si>
    <t>FD02025000000610</t>
  </si>
  <si>
    <t>RE02025000000692</t>
  </si>
  <si>
    <t>13.05.2025</t>
  </si>
  <si>
    <t>FD02025000000614</t>
  </si>
  <si>
    <t>RE02025000000694</t>
  </si>
  <si>
    <t>Merve Zehra Demirtaş</t>
  </si>
  <si>
    <t>Klima Stantı 125cm</t>
  </si>
  <si>
    <t>RE02025000000780</t>
  </si>
  <si>
    <t>RE02025000000781</t>
  </si>
  <si>
    <t>FD02025000000606</t>
  </si>
  <si>
    <t>RE02025000000689</t>
  </si>
  <si>
    <t>FD02025000000613</t>
  </si>
  <si>
    <t>RE02025000000695</t>
  </si>
  <si>
    <t>14.05.2025</t>
  </si>
  <si>
    <t>RE02025000000693</t>
  </si>
  <si>
    <t>85x64 Sepet Kenarı</t>
  </si>
  <si>
    <t>FD02025000000640</t>
  </si>
  <si>
    <t>RE02025000000730</t>
  </si>
  <si>
    <t>100x64 Sepet Kenarı</t>
  </si>
  <si>
    <t>İsim KAşesi (Rıdvan Kuru - Berkan Kaygın)</t>
  </si>
  <si>
    <t>FD02025000000627</t>
  </si>
  <si>
    <t>RE02025000000715</t>
  </si>
  <si>
    <t>FD02025000000625</t>
  </si>
  <si>
    <t>RE02025000000727</t>
  </si>
  <si>
    <t>fiyatta değişiklik var mı</t>
  </si>
  <si>
    <t>Ensar Gürer</t>
  </si>
  <si>
    <t>FD02025000000612</t>
  </si>
  <si>
    <t>RE02025000000696</t>
  </si>
  <si>
    <t>15.05.2025</t>
  </si>
  <si>
    <t>RE02025000000705</t>
  </si>
  <si>
    <t>RE02025000000716</t>
  </si>
  <si>
    <t>RE02025000000701</t>
  </si>
  <si>
    <t>FD02025000000615</t>
  </si>
  <si>
    <t>RE02025000000697</t>
  </si>
  <si>
    <t>16.05.2025</t>
  </si>
  <si>
    <t>RE02025000000698</t>
  </si>
  <si>
    <t>RE02025000000706</t>
  </si>
  <si>
    <t xml:space="preserve">Secayet Coşkun </t>
  </si>
  <si>
    <t>RE02025000000707</t>
  </si>
  <si>
    <t>17.05.2025</t>
  </si>
  <si>
    <t>RE02025000000702</t>
  </si>
  <si>
    <t>RE02025000000703</t>
  </si>
  <si>
    <t>Reyon BAriyeri 100cm</t>
  </si>
  <si>
    <t>FD02025000000628</t>
  </si>
  <si>
    <t>RE02025000000717</t>
  </si>
  <si>
    <t>FD02025000000629</t>
  </si>
  <si>
    <t>RE02025000000718</t>
  </si>
  <si>
    <t>FD02025000000649</t>
  </si>
  <si>
    <t>RE02025000000736</t>
  </si>
  <si>
    <t>FD02025000000637</t>
  </si>
  <si>
    <t>RE02025000000724</t>
  </si>
  <si>
    <t>RE02025000000725</t>
  </si>
  <si>
    <t>FD02025000000747</t>
  </si>
  <si>
    <t>RE02025000000878</t>
  </si>
  <si>
    <t>19.05.2025</t>
  </si>
  <si>
    <t>Teleskopik Yaylı Çubuk+Çerçevesi</t>
  </si>
  <si>
    <t>FD02025000000630</t>
  </si>
  <si>
    <t>RE02025000000719</t>
  </si>
  <si>
    <t>FD02025000000631</t>
  </si>
  <si>
    <t>RE02025000000720</t>
  </si>
  <si>
    <t>FD02025000000635</t>
  </si>
  <si>
    <t>RE02025000000757</t>
  </si>
  <si>
    <t>Sticker - 9Kg Yıkama</t>
  </si>
  <si>
    <t>FD02025000000624</t>
  </si>
  <si>
    <t>RE02025000000714</t>
  </si>
  <si>
    <t>İsimlik Promotör isimliği Pleksi-Mıknatıslı</t>
  </si>
  <si>
    <t>RE02025000000721</t>
  </si>
  <si>
    <t>20.05.2025</t>
  </si>
  <si>
    <t>FD02025000000634</t>
  </si>
  <si>
    <t>RE02025000000728</t>
  </si>
  <si>
    <t>Sandaye Tadilat (Kaynak İşlemi)</t>
  </si>
  <si>
    <t>RE02025000000786</t>
  </si>
  <si>
    <t>Headset Pleksi Kulaküstü Kulaklık</t>
  </si>
  <si>
    <t>FD02025000000636</t>
  </si>
  <si>
    <t>RE12025000000003</t>
  </si>
  <si>
    <t>irsaliye 4 adet olduğu için ayırdım</t>
  </si>
  <si>
    <t>RE02025000000726</t>
  </si>
  <si>
    <t>21.05.2025</t>
  </si>
  <si>
    <t xml:space="preserve">Logolu A4 Asetat </t>
  </si>
  <si>
    <t>FD02025000000638</t>
  </si>
  <si>
    <t>RE02025000000722</t>
  </si>
  <si>
    <t>T046</t>
  </si>
  <si>
    <t>FD02025000000674</t>
  </si>
  <si>
    <t>RE02025000000772</t>
  </si>
  <si>
    <t>FD02025000000650</t>
  </si>
  <si>
    <t>RE02025000000737</t>
  </si>
  <si>
    <t>RE12025000000004</t>
  </si>
  <si>
    <t>22.05.2025</t>
  </si>
  <si>
    <t>Pleksi UV Baskı Vidalı 95x30cm -Apple-</t>
  </si>
  <si>
    <t>RE02025000000738</t>
  </si>
  <si>
    <t>RE02025000000729</t>
  </si>
  <si>
    <t>23.05.2025</t>
  </si>
  <si>
    <t>T033</t>
  </si>
  <si>
    <t>FD02025000000639</t>
  </si>
  <si>
    <t>RE02025000000731</t>
  </si>
  <si>
    <t>T073</t>
  </si>
  <si>
    <t>FD02025000000675</t>
  </si>
  <si>
    <t>RE02025000000773</t>
  </si>
  <si>
    <t>RE02025000000732</t>
  </si>
  <si>
    <t>24.05.2025</t>
  </si>
  <si>
    <t>Mal off</t>
  </si>
  <si>
    <t>RE02025000000733</t>
  </si>
  <si>
    <t>T506</t>
  </si>
  <si>
    <t>Marmara Park</t>
  </si>
  <si>
    <t>Perihan Kara</t>
  </si>
  <si>
    <r>
      <rPr>
        <sz val="9"/>
        <color theme="1"/>
        <rFont val="Calibri"/>
        <family val="2"/>
      </rPr>
      <t>Ajanda (Rüzgar Gülü)   (</t>
    </r>
    <r>
      <rPr>
        <b/>
        <sz val="9"/>
        <color rgb="FFFF0000"/>
        <rFont val="Calibri"/>
        <family val="2"/>
      </rPr>
      <t>FATURA EDİLMİYCEK Kalitesi Beğenilmedi)</t>
    </r>
  </si>
  <si>
    <t>Fatura Edilmiycek</t>
  </si>
  <si>
    <t>27.05.2025</t>
  </si>
  <si>
    <t>Lightbox 264cm x 97cm</t>
  </si>
  <si>
    <t>RE02025000000739</t>
  </si>
  <si>
    <t>FD02025000000657</t>
  </si>
  <si>
    <t>RE02025000000740</t>
  </si>
  <si>
    <t>RE02025000000741</t>
  </si>
  <si>
    <t>Plastik Cırt Kelepçe Beyaz 25cm</t>
  </si>
  <si>
    <t>FD02025000000651</t>
  </si>
  <si>
    <t>RE02025000000742</t>
  </si>
  <si>
    <t>Plastik Cırt Kelepçe Beyaz 40cm</t>
  </si>
  <si>
    <t>FD02025000000652</t>
  </si>
  <si>
    <t>RE02025000000743</t>
  </si>
  <si>
    <t>FD02025000000658</t>
  </si>
  <si>
    <t>RE02025000000747</t>
  </si>
  <si>
    <t>RE02025000000746</t>
  </si>
  <si>
    <t>RE02025000000744</t>
  </si>
  <si>
    <t>FD02025000000654</t>
  </si>
  <si>
    <t>RE02025000000745</t>
  </si>
  <si>
    <t>RE02025000000748</t>
  </si>
  <si>
    <t>RE02025000000749</t>
  </si>
  <si>
    <t>FD02025000000655</t>
  </si>
  <si>
    <t>RE12025000000005</t>
  </si>
  <si>
    <t>FD02025000000660</t>
  </si>
  <si>
    <t>RE02025000000750</t>
  </si>
  <si>
    <t>FD02025000000656</t>
  </si>
  <si>
    <t>RE02025000000758</t>
  </si>
  <si>
    <t>28.05.2025</t>
  </si>
  <si>
    <t>ÇAğdaş Özcan</t>
  </si>
  <si>
    <t>Çelenk</t>
  </si>
  <si>
    <t>RE02025000000751</t>
  </si>
  <si>
    <t>RE02025000000759</t>
  </si>
  <si>
    <t>FD02025000000659</t>
  </si>
  <si>
    <t>RE02025000000760</t>
  </si>
  <si>
    <t>29.05.2025</t>
  </si>
  <si>
    <t>Folyo Baskı (Kapı Giydirme)</t>
  </si>
  <si>
    <t>RE12025000000006</t>
  </si>
  <si>
    <t>RE02025000000782</t>
  </si>
  <si>
    <t>RE02025000000783</t>
  </si>
  <si>
    <t>30.05.2025</t>
  </si>
  <si>
    <t>RE02025000000767</t>
  </si>
  <si>
    <t>RE02025000000768</t>
  </si>
  <si>
    <t>Magnet BTU (Detayları WP den gönderdim)</t>
  </si>
  <si>
    <t>RE02025000000806</t>
  </si>
  <si>
    <t>FD02025000000669</t>
  </si>
  <si>
    <t>RE02025000000761</t>
  </si>
  <si>
    <t>Termal Etiket 40x20 1000 Adet</t>
  </si>
  <si>
    <t>RE02025000000762</t>
  </si>
  <si>
    <t>31.05.2025</t>
  </si>
  <si>
    <t>RE02025000000787</t>
  </si>
  <si>
    <t>RE02025000000807</t>
  </si>
  <si>
    <t>RE02025000000763</t>
  </si>
  <si>
    <t>RE02025000000764</t>
  </si>
  <si>
    <t>01.06.2025</t>
  </si>
  <si>
    <t>Piknik Organizasyonu için (detayları bildireceğim)</t>
  </si>
  <si>
    <t>02.06.2025</t>
  </si>
  <si>
    <t>MArkantalya</t>
  </si>
  <si>
    <t>Namık Sait Şıklaroğlu</t>
  </si>
  <si>
    <t xml:space="preserve">Headset Pleksi Kulaklık </t>
  </si>
  <si>
    <t>FD02025000000670</t>
  </si>
  <si>
    <t>RE02025000000769</t>
  </si>
  <si>
    <t>RE02025000000774</t>
  </si>
  <si>
    <t>kesildi</t>
  </si>
  <si>
    <t>FD02025000000676</t>
  </si>
  <si>
    <t>RE02025000000775</t>
  </si>
  <si>
    <t>03.06.2025</t>
  </si>
  <si>
    <t>RE02025000000793</t>
  </si>
  <si>
    <t>FD02025000000672</t>
  </si>
  <si>
    <t>RE02025000000770</t>
  </si>
  <si>
    <t>T084</t>
  </si>
  <si>
    <t>Ayşegül Aydın</t>
  </si>
  <si>
    <t>FD02025000000677</t>
  </si>
  <si>
    <t>RE02025000000776</t>
  </si>
  <si>
    <t>İsimlik -Kasiyer 5- Satış Danışmanı 15-</t>
  </si>
  <si>
    <t>İsimlik Promotör İsimliğ Pleksi-Mıknatıslı</t>
  </si>
  <si>
    <t>RE02025000000784</t>
  </si>
  <si>
    <t>FD02025000000678</t>
  </si>
  <si>
    <t>RE02025000000771</t>
  </si>
  <si>
    <t>TV Güvenlik Desteği U Tipi -Ürün yanlış olmuş iade göndericekler  T tipi güvenlik desteğinden istiyorlar</t>
  </si>
  <si>
    <t>FD02025000000680</t>
  </si>
  <si>
    <t>Plastik Etiketlik 100cm</t>
  </si>
  <si>
    <t>FD02025000000742</t>
  </si>
  <si>
    <t>RE02025000000859</t>
  </si>
  <si>
    <t>Plastik Etiketlik 125cm</t>
  </si>
  <si>
    <t>Reyon Bariyeri 100x45cm (Logolu)</t>
  </si>
  <si>
    <t>FD02025000000679</t>
  </si>
  <si>
    <t>RE02025000000777</t>
  </si>
  <si>
    <t>RE02025000000765</t>
  </si>
  <si>
    <t xml:space="preserve">SEVK EDİLMEYECEK </t>
  </si>
  <si>
    <t>A4 pleksi föylük</t>
  </si>
  <si>
    <t>RE02025000000766</t>
  </si>
  <si>
    <t>Yazar kasa rulosu</t>
  </si>
  <si>
    <t>04.06.2025</t>
  </si>
  <si>
    <t>FD02025000000686</t>
  </si>
  <si>
    <t>RE02025000000788</t>
  </si>
  <si>
    <t>FD02025000000687</t>
  </si>
  <si>
    <t>RE02025000000789</t>
  </si>
  <si>
    <t>Palet Köşebenti</t>
  </si>
  <si>
    <t>FD02025000000692</t>
  </si>
  <si>
    <t>RE02025000000794</t>
  </si>
  <si>
    <t>05.06.2025</t>
  </si>
  <si>
    <t>RE02025000000790</t>
  </si>
  <si>
    <t>FD02025000000688</t>
  </si>
  <si>
    <t>RE02025000000791</t>
  </si>
  <si>
    <t>RE02025000000811</t>
  </si>
  <si>
    <t>06.06.2025</t>
  </si>
  <si>
    <t>T098</t>
  </si>
  <si>
    <t>Bahcesehir</t>
  </si>
  <si>
    <t>RE02025000000795</t>
  </si>
  <si>
    <t>09.06.2025</t>
  </si>
  <si>
    <t>İsimlik-BOŞ-  İsim Yazılı olmıycak</t>
  </si>
  <si>
    <t>RE02025000000796</t>
  </si>
  <si>
    <t>FD02025000000908</t>
  </si>
  <si>
    <t>RE02025000001068</t>
  </si>
  <si>
    <t>RE02025000001069</t>
  </si>
  <si>
    <t>Pleksi Raf BAriyeri 100cm</t>
  </si>
  <si>
    <t>FD02025000000769</t>
  </si>
  <si>
    <t>RE02025000000894</t>
  </si>
  <si>
    <t>Pleksi Raf BAriyeri 125cm</t>
  </si>
  <si>
    <t>İsimlik- 20Satış Danışmanı-2Müşteri Hizmetleri Danışmanı-2Kasiyer-</t>
  </si>
  <si>
    <t>RE02025000000797</t>
  </si>
  <si>
    <t>10.06.2025</t>
  </si>
  <si>
    <t>Klima Askı Aparatı Kalın Olan (+1 gönderilicek)</t>
  </si>
  <si>
    <t>FD02025000000731</t>
  </si>
  <si>
    <t>RE02025000000836</t>
  </si>
  <si>
    <t>FD02025000000693</t>
  </si>
  <si>
    <t>RE02025000000798</t>
  </si>
  <si>
    <t>RE02025000000799</t>
  </si>
  <si>
    <t>RE02025000000812</t>
  </si>
  <si>
    <t>İsimlik (Detayları Ali Beye İlettim)</t>
  </si>
  <si>
    <t>RE02025000000800</t>
  </si>
  <si>
    <t>FD02025000000689</t>
  </si>
  <si>
    <t>RE02025000000801</t>
  </si>
  <si>
    <t>RE02025000000802</t>
  </si>
  <si>
    <t>Kaşe _Onur Yıldız-</t>
  </si>
  <si>
    <t>FD02025000000695</t>
  </si>
  <si>
    <t>RE02025000000803</t>
  </si>
  <si>
    <t>FD02025000000694</t>
  </si>
  <si>
    <t>RE02025000000804</t>
  </si>
  <si>
    <t>Reyon Bariyeri Logolu 125x60cm</t>
  </si>
  <si>
    <t>RE02025000000895</t>
  </si>
  <si>
    <t>Görsel Baskı Oneway 143x200cm</t>
  </si>
  <si>
    <t>RE02025000000805</t>
  </si>
  <si>
    <t>Branda 320x880cm</t>
  </si>
  <si>
    <t>12.06.2025</t>
  </si>
  <si>
    <t>Tost Makinası Ayracı (Logolu)</t>
  </si>
  <si>
    <t>FD02025000000781</t>
  </si>
  <si>
    <t>RE02025000000896</t>
  </si>
  <si>
    <t>Cırt Kelepçe (2Pakekt Siyah-2Paket Beyaz)30cm</t>
  </si>
  <si>
    <t>FD02025000000705</t>
  </si>
  <si>
    <t>RE02025000000818</t>
  </si>
  <si>
    <t>RE02025000000813</t>
  </si>
  <si>
    <t xml:space="preserve">Güvenlik Etiketi </t>
  </si>
  <si>
    <t>RE02025000000837</t>
  </si>
  <si>
    <t>T051</t>
  </si>
  <si>
    <t>RE02025000000814</t>
  </si>
  <si>
    <t>FD02025000000706</t>
  </si>
  <si>
    <t>RE02025000000819</t>
  </si>
  <si>
    <t>FD02025000000707</t>
  </si>
  <si>
    <t>RE02025000000820</t>
  </si>
  <si>
    <t>Scooter Ayağı</t>
  </si>
  <si>
    <t>FD02025000000708</t>
  </si>
  <si>
    <t>RE02025000000821</t>
  </si>
  <si>
    <t>13.06.2025</t>
  </si>
  <si>
    <t>Kaşe- Gül Sandıklı-</t>
  </si>
  <si>
    <t>FD02025000000725</t>
  </si>
  <si>
    <t>RE02025000000822</t>
  </si>
  <si>
    <t xml:space="preserve">Görsel Baskı A1 </t>
  </si>
  <si>
    <t>RE02025000000815</t>
  </si>
  <si>
    <t>T027</t>
  </si>
  <si>
    <t>RE02025000000838</t>
  </si>
  <si>
    <t>FD02025000000728</t>
  </si>
  <si>
    <t>RE02025000000823</t>
  </si>
  <si>
    <t>14.06.2025</t>
  </si>
  <si>
    <t>Koli Bandı Şeffaf Üzeri Siyah Logolu</t>
  </si>
  <si>
    <t>RE02025000000875</t>
  </si>
  <si>
    <t>RE02025000000876</t>
  </si>
  <si>
    <t>RE02025000000839</t>
  </si>
  <si>
    <t>FD02025000000709</t>
  </si>
  <si>
    <t>RE02025000000824</t>
  </si>
  <si>
    <t>FD02025000000710</t>
  </si>
  <si>
    <t>RE02025000000832</t>
  </si>
  <si>
    <t>RE02025000000840</t>
  </si>
  <si>
    <t>Personel Servisi 24-25 Haziran (Fiyat Kontrol Edilicek)</t>
  </si>
  <si>
    <t>RE02025000000833</t>
  </si>
  <si>
    <t>iki fatura toplamı  15 bin + 18.500</t>
  </si>
  <si>
    <t>Mangalcı 24-25 Haziran (Fiyat Kontrol Edilicek)</t>
  </si>
  <si>
    <t>RE02025000000892</t>
  </si>
  <si>
    <t>33.500,00 TL olack şekilde kesildi</t>
  </si>
  <si>
    <t>Görsel Baskı 107x101</t>
  </si>
  <si>
    <t>FAtura Kesilmiycek</t>
  </si>
  <si>
    <t>T213</t>
  </si>
  <si>
    <t>FD02025000000711</t>
  </si>
  <si>
    <t>RE02025000000825</t>
  </si>
  <si>
    <t>Resim Çerçevesi (Kickoff)</t>
  </si>
  <si>
    <t>RE02025000000816</t>
  </si>
  <si>
    <t xml:space="preserve">Teleskopik Yaylı Ayak (Sadece Ayak Olucak) </t>
  </si>
  <si>
    <t>RE02025000000858</t>
  </si>
  <si>
    <t>FD02025000000733</t>
  </si>
  <si>
    <t>RE02025000000841</t>
  </si>
  <si>
    <t>RE02025000000842</t>
  </si>
  <si>
    <t>Scooter Metal Ayak</t>
  </si>
  <si>
    <t>16.06.2025</t>
  </si>
  <si>
    <t>FD02025000000712</t>
  </si>
  <si>
    <t>RE02025000000826</t>
  </si>
  <si>
    <t>RE02025000000843</t>
  </si>
  <si>
    <t>FD02025000000713</t>
  </si>
  <si>
    <t>RE02025000000827</t>
  </si>
  <si>
    <t>RE02025000000844</t>
  </si>
  <si>
    <t>FD02025000000719</t>
  </si>
  <si>
    <t>RE02025000000828</t>
  </si>
  <si>
    <t>FD02025000000714</t>
  </si>
  <si>
    <t>RE02025000000829</t>
  </si>
  <si>
    <t>FD02025000000715</t>
  </si>
  <si>
    <t>RE02025000000845</t>
  </si>
  <si>
    <t>Burcu Özman</t>
  </si>
  <si>
    <t>FD02025000000716</t>
  </si>
  <si>
    <t>RE02025000000830</t>
  </si>
  <si>
    <t>FD02025000000718</t>
  </si>
  <si>
    <t>16.06.2024</t>
  </si>
  <si>
    <t>RE02025000000846</t>
  </si>
  <si>
    <t>RE02025000000847</t>
  </si>
  <si>
    <t>T031</t>
  </si>
  <si>
    <t>ŞAnlıurfa</t>
  </si>
  <si>
    <t>RE02025000000848</t>
  </si>
  <si>
    <t>FD02025000000726</t>
  </si>
  <si>
    <t>RE02025000000831</t>
  </si>
  <si>
    <t>RE02025000000897</t>
  </si>
  <si>
    <t>FD02025000000727</t>
  </si>
  <si>
    <t>RE02025000000849</t>
  </si>
  <si>
    <t>17.06.2025</t>
  </si>
  <si>
    <t>Reyon Bariyeri 100cm Logolu Olucak (Beraberinde 1 adet daha logo isteniyorÖnce gönderdiğimiz logo ters yapışmış çünkü)</t>
  </si>
  <si>
    <t>FD02025000000730</t>
  </si>
  <si>
    <t>RE02025000000850</t>
  </si>
  <si>
    <t>RE02025000000851</t>
  </si>
  <si>
    <t>Fotoğraf Pleksi 10x15 (FGatura Kesilmeden Fiyatı Teyit Edilecek)</t>
  </si>
  <si>
    <t>FD02025000000770</t>
  </si>
  <si>
    <t>RE02025000000928</t>
  </si>
  <si>
    <t>18.06.2025</t>
  </si>
  <si>
    <t>Samsung Servis Merkezi-Destek Bilişim</t>
  </si>
  <si>
    <t>Seyhan</t>
  </si>
  <si>
    <t>Cennet</t>
  </si>
  <si>
    <t>RE02025000000852</t>
  </si>
  <si>
    <t>Pleksi Raf Bariyeri 100cm</t>
  </si>
  <si>
    <t>FD02025000000771</t>
  </si>
  <si>
    <t>RE02025000000898</t>
  </si>
  <si>
    <t>Pleksi Raf Bariyeri 125cm</t>
  </si>
  <si>
    <t xml:space="preserve">KArgo Cebi 19x26cm 1500 Adet </t>
  </si>
  <si>
    <t>FD02025000000736</t>
  </si>
  <si>
    <t>RE02025000000854</t>
  </si>
  <si>
    <t>FD02025000000734</t>
  </si>
  <si>
    <t>RE02025000000855</t>
  </si>
  <si>
    <t>Bu Benim KArtı 100 Adet</t>
  </si>
  <si>
    <t>FD02025000000748</t>
  </si>
  <si>
    <t>RE02025000000862</t>
  </si>
  <si>
    <t>FD02025000000735</t>
  </si>
  <si>
    <t>RE02025000000856</t>
  </si>
  <si>
    <t>19.06.2025</t>
  </si>
  <si>
    <t>FD02025000000743</t>
  </si>
  <si>
    <t>RE02025000000863</t>
  </si>
  <si>
    <t xml:space="preserve">Lojistik </t>
  </si>
  <si>
    <t>RE02025000000877</t>
  </si>
  <si>
    <t>FD02025000000749</t>
  </si>
  <si>
    <t>RE02025000000864</t>
  </si>
  <si>
    <t>Azize Kirazcıoğlu</t>
  </si>
  <si>
    <t>FD02025000000750</t>
  </si>
  <si>
    <t>RE02025000000865</t>
  </si>
  <si>
    <t>20.06.2025</t>
  </si>
  <si>
    <t>Kargo cebi 19x26cm 1500'lü</t>
  </si>
  <si>
    <t>FD02025000000737</t>
  </si>
  <si>
    <t>RE02025000000884</t>
  </si>
  <si>
    <t>Sünger Taşıma Bantı 60cm</t>
  </si>
  <si>
    <t>FD02025000000751</t>
  </si>
  <si>
    <t>RE02025000000866</t>
  </si>
  <si>
    <t>RE02025000000867</t>
  </si>
  <si>
    <t>21.06.2025</t>
  </si>
  <si>
    <t>Kaşe (Detaylar Ali Beye Gönderildi)</t>
  </si>
  <si>
    <t>FD02025000000752</t>
  </si>
  <si>
    <t>RE02025000000868</t>
  </si>
  <si>
    <t>RE02025000000885</t>
  </si>
  <si>
    <t>FD02025000000741</t>
  </si>
  <si>
    <t>RE02025000000860</t>
  </si>
  <si>
    <t>23.06.2025</t>
  </si>
  <si>
    <t>RE02025000000869</t>
  </si>
  <si>
    <t>RE02025000000886</t>
  </si>
  <si>
    <t>RE02025000000870</t>
  </si>
  <si>
    <t>İsimlik (Teslimat Uzmanı)</t>
  </si>
  <si>
    <t>FD02025000000768</t>
  </si>
  <si>
    <t>RE02025000000899</t>
  </si>
  <si>
    <t>Kablo Bağlantı Aparatı</t>
  </si>
  <si>
    <t>FD02025000000755</t>
  </si>
  <si>
    <t>RE02025000000871</t>
  </si>
  <si>
    <t>FD02025000000745</t>
  </si>
  <si>
    <t>RE02025000000887</t>
  </si>
  <si>
    <t>İsimlik(detayları Ali beye gönderdim)</t>
  </si>
  <si>
    <t>FD02025000000767</t>
  </si>
  <si>
    <t>RE02025000000900</t>
  </si>
  <si>
    <t>Ayşegül Hanım</t>
  </si>
  <si>
    <t>Plastik Cırt Kelepçe (3 Paket Siyah-3Paket Beyaz) 30cm</t>
  </si>
  <si>
    <t>FD02025000000754</t>
  </si>
  <si>
    <t>RE02025000000874</t>
  </si>
  <si>
    <t>FD02025000000746</t>
  </si>
  <si>
    <t>RE02025000000873</t>
  </si>
  <si>
    <t>Bunada İhtiyacın Olabilir Bant 220mm x 45mm PP Opak Etiket</t>
  </si>
  <si>
    <t>FD02025000000756</t>
  </si>
  <si>
    <t>RE02025000000872</t>
  </si>
  <si>
    <t>FD02025000000757</t>
  </si>
  <si>
    <t>RE02025000000879</t>
  </si>
  <si>
    <t>Bunada İhtiyacın Olabilir (100'Lü Paket)</t>
  </si>
  <si>
    <t>RE02025000000888</t>
  </si>
  <si>
    <t>24.06.2025</t>
  </si>
  <si>
    <t>FD02025000000760</t>
  </si>
  <si>
    <t>RE02025000000880</t>
  </si>
  <si>
    <t>T203</t>
  </si>
  <si>
    <t>Okan Kara</t>
  </si>
  <si>
    <t>RE02025000000881</t>
  </si>
  <si>
    <t>FD02025000000761</t>
  </si>
  <si>
    <t>RE02025000000882</t>
  </si>
  <si>
    <t>Logolu Koli Bandı (Şeffaf-Siyah)</t>
  </si>
  <si>
    <t>25.06.2025</t>
  </si>
  <si>
    <t xml:space="preserve">Metropol </t>
  </si>
  <si>
    <t>FD02025000000762</t>
  </si>
  <si>
    <t>RE02025000000883</t>
  </si>
  <si>
    <t>Bu benim Kartı-Kırmızı</t>
  </si>
  <si>
    <t>FD02025000000763</t>
  </si>
  <si>
    <t>RE02025000000889</t>
  </si>
  <si>
    <t>Plastik Kartlık(Bu Benim Kartlarını Koymaki çin)</t>
  </si>
  <si>
    <t>Fatih Soyyiğit</t>
  </si>
  <si>
    <t>3 adet gönderildi</t>
  </si>
  <si>
    <t>FD02025000000926</t>
  </si>
  <si>
    <t>RE02025000001083</t>
  </si>
  <si>
    <t>26.06.2025</t>
  </si>
  <si>
    <t>FD02025000000830</t>
  </si>
  <si>
    <t>RE02025000000958</t>
  </si>
  <si>
    <t>Pleksi Üzeri UV  Baskı Vidalı 60x30 Kırmızı Üzeri Beyaz Yazı Olucak (Detayları Ali Beye Gönderdim)</t>
  </si>
  <si>
    <t>RE02025000000901</t>
  </si>
  <si>
    <t>Pleksi Föylük A4 T Tipi</t>
  </si>
  <si>
    <t>FD02025000000765</t>
  </si>
  <si>
    <t>RE02025000000890</t>
  </si>
  <si>
    <t>27.06.2025</t>
  </si>
  <si>
    <t>FD02025000000764</t>
  </si>
  <si>
    <t>RE02025000000891</t>
  </si>
  <si>
    <t>FD02025000000766</t>
  </si>
  <si>
    <t>RE02025000000902</t>
  </si>
  <si>
    <t>FD02025000000818</t>
  </si>
  <si>
    <t>RE02025000000955</t>
  </si>
  <si>
    <t>28.06.2025</t>
  </si>
  <si>
    <t>Kulakiçi Kulaklık Stantı 125cm(ölçü ve renk detayını gruptan ilettim)</t>
  </si>
  <si>
    <t>FD02025000000857</t>
  </si>
  <si>
    <t>RE02025000000993</t>
  </si>
  <si>
    <t>Pleksi Üzeri UV Baskı Vidalı 95X30cm(Televizyonlar)</t>
  </si>
  <si>
    <t>RE02025000000903</t>
  </si>
  <si>
    <t>T047</t>
  </si>
  <si>
    <t>PendiK Viaport</t>
  </si>
  <si>
    <t>Kargo Cebi (1500'lü)</t>
  </si>
  <si>
    <t>FD02025000000839</t>
  </si>
  <si>
    <t>RE02025000000985</t>
  </si>
  <si>
    <t>30.06.2025</t>
  </si>
  <si>
    <t>RE02025000000904</t>
  </si>
  <si>
    <t>FD02025000000773</t>
  </si>
  <si>
    <t>RE02025000000905</t>
  </si>
  <si>
    <t>T089</t>
  </si>
  <si>
    <t>FD02025000000774</t>
  </si>
  <si>
    <t>RE02025000000906</t>
  </si>
  <si>
    <t>FD02025000000775</t>
  </si>
  <si>
    <t>RE02025000000907</t>
  </si>
  <si>
    <t>RE02025000000908</t>
  </si>
  <si>
    <t>RE02025000000910</t>
  </si>
  <si>
    <t>Şeffaf Bardak (3000Adet)</t>
  </si>
  <si>
    <t>FD02025000000782</t>
  </si>
  <si>
    <t>RE02025000000909</t>
  </si>
  <si>
    <t>RE02025000000917</t>
  </si>
  <si>
    <t>01.07.2025</t>
  </si>
  <si>
    <t>FD02025000000787</t>
  </si>
  <si>
    <t>RE02025000000911</t>
  </si>
  <si>
    <t>RE02025000000912</t>
  </si>
  <si>
    <t>FD02025000000927</t>
  </si>
  <si>
    <t>RE12025000000010</t>
  </si>
  <si>
    <t>02.07.2025</t>
  </si>
  <si>
    <t>FD02025000000788</t>
  </si>
  <si>
    <t>RE02025000000913</t>
  </si>
  <si>
    <t>FD02025000000789</t>
  </si>
  <si>
    <t>RE02025000000914</t>
  </si>
  <si>
    <t>03.07.2025</t>
  </si>
  <si>
    <t>FD02025000000794</t>
  </si>
  <si>
    <t>RE02025000000918</t>
  </si>
  <si>
    <t>Istinye Park</t>
  </si>
  <si>
    <t>RE02025000000936</t>
  </si>
  <si>
    <t>RE32025000000001</t>
  </si>
  <si>
    <t>FD02025000000793</t>
  </si>
  <si>
    <t>RE02025000000929</t>
  </si>
  <si>
    <t xml:space="preserve">Kargo Cebi 19x26cm 1500 Adet </t>
  </si>
  <si>
    <t>FD02025000000845</t>
  </si>
  <si>
    <t>RE02025000000995</t>
  </si>
  <si>
    <t>L Tipi Pleksi Föylük</t>
  </si>
  <si>
    <t>RE02025000000937</t>
  </si>
  <si>
    <t xml:space="preserve">200 adet siparişin 100 adeti iade geldi. </t>
  </si>
  <si>
    <t>RE02025000000938</t>
  </si>
  <si>
    <t xml:space="preserve">BAlıkesir </t>
  </si>
  <si>
    <t>RE02025000000939</t>
  </si>
  <si>
    <t xml:space="preserve">Plastik Kelepçe 30cm </t>
  </si>
  <si>
    <t>FD02025000000797</t>
  </si>
  <si>
    <t>RE02025000000919</t>
  </si>
  <si>
    <t>FD02025000000799</t>
  </si>
  <si>
    <t>RE02025000000920</t>
  </si>
  <si>
    <t>FD02025000000800</t>
  </si>
  <si>
    <t>RE02025000000921</t>
  </si>
  <si>
    <t>04.07.2025</t>
  </si>
  <si>
    <t>RE02025000000940</t>
  </si>
  <si>
    <t>FD02025000000802</t>
  </si>
  <si>
    <t>RE02025000000930</t>
  </si>
  <si>
    <t>Bu Benim Kartı ( 200adet kırmızı 50adet sarı)</t>
  </si>
  <si>
    <t>FD02025000000803</t>
  </si>
  <si>
    <t>RE02025000000931</t>
  </si>
  <si>
    <t>07.07.2025</t>
  </si>
  <si>
    <t>RE02025000000941</t>
  </si>
  <si>
    <t>FD02025000000804</t>
  </si>
  <si>
    <t>RE02025000000932</t>
  </si>
  <si>
    <t>FD02025000000810</t>
  </si>
  <si>
    <t>RE02025000000934</t>
  </si>
  <si>
    <t>Azade Türkmen</t>
  </si>
  <si>
    <t>Sünger Taşıma Bantı</t>
  </si>
  <si>
    <t>FD02025000000805</t>
  </si>
  <si>
    <t>RE02025000000933</t>
  </si>
  <si>
    <t>Güvenlik Etiketi</t>
  </si>
  <si>
    <t>RE02025000000942</t>
  </si>
  <si>
    <t>FD02025000000809</t>
  </si>
  <si>
    <t>RE02025000000935</t>
  </si>
  <si>
    <t xml:space="preserve">Patago Tutucu Pvc </t>
  </si>
  <si>
    <t>FD02025000000806</t>
  </si>
  <si>
    <t>RE02025000000943</t>
  </si>
  <si>
    <t>RE02025000000971</t>
  </si>
  <si>
    <t>Görsel Baskı (Yuvarlak - Bekleme Alanı)</t>
  </si>
  <si>
    <t>FD02025000000813</t>
  </si>
  <si>
    <t>RE02025000000944</t>
  </si>
  <si>
    <t>08.07.2025</t>
  </si>
  <si>
    <t>FD02025000000866</t>
  </si>
  <si>
    <t>RE02025000000997</t>
  </si>
  <si>
    <t xml:space="preserve">Termal Etiket 40x20 </t>
  </si>
  <si>
    <t>FD02025000000817</t>
  </si>
  <si>
    <t>RE02025000000945</t>
  </si>
  <si>
    <t>Personel  Servis  16 Temmuz Büyük Araç (30 Kişilik)</t>
  </si>
  <si>
    <t>RE02025000000994</t>
  </si>
  <si>
    <t>Personel  Servis  17 Temmuz Küçük Araç (19 Kişilik)</t>
  </si>
  <si>
    <t>FD02025000000832</t>
  </si>
  <si>
    <t>RE02025000000972</t>
  </si>
  <si>
    <t>09.07.2025</t>
  </si>
  <si>
    <t>RE02025000000960</t>
  </si>
  <si>
    <t>RE02025000000961</t>
  </si>
  <si>
    <t>FD02025000000811</t>
  </si>
  <si>
    <t>RE02025000000946</t>
  </si>
  <si>
    <t xml:space="preserve">Etiket Sökücü </t>
  </si>
  <si>
    <t>RE02025000000998</t>
  </si>
  <si>
    <t>FD02025000000815</t>
  </si>
  <si>
    <t>RE02025000000947</t>
  </si>
  <si>
    <t>FD02025000000816</t>
  </si>
  <si>
    <t>RE02025000000948</t>
  </si>
  <si>
    <t>FD02025000000821</t>
  </si>
  <si>
    <t>RE02025000000949</t>
  </si>
  <si>
    <t>FD02025000000820</t>
  </si>
  <si>
    <t>RE02025000000950</t>
  </si>
  <si>
    <t>KAdem Karadoğan</t>
  </si>
  <si>
    <t>FD02025000000819</t>
  </si>
  <si>
    <t>RE02025000000951</t>
  </si>
  <si>
    <t>FD02025000000824</t>
  </si>
  <si>
    <t>RE02025000000952</t>
  </si>
  <si>
    <t>FD02025000000825</t>
  </si>
  <si>
    <t>RE02025000000953</t>
  </si>
  <si>
    <t>FD02025000000829</t>
  </si>
  <si>
    <t>RE02025000000956</t>
  </si>
  <si>
    <t>FD02025000000826</t>
  </si>
  <si>
    <t>RE02025000000954</t>
  </si>
  <si>
    <t>10.07.2025</t>
  </si>
  <si>
    <t>FD02025000000835</t>
  </si>
  <si>
    <t>RE02025000000964</t>
  </si>
  <si>
    <t>FD02025000000827</t>
  </si>
  <si>
    <t>RE02025000000962</t>
  </si>
  <si>
    <t>FD02025000000828</t>
  </si>
  <si>
    <t>RE02025000000963</t>
  </si>
  <si>
    <t>İsimlik (Pleksi Mıknatıslı)</t>
  </si>
  <si>
    <t>11.07.2025</t>
  </si>
  <si>
    <t>Timur Tarı</t>
  </si>
  <si>
    <t>Plastik Etiketliklik 100cm</t>
  </si>
  <si>
    <t>RE02025000001031</t>
  </si>
  <si>
    <t>Timur TArı</t>
  </si>
  <si>
    <t>RE02025000000973</t>
  </si>
  <si>
    <t>FD02025000000834</t>
  </si>
  <si>
    <t>RE02025000000965</t>
  </si>
  <si>
    <t>Plastik Cırt Kelepçe</t>
  </si>
  <si>
    <t>Bu Benim Kartı (100'lü)</t>
  </si>
  <si>
    <t>12.07.2025</t>
  </si>
  <si>
    <t>RE02025000000974</t>
  </si>
  <si>
    <t>T090</t>
  </si>
  <si>
    <t xml:space="preserve">Okan Özyurt </t>
  </si>
  <si>
    <t>RE02025000000986</t>
  </si>
  <si>
    <t>FD02025000000836</t>
  </si>
  <si>
    <t>RE02025000000966</t>
  </si>
  <si>
    <t>14.07.2025</t>
  </si>
  <si>
    <t>RE02025000000975</t>
  </si>
  <si>
    <t>Dijital Etiketlik</t>
  </si>
  <si>
    <t>FD02025000000853</t>
  </si>
  <si>
    <t>RE02025000000987</t>
  </si>
  <si>
    <t>FD02025000000812</t>
  </si>
  <si>
    <t>RE02025000000967</t>
  </si>
  <si>
    <t>PERŞEMBE</t>
  </si>
  <si>
    <t>RE02025000000976</t>
  </si>
  <si>
    <t>FD02025000000837</t>
  </si>
  <si>
    <t>RE02025000000968</t>
  </si>
  <si>
    <t>FD02025000000838</t>
  </si>
  <si>
    <t>RE02025000000977</t>
  </si>
  <si>
    <t>FD02025000000869</t>
  </si>
  <si>
    <t>RE02025000000999</t>
  </si>
  <si>
    <t>FD02025000000840</t>
  </si>
  <si>
    <t>RE02025000000969</t>
  </si>
  <si>
    <t>RE02025000000978</t>
  </si>
  <si>
    <t>Çelenk (Sedat Gürbüz Düğünü)</t>
  </si>
  <si>
    <t>RE02025000000970</t>
  </si>
  <si>
    <t>16.07.2025</t>
  </si>
  <si>
    <t>özel fiyat FD</t>
  </si>
  <si>
    <t>RE02025000000979</t>
  </si>
  <si>
    <t>Kaşe (detaylar Grupta Var)</t>
  </si>
  <si>
    <t>RE02025000000980</t>
  </si>
  <si>
    <t>İsimlik-Pleksi Mıknatıslı</t>
  </si>
  <si>
    <t>FD02025000000870</t>
  </si>
  <si>
    <t>RE02025000001000</t>
  </si>
  <si>
    <t>RE02025000000981</t>
  </si>
  <si>
    <t>RE02025000000982</t>
  </si>
  <si>
    <t>17.07.2025</t>
  </si>
  <si>
    <t>FD02025000000854</t>
  </si>
  <si>
    <t>RE02025000000988</t>
  </si>
  <si>
    <t>FD02025000000875</t>
  </si>
  <si>
    <t>RE02025000001001</t>
  </si>
  <si>
    <t>Reyon BAriyeri 100cm Logolu</t>
  </si>
  <si>
    <t>FD02025000000855</t>
  </si>
  <si>
    <t>RE02025000000989</t>
  </si>
  <si>
    <t>İsimlik- Pleksi Mıknatıslı</t>
  </si>
  <si>
    <t>FD02025000000871</t>
  </si>
  <si>
    <t>RE02025000001002</t>
  </si>
  <si>
    <t>FD02025000000856</t>
  </si>
  <si>
    <t>RE02025000000990</t>
  </si>
  <si>
    <t>Kırmızı Teşhir Nokta</t>
  </si>
  <si>
    <t>FD02025000000867</t>
  </si>
  <si>
    <t>RE02025000001003</t>
  </si>
  <si>
    <t>FD02025000000847</t>
  </si>
  <si>
    <t>RE02025000000991</t>
  </si>
  <si>
    <t>18.07.2025</t>
  </si>
  <si>
    <t>FD02025000000850</t>
  </si>
  <si>
    <t>RE02025000001004</t>
  </si>
  <si>
    <t>FD02025000000852</t>
  </si>
  <si>
    <t>RE02025000000992</t>
  </si>
  <si>
    <t>19.07.2025</t>
  </si>
  <si>
    <t>Muharrem Atalay</t>
  </si>
  <si>
    <t>Kulak içi kulaklık standı 125cm</t>
  </si>
  <si>
    <t>FD02025000000910</t>
  </si>
  <si>
    <t>RE02025000001059</t>
  </si>
  <si>
    <t xml:space="preserve">Muharrem Talay </t>
  </si>
  <si>
    <t>İstnabul</t>
  </si>
  <si>
    <t>RE02025000001005</t>
  </si>
  <si>
    <t>FD02025000000878</t>
  </si>
  <si>
    <t>RE02025000001030</t>
  </si>
  <si>
    <t>20.07.2025</t>
  </si>
  <si>
    <t>FD02025000000862</t>
  </si>
  <si>
    <t>RE02025000001006</t>
  </si>
  <si>
    <t>21.07.2025</t>
  </si>
  <si>
    <t>Bursa Kentmeydanı Mağazadan gönderilecek</t>
  </si>
  <si>
    <t>RE02025000001060</t>
  </si>
  <si>
    <t>FD02025000000876</t>
  </si>
  <si>
    <t>RE02025000001014</t>
  </si>
  <si>
    <t>FD02025000000949</t>
  </si>
  <si>
    <t>RE02025000001098</t>
  </si>
  <si>
    <t>RE02025000001099</t>
  </si>
  <si>
    <t>FD02025000000950</t>
  </si>
  <si>
    <t>RE02025000001100</t>
  </si>
  <si>
    <t>RE02025000001101</t>
  </si>
  <si>
    <t>RE02025000001008</t>
  </si>
  <si>
    <t>FD02025000000886</t>
  </si>
  <si>
    <t>RE12025000000009</t>
  </si>
  <si>
    <t>FD02025000000877</t>
  </si>
  <si>
    <t>RE02025000001028</t>
  </si>
  <si>
    <t>FD02025000000868</t>
  </si>
  <si>
    <t>RE02025000001007</t>
  </si>
  <si>
    <t>RE02025000001015</t>
  </si>
  <si>
    <t>Kartvizit (Fulden kaplan)</t>
  </si>
  <si>
    <t>FD02025000000917</t>
  </si>
  <si>
    <t>RE02025000001071</t>
  </si>
  <si>
    <t>Dijital Baskı (Yer Laminasyonu)</t>
  </si>
  <si>
    <t>RE02025000001011</t>
  </si>
  <si>
    <t>22.07.2025</t>
  </si>
  <si>
    <t>RE02025000001009</t>
  </si>
  <si>
    <t>RE02025000001010</t>
  </si>
  <si>
    <t>Anteras</t>
  </si>
  <si>
    <t>Balok Kapı Süsleme (Stokları Boşaltıyoruz)</t>
  </si>
  <si>
    <t>RE02025000001016</t>
  </si>
  <si>
    <t>Balon Çiçek Süsleme (Stokları Boşaltıyoruz)</t>
  </si>
  <si>
    <t>Balon Kapı Süsleme (Stokları Boşaltıyoruz)</t>
  </si>
  <si>
    <t>RE02025000001012</t>
  </si>
  <si>
    <t>RE02025000001013</t>
  </si>
  <si>
    <t>RE02025000001017</t>
  </si>
  <si>
    <t>Balon KApı (Yarım Kapı) (Stokları Boşaltıyoruz)</t>
  </si>
  <si>
    <t>RE02025000001018</t>
  </si>
  <si>
    <t>T2025</t>
  </si>
  <si>
    <t>RE02025000001019</t>
  </si>
  <si>
    <t>Balon Totem (Stokları Boşaltıyoruz)</t>
  </si>
  <si>
    <t>RE02025000001020</t>
  </si>
  <si>
    <t>Muırat İlgün</t>
  </si>
  <si>
    <t>RE02025000001029</t>
  </si>
  <si>
    <t>Balon Kolon Süsleme (Stokları Boşaltıyoruz)</t>
  </si>
  <si>
    <t>RE02025000001021</t>
  </si>
  <si>
    <t>RE02025000001022</t>
  </si>
  <si>
    <t>Balon Kapı (Stokları Boşaltıyoruz)</t>
  </si>
  <si>
    <t>RE02025000001023</t>
  </si>
  <si>
    <t>RE02025000001027</t>
  </si>
  <si>
    <t>FD02025000000873</t>
  </si>
  <si>
    <t>RE02025000001024</t>
  </si>
  <si>
    <t>RE02025000001025</t>
  </si>
  <si>
    <t>23.07.2025</t>
  </si>
  <si>
    <t>FD02025000000885</t>
  </si>
  <si>
    <t>RE02025000001032</t>
  </si>
  <si>
    <t>RE02025000001033</t>
  </si>
  <si>
    <t>Hakan Koçoğlu</t>
  </si>
  <si>
    <t>Bunada İhtiyacın Olabilir Bantı</t>
  </si>
  <si>
    <t>RE02025000001026</t>
  </si>
  <si>
    <t>25.07.2025</t>
  </si>
  <si>
    <t>FD02025000000904</t>
  </si>
  <si>
    <t>RE02025000001056</t>
  </si>
  <si>
    <t>FD02025000000881</t>
  </si>
  <si>
    <t>RE02025000001034</t>
  </si>
  <si>
    <t>FD02025000000883</t>
  </si>
  <si>
    <t>RE02025000001057</t>
  </si>
  <si>
    <t>FD02025000000964</t>
  </si>
  <si>
    <t>RE02025000001102</t>
  </si>
  <si>
    <t>27.07.2025</t>
  </si>
  <si>
    <t>FD02025000000882</t>
  </si>
  <si>
    <t>RE02025000001035</t>
  </si>
  <si>
    <t>RE02025000001036</t>
  </si>
  <si>
    <t>28.07.2025</t>
  </si>
  <si>
    <t xml:space="preserve">Streç Film Şeffaf 50 cm 17 Mikron </t>
  </si>
  <si>
    <t>FD02025000000879</t>
  </si>
  <si>
    <t>RE02025000001037</t>
  </si>
  <si>
    <t>Çiçek (Sedat Demir)</t>
  </si>
  <si>
    <t>RE02025000001038</t>
  </si>
  <si>
    <t>Karaca Helenistik Kahve Fincanı</t>
  </si>
  <si>
    <t>RE02025000001061</t>
  </si>
  <si>
    <t>Paşabahçe Su Bardağı</t>
  </si>
  <si>
    <t>FD02025000000887</t>
  </si>
  <si>
    <t>RE02025000001039</t>
  </si>
  <si>
    <t>RE02025000001040</t>
  </si>
  <si>
    <t>29.07.2025</t>
  </si>
  <si>
    <t>A4Fotokopi Kağıdı 80g (1Koli 5 Paket)</t>
  </si>
  <si>
    <t>RE02025000001044</t>
  </si>
  <si>
    <t xml:space="preserve">Boyun Askısı Logolu </t>
  </si>
  <si>
    <t>FD02025000000909</t>
  </si>
  <si>
    <t>RE02025000001062</t>
  </si>
  <si>
    <t>RE02025000001045</t>
  </si>
  <si>
    <t>FD02025000000890</t>
  </si>
  <si>
    <t>RE02025000001046</t>
  </si>
  <si>
    <t>30.07.2025</t>
  </si>
  <si>
    <t>RE02025000001047</t>
  </si>
  <si>
    <t>İsimlik Personel İsimliği (30Satış Danışmanı-10Satış Takım Lideri-10İdari İşler Takım Lideri)</t>
  </si>
  <si>
    <t>FD02025000000901</t>
  </si>
  <si>
    <t>RE02025000001048</t>
  </si>
  <si>
    <t>FD02025000000893</t>
  </si>
  <si>
    <t>RE02025000001049</t>
  </si>
  <si>
    <t>31.07.2025</t>
  </si>
  <si>
    <t>FD02025000000894</t>
  </si>
  <si>
    <t>RE02025000001050</t>
  </si>
  <si>
    <t>FD02025000000895</t>
  </si>
  <si>
    <t>RE02025000001051</t>
  </si>
  <si>
    <t>RE02025000001052</t>
  </si>
  <si>
    <t>RE02025000001053</t>
  </si>
  <si>
    <t>FD02025000000900</t>
  </si>
  <si>
    <t>RE02025000001054</t>
  </si>
  <si>
    <t xml:space="preserve">Boru Profil 42mm x 340mm </t>
  </si>
  <si>
    <t>FD02025000000932</t>
  </si>
  <si>
    <t>RE02025000001086</t>
  </si>
  <si>
    <t xml:space="preserve">Boru Profil 42mm x 260mm </t>
  </si>
  <si>
    <t>01.10.2025</t>
  </si>
  <si>
    <t>Kargo Cebi 19x26 1500'lü</t>
  </si>
  <si>
    <t>RE02025000001287</t>
  </si>
  <si>
    <t>FD02025000001209</t>
  </si>
  <si>
    <t>RE02025000001374</t>
  </si>
  <si>
    <t>RE02025000001288</t>
  </si>
  <si>
    <t>RE02025000001276</t>
  </si>
  <si>
    <t>02.10.2025</t>
  </si>
  <si>
    <t xml:space="preserve">Spiralli Kablo </t>
  </si>
  <si>
    <t>FD02025000001105</t>
  </si>
  <si>
    <t>RE02025000001293</t>
  </si>
  <si>
    <t>Wieland 3'lü Grup Priz</t>
  </si>
  <si>
    <t>Pleksi L Tipi A4 Föylük</t>
  </si>
  <si>
    <t>FD02025000001117</t>
  </si>
  <si>
    <t>RE02025000001294</t>
  </si>
  <si>
    <t>RE02025000001295</t>
  </si>
  <si>
    <t>KG Etiketi (Detayları İleticem )</t>
  </si>
  <si>
    <t>FD02025000001113</t>
  </si>
  <si>
    <t>RE02025000001289</t>
  </si>
  <si>
    <t>FD02025000001097</t>
  </si>
  <si>
    <t>RE02025000001266</t>
  </si>
  <si>
    <t>FD02025000001098</t>
  </si>
  <si>
    <t>RE02025000001267</t>
  </si>
  <si>
    <t>03.10.2025</t>
  </si>
  <si>
    <t>FD02025000001142</t>
  </si>
  <si>
    <t>RE02025000001325</t>
  </si>
  <si>
    <t>FD02025000001099</t>
  </si>
  <si>
    <t>RE02025000001268</t>
  </si>
  <si>
    <t>RE02025000001277</t>
  </si>
  <si>
    <t>RE02025000001290</t>
  </si>
  <si>
    <t>Çiçek (Can KAra)</t>
  </si>
  <si>
    <t>RE02025000001278</t>
  </si>
  <si>
    <t>FD02025000001102</t>
  </si>
  <si>
    <t>RE02025000001279</t>
  </si>
  <si>
    <t>Yönetici Koltuğu</t>
  </si>
  <si>
    <t>fd sipariş</t>
  </si>
  <si>
    <t>FD02025000001210</t>
  </si>
  <si>
    <t>RE02025000001375</t>
  </si>
  <si>
    <t>Bunada İhtiyacın Olabilir Bant 220mm x 45mm PP Opak Etiket 5000 sarım</t>
  </si>
  <si>
    <t>FD02025000001104</t>
  </si>
  <si>
    <t>RE02025000001280</t>
  </si>
  <si>
    <t>05.10.2025</t>
  </si>
  <si>
    <t>Kartvizit (İlker Duman-Mert Can Karakaya)</t>
  </si>
  <si>
    <t>RE02025000001410</t>
  </si>
  <si>
    <t>İsimlik Personel İsimliği (2Satış Takım Lideri-2Teslimat Uzmanı-2Kasa Müşteri Hizmetleri Danışmanı-2Müşteri Hizmetleri Danışmanı)</t>
  </si>
  <si>
    <t>FD02025000001103</t>
  </si>
  <si>
    <t>RE02025000001281</t>
  </si>
  <si>
    <t xml:space="preserve">Nummberlik 1-50 Arası </t>
  </si>
  <si>
    <t>1-25 10 takım gidecek</t>
  </si>
  <si>
    <t xml:space="preserve">Numberlik 1-25 Arası </t>
  </si>
  <si>
    <t>FD02025000001184</t>
  </si>
  <si>
    <t>RE02025000001354</t>
  </si>
  <si>
    <t>06.10.2025</t>
  </si>
  <si>
    <t>Can Kara</t>
  </si>
  <si>
    <t>Kartvizit (Can Kara - Ali Dergah Kilis - Ömer Faruk Bezgin)</t>
  </si>
  <si>
    <t>RE02025000001411</t>
  </si>
  <si>
    <t>İsim Kaşesi (3 Can Kara- 3 Ali Dergah Kilis- 3 Ömer Faruk Bezgin)</t>
  </si>
  <si>
    <t>FD02025000001114</t>
  </si>
  <si>
    <t>RE02025000001296</t>
  </si>
  <si>
    <t>FD02025000001109</t>
  </si>
  <si>
    <t>RE02025000001282</t>
  </si>
  <si>
    <t>FD02025000001115</t>
  </si>
  <si>
    <t>RE02025000001297</t>
  </si>
  <si>
    <t>RE02025000001332</t>
  </si>
  <si>
    <t>RE02025000001333</t>
  </si>
  <si>
    <t>Görsel BAskı</t>
  </si>
  <si>
    <t>FD02025000001121</t>
  </si>
  <si>
    <t>RE02025000001298</t>
  </si>
  <si>
    <t>Pleksi Üzeri UV Baskı Vidalı 95x30  (Kurulum Onarım Ekran Koruma- Dizüstü Bilgisayarlar)</t>
  </si>
  <si>
    <t>FD02025000001129</t>
  </si>
  <si>
    <t>RE02025000001299</t>
  </si>
  <si>
    <t>Kartvizit (Engin İnceoğlu)</t>
  </si>
  <si>
    <t>RE02025000001412</t>
  </si>
  <si>
    <t>Logolu Koli Bandı (Şeffaf Üzeri Siyah()</t>
  </si>
  <si>
    <t>RE02025000001308</t>
  </si>
  <si>
    <t>07.10.2025</t>
  </si>
  <si>
    <t>RE02025000001334</t>
  </si>
  <si>
    <t>FD02025000001122</t>
  </si>
  <si>
    <t>RE02025000001305</t>
  </si>
  <si>
    <t>FD02025000001123</t>
  </si>
  <si>
    <t>RE02025000001300</t>
  </si>
  <si>
    <t>RE02025000001413</t>
  </si>
  <si>
    <t>FD02025000001124</t>
  </si>
  <si>
    <t>RE02025000001291</t>
  </si>
  <si>
    <t>08.10.2025</t>
  </si>
  <si>
    <t>Raf Bariyeri 125cm</t>
  </si>
  <si>
    <t>FD02025000001131</t>
  </si>
  <si>
    <t>RE02025000001301</t>
  </si>
  <si>
    <t>Raf Bariyeri 100cm</t>
  </si>
  <si>
    <t>FD02025000001171</t>
  </si>
  <si>
    <t>RE02025000001335</t>
  </si>
  <si>
    <t>FD02025000001130</t>
  </si>
  <si>
    <t>RE02025000001340</t>
  </si>
  <si>
    <t>RE02025000001341</t>
  </si>
  <si>
    <t>RE02025000001303</t>
  </si>
  <si>
    <t>09.10.2025</t>
  </si>
  <si>
    <t>T041</t>
  </si>
  <si>
    <t>Point Bornova</t>
  </si>
  <si>
    <t>Serkan Olukçu</t>
  </si>
  <si>
    <t>RE02025000001336</t>
  </si>
  <si>
    <t>İkbal Aydın</t>
  </si>
  <si>
    <t>Tost Makinesi Ayıracı</t>
  </si>
  <si>
    <t>FD02025000001172</t>
  </si>
  <si>
    <t>RE02025000001342</t>
  </si>
  <si>
    <t>10.10.2025</t>
  </si>
  <si>
    <t>FD02025000001134</t>
  </si>
  <si>
    <t>RE02025000001309</t>
  </si>
  <si>
    <t>Dijital Etiket Ayağı 80mm x 44mm</t>
  </si>
  <si>
    <t>FD02025000001135</t>
  </si>
  <si>
    <t>RE02025000001319</t>
  </si>
  <si>
    <t>FD02025000001141</t>
  </si>
  <si>
    <t>RE02025000001310</t>
  </si>
  <si>
    <t>FD02025000001136</t>
  </si>
  <si>
    <t>RE02025000001326</t>
  </si>
  <si>
    <t>Güvenlik Etiketi 4,5cm  1000'li</t>
  </si>
  <si>
    <t>FD02025000001137</t>
  </si>
  <si>
    <t>RE02025000001311</t>
  </si>
  <si>
    <t>Süngerli Taşıma Bantı 60cm</t>
  </si>
  <si>
    <t>FD02025000001297</t>
  </si>
  <si>
    <t>RE02025000001477</t>
  </si>
  <si>
    <t>FD02025000001341</t>
  </si>
  <si>
    <t>FD02025000001147</t>
  </si>
  <si>
    <t>RE02025000001316</t>
  </si>
  <si>
    <t xml:space="preserve">İsimlik  Personel isimliği </t>
  </si>
  <si>
    <t>Figen Toylukar</t>
  </si>
  <si>
    <t>Patago Tutucusu PVC</t>
  </si>
  <si>
    <t>FD02025000001148</t>
  </si>
  <si>
    <t>RE02025000001312</t>
  </si>
  <si>
    <t>FD02025000001140</t>
  </si>
  <si>
    <t>RE02025000001327</t>
  </si>
  <si>
    <t>11.10.2025</t>
  </si>
  <si>
    <t>Munise Kuzgun</t>
  </si>
  <si>
    <t>FD02025000001139</t>
  </si>
  <si>
    <t>RE02025000001317</t>
  </si>
  <si>
    <t>RE02025000001343</t>
  </si>
  <si>
    <t>13.10.2025</t>
  </si>
  <si>
    <t>RE02025000001414</t>
  </si>
  <si>
    <t>FD02025000001173</t>
  </si>
  <si>
    <t>RE02025000001355</t>
  </si>
  <si>
    <t>FD02025000001155</t>
  </si>
  <si>
    <t>RE02025000001328</t>
  </si>
  <si>
    <t>FD02025000001166</t>
  </si>
  <si>
    <t>RE02025000001352</t>
  </si>
  <si>
    <t>RE02025000001356</t>
  </si>
  <si>
    <t>Kaşe İsim Kaşesi (Detayları gönderince ileticem)</t>
  </si>
  <si>
    <t>RE02025000001426</t>
  </si>
  <si>
    <t>Kaşe Cep Kaşesi (Detayları gönderince ileticem)</t>
  </si>
  <si>
    <t>14.10.2025</t>
  </si>
  <si>
    <t>izmit</t>
  </si>
  <si>
    <t>FD02025000001150</t>
  </si>
  <si>
    <t>RE02025000001318</t>
  </si>
  <si>
    <t>Güvenlik Etiketi 5,5cm  1000'li</t>
  </si>
  <si>
    <t>FD02025000001159</t>
  </si>
  <si>
    <t>RE02025000001320</t>
  </si>
  <si>
    <t xml:space="preserve">çorum </t>
  </si>
  <si>
    <t>Ahl Park</t>
  </si>
  <si>
    <t>Samsung Görsel Baskı</t>
  </si>
  <si>
    <t>RE02025000001324</t>
  </si>
  <si>
    <t>FD02025000001151</t>
  </si>
  <si>
    <t>RE02025000001313</t>
  </si>
  <si>
    <t>FD02025000001149</t>
  </si>
  <si>
    <t>RE02025000001321</t>
  </si>
  <si>
    <t>15.10.2025</t>
  </si>
  <si>
    <t>T218</t>
  </si>
  <si>
    <t>Elazığ</t>
  </si>
  <si>
    <t>Gamze Şerbet</t>
  </si>
  <si>
    <t>Fön Makinesi Tutucusu</t>
  </si>
  <si>
    <t>FD02025000001156</t>
  </si>
  <si>
    <t>RE02025000001322</t>
  </si>
  <si>
    <t>Saç Düzleştirici Tutucusu</t>
  </si>
  <si>
    <t>FD02025000001211</t>
  </si>
  <si>
    <t>RE02025000001376</t>
  </si>
  <si>
    <t>Berkay Kara</t>
  </si>
  <si>
    <t>FD02025000001201</t>
  </si>
  <si>
    <t>RE02025000001415</t>
  </si>
  <si>
    <t>FD02025000001153</t>
  </si>
  <si>
    <t>RE02025000001329</t>
  </si>
  <si>
    <t>Numberlink</t>
  </si>
  <si>
    <t>RE02025000001344</t>
  </si>
  <si>
    <t xml:space="preserve">Kırmızı teşhir etiketi </t>
  </si>
  <si>
    <t>İsimlik Promotör isimliği pelksi mıknatıslı</t>
  </si>
  <si>
    <t>Buse Yolalan</t>
  </si>
  <si>
    <t>FD02025000001161</t>
  </si>
  <si>
    <t>RE02025000001330</t>
  </si>
  <si>
    <t>Hiltown</t>
  </si>
  <si>
    <t xml:space="preserve">Güvenlik etiketi  4,5cm </t>
  </si>
  <si>
    <t>adet</t>
  </si>
  <si>
    <t>RE02025000001345</t>
  </si>
  <si>
    <t>Personel isimliği ( detayları yazalım)</t>
  </si>
  <si>
    <t xml:space="preserve">Promotör İsimliği </t>
  </si>
  <si>
    <t xml:space="preserve">ağıt alarm </t>
  </si>
  <si>
    <t>16.10.2025</t>
  </si>
  <si>
    <t>FD02025000001174</t>
  </si>
  <si>
    <t>RE02025000001357</t>
  </si>
  <si>
    <t>T003</t>
  </si>
  <si>
    <t>FD02025000001163</t>
  </si>
  <si>
    <t>RE02025000001331</t>
  </si>
  <si>
    <t>FD02025000001164</t>
  </si>
  <si>
    <t>RE02025000001337</t>
  </si>
  <si>
    <t>Pleksi Mıknatıslı Fotoğraflığı 10x15</t>
  </si>
  <si>
    <t>FD02025000001165</t>
  </si>
  <si>
    <t>RE02025000001338</t>
  </si>
  <si>
    <t>FD02025000001185</t>
  </si>
  <si>
    <t>RE02025000001358</t>
  </si>
  <si>
    <t>17.10.2025</t>
  </si>
  <si>
    <t>İsimlik Personel İsimliği - 20 Satış Danışmanı-</t>
  </si>
  <si>
    <t>FD02025000001186</t>
  </si>
  <si>
    <t>RE02025000001359</t>
  </si>
  <si>
    <t>Zemin Platform Oyunu Koltuğu Alanı 250cm x 120cm</t>
  </si>
  <si>
    <t>RE02025000001509</t>
  </si>
  <si>
    <t>RE02025000001510</t>
  </si>
  <si>
    <t>A7 PVC Etiket (Alkış Alanlar Formatında)</t>
  </si>
  <si>
    <t>FD02025000001283</t>
  </si>
  <si>
    <t>RE02025000001470</t>
  </si>
  <si>
    <t>RE02025000001368</t>
  </si>
  <si>
    <t>Laminasyonlu yer folyosu 100x200cm</t>
  </si>
  <si>
    <t>FD02025000001187</t>
  </si>
  <si>
    <t>RE02025000001377</t>
  </si>
  <si>
    <t xml:space="preserve">Folyo Uygulama </t>
  </si>
  <si>
    <t>RE02025000001346</t>
  </si>
  <si>
    <t>60*85 kauçuk paspas</t>
  </si>
  <si>
    <t>FD02025000001167</t>
  </si>
  <si>
    <t>RE02025000001347</t>
  </si>
  <si>
    <t>Baskılı balon+ çubuk</t>
  </si>
  <si>
    <t>FD02025000001181</t>
  </si>
  <si>
    <t>RE02025000001360</t>
  </si>
  <si>
    <t>19.10.2025</t>
  </si>
  <si>
    <t>FD02025000001175</t>
  </si>
  <si>
    <t>RE02025000001348</t>
  </si>
  <si>
    <t>FD02025000001176</t>
  </si>
  <si>
    <t>RE02025000001349</t>
  </si>
  <si>
    <t>20.10.2025</t>
  </si>
  <si>
    <t>FD02025000001177</t>
  </si>
  <si>
    <t>RE02025000001378</t>
  </si>
  <si>
    <t>Plastik Kartlık (Bu Benim Kartı İçin )</t>
  </si>
  <si>
    <t>FD02025000001188</t>
  </si>
  <si>
    <t>RE02025000001369</t>
  </si>
  <si>
    <t>FD02025000001198</t>
  </si>
  <si>
    <t>RE02025000001379</t>
  </si>
  <si>
    <t>FD02025000001178</t>
  </si>
  <si>
    <t>RE02025000001350</t>
  </si>
  <si>
    <t>FD02025000001189</t>
  </si>
  <si>
    <t>RE02025000001380</t>
  </si>
  <si>
    <t xml:space="preserve">Aydın </t>
  </si>
  <si>
    <t>FD02025000001179</t>
  </si>
  <si>
    <t>RE02025000001353</t>
  </si>
  <si>
    <t>RE02025000001370</t>
  </si>
  <si>
    <t>Klima Askı Aparatı 100cm</t>
  </si>
  <si>
    <t>FD02025000001351</t>
  </si>
  <si>
    <t>RE02025000001555</t>
  </si>
  <si>
    <t>Klima Askı Aparatı 125cm</t>
  </si>
  <si>
    <t>FD02025000001234</t>
  </si>
  <si>
    <t>RE02025000001416</t>
  </si>
  <si>
    <t xml:space="preserve">Trump Towers </t>
  </si>
  <si>
    <t>FD02025000001236</t>
  </si>
  <si>
    <t>RE02025000001427</t>
  </si>
  <si>
    <t>Mıknatıslı A4 Pleksi (Fiyatı Teyit Edelim değişmiş olabilir uzun zamandır satılmıyor)</t>
  </si>
  <si>
    <t>FD02025000001267</t>
  </si>
  <si>
    <t>RE02025000001444</t>
  </si>
  <si>
    <t>ASKI ETIKETI HT345 (Patago Tutucu)</t>
  </si>
  <si>
    <t>FD02025000001190</t>
  </si>
  <si>
    <t>RE02025000001361</t>
  </si>
  <si>
    <t>Logolu Koli Bandı (siyah media markt yazılı)</t>
  </si>
  <si>
    <t>FD02025000001191</t>
  </si>
  <si>
    <t>RE02025000001362</t>
  </si>
  <si>
    <t>Laminasyon Filmi 65x95mm</t>
  </si>
  <si>
    <t>FD02025000001222</t>
  </si>
  <si>
    <t>RE02025000001381</t>
  </si>
  <si>
    <t>Ajanda İsim Baskılı ( Eyyüp Dağ)</t>
  </si>
  <si>
    <t>FD02025000001386</t>
  </si>
  <si>
    <t>21.10.2025</t>
  </si>
  <si>
    <t>Termal etiket 40x20mm 1000 Sarım</t>
  </si>
  <si>
    <t>FD02025000001192</t>
  </si>
  <si>
    <t>RE02025000001363</t>
  </si>
  <si>
    <t>Patago arka fon Kağıdı (flash bellek yazılı ) 13x18</t>
  </si>
  <si>
    <t>FD02025000001223</t>
  </si>
  <si>
    <t>RE02025000001417</t>
  </si>
  <si>
    <t>Dekota 88x60cm</t>
  </si>
  <si>
    <t>RE02025000001418</t>
  </si>
  <si>
    <t>Ajanda İsim Baskılı ( Engin İnceoğlu, Adem Terzi, Ömer Aydemir, Serhad Mataracı, Serkan Yılmaz, Özgür Özcan)</t>
  </si>
  <si>
    <t>FD02025000001377</t>
  </si>
  <si>
    <t>FD02025000001193</t>
  </si>
  <si>
    <t>RE02025000001364</t>
  </si>
  <si>
    <t>FD02025000001183</t>
  </si>
  <si>
    <t>RE02025000001365</t>
  </si>
  <si>
    <t>FD02025000001194</t>
  </si>
  <si>
    <t>RE02025000001382</t>
  </si>
  <si>
    <t>FD02025000001195</t>
  </si>
  <si>
    <t>RE02025000001366</t>
  </si>
  <si>
    <t>FD02025000001196</t>
  </si>
  <si>
    <t>RE02025000001383</t>
  </si>
  <si>
    <t>FD02025000001251</t>
  </si>
  <si>
    <t>RE02025000001445</t>
  </si>
  <si>
    <t>23.10.2025</t>
  </si>
  <si>
    <t>Fatih Özkan Soyyiğit</t>
  </si>
  <si>
    <t>FD02025000001252</t>
  </si>
  <si>
    <t>RE02025000001446</t>
  </si>
  <si>
    <t>Beyaz Eşya KG Etşketi 15x15</t>
  </si>
  <si>
    <t>FD02025000001220</t>
  </si>
  <si>
    <t>RE02025000001384</t>
  </si>
  <si>
    <t>Buna da İhtiyacın Olabilir Wobbler</t>
  </si>
  <si>
    <t>FD02025000001237</t>
  </si>
  <si>
    <t>RE02025000001428</t>
  </si>
  <si>
    <t>Fd</t>
  </si>
  <si>
    <t>FD02025000001197</t>
  </si>
  <si>
    <t>RE02025000001405</t>
  </si>
  <si>
    <t>Marmara forum</t>
  </si>
  <si>
    <t>Bahadır KAYA</t>
  </si>
  <si>
    <t>A5 Rondo</t>
  </si>
  <si>
    <t>FD02025000001200</t>
  </si>
  <si>
    <t>RE02025000001419</t>
  </si>
  <si>
    <t>Şükrü Koç</t>
  </si>
  <si>
    <t>FD02025000001217</t>
  </si>
  <si>
    <t>RE02025000001385</t>
  </si>
  <si>
    <t>FD02025000001199</t>
  </si>
  <si>
    <t>RE02025000001386</t>
  </si>
  <si>
    <t>FD02025000001254</t>
  </si>
  <si>
    <t>RE02025000001447</t>
  </si>
  <si>
    <t>24.10.2025</t>
  </si>
  <si>
    <t>FD02025000001227</t>
  </si>
  <si>
    <t>RE02025000001420</t>
  </si>
  <si>
    <t>25.10.2025</t>
  </si>
  <si>
    <t>RE02025000001387</t>
  </si>
  <si>
    <t>Baskı (Şerit-Kasa-Ayak)</t>
  </si>
  <si>
    <t>FD02025000001255</t>
  </si>
  <si>
    <t>RE02025000001466</t>
  </si>
  <si>
    <t>Plastik Cırt Kelepçe Beyaz 20cm</t>
  </si>
  <si>
    <t>FD02025000001219</t>
  </si>
  <si>
    <t>RE02025000001388</t>
  </si>
  <si>
    <t>FD02025000001238</t>
  </si>
  <si>
    <t>RE02025000001421</t>
  </si>
  <si>
    <t>25.20.2025</t>
  </si>
  <si>
    <t>MF</t>
  </si>
  <si>
    <t>FD02025000001204</t>
  </si>
  <si>
    <t>RE02025000001389</t>
  </si>
  <si>
    <t>27.10.2025</t>
  </si>
  <si>
    <t>FD02025000001218</t>
  </si>
  <si>
    <t>RE02025000001390</t>
  </si>
  <si>
    <t>FD02025000001215</t>
  </si>
  <si>
    <t>RE02025000001391</t>
  </si>
  <si>
    <t>FD02025000001205</t>
  </si>
  <si>
    <t>RE02025000001392</t>
  </si>
  <si>
    <t>FD02025000001212</t>
  </si>
  <si>
    <t>RE02025000001393</t>
  </si>
  <si>
    <t>FD02025000001213</t>
  </si>
  <si>
    <t>RE02025000001394</t>
  </si>
  <si>
    <t>RE02025000001397</t>
  </si>
  <si>
    <t>FD02025000001206</t>
  </si>
  <si>
    <t>RE02025000001395</t>
  </si>
  <si>
    <t>FD02025000001216</t>
  </si>
  <si>
    <t>RE02025000001396</t>
  </si>
  <si>
    <t>Kağıt ALarm Etiketiket 4x4 Barkodlu</t>
  </si>
  <si>
    <t>FD02025000001203</t>
  </si>
  <si>
    <t>RE02025000001398</t>
  </si>
  <si>
    <t>FD02025000001207</t>
  </si>
  <si>
    <t>RE02025000001399</t>
  </si>
  <si>
    <t>Kağıt ALarm Etiketi 4x4 Barkodlu</t>
  </si>
  <si>
    <t>Mf</t>
  </si>
  <si>
    <t>FD02025000001208</t>
  </si>
  <si>
    <t>RE02025000001400</t>
  </si>
  <si>
    <t>FD02025000001214</t>
  </si>
  <si>
    <t>RE02025000001401</t>
  </si>
  <si>
    <t>Varta Professional Lityum Pil</t>
  </si>
  <si>
    <t>ali teslim etti</t>
  </si>
  <si>
    <t>RE02025000001402</t>
  </si>
  <si>
    <t>29.10.2025</t>
  </si>
  <si>
    <t>FD02025000001256</t>
  </si>
  <si>
    <t>RE02025000001448</t>
  </si>
  <si>
    <t>RE02025000001471</t>
  </si>
  <si>
    <t>Kulakiçi Kulaklık Stantı Kilitli Menteşeli 125cm</t>
  </si>
  <si>
    <t>RE02025000001577</t>
  </si>
  <si>
    <t>z</t>
  </si>
  <si>
    <t>FD02025000001385</t>
  </si>
  <si>
    <t>RE02025000001576</t>
  </si>
  <si>
    <t>FD02025000001221</t>
  </si>
  <si>
    <t>RE02025000001403</t>
  </si>
  <si>
    <t>Kaşe ( Kombi Bakım Paketinden Vazgeçiyor )</t>
  </si>
  <si>
    <t>FD02025000001224</t>
  </si>
  <si>
    <t>RE02025000001406</t>
  </si>
  <si>
    <t>İsimlik Personel İsimliği ( Satış Danışmanı )</t>
  </si>
  <si>
    <t>Çelenk (Mehmet Kılıç)</t>
  </si>
  <si>
    <t>RE02025000001404</t>
  </si>
  <si>
    <t>30.10.2025</t>
  </si>
  <si>
    <t>Kaşe ( Detayları Ali Beye İlettim)</t>
  </si>
  <si>
    <t>RE02025000001429</t>
  </si>
  <si>
    <t xml:space="preserve">Pleksi raf Bariyeri 100cm </t>
  </si>
  <si>
    <t>FD02025000001257</t>
  </si>
  <si>
    <t>RE02025000001449</t>
  </si>
  <si>
    <t>RE02025000001407</t>
  </si>
  <si>
    <t>Balon Salkım</t>
  </si>
  <si>
    <t>RE02025000001422</t>
  </si>
  <si>
    <t>Murat Uzunoğlu</t>
  </si>
  <si>
    <t>Reyon Bariyeri 50x100</t>
  </si>
  <si>
    <t>RE02025000001423</t>
  </si>
  <si>
    <t>31.10.2025</t>
  </si>
  <si>
    <t>Kaşe (Dijital Poliçe Onaylanmıştır)</t>
  </si>
  <si>
    <t>FD02025000001239</t>
  </si>
  <si>
    <t>RE02025000001450</t>
  </si>
  <si>
    <t>RE02025000001408</t>
  </si>
  <si>
    <t>RE02025000001523</t>
  </si>
  <si>
    <t>tekrar kesildi</t>
  </si>
  <si>
    <t>T202</t>
  </si>
  <si>
    <t>FD02025000001240</t>
  </si>
  <si>
    <t>RE02025000001430</t>
  </si>
  <si>
    <t>Saç Şekillendirme Makinası Tutucusu</t>
  </si>
  <si>
    <t>T708</t>
  </si>
  <si>
    <t>RE02025000001424</t>
  </si>
  <si>
    <t>RE02025000001425</t>
  </si>
  <si>
    <t xml:space="preserve">Pleksi Raf Bariyeri 99cm </t>
  </si>
  <si>
    <t>FD02025000001277</t>
  </si>
  <si>
    <t>RE02025000001472</t>
  </si>
  <si>
    <t>FD02025000001241</t>
  </si>
  <si>
    <t>RE02025000001451</t>
  </si>
  <si>
    <t>FD02025000001260</t>
  </si>
  <si>
    <t>RE02025000001452</t>
  </si>
  <si>
    <t>Bahçeşehir  Migros</t>
  </si>
  <si>
    <t>FD02025000001261</t>
  </si>
  <si>
    <t>RE02025000001453</t>
  </si>
  <si>
    <t>RE02025000001454</t>
  </si>
  <si>
    <t>ıo</t>
  </si>
  <si>
    <t>Sipariş Numarası</t>
  </si>
  <si>
    <t>İrsaliye No</t>
  </si>
  <si>
    <t>Fatura No</t>
  </si>
  <si>
    <t>01.11.2025</t>
  </si>
  <si>
    <t>Sample Ürün</t>
  </si>
  <si>
    <t>RE02025000001431</t>
  </si>
  <si>
    <t>03.11.2025</t>
  </si>
  <si>
    <t>Balon Dikme</t>
  </si>
  <si>
    <t>RE02025000001432</t>
  </si>
  <si>
    <t>RE02025000001433</t>
  </si>
  <si>
    <t>RE02025000001434</t>
  </si>
  <si>
    <t>RE02025000001435</t>
  </si>
  <si>
    <t>RE02025000001436</t>
  </si>
  <si>
    <t>Kırmızı Teşhir Noktası</t>
  </si>
  <si>
    <t>FD02025000001338</t>
  </si>
  <si>
    <t>RE02025000001524</t>
  </si>
  <si>
    <t>FD02025000001262</t>
  </si>
  <si>
    <t>RE02025000001455</t>
  </si>
  <si>
    <t>Yer Zemin Laminasyon Baskı (Adım - Kasalar )</t>
  </si>
  <si>
    <t>FD02025000001348</t>
  </si>
  <si>
    <t>RE02025000001578</t>
  </si>
  <si>
    <t>Dekota BAskı 125x25 (Kurutma MAkinaları-Bulaşık Makinaları) BİLGİLER TEYİT EDİLECEK</t>
  </si>
  <si>
    <t>RE02025000001511</t>
  </si>
  <si>
    <t>FD02025000001242</t>
  </si>
  <si>
    <t>RE02025000001456</t>
  </si>
  <si>
    <t>Bunada İhtiyacın Olabilir Woobler</t>
  </si>
  <si>
    <t>FD02025000001243</t>
  </si>
  <si>
    <t>RE02025000001457</t>
  </si>
  <si>
    <t>Görsel Değişim KASA / MÜŞTERİ HİZMETLERİ</t>
  </si>
  <si>
    <t>Depo Kapısı Görsel Değişimi</t>
  </si>
  <si>
    <t xml:space="preserve">Mal Kabul Tabelası Değişimi </t>
  </si>
  <si>
    <t>Buse yolalan</t>
  </si>
  <si>
    <t>Promotor Yaka Kartı Bu Benim Kartı</t>
  </si>
  <si>
    <t>RE02025000001438</t>
  </si>
  <si>
    <t xml:space="preserve">logolu koli bandı şeffaf ( üzeri siyah) </t>
  </si>
  <si>
    <t>04.11.2025</t>
  </si>
  <si>
    <t>RE02025000001439</t>
  </si>
  <si>
    <t>RE02025000001458</t>
  </si>
  <si>
    <t>RE02025000001440</t>
  </si>
  <si>
    <t>RE02025000001441</t>
  </si>
  <si>
    <t>04.10.2025</t>
  </si>
  <si>
    <t xml:space="preserve"> Tavan askı teli kanca 40 cm lik </t>
  </si>
  <si>
    <t>RE02025000001442</t>
  </si>
  <si>
    <t>FD02025000001263</t>
  </si>
  <si>
    <t>RE02025000001459</t>
  </si>
  <si>
    <t>FD02025000001264</t>
  </si>
  <si>
    <t>RE02025000001460</t>
  </si>
  <si>
    <t>Askı Etiketi HT 345 Patago Tutucu</t>
  </si>
  <si>
    <t>FD02025000001265</t>
  </si>
  <si>
    <t>RE02025000001461</t>
  </si>
  <si>
    <t>FD02025000001422</t>
  </si>
  <si>
    <t>RE02025000001621</t>
  </si>
  <si>
    <t>05.11.2025</t>
  </si>
  <si>
    <t>FD02025000001266</t>
  </si>
  <si>
    <t>RE02025000001462</t>
  </si>
  <si>
    <t>Logolu Koli Bandı (Şeffaf Üzeri Siyah)</t>
  </si>
  <si>
    <t>06.11.2025</t>
  </si>
  <si>
    <t>FD02025000001298</t>
  </si>
  <si>
    <t>RE02025000001478</t>
  </si>
  <si>
    <t>Murat Akar</t>
  </si>
  <si>
    <t>FD02025000001296</t>
  </si>
  <si>
    <t>RE02025000001479</t>
  </si>
  <si>
    <t>KAşe İsim Kaşesi (Teslimat Uzmanı Süleyman YILMAZ - Depo Görevlisi Murat Akar)</t>
  </si>
  <si>
    <t>FD02025000001278</t>
  </si>
  <si>
    <t>RE02025000001480</t>
  </si>
  <si>
    <t>FD02025000001268</t>
  </si>
  <si>
    <t>RE02025000001463</t>
  </si>
  <si>
    <t>FD02025000001269</t>
  </si>
  <si>
    <t>RE02025000001464</t>
  </si>
  <si>
    <t>07.11.2025</t>
  </si>
  <si>
    <t xml:space="preserve">Pleksi Föylük A4 </t>
  </si>
  <si>
    <t>RE02025000001465</t>
  </si>
  <si>
    <t>Turgay Kara</t>
  </si>
  <si>
    <t>FD02025000001299</t>
  </si>
  <si>
    <t>RE02025000001481</t>
  </si>
  <si>
    <t>T079</t>
  </si>
  <si>
    <t>Ahmet Mergen</t>
  </si>
  <si>
    <t>A4 L Tipi Föylük</t>
  </si>
  <si>
    <t>FD02025000001272</t>
  </si>
  <si>
    <t>RE02025000001467</t>
  </si>
  <si>
    <t>RE02025000001468</t>
  </si>
  <si>
    <t>Kurumsal Defter  (**BEDELSİZ GÖNDERİLECEK** )</t>
  </si>
  <si>
    <t>FD02025000001308</t>
  </si>
  <si>
    <t>KESİLMEYCEK</t>
  </si>
  <si>
    <t>08.11.2025</t>
  </si>
  <si>
    <t>FD02025000001279</t>
  </si>
  <si>
    <t>RE02025000001482</t>
  </si>
  <si>
    <t>İsimli Personel İsimliği (Satış Danışmanı)</t>
  </si>
  <si>
    <t>10.11.2025</t>
  </si>
  <si>
    <t>FD02025000001281</t>
  </si>
  <si>
    <t>RE02025000001483</t>
  </si>
  <si>
    <t>FD02025000001282</t>
  </si>
  <si>
    <t>RE02025000001484</t>
  </si>
  <si>
    <t>FD02025000001325</t>
  </si>
  <si>
    <t>RE02025000001525</t>
  </si>
  <si>
    <t>Samet Kara</t>
  </si>
  <si>
    <t>Oyuncu Koltuğu Alanı</t>
  </si>
  <si>
    <t>RE02025000001512</t>
  </si>
  <si>
    <t>Kağıthane Axis AVM</t>
  </si>
  <si>
    <t>Burçin hanım</t>
  </si>
  <si>
    <t>Kağıt Alarm Etiketi  4x4cm</t>
  </si>
  <si>
    <t>FD02025000001273</t>
  </si>
  <si>
    <t>RE02025000001485</t>
  </si>
  <si>
    <t>T212</t>
  </si>
  <si>
    <t>MM Maltepe park</t>
  </si>
  <si>
    <t>Ceyhan hanım</t>
  </si>
  <si>
    <t>FD02025000001274</t>
  </si>
  <si>
    <t>RE02025000001486</t>
  </si>
  <si>
    <t>FD02025000001340</t>
  </si>
  <si>
    <t>RE02025000001541</t>
  </si>
  <si>
    <t>FD02025000001275</t>
  </si>
  <si>
    <t>RE02025000001487</t>
  </si>
  <si>
    <t>RE02025000001488</t>
  </si>
  <si>
    <t>RE02025000001526</t>
  </si>
  <si>
    <t>Dekota Baskı 15.3x99.7 ( Islak - Kuru Temizleme )</t>
  </si>
  <si>
    <t>FD02025000001326</t>
  </si>
  <si>
    <t>RE02025000001527</t>
  </si>
  <si>
    <t>11.11.2025</t>
  </si>
  <si>
    <t>60 Cm Sünger Bant</t>
  </si>
  <si>
    <t>FD02025000001307</t>
  </si>
  <si>
    <t>RE02025000001489</t>
  </si>
  <si>
    <t>FD02025000001342</t>
  </si>
  <si>
    <t>RE02025000001542</t>
  </si>
  <si>
    <t>150cm x 250cm Folyo baskı + Uygulama</t>
  </si>
  <si>
    <t>RE02025000001499</t>
  </si>
  <si>
    <t xml:space="preserve">Balonlu Naylon </t>
  </si>
  <si>
    <t>FD02025000001305</t>
  </si>
  <si>
    <t>RE02025000001490</t>
  </si>
  <si>
    <t>T001</t>
  </si>
  <si>
    <t>Özlem Fettahoğlu</t>
  </si>
  <si>
    <t>FD02025000001300</t>
  </si>
  <si>
    <t>RE02025000001500</t>
  </si>
  <si>
    <t>12.11.2025</t>
  </si>
  <si>
    <t>FD02025000001301</t>
  </si>
  <si>
    <t>RE02025000001501</t>
  </si>
  <si>
    <t>FD02025000001280</t>
  </si>
  <si>
    <t>RE02025000001491</t>
  </si>
  <si>
    <t>Şeffaf Koli Bantı Logosuz</t>
  </si>
  <si>
    <t>FD02025000001339</t>
  </si>
  <si>
    <t>RE02025000001528</t>
  </si>
  <si>
    <t>Logolu Koli Bantı ( Siyah Logolu)</t>
  </si>
  <si>
    <t>13.11.2025</t>
  </si>
  <si>
    <t>FD02025000001287</t>
  </si>
  <si>
    <t>RE02025000001473</t>
  </si>
  <si>
    <t>Logolu Baza 80x80x20</t>
  </si>
  <si>
    <t>RE02025000001513</t>
  </si>
  <si>
    <t>NAtavega</t>
  </si>
  <si>
    <t>RE02025000001514</t>
  </si>
  <si>
    <t>14.11.2025</t>
  </si>
  <si>
    <t>FD02025000001309</t>
  </si>
  <si>
    <t>RE02025000001492</t>
  </si>
  <si>
    <t>FD02025000001334</t>
  </si>
  <si>
    <t>RE02025000001529</t>
  </si>
  <si>
    <t>FD02025000001302</t>
  </si>
  <si>
    <t>RE02025000001502</t>
  </si>
  <si>
    <t>FD02025000001294</t>
  </si>
  <si>
    <t>RE02025000001493</t>
  </si>
  <si>
    <t>Kağıt Alarm Etiketi  Barkodlu</t>
  </si>
  <si>
    <t>RE02025000001507</t>
  </si>
  <si>
    <t>15.11.2025</t>
  </si>
  <si>
    <t>Termal Etiket 100x100 500 Sarım (14 daha gönderilecek)</t>
  </si>
  <si>
    <t>FD02025000001290</t>
  </si>
  <si>
    <t>RE02025000001494</t>
  </si>
  <si>
    <t>FD02025000001291</t>
  </si>
  <si>
    <t>RE02025000001495</t>
  </si>
  <si>
    <t>Şeffaf bardak</t>
  </si>
  <si>
    <t>FD02025000001292</t>
  </si>
  <si>
    <t>RE02025000001496</t>
  </si>
  <si>
    <t>FD02025000001293</t>
  </si>
  <si>
    <t>RE02025000001497</t>
  </si>
  <si>
    <t>FD02025000001303</t>
  </si>
  <si>
    <t>RE02025000001515</t>
  </si>
  <si>
    <t>FD02025000001343</t>
  </si>
  <si>
    <t>RE02025000001543</t>
  </si>
  <si>
    <t>7,5 Kg EKO 150 LİK BALONLU NAYLON- 90 mt</t>
  </si>
  <si>
    <t>RE02025000001503</t>
  </si>
  <si>
    <t>RE02025000001504</t>
  </si>
  <si>
    <t>17.11.2025</t>
  </si>
  <si>
    <t>FD02025000001345</t>
  </si>
  <si>
    <t>RE02025000001544</t>
  </si>
  <si>
    <t>Dekota+Folyo BAskı ( Kasa Arkası)</t>
  </si>
  <si>
    <t>RE02025000001615</t>
  </si>
  <si>
    <t>FD02025000001295</t>
  </si>
  <si>
    <t>RE02025000001498</t>
  </si>
  <si>
    <t>İsimlik Personel İsimliği (Boş Olucak sadece Logo Olucak)</t>
  </si>
  <si>
    <t>FD02025000001327</t>
  </si>
  <si>
    <t>RE02025000001530</t>
  </si>
  <si>
    <t>MM Zorlu Center</t>
  </si>
  <si>
    <t>Kağıt Alarm Etiketi 4x4cm Barkodlu</t>
  </si>
  <si>
    <t>FD02025000001315</t>
  </si>
  <si>
    <t>RE02025000001516</t>
  </si>
  <si>
    <t>18.11.2025</t>
  </si>
  <si>
    <t>RE02025000001517</t>
  </si>
  <si>
    <t>T048</t>
  </si>
  <si>
    <t>Kulesite</t>
  </si>
  <si>
    <t>Sami Kamacı</t>
  </si>
  <si>
    <t>Diital Etiket Ayağı</t>
  </si>
  <si>
    <t>FD02025000001311</t>
  </si>
  <si>
    <t>RE02025000001505</t>
  </si>
  <si>
    <t>Bahçeşehir</t>
  </si>
  <si>
    <t>RE02025000001571</t>
  </si>
  <si>
    <t>FD02025000001423</t>
  </si>
  <si>
    <t>RE02025000001616</t>
  </si>
  <si>
    <t>TELESKOPİK YAYLI ÇERÇEVE SETİ KIRMIZI</t>
  </si>
  <si>
    <t>FD02025000001352</t>
  </si>
  <si>
    <t>RE02025000001545</t>
  </si>
  <si>
    <t>FD02025000001430</t>
  </si>
  <si>
    <t>RE02025000001617</t>
  </si>
  <si>
    <t>Trump Towers</t>
  </si>
  <si>
    <t>FD02025000001346</t>
  </si>
  <si>
    <t>RE02025000001546</t>
  </si>
  <si>
    <t>19.11.2025</t>
  </si>
  <si>
    <t>Kartvizit (Yağız Acal, Hidayet Kurt)</t>
  </si>
  <si>
    <t>FD02025000001355</t>
  </si>
  <si>
    <t>RE02025000001547</t>
  </si>
  <si>
    <t>Çift Taraflı Bant Büyük boy</t>
  </si>
  <si>
    <t>RE02025000001506</t>
  </si>
  <si>
    <t>Çift Taraflı Bant (1Koli 60 Adet)</t>
  </si>
  <si>
    <t>Termal Etiketi 40x20 1000 Sarım</t>
  </si>
  <si>
    <t>FD02025000001312</t>
  </si>
  <si>
    <t>RE02025000001508</t>
  </si>
  <si>
    <t>RE02025000001518</t>
  </si>
  <si>
    <t>20.11.2025</t>
  </si>
  <si>
    <t>FD02025000001354</t>
  </si>
  <si>
    <t>RE02025000001548</t>
  </si>
  <si>
    <t>FD02025000001376</t>
  </si>
  <si>
    <t>RE02025000001572</t>
  </si>
  <si>
    <t xml:space="preserve">Pleksi Raf Bariyeri 125cm </t>
  </si>
  <si>
    <t>FD02025000001313</t>
  </si>
  <si>
    <t>RE02025000001519</t>
  </si>
  <si>
    <t>Kaşe Tarihli Kaşe</t>
  </si>
  <si>
    <t>FD02025000001328</t>
  </si>
  <si>
    <t>RE02025000001531</t>
  </si>
  <si>
    <t>21.11.2025</t>
  </si>
  <si>
    <t>RE02025000001520</t>
  </si>
  <si>
    <t>RE02025000001556</t>
  </si>
  <si>
    <t>Logolu Balon Çubuğu</t>
  </si>
  <si>
    <t>FD02025000001316</t>
  </si>
  <si>
    <t>RE02025000001521</t>
  </si>
  <si>
    <t>FD02025000001314</t>
  </si>
  <si>
    <t>RE02025000001532</t>
  </si>
  <si>
    <t>RE02025000001559</t>
  </si>
  <si>
    <t>FD02025000001335</t>
  </si>
  <si>
    <t>RE02025000001533</t>
  </si>
  <si>
    <t>FD02025000001424</t>
  </si>
  <si>
    <t>RE02025000001618</t>
  </si>
  <si>
    <t>FD02025000001329</t>
  </si>
  <si>
    <t>RE02025000001534</t>
  </si>
  <si>
    <t>22.11.2025</t>
  </si>
  <si>
    <t>RE02025000001535</t>
  </si>
  <si>
    <t>FD02025000001330</t>
  </si>
  <si>
    <t>RE02025000001536</t>
  </si>
  <si>
    <t>24.11.2025</t>
  </si>
  <si>
    <t>Dijital Etiket Kutusu Kapaklı&amp;Kilitli</t>
  </si>
  <si>
    <t>RE02025000001549</t>
  </si>
  <si>
    <t>RE02025000001573</t>
  </si>
  <si>
    <t>Fatih Soykan</t>
  </si>
  <si>
    <t>FD02025000001331</t>
  </si>
  <si>
    <t>RE02025000001537</t>
  </si>
  <si>
    <t>RE02025000001550</t>
  </si>
  <si>
    <t>Lightbox Baski</t>
  </si>
  <si>
    <t>FD02025000001332</t>
  </si>
  <si>
    <t>RE02025000001538</t>
  </si>
  <si>
    <t>25.11.2025</t>
  </si>
  <si>
    <t>Çift taraflı bant</t>
  </si>
  <si>
    <t>FD02025000001337</t>
  </si>
  <si>
    <t>RE02025000001539</t>
  </si>
  <si>
    <t>FD02025000001347</t>
  </si>
  <si>
    <t>RE02025000001551</t>
  </si>
  <si>
    <t>İsimlik Personel İsimliği (Selma K. Güvenlik Amiri)</t>
  </si>
  <si>
    <t>FD02025000001363</t>
  </si>
  <si>
    <t>RE02025000001579</t>
  </si>
  <si>
    <t>Metrogarden</t>
  </si>
  <si>
    <t>Özkan Yıldız</t>
  </si>
  <si>
    <t>Logolu Baza (Ölçü Detayları Mesajda)</t>
  </si>
  <si>
    <t>RE02025000001580</t>
  </si>
  <si>
    <t xml:space="preserve">7 adet kesildi </t>
  </si>
  <si>
    <t>RE02026000000002</t>
  </si>
  <si>
    <t>26.11.2025</t>
  </si>
  <si>
    <t>RE02025000001574</t>
  </si>
  <si>
    <t>T092</t>
  </si>
  <si>
    <t>Koray Yeşilay</t>
  </si>
  <si>
    <t>erhan</t>
  </si>
  <si>
    <t>RE02025000001552</t>
  </si>
  <si>
    <t>27.11.2025</t>
  </si>
  <si>
    <t>stok yok</t>
  </si>
  <si>
    <t>FD02025000001387</t>
  </si>
  <si>
    <t>FD02025000001349</t>
  </si>
  <si>
    <t>RE02025000001557</t>
  </si>
  <si>
    <t>FD02025000001418</t>
  </si>
  <si>
    <t>RE02025000001619</t>
  </si>
  <si>
    <t>28.11.2025</t>
  </si>
  <si>
    <t>RE32025000000003</t>
  </si>
  <si>
    <t>√FD02025000001389</t>
  </si>
  <si>
    <t>Dolap Kilit</t>
  </si>
  <si>
    <t>Bu Benim Karti</t>
  </si>
  <si>
    <t>FD02025000001357</t>
  </si>
  <si>
    <t>RE02025000001553</t>
  </si>
  <si>
    <t>MAĞAZA KODLARI</t>
  </si>
  <si>
    <t>Palm City</t>
  </si>
  <si>
    <t>RE02025000001554</t>
  </si>
  <si>
    <t>FD02025000001425</t>
  </si>
  <si>
    <t>RE02025000001620</t>
  </si>
  <si>
    <t>tro</t>
  </si>
  <si>
    <t>Sevk Durumu</t>
  </si>
  <si>
    <t>01.12.2025</t>
  </si>
  <si>
    <t>Mustafa Bekçi</t>
  </si>
  <si>
    <t>Ali</t>
  </si>
  <si>
    <t>FD02025000001429</t>
  </si>
  <si>
    <t>RE02025000001596</t>
  </si>
  <si>
    <t>Mihriban</t>
  </si>
  <si>
    <t>FD02025000001364</t>
  </si>
  <si>
    <t>RE02025000001560</t>
  </si>
  <si>
    <t>Etiket Sökücü Spreyenerji</t>
  </si>
  <si>
    <t>FD02025000001365</t>
  </si>
  <si>
    <t>RE02025000001561</t>
  </si>
  <si>
    <t>FD02025000001366</t>
  </si>
  <si>
    <t>RE02025000001562</t>
  </si>
  <si>
    <t>Şeffaf Plastik Bardak</t>
  </si>
  <si>
    <t>FD02025000001367</t>
  </si>
  <si>
    <t>RE02025000001563</t>
  </si>
  <si>
    <t xml:space="preserve">Sepet Kenarı 98x65 </t>
  </si>
  <si>
    <t>FD02025000001402</t>
  </si>
  <si>
    <t>RE02025000001591</t>
  </si>
  <si>
    <t>Sepet Kenarı 118x65</t>
  </si>
  <si>
    <t>Sepet Kenarı 80x65</t>
  </si>
  <si>
    <t>Sepet Kenarı 84x65</t>
  </si>
  <si>
    <t>Sepet Kenarı 52x65</t>
  </si>
  <si>
    <t xml:space="preserve">Palet Kenarı 40x80 </t>
  </si>
  <si>
    <t>RE02025000001597</t>
  </si>
  <si>
    <t>02.12.2025</t>
  </si>
  <si>
    <t>FD02025000001405</t>
  </si>
  <si>
    <t>RE02025000001598</t>
  </si>
  <si>
    <t>Wieland Düz Kablo 2 Metre</t>
  </si>
  <si>
    <t>FD02025000001441</t>
  </si>
  <si>
    <t>RE02025000001622</t>
  </si>
  <si>
    <t>Wieland Düz Kablo 3 Metre</t>
  </si>
  <si>
    <t>1 adet daha gidecek</t>
  </si>
  <si>
    <t>3 KUTUPLU DİŞİ + ERKEK SOKET BEYAZ</t>
  </si>
  <si>
    <t>FD02025000001371</t>
  </si>
  <si>
    <t>RE02025000001564</t>
  </si>
  <si>
    <t>Berkay Ekdi</t>
  </si>
  <si>
    <t>FD02025000001372</t>
  </si>
  <si>
    <t>RE02025000001565</t>
  </si>
  <si>
    <t>Hilltown Mağazaya Gitmiş</t>
  </si>
  <si>
    <t>FD02025000001373</t>
  </si>
  <si>
    <t>RE02025000001592</t>
  </si>
  <si>
    <t>Mesut Kadan</t>
  </si>
  <si>
    <t>Logolu Koli Bantı (Kızılay Baskılı)</t>
  </si>
  <si>
    <t>RE02025000001677</t>
  </si>
  <si>
    <t>Tarihli Kaşe</t>
  </si>
  <si>
    <t>RE02025000001581</t>
  </si>
  <si>
    <t>03.12.2025</t>
  </si>
  <si>
    <t>FD02025000001374</t>
  </si>
  <si>
    <t>RE02025000001566</t>
  </si>
  <si>
    <t>RE02025000001567</t>
  </si>
  <si>
    <t>FD02025000001375</t>
  </si>
  <si>
    <t>RE02025000001582</t>
  </si>
  <si>
    <t>RE02025000001568</t>
  </si>
  <si>
    <t>FD02025000001378</t>
  </si>
  <si>
    <t>RE02025000001583</t>
  </si>
  <si>
    <t>İsimlik Promoltör İsimliği Pleksi Mıknatıslı</t>
  </si>
  <si>
    <t>04.12.2025</t>
  </si>
  <si>
    <t>RE02025000001569</t>
  </si>
  <si>
    <t>FD02025000001403</t>
  </si>
  <si>
    <t>RE02025000001599</t>
  </si>
  <si>
    <t>FD02025000001404</t>
  </si>
  <si>
    <t>RE02025000001600</t>
  </si>
  <si>
    <t>RE02025000001666</t>
  </si>
  <si>
    <t>RE02025000001570</t>
  </si>
  <si>
    <t>05.12.2025</t>
  </si>
  <si>
    <t>FD02025000001390</t>
  </si>
  <si>
    <t>RE02025000001584</t>
  </si>
  <si>
    <t>FD02025000001391</t>
  </si>
  <si>
    <t>RE02025000001585</t>
  </si>
  <si>
    <t>Mağaza Folyo Giydirme</t>
  </si>
  <si>
    <t>08.12.2025</t>
  </si>
  <si>
    <t>İsim Kaşesi ( Anıl Akdeniz)</t>
  </si>
  <si>
    <t>FD02025000001411</t>
  </si>
  <si>
    <t>RE02025000001601</t>
  </si>
  <si>
    <t>RE02025000001623</t>
  </si>
  <si>
    <t xml:space="preserve">Forum  </t>
  </si>
  <si>
    <t>RE02025000001602</t>
  </si>
  <si>
    <t>Koli Bantı Şeffaf Üzeri Siyah</t>
  </si>
  <si>
    <t>FD02025000001394</t>
  </si>
  <si>
    <t>RE02025000001586</t>
  </si>
  <si>
    <t>FD02025000001392</t>
  </si>
  <si>
    <t>RE02025000001587</t>
  </si>
  <si>
    <t>FD02025000001393</t>
  </si>
  <si>
    <t>RE02025000001588</t>
  </si>
  <si>
    <t xml:space="preserve">Pleksi Headset Kulaklık Askılığı </t>
  </si>
  <si>
    <t xml:space="preserve">kulak içi </t>
  </si>
  <si>
    <t>RE02025000001593</t>
  </si>
  <si>
    <t xml:space="preserve">İsim Kaşesi </t>
  </si>
  <si>
    <t>RE02025000001594</t>
  </si>
  <si>
    <t>Laminasyonlu  Folyo Uygulama 400cm x 120cm</t>
  </si>
  <si>
    <t>FD02025000001450</t>
  </si>
  <si>
    <t>RE02025000001674</t>
  </si>
  <si>
    <t>Tarih Kaşesi</t>
  </si>
  <si>
    <t>RE02025000001595</t>
  </si>
  <si>
    <t>Yiğit Küskü</t>
  </si>
  <si>
    <t>FD02025000001440</t>
  </si>
  <si>
    <t>RE02025000001624</t>
  </si>
  <si>
    <t>FD02025000001396</t>
  </si>
  <si>
    <t>RE02025000001590</t>
  </si>
  <si>
    <t>09.12.2025</t>
  </si>
  <si>
    <t>RE02025000001603</t>
  </si>
  <si>
    <t>FD02025000001397</t>
  </si>
  <si>
    <t>RE02025000001589</t>
  </si>
  <si>
    <t>FD02025000001406</t>
  </si>
  <si>
    <t>RE02025000001614</t>
  </si>
  <si>
    <t>fd</t>
  </si>
  <si>
    <t>RE02025000001625</t>
  </si>
  <si>
    <t>FD02025000001412</t>
  </si>
  <si>
    <t>RE02025000001604</t>
  </si>
  <si>
    <t xml:space="preserve">Mediamarkt Bayrağı Saten Tek Kat </t>
  </si>
  <si>
    <t>FD02025000001433</t>
  </si>
  <si>
    <t>RE02025000001638</t>
  </si>
  <si>
    <t>Logolu Baza 200x1,60x20cm</t>
  </si>
  <si>
    <t>Logolu Baza 80x80x20cm</t>
  </si>
  <si>
    <t>10.12.2025</t>
  </si>
  <si>
    <t>FD02025000001447</t>
  </si>
  <si>
    <t>RE02025000001636</t>
  </si>
  <si>
    <t>FD02025000001463</t>
  </si>
  <si>
    <t>RE02025000001653</t>
  </si>
  <si>
    <t>11.12.2025</t>
  </si>
  <si>
    <t>Berkay Alkım</t>
  </si>
  <si>
    <t>FD02025000001427</t>
  </si>
  <si>
    <t>RE02025000001605</t>
  </si>
  <si>
    <t>üretimde</t>
  </si>
  <si>
    <t>FD02025000001413</t>
  </si>
  <si>
    <t>RE02025000001606</t>
  </si>
  <si>
    <t>FD02025000001421</t>
  </si>
  <si>
    <t>RE02025000001607</t>
  </si>
  <si>
    <t xml:space="preserve">Marmara Forum </t>
  </si>
  <si>
    <t>TV güvelik Teli</t>
  </si>
  <si>
    <t>FD02025000001419</t>
  </si>
  <si>
    <t>RE02025000001608</t>
  </si>
  <si>
    <t>RE02025000001609</t>
  </si>
  <si>
    <t>12.12.2025</t>
  </si>
  <si>
    <t>Muzaffer türker</t>
  </si>
  <si>
    <t>Kapı Altı Rüzgar Önleyici Yalıtım Süngeri</t>
  </si>
  <si>
    <t>FD02025000001439</t>
  </si>
  <si>
    <t>RE02025000001626</t>
  </si>
  <si>
    <t>FD02025000001414</t>
  </si>
  <si>
    <t>RE02025000001610</t>
  </si>
  <si>
    <t>Personel İsimliği (10 Satış Danılmanı- 4 Kaşa Müiteri Hizmetleri))</t>
  </si>
  <si>
    <t xml:space="preserve">A3 Rondo Çerçeve </t>
  </si>
  <si>
    <t>Zorlu AVM</t>
  </si>
  <si>
    <t>Erdi ÜNAL</t>
  </si>
  <si>
    <t>FD02025000001470</t>
  </si>
  <si>
    <t>RE02025000001654</t>
  </si>
  <si>
    <t>5 ADET İRSALİYE KESİLMİŞ AYIRDIM</t>
  </si>
  <si>
    <t>RE02025000001675</t>
  </si>
  <si>
    <t>FD02025000001428</t>
  </si>
  <si>
    <t>RE02025000001611</t>
  </si>
  <si>
    <t>FD02025000001426</t>
  </si>
  <si>
    <t>RE02025000001612</t>
  </si>
  <si>
    <t>FD02025000001461</t>
  </si>
  <si>
    <t>RE02025000001639</t>
  </si>
  <si>
    <t>13.12.2025</t>
  </si>
  <si>
    <t>PVC ŞERİT PERDE KAPI</t>
  </si>
  <si>
    <t>RE02025000001637</t>
  </si>
  <si>
    <t>FD02025000001416</t>
  </si>
  <si>
    <t>RE02025000001613</t>
  </si>
  <si>
    <t>Apple Aksesuarları Patago Kartonu</t>
  </si>
  <si>
    <t>FD02025000001434</t>
  </si>
  <si>
    <t>RE02025000001627</t>
  </si>
  <si>
    <t>14.12.2025</t>
  </si>
  <si>
    <t>FD02025000001417</t>
  </si>
  <si>
    <t>RE02025000001640</t>
  </si>
  <si>
    <t>RE02025000001641</t>
  </si>
  <si>
    <t>FD02025000001435</t>
  </si>
  <si>
    <t>RE02025000001633</t>
  </si>
  <si>
    <t>Strech Film Şeffaf 50cm 17 Micron</t>
  </si>
  <si>
    <t>RE02025000001634</t>
  </si>
  <si>
    <t>FD02025000001436</t>
  </si>
  <si>
    <t>RE02025000001628</t>
  </si>
  <si>
    <t>17.12.2025</t>
  </si>
  <si>
    <t xml:space="preserve">Hilltown </t>
  </si>
  <si>
    <t>40x100x20 Ahşap Baza</t>
  </si>
  <si>
    <t>RE02025000001672</t>
  </si>
  <si>
    <t>Metropol İstanbul</t>
  </si>
  <si>
    <t>Ertug Bayraktâr</t>
  </si>
  <si>
    <t>60x100x20 Ahşap Baza</t>
  </si>
  <si>
    <t>RE02025000001673</t>
  </si>
  <si>
    <t>Kargo Cebi 19x26cm (1500Adet)</t>
  </si>
  <si>
    <t>FD02025000001452</t>
  </si>
  <si>
    <t>RE02025000001655</t>
  </si>
  <si>
    <t>Strech Film 50cm 17 Micron</t>
  </si>
  <si>
    <t>FD02025000001437</t>
  </si>
  <si>
    <t>RE02025000001629</t>
  </si>
  <si>
    <t>Şule Nur Duru</t>
  </si>
  <si>
    <t>RE02025000001642</t>
  </si>
  <si>
    <t>FD02025000001438</t>
  </si>
  <si>
    <t>RE02025000001630</t>
  </si>
  <si>
    <t>18.12.2025</t>
  </si>
  <si>
    <t>İsim Kaşesi ( Ömer Faruk Tunç)</t>
  </si>
  <si>
    <t>FD02025000001451</t>
  </si>
  <si>
    <t>RE02025000001643</t>
  </si>
  <si>
    <t>FD02025000001444</t>
  </si>
  <si>
    <t>RE02025000001631</t>
  </si>
  <si>
    <t>FD02025000001448</t>
  </si>
  <si>
    <t>RE02025000001644</t>
  </si>
  <si>
    <t>FD02025000001445</t>
  </si>
  <si>
    <t>RE02025000001632</t>
  </si>
  <si>
    <t>Şeyhmuz Filiz</t>
  </si>
  <si>
    <t xml:space="preserve"> Koltuğu Deneyim Alanı</t>
  </si>
  <si>
    <t>RE02025000001645</t>
  </si>
  <si>
    <t>FD02025000001446</t>
  </si>
  <si>
    <t>RE02025000001635</t>
  </si>
  <si>
    <t>FD02025000001465</t>
  </si>
  <si>
    <t>RE02025000001646</t>
  </si>
  <si>
    <t>RE02025000001647</t>
  </si>
  <si>
    <t>Promosyon Defter</t>
  </si>
  <si>
    <t>21.12.2025</t>
  </si>
  <si>
    <t>RE02025000001656</t>
  </si>
  <si>
    <t>19.12.2025</t>
  </si>
  <si>
    <t>22.12.2025</t>
  </si>
  <si>
    <t>Mustafa Basboger</t>
  </si>
  <si>
    <t>RE02025000001648</t>
  </si>
  <si>
    <t>T076</t>
  </si>
  <si>
    <t>Bodrum</t>
  </si>
  <si>
    <t>Midtown</t>
  </si>
  <si>
    <t>Muharrem Akyıldız</t>
  </si>
  <si>
    <t>Oyuncu Koltuğu Deneyim Alanı</t>
  </si>
  <si>
    <t>RE02025000001657</t>
  </si>
  <si>
    <t>RE02025000001658</t>
  </si>
  <si>
    <t>Servis Bedeli</t>
  </si>
  <si>
    <t>RE02025000001659</t>
  </si>
  <si>
    <t>RE02025000001660</t>
  </si>
  <si>
    <t>FD02025000001458</t>
  </si>
  <si>
    <t>RE02025000001649</t>
  </si>
  <si>
    <t>Oyuncu  Koltuğu Deneyim Alanı</t>
  </si>
  <si>
    <t>RE02025000001668</t>
  </si>
  <si>
    <t>RE02025000001669</t>
  </si>
  <si>
    <t>FD02025000001460</t>
  </si>
  <si>
    <t>RE02025000001650</t>
  </si>
  <si>
    <t>FD02025000001462</t>
  </si>
  <si>
    <t>RE02025000001651</t>
  </si>
  <si>
    <t>23.12.2025</t>
  </si>
  <si>
    <t>İsmail Kızılaş</t>
  </si>
  <si>
    <t>15cm x 99cm x 5mm şeffaf pleksi</t>
  </si>
  <si>
    <t>FD02025000001464</t>
  </si>
  <si>
    <t>RE02025000001652</t>
  </si>
  <si>
    <t>15cm x 124cm x 5mm şeffaf pleksi</t>
  </si>
  <si>
    <t>FD02025000001468</t>
  </si>
  <si>
    <t>RE02025000001661</t>
  </si>
  <si>
    <t>RE02025000001667</t>
  </si>
  <si>
    <t>Merdiven Giydirme</t>
  </si>
  <si>
    <t>24.12.2025</t>
  </si>
  <si>
    <t>FD02025000001469</t>
  </si>
  <si>
    <t>RE02025000001662</t>
  </si>
  <si>
    <t>Patago Tutucu PVC 1000 Adet</t>
  </si>
  <si>
    <t>RE02025000001678</t>
  </si>
  <si>
    <t>Barkod Etiketi 20x40 T1000S</t>
  </si>
  <si>
    <t>FD02025000001467</t>
  </si>
  <si>
    <t>RE02025000001663</t>
  </si>
  <si>
    <t>FD02025000001471</t>
  </si>
  <si>
    <t>RE02025000001664</t>
  </si>
  <si>
    <t>RE02025000001665</t>
  </si>
  <si>
    <t>RE02025000001670</t>
  </si>
  <si>
    <t>Kaşe İsim Kaşesi ( Sabri Berkay ekdi-Sultan Kahraman-Tuğba Dayanç)</t>
  </si>
  <si>
    <t>FD02025000001488</t>
  </si>
  <si>
    <t>RE02025000001679</t>
  </si>
  <si>
    <t>FD02025000001473</t>
  </si>
  <si>
    <t>RE02025000001671</t>
  </si>
  <si>
    <t>Adem terzi</t>
  </si>
  <si>
    <t>İsimlik Personel İsimliği ( Detayları Ali Beye İlettim)</t>
  </si>
  <si>
    <t>7 adet gidecek</t>
  </si>
  <si>
    <t>FD02025000001474</t>
  </si>
  <si>
    <t>RE02026000000001</t>
  </si>
  <si>
    <t>26.12.2025</t>
  </si>
  <si>
    <t>Namık Şıklaroğlu</t>
  </si>
  <si>
    <t>FD02025000001482</t>
  </si>
  <si>
    <t>RE02025000001680</t>
  </si>
  <si>
    <t>28.12.2025</t>
  </si>
  <si>
    <t>FD02025000001483</t>
  </si>
  <si>
    <t>RE02025000001681</t>
  </si>
  <si>
    <t>FD02025000001486</t>
  </si>
  <si>
    <t>Wieland Spiralli Kablo 5m</t>
  </si>
  <si>
    <t>1 adet gidecek</t>
  </si>
  <si>
    <t>FD02025000001484</t>
  </si>
  <si>
    <t>RE02025000001682</t>
  </si>
  <si>
    <t>Sepet Kenarı 120x64 (Tam Zamanı Görseli olucak)</t>
  </si>
  <si>
    <t>FD02025000001489</t>
  </si>
  <si>
    <t>RE02025000001683</t>
  </si>
  <si>
    <t>FD02025000001485</t>
  </si>
  <si>
    <t>RE02025000001684</t>
  </si>
  <si>
    <t>RE02025000001685</t>
  </si>
  <si>
    <t>30.12.2025</t>
  </si>
  <si>
    <t>RE02025000001686</t>
  </si>
  <si>
    <t>Görsel Baskı İşleri</t>
  </si>
  <si>
    <t>02.01.2026</t>
  </si>
  <si>
    <t>Peronel Servisi</t>
  </si>
  <si>
    <t>Ayhan Dağ</t>
  </si>
  <si>
    <t>21.02.2025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</si>
</sst>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-* #,##0.00\ [$TL-41F]_-;\-* #,##0.00\ [$TL-41F]_-;_-* &quot;-&quot;??\ [$TL-41F]_-;_-@"/>
    <numFmt numFmtId="165" formatCode="0.0%"/>
    <numFmt numFmtId="166" formatCode="dd\.mm\.yyyy"/>
    <numFmt numFmtId="167" formatCode="d\.m"/>
    <numFmt numFmtId="168" formatCode="d\.m\.yyyy"/>
    <numFmt numFmtId="169" formatCode="mmm\ yyyy"/>
    <numFmt numFmtId="170" formatCode="#,##0.00\ [$TRY-41F]"/>
    <numFmt numFmtId="171" formatCode="[$₺]#,##0.00"/>
  </numFmts>
  <fonts count="119">
    <font>
      <sz val="11"/>
      <color theme="1"/>
      <name val="Calibri"/>
      <scheme val="minor"/>
    </font>
    <font>
      <sz val="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color rgb="FF38761D"/>
      <name val="Calibri"/>
      <family val="2"/>
    </font>
    <font>
      <sz val="11"/>
      <color rgb="FFFFFFFF"/>
      <name val="Calibri"/>
      <family val="2"/>
    </font>
    <font>
      <sz val="11"/>
      <color rgb="FFE06666"/>
      <name val="Calibri"/>
      <family val="2"/>
    </font>
    <font>
      <sz val="11"/>
      <color rgb="FFFF0000"/>
      <name val="Calibri"/>
      <family val="2"/>
    </font>
    <font>
      <b/>
      <sz val="12"/>
      <color rgb="FF4A86E8"/>
      <name val="Calibri"/>
      <family val="2"/>
    </font>
    <font>
      <b/>
      <sz val="12"/>
      <color rgb="FF1C4587"/>
      <name val="Calibri"/>
      <family val="2"/>
    </font>
    <font>
      <b/>
      <sz val="12"/>
      <color rgb="FF0000FF"/>
      <name val="Calibri"/>
      <family val="2"/>
    </font>
    <font>
      <b/>
      <sz val="11"/>
      <color rgb="FF0000FF"/>
      <name val="Calibri"/>
      <family val="2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</font>
    <font>
      <b/>
      <sz val="18"/>
      <color rgb="FFFFFFFF"/>
      <name val="Roboto"/>
    </font>
    <font>
      <b/>
      <sz val="18"/>
      <color rgb="FFFF0000"/>
      <name val="Roboto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b/>
      <sz val="9"/>
      <color rgb="FF434343"/>
      <name val="Calibri"/>
      <family val="2"/>
    </font>
    <font>
      <b/>
      <sz val="9"/>
      <color rgb="FFE06666"/>
      <name val="Calibri"/>
      <family val="2"/>
    </font>
    <font>
      <b/>
      <sz val="9"/>
      <color rgb="FF4A86E8"/>
      <name val="Calibri"/>
      <family val="2"/>
    </font>
    <font>
      <b/>
      <sz val="9"/>
      <color rgb="FFE616D1"/>
      <name val="Calibri"/>
      <family val="2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b/>
      <sz val="9"/>
      <color rgb="FFFF0000"/>
      <name val="Calibri"/>
      <family val="2"/>
    </font>
    <font>
      <sz val="9"/>
      <color rgb="FFFF0000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00B050"/>
      <name val="Calibri"/>
      <family val="2"/>
    </font>
    <font>
      <sz val="9"/>
      <color rgb="FF6AA84F"/>
      <name val="Calibri"/>
      <family val="2"/>
    </font>
    <font>
      <sz val="9"/>
      <color rgb="FFE06666"/>
      <name val="Calibri"/>
      <family val="2"/>
    </font>
    <font>
      <sz val="11"/>
      <color rgb="FFFF0000"/>
      <name val="Calibri"/>
      <family val="2"/>
    </font>
    <font>
      <sz val="9"/>
      <color rgb="FF4A86E8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9"/>
      <color rgb="FF00B0F0"/>
      <name val="Arial"/>
      <family val="2"/>
    </font>
    <font>
      <sz val="8"/>
      <color rgb="FFB7B7B7"/>
      <name val="Calibri"/>
      <family val="2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B050"/>
      <name val="Calibri"/>
      <family val="2"/>
    </font>
    <font>
      <b/>
      <sz val="12"/>
      <color rgb="FF6FA8DC"/>
      <name val="Calibri"/>
      <family val="2"/>
    </font>
    <font>
      <b/>
      <sz val="11"/>
      <color rgb="FF6FA8DC"/>
      <name val="Calibri"/>
      <family val="2"/>
    </font>
    <font>
      <b/>
      <sz val="11"/>
      <color theme="1"/>
      <name val="Calibri"/>
      <family val="2"/>
    </font>
    <font>
      <sz val="10"/>
      <color rgb="FFB7B7B7"/>
      <name val="Calibri"/>
      <family val="2"/>
    </font>
    <font>
      <sz val="11"/>
      <color rgb="FF000000"/>
      <name val="Calibri"/>
      <family val="2"/>
    </font>
    <font>
      <sz val="10"/>
      <color rgb="FF999999"/>
      <name val="Calibri"/>
      <family val="2"/>
    </font>
    <font>
      <sz val="8"/>
      <color rgb="FF666666"/>
      <name val="Tahoma"/>
      <family val="2"/>
    </font>
    <font>
      <b/>
      <sz val="9"/>
      <color rgb="FF0000FF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b/>
      <sz val="13"/>
      <color theme="1"/>
      <name val="Calibri"/>
      <family val="2"/>
    </font>
    <font>
      <b/>
      <sz val="9"/>
      <color rgb="FF000000"/>
      <name val="Roboto"/>
    </font>
    <font>
      <sz val="11"/>
      <color rgb="FF403637"/>
      <name val="Roboto"/>
    </font>
    <font>
      <sz val="9"/>
      <color theme="1"/>
      <name val="Calibri"/>
      <family val="2"/>
      <scheme val="minor"/>
    </font>
    <font>
      <b/>
      <sz val="11"/>
      <color rgb="FF3C78D8"/>
      <name val="Calibri"/>
      <family val="2"/>
    </font>
    <font>
      <sz val="10"/>
      <color rgb="FFFF0000"/>
      <name val="Calibri"/>
      <family val="2"/>
    </font>
    <font>
      <b/>
      <sz val="11"/>
      <color rgb="FF403637"/>
      <name val="Arial"/>
      <family val="2"/>
    </font>
    <font>
      <sz val="11"/>
      <color theme="1"/>
      <name val="Arial"/>
      <family val="2"/>
    </font>
    <font>
      <sz val="8"/>
      <color rgb="FFFF0000"/>
      <name val="Calibri"/>
      <family val="2"/>
    </font>
    <font>
      <b/>
      <sz val="8"/>
      <color rgb="FFFF0000"/>
      <name val="Roboto"/>
    </font>
    <font>
      <b/>
      <sz val="8"/>
      <color rgb="FF4F81BD"/>
      <name val="Calibri"/>
      <family val="2"/>
    </font>
    <font>
      <b/>
      <sz val="8"/>
      <color rgb="FFFF0000"/>
      <name val="Calibri"/>
      <family val="2"/>
    </font>
    <font>
      <b/>
      <sz val="11"/>
      <color theme="1"/>
      <name val="Calibri"/>
      <family val="2"/>
    </font>
    <font>
      <sz val="8"/>
      <color rgb="FF1F1F1F"/>
      <name val="&quot;Google Sans&quot;"/>
    </font>
    <font>
      <sz val="9"/>
      <color rgb="FF222222"/>
      <name val="Calibri"/>
      <family val="2"/>
    </font>
    <font>
      <b/>
      <sz val="11"/>
      <color rgb="FF1F1F1F"/>
      <name val="&quot;Google Sans&quot;"/>
    </font>
    <font>
      <b/>
      <sz val="21"/>
      <color rgb="FF1155CC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b/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rgb="FFFF0000"/>
      <name val="Calibri"/>
      <family val="2"/>
    </font>
    <font>
      <sz val="11"/>
      <color rgb="FF6AA84F"/>
      <name val="Calibri"/>
      <family val="2"/>
    </font>
    <font>
      <b/>
      <sz val="10"/>
      <color rgb="FF4A86E8"/>
      <name val="Calibri"/>
      <family val="2"/>
    </font>
    <font>
      <b/>
      <sz val="10"/>
      <color rgb="FF00B050"/>
      <name val="Calibri"/>
      <family val="2"/>
    </font>
    <font>
      <b/>
      <sz val="10"/>
      <color rgb="FF6FA8DC"/>
      <name val="Calibri"/>
      <family val="2"/>
    </font>
    <font>
      <b/>
      <sz val="10"/>
      <color rgb="FF3C78D8"/>
      <name val="Calibri"/>
      <family val="2"/>
    </font>
    <font>
      <b/>
      <sz val="15"/>
      <color rgb="FFFFFFFF"/>
      <name val="Roboto"/>
    </font>
    <font>
      <b/>
      <sz val="18"/>
      <color rgb="FF6AA84F"/>
      <name val="Roboto"/>
    </font>
    <font>
      <sz val="11"/>
      <color rgb="FF6AA84F"/>
      <name val="Calibri"/>
      <family val="2"/>
    </font>
    <font>
      <b/>
      <sz val="8"/>
      <color rgb="FF000000"/>
      <name val="Calibri"/>
      <family val="2"/>
    </font>
    <font>
      <sz val="11"/>
      <color rgb="FF6AA84F"/>
      <name val="Calibri"/>
      <family val="2"/>
      <scheme val="minor"/>
    </font>
    <font>
      <b/>
      <sz val="10"/>
      <color theme="1"/>
      <name val="Calibri"/>
      <family val="2"/>
    </font>
    <font>
      <sz val="8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8"/>
      <color rgb="FF403637"/>
      <name val="Roboto"/>
    </font>
    <font>
      <sz val="10"/>
      <color rgb="FFF6B26B"/>
      <name val="Calibri"/>
      <family val="2"/>
    </font>
    <font>
      <sz val="11"/>
      <color rgb="FFF6B26B"/>
      <name val="Calibri"/>
      <family val="2"/>
    </font>
    <font>
      <sz val="8"/>
      <color rgb="FFF6B26B"/>
      <name val="Calibri"/>
      <family val="2"/>
    </font>
    <font>
      <b/>
      <sz val="12"/>
      <color rgb="FFF6B26B"/>
      <name val="Calibri"/>
      <family val="2"/>
    </font>
    <font>
      <sz val="9"/>
      <color rgb="FFF6B26B"/>
      <name val="Calibri"/>
      <family val="2"/>
    </font>
    <font>
      <sz val="11"/>
      <color rgb="FFF6B26B"/>
      <name val="Calibri"/>
      <family val="2"/>
      <scheme val="minor"/>
    </font>
    <font>
      <sz val="9"/>
      <color rgb="FF93C47D"/>
      <name val="Calibri"/>
      <family val="2"/>
    </font>
    <font>
      <sz val="11"/>
      <color rgb="FF000000"/>
      <name val="Roboto"/>
    </font>
    <font>
      <sz val="11"/>
      <color rgb="FF000000"/>
      <name val="Calibri"/>
      <family val="2"/>
      <scheme val="minor"/>
    </font>
    <font>
      <sz val="11"/>
      <color rgb="FF999593"/>
      <name val="FontAwesome"/>
    </font>
    <font>
      <sz val="11"/>
      <color rgb="FFFF0000"/>
      <name val="Roboto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FFFFFF"/>
      <name val="Calibri"/>
      <family val="2"/>
    </font>
    <font>
      <sz val="9"/>
      <color theme="5"/>
      <name val="Calibri"/>
      <family val="2"/>
    </font>
    <font>
      <sz val="9"/>
      <color rgb="FF403637"/>
      <name val="Roboto"/>
    </font>
    <font>
      <b/>
      <sz val="10"/>
      <color theme="1"/>
      <name val="Calibri"/>
      <family val="2"/>
      <scheme val="minor"/>
    </font>
    <font>
      <sz val="9"/>
      <color rgb="FF741B47"/>
      <name val="Calibri"/>
      <family val="2"/>
    </font>
    <font>
      <b/>
      <sz val="9"/>
      <color rgb="FFFFFFFF"/>
      <name val="Calibri"/>
      <family val="2"/>
    </font>
    <font>
      <sz val="9"/>
      <color rgb="FF351C75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403637"/>
      <name val="Calibri"/>
      <family val="2"/>
      <scheme val="minor"/>
    </font>
    <font>
      <b/>
      <sz val="10"/>
      <color rgb="FF403637"/>
      <name val="Calibri"/>
      <family val="2"/>
      <scheme val="minor"/>
    </font>
    <font>
      <b/>
      <sz val="10"/>
      <color rgb="FF40363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DD0E1"/>
        <bgColor rgb="FF4DD0E1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DFDFD"/>
        <bgColor rgb="FFFDFDFD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741B47"/>
        <bgColor rgb="FF741B47"/>
      </patternFill>
    </fill>
    <fill>
      <patternFill patternType="solid">
        <fgColor rgb="FF93C47D"/>
        <bgColor rgb="FF93C47D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51">
    <xf numFmtId="0" fontId="0" fillId="0" borderId="0" xfId="0"/>
    <xf numFmtId="0" fontId="3" fillId="3" borderId="0" xfId="0" applyFont="1" applyFill="1"/>
    <xf numFmtId="0" fontId="1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4" xfId="0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165" fontId="6" fillId="3" borderId="4" xfId="0" applyNumberFormat="1" applyFont="1" applyFill="1" applyBorder="1" applyAlignment="1">
      <alignment horizontal="center"/>
    </xf>
    <xf numFmtId="166" fontId="7" fillId="2" borderId="0" xfId="0" applyNumberFormat="1" applyFont="1" applyFill="1"/>
    <xf numFmtId="0" fontId="3" fillId="3" borderId="0" xfId="0" applyFont="1" applyFill="1" applyAlignment="1">
      <alignment horizontal="center"/>
    </xf>
    <xf numFmtId="0" fontId="8" fillId="3" borderId="0" xfId="0" applyFont="1" applyFill="1"/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1" fillId="5" borderId="4" xfId="0" applyFont="1" applyFill="1" applyBorder="1" applyAlignment="1">
      <alignment horizontal="center"/>
    </xf>
    <xf numFmtId="164" fontId="11" fillId="3" borderId="4" xfId="0" applyNumberFormat="1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3" fillId="2" borderId="0" xfId="0" applyFont="1" applyFill="1"/>
    <xf numFmtId="0" fontId="4" fillId="7" borderId="5" xfId="0" applyFont="1" applyFill="1" applyBorder="1" applyAlignment="1">
      <alignment horizontal="center"/>
    </xf>
    <xf numFmtId="166" fontId="15" fillId="7" borderId="5" xfId="0" applyNumberFormat="1" applyFont="1" applyFill="1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0" fontId="16" fillId="8" borderId="6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3" fillId="8" borderId="0" xfId="0" applyFont="1" applyFill="1"/>
    <xf numFmtId="166" fontId="4" fillId="3" borderId="8" xfId="0" applyNumberFormat="1" applyFont="1" applyFill="1" applyBorder="1" applyAlignment="1">
      <alignment horizontal="left"/>
    </xf>
    <xf numFmtId="166" fontId="4" fillId="3" borderId="8" xfId="0" applyNumberFormat="1" applyFont="1" applyFill="1" applyBorder="1"/>
    <xf numFmtId="0" fontId="10" fillId="9" borderId="3" xfId="0" applyFont="1" applyFill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19" fillId="3" borderId="0" xfId="0" applyFont="1" applyFill="1"/>
    <xf numFmtId="166" fontId="18" fillId="3" borderId="0" xfId="0" applyNumberFormat="1" applyFont="1" applyFill="1" applyAlignment="1">
      <alignment horizontal="center"/>
    </xf>
    <xf numFmtId="164" fontId="20" fillId="3" borderId="0" xfId="0" applyNumberFormat="1" applyFont="1" applyFill="1" applyAlignment="1">
      <alignment horizontal="center"/>
    </xf>
    <xf numFmtId="0" fontId="23" fillId="10" borderId="4" xfId="0" applyFont="1" applyFill="1" applyBorder="1" applyAlignment="1">
      <alignment horizontal="center"/>
    </xf>
    <xf numFmtId="0" fontId="25" fillId="3" borderId="4" xfId="0" applyFont="1" applyFill="1" applyBorder="1" applyAlignment="1">
      <alignment horizontal="center"/>
    </xf>
    <xf numFmtId="0" fontId="18" fillId="3" borderId="4" xfId="0" applyFont="1" applyFill="1" applyBorder="1"/>
    <xf numFmtId="0" fontId="26" fillId="3" borderId="4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164" fontId="26" fillId="2" borderId="4" xfId="0" applyNumberFormat="1" applyFont="1" applyFill="1" applyBorder="1" applyAlignment="1">
      <alignment horizontal="center"/>
    </xf>
    <xf numFmtId="164" fontId="26" fillId="3" borderId="4" xfId="0" applyNumberFormat="1" applyFont="1" applyFill="1" applyBorder="1" applyAlignment="1">
      <alignment horizontal="center"/>
    </xf>
    <xf numFmtId="0" fontId="27" fillId="2" borderId="4" xfId="0" applyFont="1" applyFill="1" applyBorder="1"/>
    <xf numFmtId="0" fontId="27" fillId="2" borderId="3" xfId="0" applyFont="1" applyFill="1" applyBorder="1"/>
    <xf numFmtId="0" fontId="28" fillId="3" borderId="4" xfId="0" applyFont="1" applyFill="1" applyBorder="1" applyAlignment="1">
      <alignment horizontal="center"/>
    </xf>
    <xf numFmtId="167" fontId="23" fillId="2" borderId="4" xfId="0" applyNumberFormat="1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9" fillId="2" borderId="4" xfId="0" applyFont="1" applyFill="1" applyBorder="1" applyAlignment="1">
      <alignment horizontal="center"/>
    </xf>
    <xf numFmtId="166" fontId="30" fillId="3" borderId="4" xfId="0" applyNumberFormat="1" applyFont="1" applyFill="1" applyBorder="1" applyAlignment="1">
      <alignment horizontal="center"/>
    </xf>
    <xf numFmtId="0" fontId="31" fillId="0" borderId="4" xfId="0" applyFont="1" applyBorder="1"/>
    <xf numFmtId="0" fontId="1" fillId="3" borderId="4" xfId="0" applyFont="1" applyFill="1" applyBorder="1" applyAlignment="1">
      <alignment horizontal="center"/>
    </xf>
    <xf numFmtId="0" fontId="19" fillId="3" borderId="4" xfId="0" applyFont="1" applyFill="1" applyBorder="1"/>
    <xf numFmtId="166" fontId="20" fillId="3" borderId="4" xfId="0" applyNumberFormat="1" applyFont="1" applyFill="1" applyBorder="1" applyAlignment="1">
      <alignment horizontal="center"/>
    </xf>
    <xf numFmtId="0" fontId="20" fillId="3" borderId="4" xfId="0" applyFont="1" applyFill="1" applyBorder="1" applyAlignment="1">
      <alignment horizontal="center"/>
    </xf>
    <xf numFmtId="164" fontId="20" fillId="3" borderId="4" xfId="0" applyNumberFormat="1" applyFont="1" applyFill="1" applyBorder="1" applyAlignment="1">
      <alignment horizontal="center"/>
    </xf>
    <xf numFmtId="0" fontId="32" fillId="2" borderId="4" xfId="0" applyFont="1" applyFill="1" applyBorder="1" applyAlignment="1">
      <alignment horizontal="center"/>
    </xf>
    <xf numFmtId="0" fontId="33" fillId="3" borderId="4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center"/>
    </xf>
    <xf numFmtId="0" fontId="35" fillId="2" borderId="9" xfId="0" applyFont="1" applyFill="1" applyBorder="1" applyAlignment="1">
      <alignment horizontal="center"/>
    </xf>
    <xf numFmtId="0" fontId="36" fillId="2" borderId="3" xfId="0" applyFont="1" applyFill="1" applyBorder="1" applyAlignment="1">
      <alignment horizontal="center"/>
    </xf>
    <xf numFmtId="0" fontId="34" fillId="3" borderId="4" xfId="0" applyFont="1" applyFill="1" applyBorder="1" applyAlignment="1">
      <alignment horizontal="center"/>
    </xf>
    <xf numFmtId="0" fontId="30" fillId="3" borderId="4" xfId="0" applyFont="1" applyFill="1" applyBorder="1" applyAlignment="1">
      <alignment horizontal="center"/>
    </xf>
    <xf numFmtId="0" fontId="32" fillId="2" borderId="10" xfId="0" applyFont="1" applyFill="1" applyBorder="1" applyAlignment="1">
      <alignment horizontal="center"/>
    </xf>
    <xf numFmtId="0" fontId="35" fillId="2" borderId="3" xfId="0" applyFont="1" applyFill="1" applyBorder="1" applyAlignment="1">
      <alignment horizontal="center"/>
    </xf>
    <xf numFmtId="0" fontId="34" fillId="2" borderId="10" xfId="0" applyFont="1" applyFill="1" applyBorder="1" applyAlignment="1">
      <alignment horizontal="center"/>
    </xf>
    <xf numFmtId="0" fontId="36" fillId="2" borderId="9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164" fontId="20" fillId="2" borderId="3" xfId="0" applyNumberFormat="1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164" fontId="20" fillId="2" borderId="9" xfId="0" applyNumberFormat="1" applyFont="1" applyFill="1" applyBorder="1" applyAlignment="1">
      <alignment horizontal="center"/>
    </xf>
    <xf numFmtId="49" fontId="20" fillId="3" borderId="4" xfId="0" applyNumberFormat="1" applyFont="1" applyFill="1" applyBorder="1" applyAlignment="1">
      <alignment horizontal="center"/>
    </xf>
    <xf numFmtId="0" fontId="37" fillId="8" borderId="3" xfId="0" applyFont="1" applyFill="1" applyBorder="1"/>
    <xf numFmtId="164" fontId="20" fillId="3" borderId="3" xfId="0" applyNumberFormat="1" applyFont="1" applyFill="1" applyBorder="1" applyAlignment="1">
      <alignment horizontal="center"/>
    </xf>
    <xf numFmtId="0" fontId="20" fillId="3" borderId="3" xfId="0" applyFont="1" applyFill="1" applyBorder="1" applyAlignment="1">
      <alignment horizontal="center"/>
    </xf>
    <xf numFmtId="164" fontId="20" fillId="2" borderId="4" xfId="0" applyNumberFormat="1" applyFont="1" applyFill="1" applyBorder="1" applyAlignment="1">
      <alignment horizontal="center"/>
    </xf>
    <xf numFmtId="166" fontId="20" fillId="2" borderId="4" xfId="0" applyNumberFormat="1" applyFont="1" applyFill="1" applyBorder="1" applyAlignment="1">
      <alignment horizontal="center"/>
    </xf>
    <xf numFmtId="0" fontId="20" fillId="3" borderId="4" xfId="0" applyFont="1" applyFill="1" applyBorder="1"/>
    <xf numFmtId="0" fontId="27" fillId="2" borderId="9" xfId="0" applyFont="1" applyFill="1" applyBorder="1"/>
    <xf numFmtId="0" fontId="38" fillId="2" borderId="9" xfId="0" applyFont="1" applyFill="1" applyBorder="1"/>
    <xf numFmtId="0" fontId="39" fillId="3" borderId="4" xfId="0" applyFont="1" applyFill="1" applyBorder="1" applyAlignment="1">
      <alignment horizontal="center"/>
    </xf>
    <xf numFmtId="0" fontId="20" fillId="3" borderId="10" xfId="0" applyFont="1" applyFill="1" applyBorder="1" applyAlignment="1">
      <alignment horizontal="center"/>
    </xf>
    <xf numFmtId="166" fontId="20" fillId="3" borderId="10" xfId="0" applyNumberFormat="1" applyFont="1" applyFill="1" applyBorder="1" applyAlignment="1">
      <alignment horizontal="center"/>
    </xf>
    <xf numFmtId="3" fontId="20" fillId="3" borderId="4" xfId="0" applyNumberFormat="1" applyFont="1" applyFill="1" applyBorder="1" applyAlignment="1">
      <alignment horizontal="center"/>
    </xf>
    <xf numFmtId="168" fontId="20" fillId="3" borderId="4" xfId="0" applyNumberFormat="1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40" fillId="3" borderId="4" xfId="0" applyFont="1" applyFill="1" applyBorder="1" applyAlignment="1">
      <alignment horizontal="center"/>
    </xf>
    <xf numFmtId="0" fontId="35" fillId="2" borderId="4" xfId="0" applyFont="1" applyFill="1" applyBorder="1"/>
    <xf numFmtId="164" fontId="31" fillId="0" borderId="4" xfId="0" applyNumberFormat="1" applyFont="1" applyBorder="1"/>
    <xf numFmtId="0" fontId="41" fillId="3" borderId="4" xfId="0" applyFont="1" applyFill="1" applyBorder="1" applyAlignment="1">
      <alignment horizontal="center"/>
    </xf>
    <xf numFmtId="0" fontId="3" fillId="3" borderId="4" xfId="0" applyFont="1" applyFill="1" applyBorder="1"/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45" fillId="7" borderId="4" xfId="0" applyFont="1" applyFill="1" applyBorder="1" applyAlignment="1">
      <alignment horizontal="center"/>
    </xf>
    <xf numFmtId="0" fontId="46" fillId="7" borderId="5" xfId="0" applyFont="1" applyFill="1" applyBorder="1" applyAlignment="1">
      <alignment horizontal="center"/>
    </xf>
    <xf numFmtId="166" fontId="47" fillId="7" borderId="5" xfId="0" applyNumberFormat="1" applyFont="1" applyFill="1" applyBorder="1" applyAlignment="1">
      <alignment horizontal="center"/>
    </xf>
    <xf numFmtId="0" fontId="48" fillId="3" borderId="0" xfId="0" applyFont="1" applyFill="1"/>
    <xf numFmtId="0" fontId="18" fillId="3" borderId="0" xfId="0" applyFont="1" applyFill="1"/>
    <xf numFmtId="0" fontId="18" fillId="3" borderId="4" xfId="0" applyFont="1" applyFill="1" applyBorder="1" applyAlignment="1">
      <alignment horizontal="center"/>
    </xf>
    <xf numFmtId="0" fontId="49" fillId="3" borderId="0" xfId="0" applyFont="1" applyFill="1" applyAlignment="1">
      <alignment horizontal="center"/>
    </xf>
    <xf numFmtId="0" fontId="20" fillId="3" borderId="0" xfId="0" applyFont="1" applyFill="1"/>
    <xf numFmtId="0" fontId="49" fillId="11" borderId="0" xfId="0" applyFont="1" applyFill="1" applyAlignment="1">
      <alignment horizontal="center"/>
    </xf>
    <xf numFmtId="0" fontId="19" fillId="11" borderId="0" xfId="0" applyFont="1" applyFill="1"/>
    <xf numFmtId="166" fontId="20" fillId="11" borderId="4" xfId="0" applyNumberFormat="1" applyFont="1" applyFill="1" applyBorder="1" applyAlignment="1">
      <alignment horizontal="center"/>
    </xf>
    <xf numFmtId="0" fontId="20" fillId="11" borderId="4" xfId="0" applyFont="1" applyFill="1" applyBorder="1" applyAlignment="1">
      <alignment horizontal="center"/>
    </xf>
    <xf numFmtId="164" fontId="20" fillId="11" borderId="4" xfId="0" applyNumberFormat="1" applyFont="1" applyFill="1" applyBorder="1" applyAlignment="1">
      <alignment horizontal="center"/>
    </xf>
    <xf numFmtId="0" fontId="32" fillId="11" borderId="4" xfId="0" applyFont="1" applyFill="1" applyBorder="1" applyAlignment="1">
      <alignment horizontal="center"/>
    </xf>
    <xf numFmtId="0" fontId="33" fillId="11" borderId="4" xfId="0" applyFont="1" applyFill="1" applyBorder="1" applyAlignment="1">
      <alignment horizontal="center"/>
    </xf>
    <xf numFmtId="0" fontId="34" fillId="11" borderId="4" xfId="0" applyFont="1" applyFill="1" applyBorder="1" applyAlignment="1">
      <alignment horizontal="center"/>
    </xf>
    <xf numFmtId="0" fontId="35" fillId="11" borderId="9" xfId="0" applyFont="1" applyFill="1" applyBorder="1" applyAlignment="1">
      <alignment horizontal="center"/>
    </xf>
    <xf numFmtId="0" fontId="36" fillId="11" borderId="3" xfId="0" applyFont="1" applyFill="1" applyBorder="1" applyAlignment="1">
      <alignment horizontal="center"/>
    </xf>
    <xf numFmtId="0" fontId="27" fillId="11" borderId="9" xfId="0" applyFont="1" applyFill="1" applyBorder="1"/>
    <xf numFmtId="0" fontId="29" fillId="11" borderId="4" xfId="0" applyFont="1" applyFill="1" applyBorder="1" applyAlignment="1">
      <alignment horizontal="center"/>
    </xf>
    <xf numFmtId="0" fontId="30" fillId="11" borderId="4" xfId="0" applyFont="1" applyFill="1" applyBorder="1" applyAlignment="1">
      <alignment horizontal="center"/>
    </xf>
    <xf numFmtId="0" fontId="31" fillId="11" borderId="4" xfId="0" applyFont="1" applyFill="1" applyBorder="1"/>
    <xf numFmtId="0" fontId="31" fillId="11" borderId="0" xfId="0" applyFont="1" applyFill="1"/>
    <xf numFmtId="0" fontId="50" fillId="3" borderId="9" xfId="0" applyFont="1" applyFill="1" applyBorder="1"/>
    <xf numFmtId="0" fontId="20" fillId="3" borderId="11" xfId="0" applyFont="1" applyFill="1" applyBorder="1" applyAlignment="1">
      <alignment horizontal="center"/>
    </xf>
    <xf numFmtId="0" fontId="39" fillId="3" borderId="0" xfId="0" applyFont="1" applyFill="1" applyAlignment="1">
      <alignment horizontal="center"/>
    </xf>
    <xf numFmtId="0" fontId="51" fillId="3" borderId="0" xfId="0" applyFont="1" applyFill="1" applyAlignment="1">
      <alignment horizontal="center"/>
    </xf>
    <xf numFmtId="168" fontId="20" fillId="3" borderId="10" xfId="0" applyNumberFormat="1" applyFont="1" applyFill="1" applyBorder="1" applyAlignment="1">
      <alignment horizontal="center"/>
    </xf>
    <xf numFmtId="0" fontId="52" fillId="3" borderId="0" xfId="0" applyFont="1" applyFill="1"/>
    <xf numFmtId="0" fontId="19" fillId="3" borderId="3" xfId="0" applyFont="1" applyFill="1" applyBorder="1"/>
    <xf numFmtId="0" fontId="15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16" fillId="8" borderId="7" xfId="0" applyFont="1" applyFill="1" applyBorder="1" applyAlignment="1">
      <alignment horizontal="left" vertical="center"/>
    </xf>
    <xf numFmtId="0" fontId="22" fillId="3" borderId="4" xfId="0" applyFont="1" applyFill="1" applyBorder="1" applyAlignment="1">
      <alignment horizontal="left"/>
    </xf>
    <xf numFmtId="0" fontId="34" fillId="3" borderId="4" xfId="0" applyFont="1" applyFill="1" applyBorder="1" applyAlignment="1">
      <alignment horizontal="left"/>
    </xf>
    <xf numFmtId="0" fontId="39" fillId="8" borderId="4" xfId="0" applyFont="1" applyFill="1" applyBorder="1" applyAlignment="1">
      <alignment horizontal="left"/>
    </xf>
    <xf numFmtId="0" fontId="20" fillId="3" borderId="9" xfId="0" applyFont="1" applyFill="1" applyBorder="1" applyAlignment="1">
      <alignment horizontal="center"/>
    </xf>
    <xf numFmtId="49" fontId="20" fillId="2" borderId="4" xfId="0" applyNumberFormat="1" applyFont="1" applyFill="1" applyBorder="1" applyAlignment="1">
      <alignment horizontal="center"/>
    </xf>
    <xf numFmtId="49" fontId="20" fillId="2" borderId="10" xfId="0" applyNumberFormat="1" applyFont="1" applyFill="1" applyBorder="1" applyAlignment="1">
      <alignment horizontal="center"/>
    </xf>
    <xf numFmtId="49" fontId="20" fillId="12" borderId="4" xfId="0" applyNumberFormat="1" applyFont="1" applyFill="1" applyBorder="1" applyAlignment="1">
      <alignment horizontal="center"/>
    </xf>
    <xf numFmtId="0" fontId="20" fillId="12" borderId="4" xfId="0" applyFont="1" applyFill="1" applyBorder="1" applyAlignment="1">
      <alignment horizontal="center"/>
    </xf>
    <xf numFmtId="0" fontId="20" fillId="12" borderId="9" xfId="0" applyFont="1" applyFill="1" applyBorder="1" applyAlignment="1">
      <alignment horizontal="center"/>
    </xf>
    <xf numFmtId="164" fontId="20" fillId="12" borderId="9" xfId="0" applyNumberFormat="1" applyFont="1" applyFill="1" applyBorder="1" applyAlignment="1">
      <alignment horizontal="center"/>
    </xf>
    <xf numFmtId="164" fontId="20" fillId="12" borderId="4" xfId="0" applyNumberFormat="1" applyFont="1" applyFill="1" applyBorder="1" applyAlignment="1">
      <alignment horizontal="center"/>
    </xf>
    <xf numFmtId="0" fontId="32" fillId="12" borderId="4" xfId="0" applyFont="1" applyFill="1" applyBorder="1" applyAlignment="1">
      <alignment horizontal="center"/>
    </xf>
    <xf numFmtId="0" fontId="33" fillId="12" borderId="4" xfId="0" applyFont="1" applyFill="1" applyBorder="1" applyAlignment="1">
      <alignment horizontal="center"/>
    </xf>
    <xf numFmtId="0" fontId="34" fillId="12" borderId="4" xfId="0" applyFont="1" applyFill="1" applyBorder="1" applyAlignment="1">
      <alignment horizontal="center"/>
    </xf>
    <xf numFmtId="0" fontId="35" fillId="12" borderId="9" xfId="0" applyFont="1" applyFill="1" applyBorder="1" applyAlignment="1">
      <alignment horizontal="center"/>
    </xf>
    <xf numFmtId="0" fontId="36" fillId="12" borderId="3" xfId="0" applyFont="1" applyFill="1" applyBorder="1" applyAlignment="1">
      <alignment horizontal="center"/>
    </xf>
    <xf numFmtId="0" fontId="34" fillId="12" borderId="4" xfId="0" applyFont="1" applyFill="1" applyBorder="1" applyAlignment="1">
      <alignment horizontal="left"/>
    </xf>
    <xf numFmtId="0" fontId="29" fillId="12" borderId="4" xfId="0" applyFont="1" applyFill="1" applyBorder="1" applyAlignment="1">
      <alignment horizontal="center"/>
    </xf>
    <xf numFmtId="0" fontId="30" fillId="12" borderId="4" xfId="0" applyFont="1" applyFill="1" applyBorder="1" applyAlignment="1">
      <alignment horizontal="center"/>
    </xf>
    <xf numFmtId="0" fontId="31" fillId="0" borderId="0" xfId="0" applyFont="1" applyAlignment="1">
      <alignment horizontal="left"/>
    </xf>
    <xf numFmtId="169" fontId="15" fillId="3" borderId="0" xfId="0" applyNumberFormat="1" applyFont="1" applyFill="1" applyAlignment="1">
      <alignment horizontal="center"/>
    </xf>
    <xf numFmtId="0" fontId="53" fillId="3" borderId="4" xfId="0" applyFont="1" applyFill="1" applyBorder="1" applyAlignment="1">
      <alignment horizontal="left"/>
    </xf>
    <xf numFmtId="0" fontId="29" fillId="3" borderId="4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9" fillId="2" borderId="9" xfId="0" applyFont="1" applyFill="1" applyBorder="1" applyAlignment="1">
      <alignment horizontal="center"/>
    </xf>
    <xf numFmtId="0" fontId="39" fillId="8" borderId="9" xfId="0" applyFont="1" applyFill="1" applyBorder="1" applyAlignment="1">
      <alignment horizontal="center"/>
    </xf>
    <xf numFmtId="0" fontId="33" fillId="2" borderId="4" xfId="0" applyFont="1" applyFill="1" applyBorder="1" applyAlignment="1">
      <alignment horizontal="center"/>
    </xf>
    <xf numFmtId="0" fontId="54" fillId="8" borderId="4" xfId="0" applyFont="1" applyFill="1" applyBorder="1" applyAlignment="1">
      <alignment horizontal="left"/>
    </xf>
    <xf numFmtId="0" fontId="55" fillId="2" borderId="4" xfId="0" applyFont="1" applyFill="1" applyBorder="1" applyAlignment="1">
      <alignment horizontal="center"/>
    </xf>
    <xf numFmtId="0" fontId="56" fillId="8" borderId="9" xfId="0" applyFont="1" applyFill="1" applyBorder="1"/>
    <xf numFmtId="0" fontId="39" fillId="2" borderId="4" xfId="0" applyFont="1" applyFill="1" applyBorder="1" applyAlignment="1">
      <alignment horizontal="center"/>
    </xf>
    <xf numFmtId="0" fontId="39" fillId="2" borderId="9" xfId="0" applyFont="1" applyFill="1" applyBorder="1" applyAlignment="1">
      <alignment horizontal="center"/>
    </xf>
    <xf numFmtId="164" fontId="39" fillId="2" borderId="9" xfId="0" applyNumberFormat="1" applyFont="1" applyFill="1" applyBorder="1" applyAlignment="1">
      <alignment horizontal="center"/>
    </xf>
    <xf numFmtId="0" fontId="20" fillId="8" borderId="9" xfId="0" applyFont="1" applyFill="1" applyBorder="1" applyAlignment="1">
      <alignment horizontal="center"/>
    </xf>
    <xf numFmtId="0" fontId="49" fillId="2" borderId="0" xfId="0" applyFont="1" applyFill="1" applyAlignment="1">
      <alignment horizontal="center"/>
    </xf>
    <xf numFmtId="0" fontId="19" fillId="2" borderId="0" xfId="0" applyFont="1" applyFill="1"/>
    <xf numFmtId="0" fontId="34" fillId="2" borderId="4" xfId="0" applyFont="1" applyFill="1" applyBorder="1" applyAlignment="1">
      <alignment horizontal="left"/>
    </xf>
    <xf numFmtId="0" fontId="30" fillId="2" borderId="4" xfId="0" applyFont="1" applyFill="1" applyBorder="1" applyAlignment="1">
      <alignment horizontal="center"/>
    </xf>
    <xf numFmtId="0" fontId="31" fillId="2" borderId="4" xfId="0" applyFont="1" applyFill="1" applyBorder="1"/>
    <xf numFmtId="0" fontId="31" fillId="2" borderId="0" xfId="0" applyFont="1" applyFill="1"/>
    <xf numFmtId="169" fontId="15" fillId="3" borderId="4" xfId="0" applyNumberFormat="1" applyFont="1" applyFill="1" applyBorder="1" applyAlignment="1">
      <alignment horizontal="center"/>
    </xf>
    <xf numFmtId="166" fontId="4" fillId="2" borderId="8" xfId="0" applyNumberFormat="1" applyFont="1" applyFill="1" applyBorder="1"/>
    <xf numFmtId="0" fontId="10" fillId="2" borderId="3" xfId="0" applyFont="1" applyFill="1" applyBorder="1" applyAlignment="1">
      <alignment horizontal="center"/>
    </xf>
    <xf numFmtId="0" fontId="39" fillId="3" borderId="4" xfId="0" applyFont="1" applyFill="1" applyBorder="1" applyAlignment="1">
      <alignment horizontal="left"/>
    </xf>
    <xf numFmtId="0" fontId="57" fillId="13" borderId="0" xfId="0" applyFont="1" applyFill="1"/>
    <xf numFmtId="0" fontId="58" fillId="13" borderId="0" xfId="0" applyFont="1" applyFill="1"/>
    <xf numFmtId="0" fontId="31" fillId="0" borderId="4" xfId="0" applyFont="1" applyBorder="1" applyAlignment="1">
      <alignment horizontal="center"/>
    </xf>
    <xf numFmtId="0" fontId="20" fillId="8" borderId="4" xfId="0" applyFont="1" applyFill="1" applyBorder="1" applyAlignment="1">
      <alignment horizontal="center"/>
    </xf>
    <xf numFmtId="0" fontId="59" fillId="0" borderId="4" xfId="0" applyFont="1" applyBorder="1" applyAlignment="1">
      <alignment horizontal="center"/>
    </xf>
    <xf numFmtId="0" fontId="45" fillId="14" borderId="4" xfId="0" applyFont="1" applyFill="1" applyBorder="1" applyAlignment="1">
      <alignment horizontal="center"/>
    </xf>
    <xf numFmtId="0" fontId="14" fillId="14" borderId="4" xfId="0" applyFont="1" applyFill="1" applyBorder="1" applyAlignment="1">
      <alignment horizontal="center"/>
    </xf>
    <xf numFmtId="0" fontId="46" fillId="14" borderId="5" xfId="0" applyFont="1" applyFill="1" applyBorder="1" applyAlignment="1">
      <alignment horizontal="center"/>
    </xf>
    <xf numFmtId="14" fontId="47" fillId="14" borderId="5" xfId="0" applyNumberFormat="1" applyFont="1" applyFill="1" applyBorder="1" applyAlignment="1">
      <alignment horizontal="center"/>
    </xf>
    <xf numFmtId="166" fontId="60" fillId="14" borderId="5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left"/>
    </xf>
    <xf numFmtId="166" fontId="4" fillId="2" borderId="0" xfId="0" applyNumberFormat="1" applyFont="1" applyFill="1"/>
    <xf numFmtId="0" fontId="10" fillId="2" borderId="0" xfId="0" applyFont="1" applyFill="1" applyAlignment="1">
      <alignment horizontal="center"/>
    </xf>
    <xf numFmtId="0" fontId="61" fillId="2" borderId="9" xfId="0" applyFont="1" applyFill="1" applyBorder="1" applyAlignment="1">
      <alignment horizontal="center"/>
    </xf>
    <xf numFmtId="0" fontId="62" fillId="3" borderId="4" xfId="0" applyFont="1" applyFill="1" applyBorder="1" applyAlignment="1">
      <alignment horizontal="center"/>
    </xf>
    <xf numFmtId="0" fontId="19" fillId="2" borderId="3" xfId="0" applyFont="1" applyFill="1" applyBorder="1"/>
    <xf numFmtId="164" fontId="20" fillId="3" borderId="9" xfId="0" applyNumberFormat="1" applyFont="1" applyFill="1" applyBorder="1" applyAlignment="1">
      <alignment horizontal="center"/>
    </xf>
    <xf numFmtId="0" fontId="32" fillId="3" borderId="4" xfId="0" applyFont="1" applyFill="1" applyBorder="1" applyAlignment="1">
      <alignment horizontal="center"/>
    </xf>
    <xf numFmtId="0" fontId="35" fillId="3" borderId="9" xfId="0" applyFont="1" applyFill="1" applyBorder="1" applyAlignment="1">
      <alignment horizontal="center"/>
    </xf>
    <xf numFmtId="0" fontId="36" fillId="3" borderId="3" xfId="0" applyFont="1" applyFill="1" applyBorder="1" applyAlignment="1">
      <alignment horizontal="center"/>
    </xf>
    <xf numFmtId="0" fontId="31" fillId="3" borderId="4" xfId="0" applyFont="1" applyFill="1" applyBorder="1"/>
    <xf numFmtId="0" fontId="31" fillId="3" borderId="0" xfId="0" applyFont="1" applyFill="1"/>
    <xf numFmtId="166" fontId="31" fillId="0" borderId="0" xfId="0" applyNumberFormat="1" applyFont="1"/>
    <xf numFmtId="0" fontId="63" fillId="3" borderId="0" xfId="0" applyFont="1" applyFill="1" applyAlignment="1">
      <alignment horizontal="center"/>
    </xf>
    <xf numFmtId="0" fontId="63" fillId="8" borderId="0" xfId="0" applyFont="1" applyFill="1" applyAlignment="1">
      <alignment horizontal="center"/>
    </xf>
    <xf numFmtId="166" fontId="20" fillId="2" borderId="10" xfId="0" applyNumberFormat="1" applyFont="1" applyFill="1" applyBorder="1" applyAlignment="1">
      <alignment horizontal="center"/>
    </xf>
    <xf numFmtId="0" fontId="27" fillId="3" borderId="0" xfId="0" applyFont="1" applyFill="1"/>
    <xf numFmtId="0" fontId="27" fillId="3" borderId="4" xfId="0" applyFont="1" applyFill="1" applyBorder="1"/>
    <xf numFmtId="164" fontId="27" fillId="3" borderId="4" xfId="0" applyNumberFormat="1" applyFont="1" applyFill="1" applyBorder="1"/>
    <xf numFmtId="0" fontId="20" fillId="2" borderId="0" xfId="0" applyFont="1" applyFill="1"/>
    <xf numFmtId="0" fontId="20" fillId="15" borderId="9" xfId="0" applyFont="1" applyFill="1" applyBorder="1" applyAlignment="1">
      <alignment horizontal="center"/>
    </xf>
    <xf numFmtId="0" fontId="20" fillId="16" borderId="9" xfId="0" applyFont="1" applyFill="1" applyBorder="1" applyAlignment="1">
      <alignment horizontal="center"/>
    </xf>
    <xf numFmtId="0" fontId="53" fillId="2" borderId="4" xfId="0" applyFont="1" applyFill="1" applyBorder="1" applyAlignment="1">
      <alignment horizontal="left"/>
    </xf>
    <xf numFmtId="0" fontId="63" fillId="0" borderId="0" xfId="0" applyFont="1" applyAlignment="1">
      <alignment horizontal="center"/>
    </xf>
    <xf numFmtId="0" fontId="1" fillId="3" borderId="0" xfId="0" applyFont="1" applyFill="1"/>
    <xf numFmtId="0" fontId="64" fillId="3" borderId="0" xfId="0" applyFont="1" applyFill="1" applyAlignment="1">
      <alignment horizontal="center"/>
    </xf>
    <xf numFmtId="0" fontId="46" fillId="14" borderId="4" xfId="0" applyFont="1" applyFill="1" applyBorder="1" applyAlignment="1">
      <alignment horizontal="center"/>
    </xf>
    <xf numFmtId="14" fontId="47" fillId="14" borderId="4" xfId="0" applyNumberFormat="1" applyFont="1" applyFill="1" applyBorder="1" applyAlignment="1">
      <alignment horizontal="center"/>
    </xf>
    <xf numFmtId="166" fontId="60" fillId="14" borderId="4" xfId="0" applyNumberFormat="1" applyFont="1" applyFill="1" applyBorder="1" applyAlignment="1">
      <alignment horizontal="center"/>
    </xf>
    <xf numFmtId="0" fontId="65" fillId="8" borderId="5" xfId="0" applyFont="1" applyFill="1" applyBorder="1" applyAlignment="1">
      <alignment horizontal="center" vertical="center"/>
    </xf>
    <xf numFmtId="0" fontId="66" fillId="17" borderId="4" xfId="0" applyFont="1" applyFill="1" applyBorder="1" applyAlignment="1">
      <alignment horizontal="center"/>
    </xf>
    <xf numFmtId="0" fontId="67" fillId="3" borderId="4" xfId="0" applyFont="1" applyFill="1" applyBorder="1" applyAlignment="1">
      <alignment horizontal="center"/>
    </xf>
    <xf numFmtId="0" fontId="68" fillId="2" borderId="9" xfId="0" applyFont="1" applyFill="1" applyBorder="1" applyAlignment="1">
      <alignment horizontal="center"/>
    </xf>
    <xf numFmtId="0" fontId="64" fillId="2" borderId="9" xfId="0" applyFont="1" applyFill="1" applyBorder="1" applyAlignment="1">
      <alignment horizontal="center"/>
    </xf>
    <xf numFmtId="0" fontId="68" fillId="3" borderId="9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164" fontId="27" fillId="2" borderId="4" xfId="0" applyNumberFormat="1" applyFont="1" applyFill="1" applyBorder="1"/>
    <xf numFmtId="0" fontId="27" fillId="2" borderId="0" xfId="0" applyFont="1" applyFill="1"/>
    <xf numFmtId="49" fontId="20" fillId="8" borderId="4" xfId="0" applyNumberFormat="1" applyFont="1" applyFill="1" applyBorder="1" applyAlignment="1">
      <alignment horizontal="center"/>
    </xf>
    <xf numFmtId="0" fontId="31" fillId="8" borderId="0" xfId="0" applyFont="1" applyFill="1"/>
    <xf numFmtId="168" fontId="64" fillId="2" borderId="9" xfId="0" applyNumberFormat="1" applyFont="1" applyFill="1" applyBorder="1" applyAlignment="1">
      <alignment horizontal="center"/>
    </xf>
    <xf numFmtId="3" fontId="64" fillId="2" borderId="9" xfId="0" applyNumberFormat="1" applyFont="1" applyFill="1" applyBorder="1" applyAlignment="1">
      <alignment horizontal="center"/>
    </xf>
    <xf numFmtId="168" fontId="64" fillId="3" borderId="9" xfId="0" applyNumberFormat="1" applyFont="1" applyFill="1" applyBorder="1" applyAlignment="1">
      <alignment horizontal="center"/>
    </xf>
    <xf numFmtId="0" fontId="42" fillId="0" borderId="0" xfId="0" applyFont="1"/>
    <xf numFmtId="166" fontId="64" fillId="2" borderId="9" xfId="0" applyNumberFormat="1" applyFont="1" applyFill="1" applyBorder="1" applyAlignment="1">
      <alignment horizontal="center"/>
    </xf>
    <xf numFmtId="0" fontId="68" fillId="2" borderId="4" xfId="0" applyFont="1" applyFill="1" applyBorder="1" applyAlignment="1">
      <alignment horizontal="center"/>
    </xf>
    <xf numFmtId="0" fontId="69" fillId="2" borderId="0" xfId="0" applyFont="1" applyFill="1" applyAlignment="1">
      <alignment horizontal="center"/>
    </xf>
    <xf numFmtId="0" fontId="59" fillId="0" borderId="9" xfId="0" applyFont="1" applyBorder="1" applyAlignment="1">
      <alignment horizontal="center"/>
    </xf>
    <xf numFmtId="0" fontId="59" fillId="0" borderId="0" xfId="0" applyFont="1" applyAlignment="1">
      <alignment horizontal="center"/>
    </xf>
    <xf numFmtId="0" fontId="20" fillId="18" borderId="4" xfId="0" applyFont="1" applyFill="1" applyBorder="1" applyAlignment="1">
      <alignment horizontal="center"/>
    </xf>
    <xf numFmtId="0" fontId="49" fillId="8" borderId="0" xfId="0" applyFont="1" applyFill="1" applyAlignment="1">
      <alignment horizontal="center"/>
    </xf>
    <xf numFmtId="0" fontId="19" fillId="8" borderId="3" xfId="0" applyFont="1" applyFill="1" applyBorder="1"/>
    <xf numFmtId="164" fontId="20" fillId="8" borderId="9" xfId="0" applyNumberFormat="1" applyFont="1" applyFill="1" applyBorder="1" applyAlignment="1">
      <alignment horizontal="center"/>
    </xf>
    <xf numFmtId="164" fontId="20" fillId="8" borderId="4" xfId="0" applyNumberFormat="1" applyFont="1" applyFill="1" applyBorder="1" applyAlignment="1">
      <alignment horizontal="center"/>
    </xf>
    <xf numFmtId="0" fontId="32" fillId="8" borderId="4" xfId="0" applyFont="1" applyFill="1" applyBorder="1" applyAlignment="1">
      <alignment horizontal="center"/>
    </xf>
    <xf numFmtId="0" fontId="33" fillId="8" borderId="4" xfId="0" applyFont="1" applyFill="1" applyBorder="1" applyAlignment="1">
      <alignment horizontal="center"/>
    </xf>
    <xf numFmtId="0" fontId="34" fillId="8" borderId="4" xfId="0" applyFont="1" applyFill="1" applyBorder="1" applyAlignment="1">
      <alignment horizontal="center"/>
    </xf>
    <xf numFmtId="0" fontId="35" fillId="8" borderId="9" xfId="0" applyFont="1" applyFill="1" applyBorder="1" applyAlignment="1">
      <alignment horizontal="center"/>
    </xf>
    <xf numFmtId="166" fontId="64" fillId="8" borderId="9" xfId="0" applyNumberFormat="1" applyFont="1" applyFill="1" applyBorder="1" applyAlignment="1">
      <alignment horizontal="center"/>
    </xf>
    <xf numFmtId="0" fontId="36" fillId="8" borderId="3" xfId="0" applyFont="1" applyFill="1" applyBorder="1" applyAlignment="1">
      <alignment horizontal="center"/>
    </xf>
    <xf numFmtId="0" fontId="34" fillId="8" borderId="4" xfId="0" applyFont="1" applyFill="1" applyBorder="1" applyAlignment="1">
      <alignment horizontal="left"/>
    </xf>
    <xf numFmtId="0" fontId="30" fillId="8" borderId="4" xfId="0" applyFont="1" applyFill="1" applyBorder="1" applyAlignment="1">
      <alignment horizontal="center"/>
    </xf>
    <xf numFmtId="0" fontId="29" fillId="8" borderId="4" xfId="0" applyFont="1" applyFill="1" applyBorder="1" applyAlignment="1">
      <alignment horizontal="center"/>
    </xf>
    <xf numFmtId="0" fontId="68" fillId="8" borderId="4" xfId="0" applyFont="1" applyFill="1" applyBorder="1" applyAlignment="1">
      <alignment horizontal="center"/>
    </xf>
    <xf numFmtId="0" fontId="31" fillId="8" borderId="4" xfId="0" applyFont="1" applyFill="1" applyBorder="1"/>
    <xf numFmtId="0" fontId="70" fillId="2" borderId="4" xfId="0" applyFont="1" applyFill="1" applyBorder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68" fillId="3" borderId="4" xfId="0" applyFont="1" applyFill="1" applyBorder="1" applyAlignment="1">
      <alignment horizontal="center"/>
    </xf>
    <xf numFmtId="0" fontId="49" fillId="19" borderId="0" xfId="0" applyFont="1" applyFill="1" applyAlignment="1">
      <alignment horizontal="center"/>
    </xf>
    <xf numFmtId="49" fontId="20" fillId="19" borderId="4" xfId="0" applyNumberFormat="1" applyFont="1" applyFill="1" applyBorder="1" applyAlignment="1">
      <alignment horizontal="center"/>
    </xf>
    <xf numFmtId="0" fontId="20" fillId="19" borderId="4" xfId="0" applyFont="1" applyFill="1" applyBorder="1" applyAlignment="1">
      <alignment horizontal="center"/>
    </xf>
    <xf numFmtId="0" fontId="20" fillId="19" borderId="9" xfId="0" applyFont="1" applyFill="1" applyBorder="1" applyAlignment="1">
      <alignment horizontal="center"/>
    </xf>
    <xf numFmtId="164" fontId="20" fillId="19" borderId="9" xfId="0" applyNumberFormat="1" applyFont="1" applyFill="1" applyBorder="1" applyAlignment="1">
      <alignment horizontal="center"/>
    </xf>
    <xf numFmtId="164" fontId="20" fillId="19" borderId="4" xfId="0" applyNumberFormat="1" applyFont="1" applyFill="1" applyBorder="1" applyAlignment="1">
      <alignment horizontal="center"/>
    </xf>
    <xf numFmtId="0" fontId="32" fillId="19" borderId="4" xfId="0" applyFont="1" applyFill="1" applyBorder="1" applyAlignment="1">
      <alignment horizontal="center"/>
    </xf>
    <xf numFmtId="0" fontId="33" fillId="19" borderId="4" xfId="0" applyFont="1" applyFill="1" applyBorder="1" applyAlignment="1">
      <alignment horizontal="center"/>
    </xf>
    <xf numFmtId="0" fontId="34" fillId="19" borderId="4" xfId="0" applyFont="1" applyFill="1" applyBorder="1" applyAlignment="1">
      <alignment horizontal="center"/>
    </xf>
    <xf numFmtId="0" fontId="35" fillId="19" borderId="9" xfId="0" applyFont="1" applyFill="1" applyBorder="1" applyAlignment="1">
      <alignment horizontal="center"/>
    </xf>
    <xf numFmtId="166" fontId="64" fillId="19" borderId="9" xfId="0" applyNumberFormat="1" applyFont="1" applyFill="1" applyBorder="1" applyAlignment="1">
      <alignment horizontal="center"/>
    </xf>
    <xf numFmtId="0" fontId="36" fillId="19" borderId="3" xfId="0" applyFont="1" applyFill="1" applyBorder="1" applyAlignment="1">
      <alignment horizontal="center"/>
    </xf>
    <xf numFmtId="0" fontId="34" fillId="19" borderId="4" xfId="0" applyFont="1" applyFill="1" applyBorder="1" applyAlignment="1">
      <alignment horizontal="left"/>
    </xf>
    <xf numFmtId="0" fontId="30" fillId="19" borderId="4" xfId="0" applyFont="1" applyFill="1" applyBorder="1" applyAlignment="1">
      <alignment horizontal="center"/>
    </xf>
    <xf numFmtId="0" fontId="29" fillId="19" borderId="4" xfId="0" applyFont="1" applyFill="1" applyBorder="1" applyAlignment="1">
      <alignment horizontal="center"/>
    </xf>
    <xf numFmtId="0" fontId="68" fillId="19" borderId="4" xfId="0" applyFont="1" applyFill="1" applyBorder="1" applyAlignment="1">
      <alignment horizontal="center"/>
    </xf>
    <xf numFmtId="0" fontId="31" fillId="19" borderId="4" xfId="0" applyFont="1" applyFill="1" applyBorder="1"/>
    <xf numFmtId="0" fontId="31" fillId="19" borderId="0" xfId="0" applyFont="1" applyFill="1"/>
    <xf numFmtId="0" fontId="49" fillId="16" borderId="0" xfId="0" applyFont="1" applyFill="1" applyAlignment="1">
      <alignment horizontal="center"/>
    </xf>
    <xf numFmtId="164" fontId="20" fillId="16" borderId="4" xfId="0" applyNumberFormat="1" applyFont="1" applyFill="1" applyBorder="1" applyAlignment="1">
      <alignment horizontal="center"/>
    </xf>
    <xf numFmtId="0" fontId="31" fillId="16" borderId="4" xfId="0" applyFont="1" applyFill="1" applyBorder="1"/>
    <xf numFmtId="0" fontId="31" fillId="16" borderId="0" xfId="0" applyFont="1" applyFill="1"/>
    <xf numFmtId="0" fontId="49" fillId="9" borderId="0" xfId="0" applyFont="1" applyFill="1" applyAlignment="1">
      <alignment horizontal="center"/>
    </xf>
    <xf numFmtId="49" fontId="20" fillId="9" borderId="4" xfId="0" applyNumberFormat="1" applyFont="1" applyFill="1" applyBorder="1" applyAlignment="1">
      <alignment horizontal="center"/>
    </xf>
    <xf numFmtId="0" fontId="20" fillId="9" borderId="4" xfId="0" applyFont="1" applyFill="1" applyBorder="1" applyAlignment="1">
      <alignment horizontal="center"/>
    </xf>
    <xf numFmtId="0" fontId="20" fillId="9" borderId="9" xfId="0" applyFont="1" applyFill="1" applyBorder="1" applyAlignment="1">
      <alignment horizontal="center"/>
    </xf>
    <xf numFmtId="164" fontId="20" fillId="9" borderId="9" xfId="0" applyNumberFormat="1" applyFont="1" applyFill="1" applyBorder="1" applyAlignment="1">
      <alignment horizontal="center"/>
    </xf>
    <xf numFmtId="164" fontId="20" fillId="9" borderId="4" xfId="0" applyNumberFormat="1" applyFont="1" applyFill="1" applyBorder="1" applyAlignment="1">
      <alignment horizontal="center"/>
    </xf>
    <xf numFmtId="0" fontId="32" fillId="9" borderId="4" xfId="0" applyFont="1" applyFill="1" applyBorder="1" applyAlignment="1">
      <alignment horizontal="center"/>
    </xf>
    <xf numFmtId="0" fontId="33" fillId="9" borderId="4" xfId="0" applyFont="1" applyFill="1" applyBorder="1" applyAlignment="1">
      <alignment horizontal="center"/>
    </xf>
    <xf numFmtId="0" fontId="34" fillId="9" borderId="4" xfId="0" applyFont="1" applyFill="1" applyBorder="1" applyAlignment="1">
      <alignment horizontal="center"/>
    </xf>
    <xf numFmtId="0" fontId="35" fillId="9" borderId="9" xfId="0" applyFont="1" applyFill="1" applyBorder="1" applyAlignment="1">
      <alignment horizontal="center"/>
    </xf>
    <xf numFmtId="166" fontId="64" fillId="9" borderId="9" xfId="0" applyNumberFormat="1" applyFont="1" applyFill="1" applyBorder="1" applyAlignment="1">
      <alignment horizontal="center"/>
    </xf>
    <xf numFmtId="0" fontId="36" fillId="9" borderId="3" xfId="0" applyFont="1" applyFill="1" applyBorder="1" applyAlignment="1">
      <alignment horizontal="center"/>
    </xf>
    <xf numFmtId="0" fontId="34" fillId="9" borderId="4" xfId="0" applyFont="1" applyFill="1" applyBorder="1" applyAlignment="1">
      <alignment horizontal="left"/>
    </xf>
    <xf numFmtId="0" fontId="30" fillId="9" borderId="4" xfId="0" applyFont="1" applyFill="1" applyBorder="1" applyAlignment="1">
      <alignment horizontal="center"/>
    </xf>
    <xf numFmtId="0" fontId="29" fillId="9" borderId="4" xfId="0" applyFont="1" applyFill="1" applyBorder="1" applyAlignment="1">
      <alignment horizontal="center"/>
    </xf>
    <xf numFmtId="0" fontId="31" fillId="9" borderId="4" xfId="0" applyFont="1" applyFill="1" applyBorder="1"/>
    <xf numFmtId="0" fontId="31" fillId="9" borderId="0" xfId="0" applyFont="1" applyFill="1"/>
    <xf numFmtId="166" fontId="64" fillId="3" borderId="9" xfId="0" applyNumberFormat="1" applyFont="1" applyFill="1" applyBorder="1" applyAlignment="1">
      <alignment horizontal="center"/>
    </xf>
    <xf numFmtId="0" fontId="31" fillId="6" borderId="0" xfId="0" applyFont="1" applyFill="1"/>
    <xf numFmtId="0" fontId="64" fillId="3" borderId="9" xfId="0" applyFont="1" applyFill="1" applyBorder="1" applyAlignment="1">
      <alignment horizontal="center"/>
    </xf>
    <xf numFmtId="0" fontId="31" fillId="20" borderId="0" xfId="0" applyFont="1" applyFill="1"/>
    <xf numFmtId="0" fontId="70" fillId="3" borderId="4" xfId="0" applyFont="1" applyFill="1" applyBorder="1" applyAlignment="1">
      <alignment horizontal="center"/>
    </xf>
    <xf numFmtId="0" fontId="35" fillId="3" borderId="4" xfId="0" applyFont="1" applyFill="1" applyBorder="1" applyAlignment="1">
      <alignment horizontal="center"/>
    </xf>
    <xf numFmtId="0" fontId="31" fillId="5" borderId="0" xfId="0" applyFont="1" applyFill="1"/>
    <xf numFmtId="0" fontId="35" fillId="2" borderId="4" xfId="0" applyFont="1" applyFill="1" applyBorder="1" applyAlignment="1">
      <alignment horizontal="center"/>
    </xf>
    <xf numFmtId="0" fontId="31" fillId="0" borderId="0" xfId="0" applyFont="1"/>
    <xf numFmtId="0" fontId="71" fillId="2" borderId="0" xfId="0" applyFont="1" applyFill="1" applyAlignment="1">
      <alignment horizontal="center"/>
    </xf>
    <xf numFmtId="166" fontId="7" fillId="2" borderId="4" xfId="0" applyNumberFormat="1" applyFont="1" applyFill="1" applyBorder="1"/>
    <xf numFmtId="0" fontId="3" fillId="3" borderId="4" xfId="0" applyFont="1" applyFill="1" applyBorder="1" applyAlignment="1">
      <alignment horizontal="center"/>
    </xf>
    <xf numFmtId="0" fontId="8" fillId="3" borderId="4" xfId="0" applyFont="1" applyFill="1" applyBorder="1"/>
    <xf numFmtId="0" fontId="9" fillId="3" borderId="4" xfId="0" applyFont="1" applyFill="1" applyBorder="1" applyAlignment="1">
      <alignment horizontal="center"/>
    </xf>
    <xf numFmtId="0" fontId="64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left"/>
    </xf>
    <xf numFmtId="0" fontId="73" fillId="3" borderId="4" xfId="0" applyFont="1" applyFill="1" applyBorder="1" applyAlignment="1">
      <alignment horizontal="center"/>
    </xf>
    <xf numFmtId="0" fontId="73" fillId="8" borderId="0" xfId="0" applyFont="1" applyFill="1" applyAlignment="1">
      <alignment horizontal="center"/>
    </xf>
    <xf numFmtId="0" fontId="74" fillId="2" borderId="4" xfId="0" applyFont="1" applyFill="1" applyBorder="1" applyAlignment="1">
      <alignment horizontal="center"/>
    </xf>
    <xf numFmtId="0" fontId="54" fillId="21" borderId="4" xfId="0" applyFont="1" applyFill="1" applyBorder="1" applyAlignment="1">
      <alignment horizontal="center"/>
    </xf>
    <xf numFmtId="0" fontId="75" fillId="20" borderId="4" xfId="0" applyFont="1" applyFill="1" applyBorder="1" applyAlignment="1">
      <alignment horizontal="center"/>
    </xf>
    <xf numFmtId="0" fontId="5" fillId="20" borderId="4" xfId="0" applyFont="1" applyFill="1" applyBorder="1" applyAlignment="1">
      <alignment horizontal="center"/>
    </xf>
    <xf numFmtId="0" fontId="35" fillId="2" borderId="11" xfId="0" applyFont="1" applyFill="1" applyBorder="1" applyAlignment="1">
      <alignment horizontal="center"/>
    </xf>
    <xf numFmtId="0" fontId="36" fillId="3" borderId="4" xfId="0" applyFont="1" applyFill="1" applyBorder="1" applyAlignment="1">
      <alignment horizontal="center"/>
    </xf>
    <xf numFmtId="0" fontId="74" fillId="3" borderId="4" xfId="0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1" fillId="3" borderId="4" xfId="0" applyFont="1" applyFill="1" applyBorder="1" applyAlignment="1">
      <alignment horizontal="center"/>
    </xf>
    <xf numFmtId="0" fontId="77" fillId="7" borderId="4" xfId="0" applyFont="1" applyFill="1" applyBorder="1" applyAlignment="1">
      <alignment horizontal="center"/>
    </xf>
    <xf numFmtId="164" fontId="77" fillId="7" borderId="4" xfId="0" applyNumberFormat="1" applyFont="1" applyFill="1" applyBorder="1" applyAlignment="1">
      <alignment horizontal="center"/>
    </xf>
    <xf numFmtId="165" fontId="6" fillId="7" borderId="4" xfId="0" applyNumberFormat="1" applyFont="1" applyFill="1" applyBorder="1" applyAlignment="1">
      <alignment horizontal="center"/>
    </xf>
    <xf numFmtId="0" fontId="78" fillId="3" borderId="4" xfId="0" applyFont="1" applyFill="1" applyBorder="1"/>
    <xf numFmtId="0" fontId="79" fillId="7" borderId="4" xfId="0" applyFont="1" applyFill="1" applyBorder="1" applyAlignment="1">
      <alignment horizontal="center"/>
    </xf>
    <xf numFmtId="164" fontId="4" fillId="7" borderId="4" xfId="0" applyNumberFormat="1" applyFont="1" applyFill="1" applyBorder="1" applyAlignment="1">
      <alignment horizontal="center"/>
    </xf>
    <xf numFmtId="166" fontId="31" fillId="3" borderId="4" xfId="0" applyNumberFormat="1" applyFont="1" applyFill="1" applyBorder="1"/>
    <xf numFmtId="166" fontId="78" fillId="2" borderId="4" xfId="0" applyNumberFormat="1" applyFont="1" applyFill="1" applyBorder="1"/>
    <xf numFmtId="0" fontId="80" fillId="7" borderId="4" xfId="0" applyFont="1" applyFill="1" applyBorder="1" applyAlignment="1">
      <alignment horizontal="center"/>
    </xf>
    <xf numFmtId="0" fontId="31" fillId="3" borderId="13" xfId="0" applyFont="1" applyFill="1" applyBorder="1"/>
    <xf numFmtId="0" fontId="81" fillId="7" borderId="4" xfId="0" applyFont="1" applyFill="1" applyBorder="1" applyAlignment="1">
      <alignment horizontal="center"/>
    </xf>
    <xf numFmtId="14" fontId="81" fillId="7" borderId="4" xfId="0" applyNumberFormat="1" applyFont="1" applyFill="1" applyBorder="1" applyAlignment="1">
      <alignment horizontal="center"/>
    </xf>
    <xf numFmtId="166" fontId="82" fillId="7" borderId="4" xfId="0" applyNumberFormat="1" applyFont="1" applyFill="1" applyBorder="1" applyAlignment="1">
      <alignment horizontal="center"/>
    </xf>
    <xf numFmtId="0" fontId="84" fillId="8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left" vertical="center"/>
    </xf>
    <xf numFmtId="0" fontId="85" fillId="2" borderId="3" xfId="0" applyFont="1" applyFill="1" applyBorder="1"/>
    <xf numFmtId="0" fontId="20" fillId="0" borderId="9" xfId="0" applyFont="1" applyBorder="1" applyAlignment="1">
      <alignment horizontal="center"/>
    </xf>
    <xf numFmtId="164" fontId="20" fillId="0" borderId="9" xfId="0" applyNumberFormat="1" applyFont="1" applyBorder="1" applyAlignment="1">
      <alignment horizontal="center"/>
    </xf>
    <xf numFmtId="164" fontId="39" fillId="3" borderId="4" xfId="0" applyNumberFormat="1" applyFont="1" applyFill="1" applyBorder="1" applyAlignment="1">
      <alignment horizontal="center"/>
    </xf>
    <xf numFmtId="0" fontId="58" fillId="13" borderId="4" xfId="0" applyFont="1" applyFill="1" applyBorder="1"/>
    <xf numFmtId="0" fontId="20" fillId="3" borderId="13" xfId="0" applyFont="1" applyFill="1" applyBorder="1" applyAlignment="1">
      <alignment horizontal="center"/>
    </xf>
    <xf numFmtId="0" fontId="31" fillId="0" borderId="9" xfId="0" applyFont="1" applyBorder="1"/>
    <xf numFmtId="0" fontId="39" fillId="0" borderId="4" xfId="0" applyFont="1" applyBorder="1" applyAlignment="1">
      <alignment horizontal="center"/>
    </xf>
    <xf numFmtId="164" fontId="39" fillId="0" borderId="9" xfId="0" applyNumberFormat="1" applyFont="1" applyBorder="1" applyAlignment="1">
      <alignment horizontal="center"/>
    </xf>
    <xf numFmtId="0" fontId="86" fillId="21" borderId="4" xfId="0" applyFont="1" applyFill="1" applyBorder="1" applyAlignment="1">
      <alignment horizontal="center"/>
    </xf>
    <xf numFmtId="49" fontId="20" fillId="0" borderId="4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74" fillId="0" borderId="4" xfId="0" applyFont="1" applyBorder="1" applyAlignment="1">
      <alignment horizontal="center"/>
    </xf>
    <xf numFmtId="0" fontId="22" fillId="0" borderId="4" xfId="0" applyFont="1" applyBorder="1" applyAlignment="1">
      <alignment horizontal="left"/>
    </xf>
    <xf numFmtId="0" fontId="58" fillId="0" borderId="4" xfId="0" applyFont="1" applyBorder="1"/>
    <xf numFmtId="0" fontId="3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7" fillId="0" borderId="0" xfId="0" applyFont="1"/>
    <xf numFmtId="0" fontId="77" fillId="3" borderId="4" xfId="0" applyFont="1" applyFill="1" applyBorder="1" applyAlignment="1">
      <alignment horizontal="center"/>
    </xf>
    <xf numFmtId="164" fontId="77" fillId="3" borderId="4" xfId="0" applyNumberFormat="1" applyFont="1" applyFill="1" applyBorder="1" applyAlignment="1">
      <alignment horizontal="center"/>
    </xf>
    <xf numFmtId="0" fontId="79" fillId="3" borderId="4" xfId="0" applyFont="1" applyFill="1" applyBorder="1" applyAlignment="1">
      <alignment horizontal="center"/>
    </xf>
    <xf numFmtId="0" fontId="80" fillId="14" borderId="4" xfId="0" applyFont="1" applyFill="1" applyBorder="1" applyAlignment="1">
      <alignment horizontal="center"/>
    </xf>
    <xf numFmtId="0" fontId="81" fillId="14" borderId="4" xfId="0" applyFont="1" applyFill="1" applyBorder="1" applyAlignment="1">
      <alignment horizontal="center"/>
    </xf>
    <xf numFmtId="14" fontId="81" fillId="14" borderId="4" xfId="0" applyNumberFormat="1" applyFont="1" applyFill="1" applyBorder="1" applyAlignment="1">
      <alignment horizontal="center"/>
    </xf>
    <xf numFmtId="0" fontId="26" fillId="21" borderId="4" xfId="0" applyFont="1" applyFill="1" applyBorder="1" applyAlignment="1">
      <alignment horizontal="center"/>
    </xf>
    <xf numFmtId="166" fontId="26" fillId="21" borderId="4" xfId="0" applyNumberFormat="1" applyFont="1" applyFill="1" applyBorder="1" applyAlignment="1">
      <alignment horizontal="center"/>
    </xf>
    <xf numFmtId="0" fontId="88" fillId="3" borderId="4" xfId="0" applyFont="1" applyFill="1" applyBorder="1" applyAlignment="1">
      <alignment horizontal="center"/>
    </xf>
    <xf numFmtId="0" fontId="50" fillId="8" borderId="9" xfId="0" applyFont="1" applyFill="1" applyBorder="1" applyAlignment="1">
      <alignment horizontal="center"/>
    </xf>
    <xf numFmtId="0" fontId="89" fillId="8" borderId="9" xfId="0" applyFont="1" applyFill="1" applyBorder="1" applyAlignment="1">
      <alignment horizontal="center"/>
    </xf>
    <xf numFmtId="0" fontId="54" fillId="21" borderId="9" xfId="0" applyFont="1" applyFill="1" applyBorder="1" applyAlignment="1">
      <alignment horizontal="center"/>
    </xf>
    <xf numFmtId="0" fontId="90" fillId="11" borderId="4" xfId="0" applyFont="1" applyFill="1" applyBorder="1" applyAlignment="1">
      <alignment horizontal="center"/>
    </xf>
    <xf numFmtId="164" fontId="20" fillId="0" borderId="4" xfId="0" applyNumberFormat="1" applyFont="1" applyBorder="1" applyAlignment="1">
      <alignment horizontal="center"/>
    </xf>
    <xf numFmtId="0" fontId="58" fillId="3" borderId="0" xfId="0" applyFont="1" applyFill="1"/>
    <xf numFmtId="0" fontId="91" fillId="0" borderId="4" xfId="0" applyFont="1" applyBorder="1" applyAlignment="1">
      <alignment horizontal="center"/>
    </xf>
    <xf numFmtId="0" fontId="64" fillId="2" borderId="4" xfId="0" applyFont="1" applyFill="1" applyBorder="1" applyAlignment="1">
      <alignment horizontal="center"/>
    </xf>
    <xf numFmtId="49" fontId="29" fillId="3" borderId="4" xfId="0" applyNumberFormat="1" applyFont="1" applyFill="1" applyBorder="1" applyAlignment="1">
      <alignment horizontal="center"/>
    </xf>
    <xf numFmtId="0" fontId="29" fillId="0" borderId="4" xfId="0" applyFont="1" applyBorder="1" applyAlignment="1">
      <alignment horizontal="center"/>
    </xf>
    <xf numFmtId="164" fontId="39" fillId="0" borderId="4" xfId="0" applyNumberFormat="1" applyFont="1" applyBorder="1" applyAlignment="1">
      <alignment horizontal="center"/>
    </xf>
    <xf numFmtId="0" fontId="43" fillId="0" borderId="4" xfId="0" applyFont="1" applyBorder="1"/>
    <xf numFmtId="166" fontId="49" fillId="2" borderId="0" xfId="0" applyNumberFormat="1" applyFont="1" applyFill="1" applyAlignment="1">
      <alignment horizontal="center"/>
    </xf>
    <xf numFmtId="49" fontId="20" fillId="22" borderId="4" xfId="0" applyNumberFormat="1" applyFont="1" applyFill="1" applyBorder="1" applyAlignment="1">
      <alignment horizontal="center"/>
    </xf>
    <xf numFmtId="0" fontId="20" fillId="22" borderId="4" xfId="0" applyFont="1" applyFill="1" applyBorder="1" applyAlignment="1">
      <alignment horizontal="center"/>
    </xf>
    <xf numFmtId="164" fontId="20" fillId="22" borderId="4" xfId="0" applyNumberFormat="1" applyFont="1" applyFill="1" applyBorder="1" applyAlignment="1">
      <alignment horizontal="center"/>
    </xf>
    <xf numFmtId="0" fontId="32" fillId="22" borderId="4" xfId="0" applyFont="1" applyFill="1" applyBorder="1" applyAlignment="1">
      <alignment horizontal="center"/>
    </xf>
    <xf numFmtId="0" fontId="33" fillId="22" borderId="4" xfId="0" applyFont="1" applyFill="1" applyBorder="1" applyAlignment="1">
      <alignment horizontal="center"/>
    </xf>
    <xf numFmtId="0" fontId="34" fillId="22" borderId="4" xfId="0" applyFont="1" applyFill="1" applyBorder="1" applyAlignment="1">
      <alignment horizontal="center"/>
    </xf>
    <xf numFmtId="0" fontId="35" fillId="22" borderId="4" xfId="0" applyFont="1" applyFill="1" applyBorder="1" applyAlignment="1">
      <alignment horizontal="center"/>
    </xf>
    <xf numFmtId="0" fontId="86" fillId="22" borderId="4" xfId="0" applyFont="1" applyFill="1" applyBorder="1" applyAlignment="1">
      <alignment horizontal="center"/>
    </xf>
    <xf numFmtId="0" fontId="36" fillId="22" borderId="4" xfId="0" applyFont="1" applyFill="1" applyBorder="1" applyAlignment="1">
      <alignment horizontal="center"/>
    </xf>
    <xf numFmtId="0" fontId="31" fillId="22" borderId="4" xfId="0" applyFont="1" applyFill="1" applyBorder="1"/>
    <xf numFmtId="49" fontId="20" fillId="23" borderId="4" xfId="0" applyNumberFormat="1" applyFont="1" applyFill="1" applyBorder="1" applyAlignment="1">
      <alignment horizontal="center"/>
    </xf>
    <xf numFmtId="0" fontId="20" fillId="23" borderId="4" xfId="0" applyFont="1" applyFill="1" applyBorder="1" applyAlignment="1">
      <alignment horizontal="center"/>
    </xf>
    <xf numFmtId="164" fontId="20" fillId="23" borderId="4" xfId="0" applyNumberFormat="1" applyFont="1" applyFill="1" applyBorder="1" applyAlignment="1">
      <alignment horizontal="center"/>
    </xf>
    <xf numFmtId="164" fontId="29" fillId="0" borderId="4" xfId="0" applyNumberFormat="1" applyFont="1" applyBorder="1" applyAlignment="1">
      <alignment horizontal="center"/>
    </xf>
    <xf numFmtId="166" fontId="64" fillId="2" borderId="4" xfId="0" applyNumberFormat="1" applyFont="1" applyFill="1" applyBorder="1" applyAlignment="1">
      <alignment horizontal="center"/>
    </xf>
    <xf numFmtId="0" fontId="50" fillId="3" borderId="4" xfId="0" applyFont="1" applyFill="1" applyBorder="1" applyAlignment="1">
      <alignment horizontal="left"/>
    </xf>
    <xf numFmtId="0" fontId="54" fillId="21" borderId="3" xfId="0" applyFont="1" applyFill="1" applyBorder="1" applyAlignment="1">
      <alignment horizontal="center"/>
    </xf>
    <xf numFmtId="49" fontId="20" fillId="24" borderId="4" xfId="0" applyNumberFormat="1" applyFont="1" applyFill="1" applyBorder="1" applyAlignment="1">
      <alignment horizontal="center"/>
    </xf>
    <xf numFmtId="0" fontId="20" fillId="24" borderId="4" xfId="0" applyFont="1" applyFill="1" applyBorder="1" applyAlignment="1">
      <alignment horizontal="center"/>
    </xf>
    <xf numFmtId="0" fontId="20" fillId="24" borderId="9" xfId="0" applyFont="1" applyFill="1" applyBorder="1" applyAlignment="1">
      <alignment horizontal="center"/>
    </xf>
    <xf numFmtId="164" fontId="20" fillId="24" borderId="9" xfId="0" applyNumberFormat="1" applyFont="1" applyFill="1" applyBorder="1" applyAlignment="1">
      <alignment horizontal="center"/>
    </xf>
    <xf numFmtId="164" fontId="20" fillId="24" borderId="4" xfId="0" applyNumberFormat="1" applyFont="1" applyFill="1" applyBorder="1" applyAlignment="1">
      <alignment horizontal="center"/>
    </xf>
    <xf numFmtId="0" fontId="50" fillId="3" borderId="0" xfId="0" applyFont="1" applyFill="1" applyAlignment="1">
      <alignment horizontal="left"/>
    </xf>
    <xf numFmtId="0" fontId="20" fillId="20" borderId="4" xfId="0" applyFont="1" applyFill="1" applyBorder="1" applyAlignment="1">
      <alignment horizontal="center"/>
    </xf>
    <xf numFmtId="0" fontId="74" fillId="25" borderId="4" xfId="0" applyFont="1" applyFill="1" applyBorder="1" applyAlignment="1">
      <alignment horizontal="center"/>
    </xf>
    <xf numFmtId="0" fontId="22" fillId="3" borderId="3" xfId="0" applyFont="1" applyFill="1" applyBorder="1" applyAlignment="1">
      <alignment horizontal="left"/>
    </xf>
    <xf numFmtId="0" fontId="7" fillId="2" borderId="4" xfId="0" applyFont="1" applyFill="1" applyBorder="1"/>
    <xf numFmtId="0" fontId="54" fillId="21" borderId="0" xfId="0" applyFont="1" applyFill="1" applyAlignment="1">
      <alignment horizontal="center"/>
    </xf>
    <xf numFmtId="170" fontId="20" fillId="2" borderId="4" xfId="0" applyNumberFormat="1" applyFont="1" applyFill="1" applyBorder="1" applyAlignment="1">
      <alignment horizontal="center"/>
    </xf>
    <xf numFmtId="164" fontId="20" fillId="13" borderId="9" xfId="0" applyNumberFormat="1" applyFont="1" applyFill="1" applyBorder="1" applyAlignment="1">
      <alignment horizontal="center"/>
    </xf>
    <xf numFmtId="0" fontId="5" fillId="26" borderId="4" xfId="0" applyFont="1" applyFill="1" applyBorder="1" applyAlignment="1">
      <alignment horizontal="center"/>
    </xf>
    <xf numFmtId="0" fontId="22" fillId="3" borderId="0" xfId="0" applyFont="1" applyFill="1" applyAlignment="1">
      <alignment horizontal="left"/>
    </xf>
    <xf numFmtId="0" fontId="71" fillId="7" borderId="4" xfId="0" applyFont="1" applyFill="1" applyBorder="1" applyAlignment="1">
      <alignment horizontal="center"/>
    </xf>
    <xf numFmtId="166" fontId="31" fillId="7" borderId="4" xfId="0" applyNumberFormat="1" applyFont="1" applyFill="1" applyBorder="1"/>
    <xf numFmtId="0" fontId="31" fillId="0" borderId="13" xfId="0" applyFont="1" applyBorder="1"/>
    <xf numFmtId="0" fontId="3" fillId="7" borderId="4" xfId="0" applyFont="1" applyFill="1" applyBorder="1"/>
    <xf numFmtId="0" fontId="33" fillId="0" borderId="4" xfId="0" applyFont="1" applyBorder="1" applyAlignment="1">
      <alignment horizontal="center"/>
    </xf>
    <xf numFmtId="170" fontId="20" fillId="0" borderId="4" xfId="0" applyNumberFormat="1" applyFont="1" applyBorder="1" applyAlignment="1">
      <alignment horizontal="center"/>
    </xf>
    <xf numFmtId="0" fontId="58" fillId="0" borderId="0" xfId="0" applyFont="1"/>
    <xf numFmtId="0" fontId="20" fillId="20" borderId="9" xfId="0" applyFont="1" applyFill="1" applyBorder="1" applyAlignment="1">
      <alignment horizontal="center"/>
    </xf>
    <xf numFmtId="164" fontId="20" fillId="20" borderId="9" xfId="0" applyNumberFormat="1" applyFont="1" applyFill="1" applyBorder="1" applyAlignment="1">
      <alignment horizontal="center"/>
    </xf>
    <xf numFmtId="164" fontId="20" fillId="20" borderId="4" xfId="0" applyNumberFormat="1" applyFont="1" applyFill="1" applyBorder="1" applyAlignment="1">
      <alignment horizontal="center"/>
    </xf>
    <xf numFmtId="0" fontId="20" fillId="22" borderId="9" xfId="0" applyFont="1" applyFill="1" applyBorder="1" applyAlignment="1">
      <alignment horizontal="center"/>
    </xf>
    <xf numFmtId="164" fontId="20" fillId="22" borderId="9" xfId="0" applyNumberFormat="1" applyFont="1" applyFill="1" applyBorder="1" applyAlignment="1">
      <alignment horizontal="center"/>
    </xf>
    <xf numFmtId="0" fontId="35" fillId="22" borderId="9" xfId="0" applyFont="1" applyFill="1" applyBorder="1" applyAlignment="1">
      <alignment horizontal="center"/>
    </xf>
    <xf numFmtId="0" fontId="64" fillId="22" borderId="9" xfId="0" applyFont="1" applyFill="1" applyBorder="1" applyAlignment="1">
      <alignment horizontal="center"/>
    </xf>
    <xf numFmtId="0" fontId="31" fillId="0" borderId="11" xfId="0" applyFont="1" applyBorder="1"/>
    <xf numFmtId="0" fontId="3" fillId="3" borderId="10" xfId="0" applyFont="1" applyFill="1" applyBorder="1"/>
    <xf numFmtId="0" fontId="28" fillId="3" borderId="9" xfId="0" applyFont="1" applyFill="1" applyBorder="1" applyAlignment="1">
      <alignment horizontal="center"/>
    </xf>
    <xf numFmtId="0" fontId="28" fillId="0" borderId="4" xfId="0" applyFont="1" applyBorder="1" applyAlignment="1">
      <alignment horizontal="center"/>
    </xf>
    <xf numFmtId="164" fontId="28" fillId="0" borderId="9" xfId="0" applyNumberFormat="1" applyFont="1" applyBorder="1" applyAlignment="1">
      <alignment horizontal="center"/>
    </xf>
    <xf numFmtId="164" fontId="28" fillId="3" borderId="4" xfId="0" applyNumberFormat="1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92" fillId="2" borderId="9" xfId="0" applyFont="1" applyFill="1" applyBorder="1" applyAlignment="1">
      <alignment horizontal="center"/>
    </xf>
    <xf numFmtId="0" fontId="67" fillId="2" borderId="9" xfId="0" applyFont="1" applyFill="1" applyBorder="1" applyAlignment="1">
      <alignment horizontal="center"/>
    </xf>
    <xf numFmtId="0" fontId="93" fillId="13" borderId="4" xfId="0" applyFont="1" applyFill="1" applyBorder="1"/>
    <xf numFmtId="0" fontId="86" fillId="21" borderId="9" xfId="0" applyFont="1" applyFill="1" applyBorder="1" applyAlignment="1">
      <alignment horizontal="center"/>
    </xf>
    <xf numFmtId="0" fontId="71" fillId="2" borderId="4" xfId="0" applyFont="1" applyFill="1" applyBorder="1" applyAlignment="1">
      <alignment horizontal="center"/>
    </xf>
    <xf numFmtId="0" fontId="90" fillId="2" borderId="4" xfId="0" applyFont="1" applyFill="1" applyBorder="1" applyAlignment="1">
      <alignment horizontal="center"/>
    </xf>
    <xf numFmtId="164" fontId="20" fillId="21" borderId="4" xfId="0" applyNumberFormat="1" applyFont="1" applyFill="1" applyBorder="1" applyAlignment="1">
      <alignment horizontal="center"/>
    </xf>
    <xf numFmtId="0" fontId="86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91" fillId="2" borderId="4" xfId="0" applyFont="1" applyFill="1" applyBorder="1" applyAlignment="1">
      <alignment horizontal="center"/>
    </xf>
    <xf numFmtId="0" fontId="39" fillId="22" borderId="4" xfId="0" applyFont="1" applyFill="1" applyBorder="1" applyAlignment="1">
      <alignment horizontal="center"/>
    </xf>
    <xf numFmtId="49" fontId="39" fillId="3" borderId="4" xfId="0" applyNumberFormat="1" applyFont="1" applyFill="1" applyBorder="1" applyAlignment="1">
      <alignment horizontal="center"/>
    </xf>
    <xf numFmtId="164" fontId="39" fillId="2" borderId="4" xfId="0" applyNumberFormat="1" applyFont="1" applyFill="1" applyBorder="1" applyAlignment="1">
      <alignment horizontal="center"/>
    </xf>
    <xf numFmtId="0" fontId="54" fillId="3" borderId="4" xfId="0" applyFont="1" applyFill="1" applyBorder="1" applyAlignment="1">
      <alignment horizontal="center"/>
    </xf>
    <xf numFmtId="164" fontId="29" fillId="2" borderId="4" xfId="0" applyNumberFormat="1" applyFont="1" applyFill="1" applyBorder="1" applyAlignment="1">
      <alignment horizontal="center"/>
    </xf>
    <xf numFmtId="164" fontId="29" fillId="3" borderId="4" xfId="0" applyNumberFormat="1" applyFont="1" applyFill="1" applyBorder="1" applyAlignment="1">
      <alignment horizontal="center"/>
    </xf>
    <xf numFmtId="0" fontId="25" fillId="21" borderId="4" xfId="0" applyFont="1" applyFill="1" applyBorder="1" applyAlignment="1">
      <alignment horizontal="center"/>
    </xf>
    <xf numFmtId="49" fontId="20" fillId="27" borderId="4" xfId="0" applyNumberFormat="1" applyFont="1" applyFill="1" applyBorder="1" applyAlignment="1">
      <alignment horizontal="center"/>
    </xf>
    <xf numFmtId="0" fontId="20" fillId="27" borderId="4" xfId="0" applyFont="1" applyFill="1" applyBorder="1" applyAlignment="1">
      <alignment horizontal="center"/>
    </xf>
    <xf numFmtId="164" fontId="20" fillId="27" borderId="4" xfId="0" applyNumberFormat="1" applyFont="1" applyFill="1" applyBorder="1" applyAlignment="1">
      <alignment horizontal="center"/>
    </xf>
    <xf numFmtId="0" fontId="86" fillId="3" borderId="4" xfId="0" applyFont="1" applyFill="1" applyBorder="1" applyAlignment="1">
      <alignment horizontal="center"/>
    </xf>
    <xf numFmtId="0" fontId="94" fillId="2" borderId="0" xfId="0" applyFont="1" applyFill="1" applyAlignment="1">
      <alignment horizontal="center"/>
    </xf>
    <xf numFmtId="0" fontId="54" fillId="2" borderId="4" xfId="0" applyFont="1" applyFill="1" applyBorder="1" applyAlignment="1">
      <alignment horizontal="center"/>
    </xf>
    <xf numFmtId="0" fontId="95" fillId="2" borderId="9" xfId="0" applyFont="1" applyFill="1" applyBorder="1" applyAlignment="1">
      <alignment horizontal="center"/>
    </xf>
    <xf numFmtId="166" fontId="96" fillId="2" borderId="9" xfId="0" applyNumberFormat="1" applyFont="1" applyFill="1" applyBorder="1" applyAlignment="1">
      <alignment horizontal="center"/>
    </xf>
    <xf numFmtId="0" fontId="97" fillId="2" borderId="4" xfId="0" applyFont="1" applyFill="1" applyBorder="1" applyAlignment="1">
      <alignment horizontal="center"/>
    </xf>
    <xf numFmtId="164" fontId="98" fillId="3" borderId="4" xfId="0" applyNumberFormat="1" applyFont="1" applyFill="1" applyBorder="1" applyAlignment="1">
      <alignment horizontal="center"/>
    </xf>
    <xf numFmtId="0" fontId="99" fillId="0" borderId="0" xfId="0" applyFont="1"/>
    <xf numFmtId="164" fontId="58" fillId="13" borderId="0" xfId="0" applyNumberFormat="1" applyFont="1" applyFill="1"/>
    <xf numFmtId="0" fontId="55" fillId="2" borderId="0" xfId="0" applyFont="1" applyFill="1" applyAlignment="1">
      <alignment horizontal="center"/>
    </xf>
    <xf numFmtId="49" fontId="39" fillId="2" borderId="4" xfId="0" applyNumberFormat="1" applyFont="1" applyFill="1" applyBorder="1" applyAlignment="1">
      <alignment horizontal="center"/>
    </xf>
    <xf numFmtId="0" fontId="100" fillId="2" borderId="4" xfId="0" applyFont="1" applyFill="1" applyBorder="1" applyAlignment="1">
      <alignment horizontal="center"/>
    </xf>
    <xf numFmtId="164" fontId="101" fillId="2" borderId="0" xfId="0" applyNumberFormat="1" applyFont="1" applyFill="1"/>
    <xf numFmtId="0" fontId="5" fillId="2" borderId="4" xfId="0" applyFont="1" applyFill="1" applyBorder="1" applyAlignment="1">
      <alignment horizontal="center"/>
    </xf>
    <xf numFmtId="0" fontId="102" fillId="2" borderId="0" xfId="0" applyFont="1" applyFill="1"/>
    <xf numFmtId="0" fontId="100" fillId="3" borderId="4" xfId="0" applyFont="1" applyFill="1" applyBorder="1" applyAlignment="1">
      <alignment horizontal="center"/>
    </xf>
    <xf numFmtId="0" fontId="102" fillId="0" borderId="0" xfId="0" applyFont="1"/>
    <xf numFmtId="164" fontId="101" fillId="13" borderId="0" xfId="0" applyNumberFormat="1" applyFont="1" applyFill="1"/>
    <xf numFmtId="0" fontId="103" fillId="13" borderId="0" xfId="0" applyFont="1" applyFill="1" applyAlignment="1">
      <alignment horizontal="center"/>
    </xf>
    <xf numFmtId="0" fontId="104" fillId="13" borderId="0" xfId="0" applyFont="1" applyFill="1"/>
    <xf numFmtId="0" fontId="105" fillId="0" borderId="0" xfId="0" applyFont="1"/>
    <xf numFmtId="0" fontId="106" fillId="3" borderId="4" xfId="0" applyFont="1" applyFill="1" applyBorder="1"/>
    <xf numFmtId="166" fontId="7" fillId="2" borderId="4" xfId="0" applyNumberFormat="1" applyFont="1" applyFill="1" applyBorder="1" applyAlignment="1">
      <alignment horizontal="center"/>
    </xf>
    <xf numFmtId="166" fontId="107" fillId="2" borderId="4" xfId="0" applyNumberFormat="1" applyFont="1" applyFill="1" applyBorder="1"/>
    <xf numFmtId="0" fontId="30" fillId="8" borderId="0" xfId="0" applyFont="1" applyFill="1" applyAlignment="1">
      <alignment horizontal="center"/>
    </xf>
    <xf numFmtId="164" fontId="88" fillId="3" borderId="4" xfId="0" applyNumberFormat="1" applyFont="1" applyFill="1" applyBorder="1" applyAlignment="1">
      <alignment horizontal="center"/>
    </xf>
    <xf numFmtId="171" fontId="20" fillId="3" borderId="4" xfId="0" applyNumberFormat="1" applyFont="1" applyFill="1" applyBorder="1" applyAlignment="1">
      <alignment horizontal="center"/>
    </xf>
    <xf numFmtId="0" fontId="58" fillId="13" borderId="0" xfId="0" applyFont="1" applyFill="1" applyAlignment="1">
      <alignment horizontal="center"/>
    </xf>
    <xf numFmtId="0" fontId="58" fillId="13" borderId="4" xfId="0" applyFont="1" applyFill="1" applyBorder="1" applyAlignment="1">
      <alignment horizontal="center"/>
    </xf>
    <xf numFmtId="0" fontId="49" fillId="0" borderId="0" xfId="0" applyFont="1" applyAlignment="1">
      <alignment horizontal="center"/>
    </xf>
    <xf numFmtId="0" fontId="32" fillId="0" borderId="4" xfId="0" applyFont="1" applyBorder="1" applyAlignment="1">
      <alignment horizontal="center"/>
    </xf>
    <xf numFmtId="166" fontId="64" fillId="0" borderId="9" xfId="0" applyNumberFormat="1" applyFont="1" applyBorder="1" applyAlignment="1">
      <alignment horizontal="center"/>
    </xf>
    <xf numFmtId="0" fontId="75" fillId="3" borderId="4" xfId="0" applyFont="1" applyFill="1" applyBorder="1" applyAlignment="1">
      <alignment horizontal="center"/>
    </xf>
    <xf numFmtId="49" fontId="77" fillId="3" borderId="4" xfId="0" applyNumberFormat="1" applyFont="1" applyFill="1" applyBorder="1" applyAlignment="1">
      <alignment horizontal="center"/>
    </xf>
    <xf numFmtId="0" fontId="77" fillId="0" borderId="4" xfId="0" applyFont="1" applyBorder="1" applyAlignment="1">
      <alignment horizontal="center"/>
    </xf>
    <xf numFmtId="0" fontId="77" fillId="2" borderId="4" xfId="0" applyFont="1" applyFill="1" applyBorder="1" applyAlignment="1">
      <alignment horizontal="center"/>
    </xf>
    <xf numFmtId="0" fontId="77" fillId="3" borderId="9" xfId="0" applyFont="1" applyFill="1" applyBorder="1" applyAlignment="1">
      <alignment horizontal="center"/>
    </xf>
    <xf numFmtId="171" fontId="77" fillId="3" borderId="4" xfId="0" applyNumberFormat="1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166" fontId="89" fillId="2" borderId="9" xfId="0" applyNumberFormat="1" applyFont="1" applyFill="1" applyBorder="1" applyAlignment="1">
      <alignment horizontal="center"/>
    </xf>
    <xf numFmtId="0" fontId="98" fillId="2" borderId="4" xfId="0" applyFont="1" applyFill="1" applyBorder="1" applyAlignment="1">
      <alignment horizontal="center"/>
    </xf>
    <xf numFmtId="0" fontId="74" fillId="2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49" fontId="108" fillId="2" borderId="4" xfId="0" applyNumberFormat="1" applyFont="1" applyFill="1" applyBorder="1" applyAlignment="1">
      <alignment horizontal="center"/>
    </xf>
    <xf numFmtId="0" fontId="108" fillId="0" borderId="4" xfId="0" applyFont="1" applyBorder="1" applyAlignment="1">
      <alignment horizontal="center"/>
    </xf>
    <xf numFmtId="0" fontId="108" fillId="2" borderId="4" xfId="0" applyFont="1" applyFill="1" applyBorder="1" applyAlignment="1">
      <alignment horizontal="center"/>
    </xf>
    <xf numFmtId="0" fontId="108" fillId="3" borderId="9" xfId="0" applyFont="1" applyFill="1" applyBorder="1" applyAlignment="1">
      <alignment horizontal="center"/>
    </xf>
    <xf numFmtId="171" fontId="108" fillId="3" borderId="4" xfId="0" applyNumberFormat="1" applyFont="1" applyFill="1" applyBorder="1" applyAlignment="1">
      <alignment horizontal="center"/>
    </xf>
    <xf numFmtId="168" fontId="109" fillId="13" borderId="4" xfId="0" applyNumberFormat="1" applyFont="1" applyFill="1" applyBorder="1" applyAlignment="1">
      <alignment horizontal="center"/>
    </xf>
    <xf numFmtId="164" fontId="106" fillId="3" borderId="4" xfId="0" applyNumberFormat="1" applyFont="1" applyFill="1" applyBorder="1" applyAlignment="1">
      <alignment horizontal="center"/>
    </xf>
    <xf numFmtId="171" fontId="20" fillId="0" borderId="4" xfId="0" applyNumberFormat="1" applyFont="1" applyBorder="1" applyAlignment="1">
      <alignment horizontal="center"/>
    </xf>
    <xf numFmtId="164" fontId="55" fillId="2" borderId="4" xfId="0" applyNumberFormat="1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110" fillId="0" borderId="0" xfId="0" applyFont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11" fillId="2" borderId="4" xfId="0" applyFont="1" applyFill="1" applyBorder="1" applyAlignment="1">
      <alignment horizontal="center"/>
    </xf>
    <xf numFmtId="164" fontId="112" fillId="28" borderId="4" xfId="0" applyNumberFormat="1" applyFont="1" applyFill="1" applyBorder="1" applyAlignment="1">
      <alignment horizontal="center"/>
    </xf>
    <xf numFmtId="164" fontId="26" fillId="29" borderId="4" xfId="0" applyNumberFormat="1" applyFont="1" applyFill="1" applyBorder="1" applyAlignment="1">
      <alignment horizontal="center"/>
    </xf>
    <xf numFmtId="0" fontId="113" fillId="3" borderId="4" xfId="0" applyFont="1" applyFill="1" applyBorder="1" applyAlignment="1">
      <alignment horizontal="center"/>
    </xf>
    <xf numFmtId="0" fontId="58" fillId="29" borderId="4" xfId="0" applyFont="1" applyFill="1" applyBorder="1" applyAlignment="1">
      <alignment horizontal="center"/>
    </xf>
    <xf numFmtId="0" fontId="38" fillId="29" borderId="4" xfId="0" applyFont="1" applyFill="1" applyBorder="1" applyAlignment="1">
      <alignment horizontal="center"/>
    </xf>
    <xf numFmtId="0" fontId="75" fillId="0" borderId="4" xfId="0" applyFont="1" applyBorder="1" applyAlignment="1">
      <alignment horizontal="center"/>
    </xf>
    <xf numFmtId="0" fontId="64" fillId="0" borderId="9" xfId="0" applyFont="1" applyBorder="1" applyAlignment="1">
      <alignment horizontal="center"/>
    </xf>
    <xf numFmtId="0" fontId="58" fillId="29" borderId="0" xfId="0" applyFont="1" applyFill="1" applyAlignment="1">
      <alignment horizontal="center"/>
    </xf>
    <xf numFmtId="0" fontId="113" fillId="0" borderId="4" xfId="0" applyFont="1" applyBorder="1" applyAlignment="1">
      <alignment horizontal="center"/>
    </xf>
    <xf numFmtId="0" fontId="68" fillId="0" borderId="4" xfId="0" applyFont="1" applyBorder="1" applyAlignment="1">
      <alignment horizontal="center"/>
    </xf>
    <xf numFmtId="49" fontId="39" fillId="0" borderId="4" xfId="0" applyNumberFormat="1" applyFont="1" applyBorder="1" applyAlignment="1">
      <alignment horizontal="center"/>
    </xf>
    <xf numFmtId="0" fontId="97" fillId="0" borderId="4" xfId="0" applyFont="1" applyBorder="1" applyAlignment="1">
      <alignment horizontal="center"/>
    </xf>
    <xf numFmtId="0" fontId="39" fillId="5" borderId="4" xfId="0" applyFont="1" applyFill="1" applyBorder="1" applyAlignment="1">
      <alignment horizontal="center"/>
    </xf>
    <xf numFmtId="0" fontId="68" fillId="0" borderId="0" xfId="0" applyFont="1" applyAlignment="1">
      <alignment horizontal="center"/>
    </xf>
    <xf numFmtId="164" fontId="106" fillId="0" borderId="4" xfId="0" applyNumberFormat="1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58" fillId="0" borderId="4" xfId="0" applyFont="1" applyBorder="1" applyAlignment="1">
      <alignment horizontal="center"/>
    </xf>
    <xf numFmtId="164" fontId="55" fillId="0" borderId="4" xfId="0" applyNumberFormat="1" applyFont="1" applyBorder="1" applyAlignment="1">
      <alignment horizontal="center"/>
    </xf>
    <xf numFmtId="0" fontId="38" fillId="0" borderId="4" xfId="0" applyFont="1" applyBorder="1" applyAlignment="1">
      <alignment horizontal="center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58" fillId="29" borderId="4" xfId="0" applyFont="1" applyFill="1" applyBorder="1"/>
    <xf numFmtId="0" fontId="58" fillId="29" borderId="0" xfId="0" applyFont="1" applyFill="1"/>
    <xf numFmtId="0" fontId="86" fillId="29" borderId="4" xfId="0" applyFont="1" applyFill="1" applyBorder="1" applyAlignment="1">
      <alignment horizontal="center"/>
    </xf>
    <xf numFmtId="168" fontId="86" fillId="0" borderId="4" xfId="0" applyNumberFormat="1" applyFont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1" fillId="10" borderId="1" xfId="0" applyFont="1" applyFill="1" applyBorder="1" applyAlignment="1">
      <alignment horizontal="center"/>
    </xf>
    <xf numFmtId="0" fontId="22" fillId="10" borderId="1" xfId="0" applyFont="1" applyFill="1" applyBorder="1" applyAlignment="1">
      <alignment horizontal="center"/>
    </xf>
    <xf numFmtId="0" fontId="23" fillId="10" borderId="1" xfId="0" applyFont="1" applyFill="1" applyBorder="1" applyAlignment="1">
      <alignment horizontal="center"/>
    </xf>
    <xf numFmtId="0" fontId="44" fillId="9" borderId="1" xfId="0" applyFont="1" applyFill="1" applyBorder="1" applyAlignment="1">
      <alignment horizontal="center"/>
    </xf>
    <xf numFmtId="0" fontId="44" fillId="7" borderId="1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 vertical="center"/>
    </xf>
    <xf numFmtId="0" fontId="2" fillId="0" borderId="5" xfId="0" applyFont="1" applyBorder="1"/>
    <xf numFmtId="0" fontId="26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72" fillId="15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12" xfId="0" applyFont="1" applyBorder="1"/>
    <xf numFmtId="0" fontId="0" fillId="0" borderId="0" xfId="0"/>
    <xf numFmtId="0" fontId="2" fillId="0" borderId="13" xfId="0" applyFont="1" applyBorder="1"/>
    <xf numFmtId="0" fontId="2" fillId="0" borderId="14" xfId="0" applyFont="1" applyBorder="1"/>
    <xf numFmtId="0" fontId="2" fillId="0" borderId="11" xfId="0" applyFont="1" applyBorder="1"/>
    <xf numFmtId="0" fontId="2" fillId="0" borderId="9" xfId="0" applyFont="1" applyBorder="1"/>
    <xf numFmtId="0" fontId="35" fillId="2" borderId="11" xfId="0" applyFont="1" applyFill="1" applyBorder="1" applyAlignment="1">
      <alignment horizontal="center"/>
    </xf>
    <xf numFmtId="0" fontId="83" fillId="8" borderId="5" xfId="0" applyFont="1" applyFill="1" applyBorder="1" applyAlignment="1">
      <alignment horizontal="center" vertical="center"/>
    </xf>
    <xf numFmtId="0" fontId="31" fillId="7" borderId="0" xfId="0" applyFont="1" applyFill="1"/>
  </cellXfs>
  <cellStyles count="1">
    <cellStyle name="Normal" xfId="0" builtinId="0"/>
  </cellStyles>
  <dxfs count="2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4DD0E1"/>
          <bgColor rgb="FF4DD0E1"/>
        </patternFill>
      </fill>
    </dxf>
  </dxfs>
  <tableStyles count="1">
    <tableStyle name="2024 January-style" pivot="0" count="3" xr9:uid="{00000000-0011-0000-FFFF-FFFF00000000}"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66675</xdr:rowOff>
    </xdr:from>
    <xdr:ext cx="3609975" cy="75247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66675</xdr:rowOff>
    </xdr:from>
    <xdr:ext cx="3609975" cy="75247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3609975" cy="75247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9525</xdr:rowOff>
    </xdr:from>
    <xdr:ext cx="3609975" cy="75247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3609975" cy="75247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9525</xdr:rowOff>
    </xdr:from>
    <xdr:ext cx="3609975" cy="75247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9525</xdr:rowOff>
    </xdr:from>
    <xdr:ext cx="3609975" cy="75247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28575</xdr:rowOff>
    </xdr:from>
    <xdr:ext cx="4362450" cy="914400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28575</xdr:rowOff>
    </xdr:from>
    <xdr:ext cx="4362450" cy="914400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28575</xdr:rowOff>
    </xdr:from>
    <xdr:ext cx="4362450" cy="914400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76200</xdr:rowOff>
    </xdr:from>
    <xdr:ext cx="4219575" cy="88582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76200</xdr:rowOff>
    </xdr:from>
    <xdr:ext cx="4219575" cy="88582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4038600" cy="77152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2914650" cy="552450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838200</xdr:colOff>
      <xdr:row>0</xdr:row>
      <xdr:rowOff>0</xdr:rowOff>
    </xdr:from>
    <xdr:ext cx="2914650" cy="552450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2914650" cy="552450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0</xdr:row>
      <xdr:rowOff>47625</xdr:rowOff>
    </xdr:from>
    <xdr:ext cx="3524250" cy="69532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2914650" cy="552450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2914650" cy="552450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2914650" cy="552450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2914650" cy="552450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0</xdr:row>
      <xdr:rowOff>47625</xdr:rowOff>
    </xdr:from>
    <xdr:ext cx="3524250" cy="69532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0</xdr:row>
      <xdr:rowOff>47625</xdr:rowOff>
    </xdr:from>
    <xdr:ext cx="3524250" cy="69532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0</xdr:row>
      <xdr:rowOff>47625</xdr:rowOff>
    </xdr:from>
    <xdr:ext cx="3524250" cy="69532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0</xdr:row>
      <xdr:rowOff>47625</xdr:rowOff>
    </xdr:from>
    <xdr:ext cx="3524250" cy="69532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2:D3" headerRowCount="0">
  <tableColumns count="1">
    <tableColumn id="1" xr3:uid="{00000000-0010-0000-0000-000001000000}" name="Column1"/>
  </tableColumns>
  <tableStyleInfo name="2024 Januar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9"/>
  <sheetViews>
    <sheetView topLeftCell="A129" workbookViewId="0">
      <selection activeCell="M150" sqref="M150"/>
    </sheetView>
  </sheetViews>
  <sheetFormatPr baseColWidth="10" defaultColWidth="14.5" defaultRowHeight="15" customHeight="1"/>
  <cols>
    <col min="1" max="1" width="4.5" customWidth="1"/>
    <col min="2" max="2" width="11.83203125" hidden="1" customWidth="1"/>
    <col min="3" max="3" width="16" customWidth="1"/>
    <col min="4" max="4" width="16.5" customWidth="1"/>
    <col min="5" max="6" width="19.5" customWidth="1"/>
    <col min="7" max="7" width="59.5" customWidth="1"/>
    <col min="8" max="8" width="10.83203125" customWidth="1"/>
    <col min="9" max="9" width="7.5" customWidth="1"/>
    <col min="10" max="10" width="10.33203125" customWidth="1"/>
    <col min="11" max="11" width="11.5" customWidth="1"/>
    <col min="12" max="12" width="7" customWidth="1"/>
    <col min="13" max="13" width="12.5" customWidth="1"/>
    <col min="14" max="14" width="5.33203125" customWidth="1"/>
    <col min="15" max="15" width="4.6640625" customWidth="1"/>
    <col min="16" max="16" width="5.5" customWidth="1"/>
    <col min="17" max="17" width="16.6640625" customWidth="1"/>
    <col min="18" max="18" width="17.83203125" customWidth="1"/>
    <col min="19" max="19" width="5" customWidth="1"/>
    <col min="20" max="20" width="51.1640625" customWidth="1"/>
  </cols>
  <sheetData>
    <row r="1" spans="1:24" ht="72" customHeight="1">
      <c r="A1" s="529" t="s">
        <v>0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28"/>
      <c r="U1" s="1"/>
    </row>
    <row r="2" spans="1:24" ht="16">
      <c r="A2" s="2"/>
      <c r="B2" s="3"/>
      <c r="C2" s="4" t="s">
        <v>1</v>
      </c>
      <c r="D2" s="5">
        <v>775000</v>
      </c>
      <c r="E2" s="6">
        <f>D3/D2</f>
        <v>0.68115161290322579</v>
      </c>
      <c r="F2" s="1"/>
      <c r="G2" s="7">
        <v>45322</v>
      </c>
      <c r="H2" s="1"/>
      <c r="I2" s="1"/>
      <c r="J2" s="8"/>
      <c r="K2" s="8"/>
      <c r="L2" s="1"/>
      <c r="M2" s="1"/>
      <c r="N2" s="9"/>
      <c r="O2" s="10"/>
      <c r="P2" s="1"/>
      <c r="Q2" s="1"/>
      <c r="R2" s="1"/>
      <c r="S2" s="1"/>
      <c r="T2" s="1"/>
      <c r="U2" s="1"/>
    </row>
    <row r="3" spans="1:24" ht="16">
      <c r="A3" s="2"/>
      <c r="B3" s="11"/>
      <c r="C3" s="12" t="s">
        <v>2</v>
      </c>
      <c r="D3" s="13">
        <f>SUM(K10:K186)</f>
        <v>527892.5</v>
      </c>
      <c r="E3" s="14" t="s">
        <v>3</v>
      </c>
      <c r="F3" s="1"/>
      <c r="G3" s="1"/>
      <c r="H3" s="1"/>
      <c r="I3" s="1"/>
      <c r="J3" s="8"/>
      <c r="K3" s="8"/>
      <c r="L3" s="1"/>
      <c r="M3" s="1"/>
      <c r="N3" s="9"/>
      <c r="O3" s="10"/>
      <c r="P3" s="1"/>
      <c r="Q3" s="1"/>
      <c r="R3" s="1"/>
      <c r="S3" s="1"/>
      <c r="T3" s="1"/>
      <c r="U3" s="1"/>
    </row>
    <row r="4" spans="1:24" ht="16">
      <c r="A4" s="2"/>
      <c r="B4" s="1"/>
      <c r="C4" s="15" t="s">
        <v>4</v>
      </c>
      <c r="D4" s="16">
        <f ca="1">(G2-TODAY())</f>
        <v>-704</v>
      </c>
      <c r="E4" s="17" t="s">
        <v>5</v>
      </c>
      <c r="F4" s="1"/>
      <c r="G4" s="18"/>
      <c r="H4" s="1"/>
      <c r="I4" s="1"/>
      <c r="J4" s="8"/>
      <c r="K4" s="8"/>
      <c r="L4" s="1"/>
      <c r="M4" s="1"/>
      <c r="N4" s="9"/>
      <c r="O4" s="10"/>
      <c r="P4" s="1"/>
      <c r="Q4" s="1"/>
      <c r="R4" s="1"/>
      <c r="S4" s="1"/>
      <c r="T4" s="1"/>
      <c r="U4" s="1"/>
    </row>
    <row r="5" spans="1:24" ht="16">
      <c r="A5" s="2"/>
      <c r="B5" s="1"/>
      <c r="C5" s="19" t="s">
        <v>6</v>
      </c>
      <c r="D5" s="20">
        <v>45292</v>
      </c>
      <c r="E5" s="21"/>
      <c r="F5" s="1"/>
      <c r="G5" s="18"/>
      <c r="H5" s="1"/>
      <c r="I5" s="1"/>
      <c r="J5" s="8"/>
      <c r="K5" s="8"/>
      <c r="L5" s="1"/>
      <c r="M5" s="1"/>
      <c r="N5" s="9"/>
      <c r="O5" s="10"/>
      <c r="P5" s="1"/>
      <c r="Q5" s="1"/>
      <c r="R5" s="1"/>
      <c r="S5" s="1"/>
      <c r="T5" s="1"/>
      <c r="U5" s="1"/>
    </row>
    <row r="6" spans="1:24" ht="22">
      <c r="A6" s="2"/>
      <c r="B6" s="22" t="s">
        <v>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  <c r="P6" s="23"/>
      <c r="Q6" s="25"/>
      <c r="R6" s="26"/>
      <c r="S6" s="26"/>
      <c r="T6" s="27"/>
      <c r="U6" s="1"/>
    </row>
    <row r="7" spans="1:24" ht="16">
      <c r="A7" s="2"/>
      <c r="B7" s="28"/>
      <c r="C7" s="29" t="s">
        <v>8</v>
      </c>
      <c r="D7" s="30">
        <v>6130636884</v>
      </c>
      <c r="E7" s="31"/>
      <c r="F7" s="1"/>
      <c r="G7" s="18"/>
      <c r="H7" s="1"/>
      <c r="I7" s="1"/>
      <c r="J7" s="8"/>
      <c r="K7" s="8"/>
      <c r="L7" s="1"/>
      <c r="M7" s="1"/>
      <c r="N7" s="9"/>
      <c r="O7" s="10"/>
      <c r="P7" s="1"/>
      <c r="Q7" s="1"/>
      <c r="R7" s="1"/>
      <c r="S7" s="1"/>
      <c r="T7" s="1"/>
      <c r="U7" s="1"/>
    </row>
    <row r="8" spans="1:24" ht="24" customHeight="1">
      <c r="A8" s="2"/>
      <c r="B8" s="32"/>
      <c r="C8" s="31"/>
      <c r="D8" s="33"/>
      <c r="E8" s="31" t="s">
        <v>9</v>
      </c>
      <c r="F8" s="31"/>
      <c r="G8" s="18"/>
      <c r="H8" s="31"/>
      <c r="I8" s="31"/>
      <c r="J8" s="34"/>
      <c r="K8" s="31"/>
      <c r="L8" s="531" t="s">
        <v>10</v>
      </c>
      <c r="M8" s="528"/>
      <c r="N8" s="532" t="s">
        <v>11</v>
      </c>
      <c r="O8" s="528"/>
      <c r="P8" s="533" t="s">
        <v>12</v>
      </c>
      <c r="Q8" s="528"/>
      <c r="R8" s="35" t="s">
        <v>13</v>
      </c>
      <c r="S8" s="527" t="s">
        <v>14</v>
      </c>
      <c r="T8" s="528"/>
      <c r="U8" s="527" t="s">
        <v>15</v>
      </c>
      <c r="V8" s="528"/>
      <c r="W8" s="527" t="s">
        <v>16</v>
      </c>
      <c r="X8" s="528"/>
    </row>
    <row r="9" spans="1:24" ht="15" customHeight="1">
      <c r="A9" s="36" t="s">
        <v>17</v>
      </c>
      <c r="B9" s="37"/>
      <c r="C9" s="38" t="s">
        <v>18</v>
      </c>
      <c r="D9" s="38" t="s">
        <v>19</v>
      </c>
      <c r="E9" s="38" t="s">
        <v>20</v>
      </c>
      <c r="F9" s="38" t="s">
        <v>21</v>
      </c>
      <c r="G9" s="39" t="s">
        <v>2018</v>
      </c>
      <c r="H9" s="38" t="s">
        <v>22</v>
      </c>
      <c r="I9" s="38"/>
      <c r="J9" s="40"/>
      <c r="K9" s="41" t="s">
        <v>23</v>
      </c>
      <c r="L9" s="42"/>
      <c r="M9" s="43"/>
      <c r="N9" s="43"/>
      <c r="O9" s="44"/>
      <c r="P9" s="45"/>
      <c r="Q9" s="46"/>
      <c r="R9" s="46"/>
      <c r="S9" s="47" t="b">
        <v>1</v>
      </c>
      <c r="T9" s="48"/>
      <c r="U9" s="37" t="s">
        <v>24</v>
      </c>
      <c r="V9" s="37" t="s">
        <v>25</v>
      </c>
      <c r="W9" s="49"/>
      <c r="X9" s="49"/>
    </row>
    <row r="10" spans="1:24" ht="15.75" customHeight="1">
      <c r="A10" s="50">
        <v>1</v>
      </c>
      <c r="B10" s="51"/>
      <c r="C10" s="52">
        <v>45293</v>
      </c>
      <c r="D10" s="53" t="s">
        <v>26</v>
      </c>
      <c r="E10" s="53" t="s">
        <v>27</v>
      </c>
      <c r="F10" s="53" t="s">
        <v>28</v>
      </c>
      <c r="G10" s="53" t="s">
        <v>29</v>
      </c>
      <c r="H10" s="53" t="s">
        <v>30</v>
      </c>
      <c r="I10" s="53">
        <v>20</v>
      </c>
      <c r="J10" s="54">
        <v>85</v>
      </c>
      <c r="K10" s="54">
        <f t="shared" ref="K10:K18" si="0">J10:J11*I10</f>
        <v>1700</v>
      </c>
      <c r="L10" s="55" t="b">
        <v>1</v>
      </c>
      <c r="M10" s="56">
        <v>20120241023</v>
      </c>
      <c r="N10" s="57" t="b">
        <v>1</v>
      </c>
      <c r="O10" s="58" t="s">
        <v>31</v>
      </c>
      <c r="P10" s="59" t="b">
        <v>1</v>
      </c>
      <c r="Q10" s="60"/>
      <c r="R10" s="60"/>
      <c r="S10" s="47" t="b">
        <v>1</v>
      </c>
      <c r="T10" s="61" t="s">
        <v>32</v>
      </c>
      <c r="U10" s="54">
        <v>280</v>
      </c>
      <c r="V10" s="54">
        <f t="shared" ref="V10:V193" si="1">K10-U10</f>
        <v>1420</v>
      </c>
      <c r="W10" s="49"/>
      <c r="X10" s="49"/>
    </row>
    <row r="11" spans="1:24" ht="15.75" customHeight="1">
      <c r="A11" s="50">
        <v>2</v>
      </c>
      <c r="B11" s="51"/>
      <c r="C11" s="52">
        <v>45293</v>
      </c>
      <c r="D11" s="53" t="s">
        <v>33</v>
      </c>
      <c r="E11" s="53" t="s">
        <v>27</v>
      </c>
      <c r="F11" s="53" t="s">
        <v>28</v>
      </c>
      <c r="G11" s="53" t="s">
        <v>34</v>
      </c>
      <c r="H11" s="53" t="s">
        <v>30</v>
      </c>
      <c r="I11" s="53">
        <v>1</v>
      </c>
      <c r="J11" s="54">
        <v>175</v>
      </c>
      <c r="K11" s="54">
        <f t="shared" si="0"/>
        <v>175</v>
      </c>
      <c r="L11" s="62" t="b">
        <v>1</v>
      </c>
      <c r="M11" s="56">
        <v>20120241023</v>
      </c>
      <c r="N11" s="57" t="b">
        <v>1</v>
      </c>
      <c r="O11" s="63"/>
      <c r="P11" s="59" t="b">
        <v>1</v>
      </c>
      <c r="Q11" s="60"/>
      <c r="R11" s="60"/>
      <c r="S11" s="47" t="b">
        <v>1</v>
      </c>
      <c r="T11" s="61" t="s">
        <v>35</v>
      </c>
      <c r="U11" s="54">
        <f>I11*150</f>
        <v>150</v>
      </c>
      <c r="V11" s="54">
        <f t="shared" si="1"/>
        <v>25</v>
      </c>
      <c r="W11" s="49"/>
      <c r="X11" s="49"/>
    </row>
    <row r="12" spans="1:24" ht="15.75" customHeight="1">
      <c r="A12" s="50">
        <v>3</v>
      </c>
      <c r="B12" s="51"/>
      <c r="C12" s="52">
        <v>45293</v>
      </c>
      <c r="D12" s="53" t="s">
        <v>26</v>
      </c>
      <c r="E12" s="53" t="s">
        <v>36</v>
      </c>
      <c r="F12" s="53" t="s">
        <v>37</v>
      </c>
      <c r="G12" s="53" t="s">
        <v>38</v>
      </c>
      <c r="H12" s="53" t="s">
        <v>30</v>
      </c>
      <c r="I12" s="53">
        <v>4</v>
      </c>
      <c r="J12" s="54">
        <v>490</v>
      </c>
      <c r="K12" s="54">
        <f t="shared" si="0"/>
        <v>1960</v>
      </c>
      <c r="L12" s="62" t="b">
        <v>1</v>
      </c>
      <c r="M12" s="56">
        <v>20120241023</v>
      </c>
      <c r="N12" s="64" t="b">
        <v>1</v>
      </c>
      <c r="O12" s="58" t="s">
        <v>39</v>
      </c>
      <c r="P12" s="65" t="b">
        <v>1</v>
      </c>
      <c r="Q12" s="60"/>
      <c r="R12" s="60"/>
      <c r="S12" s="47" t="b">
        <v>1</v>
      </c>
      <c r="T12" s="61" t="s">
        <v>40</v>
      </c>
      <c r="U12" s="54">
        <f>I12*302</f>
        <v>1208</v>
      </c>
      <c r="V12" s="54">
        <f t="shared" si="1"/>
        <v>752</v>
      </c>
      <c r="W12" s="49"/>
      <c r="X12" s="49"/>
    </row>
    <row r="13" spans="1:24" ht="15.75" customHeight="1">
      <c r="A13" s="50">
        <v>4</v>
      </c>
      <c r="B13" s="51"/>
      <c r="C13" s="52">
        <v>45293</v>
      </c>
      <c r="D13" s="53" t="s">
        <v>41</v>
      </c>
      <c r="E13" s="53" t="s">
        <v>42</v>
      </c>
      <c r="F13" s="53" t="s">
        <v>43</v>
      </c>
      <c r="G13" s="53" t="s">
        <v>44</v>
      </c>
      <c r="H13" s="53" t="s">
        <v>30</v>
      </c>
      <c r="I13" s="53">
        <v>8</v>
      </c>
      <c r="J13" s="54">
        <v>185</v>
      </c>
      <c r="K13" s="54">
        <f t="shared" si="0"/>
        <v>1480</v>
      </c>
      <c r="L13" s="62" t="b">
        <v>1</v>
      </c>
      <c r="M13" s="56">
        <v>20120241029</v>
      </c>
      <c r="N13" s="64" t="b">
        <v>1</v>
      </c>
      <c r="O13" s="63" t="s">
        <v>31</v>
      </c>
      <c r="P13" s="65" t="b">
        <v>1</v>
      </c>
      <c r="Q13" s="60"/>
      <c r="R13" s="60"/>
      <c r="S13" s="47" t="b">
        <v>1</v>
      </c>
      <c r="T13" s="61" t="s">
        <v>45</v>
      </c>
      <c r="U13" s="54">
        <f>I13*85.5</f>
        <v>684</v>
      </c>
      <c r="V13" s="54">
        <f t="shared" si="1"/>
        <v>796</v>
      </c>
      <c r="W13" s="49"/>
      <c r="X13" s="49"/>
    </row>
    <row r="14" spans="1:24" ht="15.75" customHeight="1">
      <c r="A14" s="50">
        <v>5</v>
      </c>
      <c r="B14" s="51"/>
      <c r="C14" s="52">
        <v>45293</v>
      </c>
      <c r="D14" s="53" t="s">
        <v>46</v>
      </c>
      <c r="E14" s="53" t="s">
        <v>47</v>
      </c>
      <c r="F14" s="53" t="s">
        <v>48</v>
      </c>
      <c r="G14" s="53" t="s">
        <v>49</v>
      </c>
      <c r="H14" s="53" t="s">
        <v>30</v>
      </c>
      <c r="I14" s="53">
        <v>30</v>
      </c>
      <c r="J14" s="54">
        <v>695</v>
      </c>
      <c r="K14" s="54">
        <f t="shared" si="0"/>
        <v>20850</v>
      </c>
      <c r="L14" s="62" t="b">
        <v>1</v>
      </c>
      <c r="M14" s="56">
        <v>20120231031</v>
      </c>
      <c r="N14" s="57" t="b">
        <v>1</v>
      </c>
      <c r="O14" s="63" t="s">
        <v>31</v>
      </c>
      <c r="P14" s="59" t="b">
        <v>1</v>
      </c>
      <c r="Q14" s="60">
        <v>104984711669</v>
      </c>
      <c r="R14" s="60"/>
      <c r="S14" s="47" t="b">
        <v>1</v>
      </c>
      <c r="T14" s="61" t="s">
        <v>50</v>
      </c>
      <c r="U14" s="54">
        <f>30000*0.46</f>
        <v>13800</v>
      </c>
      <c r="V14" s="54">
        <f t="shared" si="1"/>
        <v>7050</v>
      </c>
      <c r="W14" s="49"/>
      <c r="X14" s="49"/>
    </row>
    <row r="15" spans="1:24" ht="15.75" customHeight="1">
      <c r="A15" s="50">
        <v>6</v>
      </c>
      <c r="B15" s="51"/>
      <c r="C15" s="52">
        <v>45293</v>
      </c>
      <c r="D15" s="53" t="s">
        <v>51</v>
      </c>
      <c r="E15" s="53" t="s">
        <v>52</v>
      </c>
      <c r="F15" s="53" t="s">
        <v>53</v>
      </c>
      <c r="G15" s="66" t="s">
        <v>38</v>
      </c>
      <c r="H15" s="66" t="s">
        <v>30</v>
      </c>
      <c r="I15" s="67">
        <v>1</v>
      </c>
      <c r="J15" s="68">
        <v>490</v>
      </c>
      <c r="K15" s="68">
        <f t="shared" si="0"/>
        <v>490</v>
      </c>
      <c r="L15" s="62" t="b">
        <v>1</v>
      </c>
      <c r="M15" s="56">
        <v>20120231031</v>
      </c>
      <c r="N15" s="64" t="b">
        <v>1</v>
      </c>
      <c r="O15" s="58" t="s">
        <v>39</v>
      </c>
      <c r="P15" s="65" t="b">
        <v>1</v>
      </c>
      <c r="Q15" s="60"/>
      <c r="R15" s="60"/>
      <c r="S15" s="47" t="b">
        <v>1</v>
      </c>
      <c r="T15" s="61" t="s">
        <v>54</v>
      </c>
      <c r="U15" s="54">
        <f>I15*302</f>
        <v>302</v>
      </c>
      <c r="V15" s="54">
        <f t="shared" si="1"/>
        <v>188</v>
      </c>
      <c r="W15" s="49"/>
      <c r="X15" s="49"/>
    </row>
    <row r="16" spans="1:24" ht="15.75" customHeight="1">
      <c r="A16" s="50">
        <v>7</v>
      </c>
      <c r="B16" s="51"/>
      <c r="C16" s="52">
        <v>45293</v>
      </c>
      <c r="D16" s="66" t="s">
        <v>55</v>
      </c>
      <c r="E16" s="66" t="s">
        <v>56</v>
      </c>
      <c r="F16" s="66" t="s">
        <v>57</v>
      </c>
      <c r="G16" s="66" t="s">
        <v>58</v>
      </c>
      <c r="H16" s="66" t="s">
        <v>30</v>
      </c>
      <c r="I16" s="67">
        <v>84</v>
      </c>
      <c r="J16" s="68">
        <v>30</v>
      </c>
      <c r="K16" s="54">
        <f t="shared" si="0"/>
        <v>2520</v>
      </c>
      <c r="L16" s="62" t="b">
        <v>1</v>
      </c>
      <c r="M16" s="56">
        <v>20120231031</v>
      </c>
      <c r="N16" s="64" t="b">
        <v>1</v>
      </c>
      <c r="O16" s="58" t="s">
        <v>31</v>
      </c>
      <c r="P16" s="65" t="b">
        <v>1</v>
      </c>
      <c r="Q16" s="60">
        <v>210880057932</v>
      </c>
      <c r="R16" s="60"/>
      <c r="S16" s="47" t="b">
        <v>1</v>
      </c>
      <c r="T16" s="61" t="s">
        <v>59</v>
      </c>
      <c r="U16" s="54">
        <f>I16*19.5</f>
        <v>1638</v>
      </c>
      <c r="V16" s="54">
        <f t="shared" si="1"/>
        <v>882</v>
      </c>
      <c r="W16" s="49"/>
      <c r="X16" s="49"/>
    </row>
    <row r="17" spans="1:24" ht="15.75" customHeight="1">
      <c r="A17" s="50">
        <v>8</v>
      </c>
      <c r="B17" s="51"/>
      <c r="C17" s="52">
        <v>45293</v>
      </c>
      <c r="D17" s="66" t="s">
        <v>60</v>
      </c>
      <c r="E17" s="66" t="s">
        <v>61</v>
      </c>
      <c r="F17" s="66" t="s">
        <v>62</v>
      </c>
      <c r="G17" s="53" t="s">
        <v>63</v>
      </c>
      <c r="H17" s="66" t="s">
        <v>30</v>
      </c>
      <c r="I17" s="69">
        <v>50</v>
      </c>
      <c r="J17" s="70">
        <v>19.25</v>
      </c>
      <c r="K17" s="54">
        <f t="shared" si="0"/>
        <v>962.5</v>
      </c>
      <c r="L17" s="62" t="b">
        <v>1</v>
      </c>
      <c r="M17" s="56">
        <v>20120231031</v>
      </c>
      <c r="N17" s="57" t="b">
        <v>1</v>
      </c>
      <c r="O17" s="63" t="s">
        <v>64</v>
      </c>
      <c r="P17" s="59" t="b">
        <v>1</v>
      </c>
      <c r="Q17" s="60">
        <v>210880057931</v>
      </c>
      <c r="R17" s="60"/>
      <c r="S17" s="47" t="b">
        <v>1</v>
      </c>
      <c r="T17" s="61" t="s">
        <v>65</v>
      </c>
      <c r="U17" s="54">
        <f>I17*8</f>
        <v>400</v>
      </c>
      <c r="V17" s="54">
        <f t="shared" si="1"/>
        <v>562.5</v>
      </c>
      <c r="W17" s="49"/>
      <c r="X17" s="49"/>
    </row>
    <row r="18" spans="1:24" ht="15.75" customHeight="1">
      <c r="A18" s="50">
        <v>9</v>
      </c>
      <c r="B18" s="51"/>
      <c r="C18" s="52">
        <v>45293</v>
      </c>
      <c r="D18" s="66" t="s">
        <v>51</v>
      </c>
      <c r="E18" s="66" t="s">
        <v>66</v>
      </c>
      <c r="F18" s="66" t="s">
        <v>67</v>
      </c>
      <c r="G18" s="66" t="s">
        <v>68</v>
      </c>
      <c r="H18" s="66" t="s">
        <v>30</v>
      </c>
      <c r="I18" s="69">
        <v>12000</v>
      </c>
      <c r="J18" s="70">
        <v>0.7</v>
      </c>
      <c r="K18" s="54">
        <f t="shared" si="0"/>
        <v>8400</v>
      </c>
      <c r="L18" s="62" t="b">
        <v>1</v>
      </c>
      <c r="M18" s="56">
        <v>20120231031</v>
      </c>
      <c r="N18" s="64" t="b">
        <v>1</v>
      </c>
      <c r="O18" s="58" t="s">
        <v>64</v>
      </c>
      <c r="P18" s="65" t="b">
        <v>1</v>
      </c>
      <c r="Q18" s="60">
        <v>210880057934</v>
      </c>
      <c r="R18" s="60"/>
      <c r="S18" s="47" t="b">
        <v>1</v>
      </c>
      <c r="T18" s="61" t="s">
        <v>69</v>
      </c>
      <c r="U18" s="54">
        <f>I18*0.3194</f>
        <v>3832.8</v>
      </c>
      <c r="V18" s="54">
        <f t="shared" si="1"/>
        <v>4567.2</v>
      </c>
      <c r="W18" s="49"/>
      <c r="X18" s="49"/>
    </row>
    <row r="19" spans="1:24" ht="15.75" customHeight="1">
      <c r="A19" s="50">
        <v>10</v>
      </c>
      <c r="B19" s="51"/>
      <c r="C19" s="52">
        <v>45294</v>
      </c>
      <c r="D19" s="53" t="s">
        <v>41</v>
      </c>
      <c r="E19" s="53" t="s">
        <v>42</v>
      </c>
      <c r="F19" s="53" t="s">
        <v>43</v>
      </c>
      <c r="G19" s="53" t="s">
        <v>70</v>
      </c>
      <c r="H19" s="53" t="s">
        <v>30</v>
      </c>
      <c r="I19" s="53">
        <v>1</v>
      </c>
      <c r="J19" s="54">
        <v>2850</v>
      </c>
      <c r="K19" s="54">
        <f>J19:J21*I19</f>
        <v>2850</v>
      </c>
      <c r="L19" s="62" t="b">
        <v>1</v>
      </c>
      <c r="M19" s="56">
        <v>30120230926</v>
      </c>
      <c r="N19" s="64" t="b">
        <v>1</v>
      </c>
      <c r="O19" s="58"/>
      <c r="P19" s="65" t="b">
        <v>1</v>
      </c>
      <c r="Q19" s="60"/>
      <c r="R19" s="60"/>
      <c r="S19" s="47" t="b">
        <v>1</v>
      </c>
      <c r="T19" s="61" t="s">
        <v>71</v>
      </c>
      <c r="U19" s="54">
        <v>1150</v>
      </c>
      <c r="V19" s="54">
        <f t="shared" si="1"/>
        <v>1700</v>
      </c>
      <c r="W19" s="49"/>
      <c r="X19" s="49"/>
    </row>
    <row r="20" spans="1:24" ht="15.75" customHeight="1">
      <c r="A20" s="50">
        <v>11</v>
      </c>
      <c r="B20" s="51"/>
      <c r="C20" s="52">
        <v>45294</v>
      </c>
      <c r="D20" s="53" t="s">
        <v>41</v>
      </c>
      <c r="E20" s="53" t="s">
        <v>42</v>
      </c>
      <c r="F20" s="53" t="s">
        <v>43</v>
      </c>
      <c r="G20" s="53" t="s">
        <v>72</v>
      </c>
      <c r="H20" s="53" t="s">
        <v>30</v>
      </c>
      <c r="I20" s="53">
        <v>1</v>
      </c>
      <c r="J20" s="54">
        <v>750</v>
      </c>
      <c r="K20" s="54">
        <v>750</v>
      </c>
      <c r="L20" s="62" t="b">
        <v>1</v>
      </c>
      <c r="M20" s="56">
        <v>30120230926</v>
      </c>
      <c r="N20" s="64" t="b">
        <v>1</v>
      </c>
      <c r="O20" s="58"/>
      <c r="P20" s="65" t="b">
        <v>1</v>
      </c>
      <c r="Q20" s="60"/>
      <c r="R20" s="60"/>
      <c r="S20" s="47" t="b">
        <v>1</v>
      </c>
      <c r="T20" s="61" t="s">
        <v>73</v>
      </c>
      <c r="U20" s="54">
        <v>300</v>
      </c>
      <c r="V20" s="54">
        <f t="shared" si="1"/>
        <v>450</v>
      </c>
      <c r="W20" s="49"/>
      <c r="X20" s="49"/>
    </row>
    <row r="21" spans="1:24" ht="15.75" customHeight="1">
      <c r="A21" s="50">
        <v>12</v>
      </c>
      <c r="B21" s="51"/>
      <c r="C21" s="52">
        <v>45294</v>
      </c>
      <c r="D21" s="53" t="s">
        <v>41</v>
      </c>
      <c r="E21" s="53" t="s">
        <v>74</v>
      </c>
      <c r="F21" s="53" t="s">
        <v>75</v>
      </c>
      <c r="G21" s="53" t="s">
        <v>76</v>
      </c>
      <c r="H21" s="53" t="s">
        <v>30</v>
      </c>
      <c r="I21" s="53">
        <v>10</v>
      </c>
      <c r="J21" s="54">
        <v>155</v>
      </c>
      <c r="K21" s="54">
        <f t="shared" ref="K21:K37" si="2">J21:J22*I21</f>
        <v>1550</v>
      </c>
      <c r="L21" s="62" t="b">
        <v>1</v>
      </c>
      <c r="M21" s="56">
        <v>30120230927</v>
      </c>
      <c r="N21" s="57" t="b">
        <v>1</v>
      </c>
      <c r="O21" s="63" t="s">
        <v>77</v>
      </c>
      <c r="P21" s="59" t="b">
        <v>1</v>
      </c>
      <c r="Q21" s="60">
        <v>210880058967</v>
      </c>
      <c r="R21" s="60"/>
      <c r="S21" s="47" t="b">
        <v>1</v>
      </c>
      <c r="T21" s="61" t="s">
        <v>78</v>
      </c>
      <c r="U21" s="54">
        <v>65</v>
      </c>
      <c r="V21" s="54">
        <f t="shared" si="1"/>
        <v>1485</v>
      </c>
      <c r="W21" s="49"/>
      <c r="X21" s="49"/>
    </row>
    <row r="22" spans="1:24" ht="15.75" customHeight="1">
      <c r="A22" s="50">
        <v>13</v>
      </c>
      <c r="B22" s="51"/>
      <c r="C22" s="71" t="s">
        <v>79</v>
      </c>
      <c r="D22" s="53" t="s">
        <v>41</v>
      </c>
      <c r="E22" s="53" t="s">
        <v>74</v>
      </c>
      <c r="F22" s="53" t="s">
        <v>75</v>
      </c>
      <c r="G22" s="53" t="s">
        <v>80</v>
      </c>
      <c r="H22" s="53" t="s">
        <v>30</v>
      </c>
      <c r="I22" s="53">
        <v>10</v>
      </c>
      <c r="J22" s="54">
        <v>300</v>
      </c>
      <c r="K22" s="54">
        <f t="shared" si="2"/>
        <v>3000</v>
      </c>
      <c r="L22" s="62" t="b">
        <v>1</v>
      </c>
      <c r="M22" s="56">
        <v>30120240929</v>
      </c>
      <c r="N22" s="57" t="b">
        <v>1</v>
      </c>
      <c r="O22" s="63" t="s">
        <v>31</v>
      </c>
      <c r="P22" s="59" t="b">
        <v>1</v>
      </c>
      <c r="Q22" s="72" t="s">
        <v>81</v>
      </c>
      <c r="R22" s="60"/>
      <c r="S22" s="47" t="b">
        <v>1</v>
      </c>
      <c r="T22" s="61" t="s">
        <v>82</v>
      </c>
      <c r="U22" s="54">
        <f>I22*115</f>
        <v>1150</v>
      </c>
      <c r="V22" s="54">
        <f t="shared" si="1"/>
        <v>1850</v>
      </c>
      <c r="W22" s="49"/>
      <c r="X22" s="49"/>
    </row>
    <row r="23" spans="1:24" ht="15.75" customHeight="1">
      <c r="A23" s="50">
        <v>14</v>
      </c>
      <c r="B23" s="51"/>
      <c r="C23" s="71" t="s">
        <v>79</v>
      </c>
      <c r="D23" s="53" t="s">
        <v>41</v>
      </c>
      <c r="E23" s="53" t="s">
        <v>74</v>
      </c>
      <c r="F23" s="53" t="s">
        <v>75</v>
      </c>
      <c r="G23" s="53" t="s">
        <v>83</v>
      </c>
      <c r="H23" s="53" t="s">
        <v>30</v>
      </c>
      <c r="I23" s="53">
        <v>1000</v>
      </c>
      <c r="J23" s="54">
        <v>1.5</v>
      </c>
      <c r="K23" s="54">
        <f t="shared" si="2"/>
        <v>1500</v>
      </c>
      <c r="L23" s="62" t="b">
        <v>1</v>
      </c>
      <c r="M23" s="56">
        <v>30120240929</v>
      </c>
      <c r="N23" s="64" t="b">
        <v>1</v>
      </c>
      <c r="O23" s="58" t="s">
        <v>77</v>
      </c>
      <c r="P23" s="65" t="b">
        <v>1</v>
      </c>
      <c r="Q23" s="60">
        <v>210880058967</v>
      </c>
      <c r="R23" s="60"/>
      <c r="S23" s="47" t="b">
        <v>1</v>
      </c>
      <c r="T23" s="61" t="s">
        <v>78</v>
      </c>
      <c r="U23" s="54">
        <f>I23*0.95</f>
        <v>950</v>
      </c>
      <c r="V23" s="54">
        <f t="shared" si="1"/>
        <v>550</v>
      </c>
      <c r="W23" s="49"/>
      <c r="X23" s="49"/>
    </row>
    <row r="24" spans="1:24" ht="15.75" customHeight="1">
      <c r="A24" s="50">
        <v>15</v>
      </c>
      <c r="B24" s="51"/>
      <c r="C24" s="71" t="s">
        <v>79</v>
      </c>
      <c r="D24" s="53" t="s">
        <v>41</v>
      </c>
      <c r="E24" s="53" t="s">
        <v>84</v>
      </c>
      <c r="F24" s="53" t="s">
        <v>85</v>
      </c>
      <c r="G24" s="53" t="s">
        <v>86</v>
      </c>
      <c r="H24" s="53" t="s">
        <v>30</v>
      </c>
      <c r="I24" s="53">
        <v>1</v>
      </c>
      <c r="J24" s="54">
        <v>495</v>
      </c>
      <c r="K24" s="54">
        <f t="shared" si="2"/>
        <v>495</v>
      </c>
      <c r="L24" s="62" t="b">
        <v>1</v>
      </c>
      <c r="M24" s="56">
        <v>30120241010</v>
      </c>
      <c r="N24" s="64" t="b">
        <v>1</v>
      </c>
      <c r="O24" s="58" t="s">
        <v>64</v>
      </c>
      <c r="P24" s="65" t="b">
        <v>1</v>
      </c>
      <c r="Q24" s="60">
        <v>210880058964</v>
      </c>
      <c r="R24" s="60"/>
      <c r="S24" s="47" t="b">
        <v>1</v>
      </c>
      <c r="T24" s="61" t="s">
        <v>87</v>
      </c>
      <c r="U24" s="54">
        <v>300</v>
      </c>
      <c r="V24" s="54">
        <f t="shared" si="1"/>
        <v>195</v>
      </c>
      <c r="W24" s="49"/>
      <c r="X24" s="49"/>
    </row>
    <row r="25" spans="1:24" ht="13.5" customHeight="1">
      <c r="A25" s="50">
        <v>16</v>
      </c>
      <c r="B25" s="51"/>
      <c r="C25" s="71" t="s">
        <v>79</v>
      </c>
      <c r="D25" s="53" t="s">
        <v>41</v>
      </c>
      <c r="E25" s="53" t="s">
        <v>84</v>
      </c>
      <c r="F25" s="53" t="s">
        <v>85</v>
      </c>
      <c r="G25" s="53" t="s">
        <v>88</v>
      </c>
      <c r="H25" s="53" t="s">
        <v>30</v>
      </c>
      <c r="I25" s="53">
        <v>1</v>
      </c>
      <c r="J25" s="54">
        <v>495</v>
      </c>
      <c r="K25" s="54">
        <f t="shared" si="2"/>
        <v>495</v>
      </c>
      <c r="L25" s="62" t="b">
        <v>1</v>
      </c>
      <c r="M25" s="56">
        <v>30120241013</v>
      </c>
      <c r="N25" s="64" t="b">
        <v>1</v>
      </c>
      <c r="O25" s="58" t="s">
        <v>64</v>
      </c>
      <c r="P25" s="65" t="b">
        <v>1</v>
      </c>
      <c r="Q25" s="60">
        <v>210880058964</v>
      </c>
      <c r="R25" s="60"/>
      <c r="S25" s="47" t="b">
        <v>1</v>
      </c>
      <c r="T25" s="61" t="s">
        <v>87</v>
      </c>
      <c r="U25" s="54">
        <v>150</v>
      </c>
      <c r="V25" s="54">
        <f t="shared" si="1"/>
        <v>345</v>
      </c>
      <c r="W25" s="49"/>
      <c r="X25" s="49"/>
    </row>
    <row r="26" spans="1:24" ht="15.75" customHeight="1">
      <c r="A26" s="50">
        <v>17</v>
      </c>
      <c r="B26" s="51"/>
      <c r="C26" s="71" t="s">
        <v>79</v>
      </c>
      <c r="D26" s="53" t="s">
        <v>51</v>
      </c>
      <c r="E26" s="53" t="s">
        <v>89</v>
      </c>
      <c r="F26" s="53" t="s">
        <v>90</v>
      </c>
      <c r="G26" s="53" t="s">
        <v>80</v>
      </c>
      <c r="H26" s="53" t="s">
        <v>30</v>
      </c>
      <c r="I26" s="53">
        <v>20</v>
      </c>
      <c r="J26" s="54">
        <v>300</v>
      </c>
      <c r="K26" s="54">
        <f t="shared" si="2"/>
        <v>6000</v>
      </c>
      <c r="L26" s="62" t="b">
        <v>1</v>
      </c>
      <c r="M26" s="56">
        <v>30120241136</v>
      </c>
      <c r="N26" s="64" t="b">
        <v>1</v>
      </c>
      <c r="O26" s="58" t="s">
        <v>31</v>
      </c>
      <c r="P26" s="65" t="b">
        <v>1</v>
      </c>
      <c r="Q26" s="60">
        <v>174560845682</v>
      </c>
      <c r="R26" s="60"/>
      <c r="S26" s="47" t="b">
        <v>1</v>
      </c>
      <c r="T26" s="61" t="s">
        <v>91</v>
      </c>
      <c r="U26" s="54">
        <f>I26*115</f>
        <v>2300</v>
      </c>
      <c r="V26" s="54">
        <f t="shared" si="1"/>
        <v>3700</v>
      </c>
      <c r="W26" s="49"/>
      <c r="X26" s="49"/>
    </row>
    <row r="27" spans="1:24" ht="15.75" customHeight="1">
      <c r="A27" s="50">
        <v>18</v>
      </c>
      <c r="B27" s="51"/>
      <c r="C27" s="71" t="s">
        <v>79</v>
      </c>
      <c r="D27" s="53" t="s">
        <v>51</v>
      </c>
      <c r="E27" s="53" t="s">
        <v>89</v>
      </c>
      <c r="F27" s="53" t="s">
        <v>90</v>
      </c>
      <c r="G27" s="53" t="s">
        <v>92</v>
      </c>
      <c r="H27" s="53" t="s">
        <v>30</v>
      </c>
      <c r="I27" s="53">
        <v>20</v>
      </c>
      <c r="J27" s="54">
        <v>90</v>
      </c>
      <c r="K27" s="54">
        <f t="shared" si="2"/>
        <v>1800</v>
      </c>
      <c r="L27" s="62" t="b">
        <v>1</v>
      </c>
      <c r="M27" s="56">
        <v>30120241136</v>
      </c>
      <c r="N27" s="64" t="b">
        <v>1</v>
      </c>
      <c r="O27" s="58" t="s">
        <v>31</v>
      </c>
      <c r="P27" s="65" t="b">
        <v>1</v>
      </c>
      <c r="Q27" s="60">
        <v>174560845682</v>
      </c>
      <c r="R27" s="60"/>
      <c r="S27" s="47" t="b">
        <v>1</v>
      </c>
      <c r="T27" s="61" t="s">
        <v>91</v>
      </c>
      <c r="U27" s="54">
        <f>I27*58</f>
        <v>1160</v>
      </c>
      <c r="V27" s="54">
        <f t="shared" si="1"/>
        <v>640</v>
      </c>
      <c r="W27" s="49"/>
      <c r="X27" s="49"/>
    </row>
    <row r="28" spans="1:24" ht="15.75" customHeight="1">
      <c r="A28" s="50">
        <v>19</v>
      </c>
      <c r="B28" s="51"/>
      <c r="C28" s="71" t="s">
        <v>79</v>
      </c>
      <c r="D28" s="53" t="s">
        <v>93</v>
      </c>
      <c r="E28" s="53" t="s">
        <v>94</v>
      </c>
      <c r="F28" s="53" t="s">
        <v>95</v>
      </c>
      <c r="G28" s="53" t="s">
        <v>96</v>
      </c>
      <c r="H28" s="53" t="s">
        <v>30</v>
      </c>
      <c r="I28" s="53">
        <v>2</v>
      </c>
      <c r="J28" s="54">
        <v>1200</v>
      </c>
      <c r="K28" s="54">
        <f t="shared" si="2"/>
        <v>2400</v>
      </c>
      <c r="L28" s="62" t="b">
        <v>1</v>
      </c>
      <c r="M28" s="56">
        <v>30120241159</v>
      </c>
      <c r="N28" s="64" t="b">
        <v>1</v>
      </c>
      <c r="O28" s="58" t="s">
        <v>31</v>
      </c>
      <c r="P28" s="65" t="b">
        <v>1</v>
      </c>
      <c r="Q28" s="60">
        <v>913290871379</v>
      </c>
      <c r="R28" s="60"/>
      <c r="S28" s="47" t="b">
        <v>1</v>
      </c>
      <c r="T28" s="61" t="s">
        <v>97</v>
      </c>
      <c r="U28" s="54">
        <f>2*862.57</f>
        <v>1725.14</v>
      </c>
      <c r="V28" s="54">
        <f t="shared" si="1"/>
        <v>674.8599999999999</v>
      </c>
      <c r="W28" s="49"/>
      <c r="X28" s="49"/>
    </row>
    <row r="29" spans="1:24" ht="15.75" customHeight="1">
      <c r="A29" s="50">
        <v>20</v>
      </c>
      <c r="B29" s="51"/>
      <c r="C29" s="71" t="s">
        <v>79</v>
      </c>
      <c r="D29" s="53" t="s">
        <v>98</v>
      </c>
      <c r="E29" s="53" t="s">
        <v>99</v>
      </c>
      <c r="F29" s="53" t="s">
        <v>100</v>
      </c>
      <c r="G29" s="53" t="s">
        <v>101</v>
      </c>
      <c r="H29" s="53" t="s">
        <v>30</v>
      </c>
      <c r="I29" s="53">
        <v>30</v>
      </c>
      <c r="J29" s="54">
        <v>595</v>
      </c>
      <c r="K29" s="54">
        <f t="shared" si="2"/>
        <v>17850</v>
      </c>
      <c r="L29" s="62" t="b">
        <v>1</v>
      </c>
      <c r="M29" s="56">
        <v>30120241646</v>
      </c>
      <c r="N29" s="64" t="b">
        <v>1</v>
      </c>
      <c r="O29" s="58" t="s">
        <v>31</v>
      </c>
      <c r="P29" s="65" t="b">
        <v>1</v>
      </c>
      <c r="Q29" s="60"/>
      <c r="R29" s="60"/>
      <c r="S29" s="47" t="b">
        <v>1</v>
      </c>
      <c r="T29" s="61" t="s">
        <v>102</v>
      </c>
      <c r="U29" s="54">
        <v>400</v>
      </c>
      <c r="V29" s="54">
        <f t="shared" si="1"/>
        <v>17450</v>
      </c>
      <c r="W29" s="49"/>
      <c r="X29" s="49"/>
    </row>
    <row r="30" spans="1:24" ht="15.75" customHeight="1">
      <c r="A30" s="50">
        <v>21</v>
      </c>
      <c r="B30" s="51"/>
      <c r="C30" s="71" t="s">
        <v>79</v>
      </c>
      <c r="D30" s="53" t="s">
        <v>98</v>
      </c>
      <c r="E30" s="53" t="s">
        <v>99</v>
      </c>
      <c r="F30" s="53" t="s">
        <v>100</v>
      </c>
      <c r="G30" s="53" t="s">
        <v>103</v>
      </c>
      <c r="H30" s="53" t="s">
        <v>30</v>
      </c>
      <c r="I30" s="53">
        <v>20</v>
      </c>
      <c r="J30" s="54">
        <v>180</v>
      </c>
      <c r="K30" s="54">
        <f t="shared" si="2"/>
        <v>3600</v>
      </c>
      <c r="L30" s="62" t="b">
        <v>1</v>
      </c>
      <c r="M30" s="56">
        <v>30120241647</v>
      </c>
      <c r="N30" s="64" t="b">
        <v>1</v>
      </c>
      <c r="O30" s="58"/>
      <c r="P30" s="65" t="b">
        <v>1</v>
      </c>
      <c r="Q30" s="60"/>
      <c r="R30" s="60"/>
      <c r="S30" s="47" t="b">
        <v>1</v>
      </c>
      <c r="T30" s="61" t="s">
        <v>102</v>
      </c>
      <c r="U30" s="54">
        <v>70</v>
      </c>
      <c r="V30" s="54">
        <f t="shared" si="1"/>
        <v>3530</v>
      </c>
      <c r="W30" s="49"/>
      <c r="X30" s="49"/>
    </row>
    <row r="31" spans="1:24" ht="15.75" customHeight="1">
      <c r="A31" s="50">
        <v>22</v>
      </c>
      <c r="B31" s="51"/>
      <c r="C31" s="71" t="s">
        <v>79</v>
      </c>
      <c r="D31" s="53" t="s">
        <v>104</v>
      </c>
      <c r="E31" s="53" t="s">
        <v>105</v>
      </c>
      <c r="F31" s="53" t="s">
        <v>106</v>
      </c>
      <c r="G31" s="53" t="s">
        <v>63</v>
      </c>
      <c r="H31" s="53" t="s">
        <v>30</v>
      </c>
      <c r="I31" s="53">
        <v>100</v>
      </c>
      <c r="J31" s="54">
        <v>19.25</v>
      </c>
      <c r="K31" s="54">
        <f t="shared" si="2"/>
        <v>1925</v>
      </c>
      <c r="L31" s="62" t="b">
        <v>1</v>
      </c>
      <c r="M31" s="56">
        <v>30120231735</v>
      </c>
      <c r="N31" s="64" t="b">
        <v>1</v>
      </c>
      <c r="O31" s="58" t="s">
        <v>64</v>
      </c>
      <c r="P31" s="65" t="b">
        <v>1</v>
      </c>
      <c r="Q31" s="60">
        <v>210880060467</v>
      </c>
      <c r="R31" s="60"/>
      <c r="S31" s="47" t="b">
        <v>1</v>
      </c>
      <c r="T31" s="61" t="s">
        <v>107</v>
      </c>
      <c r="U31" s="54">
        <f>I31*8</f>
        <v>800</v>
      </c>
      <c r="V31" s="54">
        <f t="shared" si="1"/>
        <v>1125</v>
      </c>
      <c r="W31" s="49"/>
      <c r="X31" s="49"/>
    </row>
    <row r="32" spans="1:24" ht="15.75" customHeight="1">
      <c r="A32" s="50">
        <v>23</v>
      </c>
      <c r="B32" s="51"/>
      <c r="C32" s="71" t="s">
        <v>79</v>
      </c>
      <c r="D32" s="53" t="s">
        <v>108</v>
      </c>
      <c r="E32" s="53" t="s">
        <v>109</v>
      </c>
      <c r="F32" s="53" t="s">
        <v>110</v>
      </c>
      <c r="G32" s="53" t="s">
        <v>111</v>
      </c>
      <c r="H32" s="53" t="s">
        <v>30</v>
      </c>
      <c r="I32" s="53">
        <v>1</v>
      </c>
      <c r="J32" s="54">
        <v>930</v>
      </c>
      <c r="K32" s="54">
        <f t="shared" si="2"/>
        <v>930</v>
      </c>
      <c r="L32" s="62" t="b">
        <v>1</v>
      </c>
      <c r="M32" s="56">
        <v>30120231740</v>
      </c>
      <c r="N32" s="64" t="b">
        <v>1</v>
      </c>
      <c r="O32" s="58" t="s">
        <v>31</v>
      </c>
      <c r="P32" s="65" t="b">
        <v>1</v>
      </c>
      <c r="Q32" s="60"/>
      <c r="R32" s="60"/>
      <c r="S32" s="47" t="b">
        <v>1</v>
      </c>
      <c r="T32" s="61" t="s">
        <v>112</v>
      </c>
      <c r="U32" s="54">
        <f>1*620</f>
        <v>620</v>
      </c>
      <c r="V32" s="54">
        <f t="shared" si="1"/>
        <v>310</v>
      </c>
      <c r="W32" s="49"/>
      <c r="X32" s="49"/>
    </row>
    <row r="33" spans="1:24" ht="15.75" customHeight="1">
      <c r="A33" s="50">
        <v>24</v>
      </c>
      <c r="B33" s="51"/>
      <c r="C33" s="71" t="s">
        <v>79</v>
      </c>
      <c r="D33" s="53" t="s">
        <v>104</v>
      </c>
      <c r="E33" s="53" t="s">
        <v>113</v>
      </c>
      <c r="F33" s="53" t="s">
        <v>114</v>
      </c>
      <c r="G33" s="53" t="s">
        <v>58</v>
      </c>
      <c r="H33" s="53" t="s">
        <v>30</v>
      </c>
      <c r="I33" s="53">
        <v>168</v>
      </c>
      <c r="J33" s="73">
        <v>31</v>
      </c>
      <c r="K33" s="54">
        <f t="shared" si="2"/>
        <v>5208</v>
      </c>
      <c r="L33" s="62" t="b">
        <v>1</v>
      </c>
      <c r="M33" s="56">
        <v>30120241846</v>
      </c>
      <c r="N33" s="64" t="b">
        <v>1</v>
      </c>
      <c r="O33" s="58"/>
      <c r="P33" s="65" t="b">
        <v>1</v>
      </c>
      <c r="Q33" s="60"/>
      <c r="R33" s="60"/>
      <c r="S33" s="47" t="b">
        <v>1</v>
      </c>
      <c r="T33" s="61" t="s">
        <v>115</v>
      </c>
      <c r="U33" s="54">
        <f>168*19.5</f>
        <v>3276</v>
      </c>
      <c r="V33" s="54">
        <f t="shared" si="1"/>
        <v>1932</v>
      </c>
      <c r="W33" s="49"/>
      <c r="X33" s="49"/>
    </row>
    <row r="34" spans="1:24" ht="15.75" customHeight="1">
      <c r="A34" s="50">
        <v>25</v>
      </c>
      <c r="B34" s="51"/>
      <c r="C34" s="71" t="s">
        <v>79</v>
      </c>
      <c r="D34" s="53" t="s">
        <v>104</v>
      </c>
      <c r="E34" s="53" t="s">
        <v>113</v>
      </c>
      <c r="F34" s="53" t="s">
        <v>114</v>
      </c>
      <c r="G34" s="53" t="s">
        <v>116</v>
      </c>
      <c r="H34" s="53" t="s">
        <v>30</v>
      </c>
      <c r="I34" s="74">
        <v>24</v>
      </c>
      <c r="J34" s="73">
        <v>149</v>
      </c>
      <c r="K34" s="54">
        <f t="shared" si="2"/>
        <v>3576</v>
      </c>
      <c r="L34" s="62" t="b">
        <v>1</v>
      </c>
      <c r="M34" s="56">
        <v>30120241846</v>
      </c>
      <c r="N34" s="64" t="b">
        <v>1</v>
      </c>
      <c r="O34" s="58" t="s">
        <v>31</v>
      </c>
      <c r="P34" s="65" t="b">
        <v>1</v>
      </c>
      <c r="Q34" s="60"/>
      <c r="R34" s="60"/>
      <c r="S34" s="47" t="b">
        <v>1</v>
      </c>
      <c r="T34" s="61" t="s">
        <v>117</v>
      </c>
      <c r="U34" s="54">
        <f>I34*125</f>
        <v>3000</v>
      </c>
      <c r="V34" s="54">
        <f t="shared" si="1"/>
        <v>576</v>
      </c>
      <c r="W34" s="49"/>
      <c r="X34" s="49"/>
    </row>
    <row r="35" spans="1:24" ht="15.75" customHeight="1">
      <c r="A35" s="50">
        <v>26</v>
      </c>
      <c r="B35" s="51"/>
      <c r="C35" s="71" t="s">
        <v>79</v>
      </c>
      <c r="D35" s="53" t="s">
        <v>104</v>
      </c>
      <c r="E35" s="53" t="s">
        <v>113</v>
      </c>
      <c r="F35" s="53" t="s">
        <v>114</v>
      </c>
      <c r="G35" s="53" t="s">
        <v>80</v>
      </c>
      <c r="H35" s="53" t="s">
        <v>30</v>
      </c>
      <c r="I35" s="53">
        <v>10</v>
      </c>
      <c r="J35" s="54">
        <v>300</v>
      </c>
      <c r="K35" s="54">
        <f t="shared" si="2"/>
        <v>3000</v>
      </c>
      <c r="L35" s="62" t="b">
        <v>1</v>
      </c>
      <c r="M35" s="56">
        <v>30120241846</v>
      </c>
      <c r="N35" s="64" t="b">
        <v>1</v>
      </c>
      <c r="O35" s="58" t="s">
        <v>31</v>
      </c>
      <c r="P35" s="65" t="b">
        <v>1</v>
      </c>
      <c r="Q35" s="60"/>
      <c r="R35" s="60"/>
      <c r="S35" s="47" t="b">
        <v>1</v>
      </c>
      <c r="T35" s="61" t="s">
        <v>117</v>
      </c>
      <c r="U35" s="54">
        <f>I35*115</f>
        <v>1150</v>
      </c>
      <c r="V35" s="54">
        <f t="shared" si="1"/>
        <v>1850</v>
      </c>
      <c r="W35" s="49"/>
      <c r="X35" s="49"/>
    </row>
    <row r="36" spans="1:24" ht="15.75" customHeight="1">
      <c r="A36" s="50">
        <v>27</v>
      </c>
      <c r="B36" s="51"/>
      <c r="C36" s="71" t="s">
        <v>79</v>
      </c>
      <c r="D36" s="53" t="s">
        <v>104</v>
      </c>
      <c r="E36" s="53" t="s">
        <v>113</v>
      </c>
      <c r="F36" s="53" t="s">
        <v>114</v>
      </c>
      <c r="G36" s="53" t="s">
        <v>92</v>
      </c>
      <c r="H36" s="53" t="s">
        <v>30</v>
      </c>
      <c r="I36" s="53">
        <v>10</v>
      </c>
      <c r="J36" s="54">
        <v>90</v>
      </c>
      <c r="K36" s="54">
        <f t="shared" si="2"/>
        <v>900</v>
      </c>
      <c r="L36" s="62" t="b">
        <v>1</v>
      </c>
      <c r="M36" s="56">
        <v>30120241846</v>
      </c>
      <c r="N36" s="64" t="b">
        <v>1</v>
      </c>
      <c r="O36" s="58" t="s">
        <v>31</v>
      </c>
      <c r="P36" s="65" t="b">
        <v>1</v>
      </c>
      <c r="Q36" s="60"/>
      <c r="R36" s="60"/>
      <c r="S36" s="47" t="b">
        <v>1</v>
      </c>
      <c r="T36" s="61" t="s">
        <v>117</v>
      </c>
      <c r="U36" s="54">
        <f>I36*58</f>
        <v>580</v>
      </c>
      <c r="V36" s="54">
        <f t="shared" si="1"/>
        <v>320</v>
      </c>
      <c r="W36" s="49"/>
      <c r="X36" s="49"/>
    </row>
    <row r="37" spans="1:24" ht="15.75" customHeight="1">
      <c r="A37" s="50">
        <v>28</v>
      </c>
      <c r="B37" s="51"/>
      <c r="C37" s="71" t="s">
        <v>79</v>
      </c>
      <c r="D37" s="53" t="s">
        <v>104</v>
      </c>
      <c r="E37" s="53" t="s">
        <v>113</v>
      </c>
      <c r="F37" s="53" t="s">
        <v>114</v>
      </c>
      <c r="G37" s="53" t="s">
        <v>68</v>
      </c>
      <c r="H37" s="53" t="s">
        <v>30</v>
      </c>
      <c r="I37" s="53">
        <v>3000</v>
      </c>
      <c r="J37" s="54">
        <v>0.75</v>
      </c>
      <c r="K37" s="54">
        <f t="shared" si="2"/>
        <v>2250</v>
      </c>
      <c r="L37" s="62" t="b">
        <v>1</v>
      </c>
      <c r="M37" s="56">
        <v>30120241846</v>
      </c>
      <c r="N37" s="64" t="b">
        <v>1</v>
      </c>
      <c r="O37" s="58" t="s">
        <v>64</v>
      </c>
      <c r="P37" s="65" t="b">
        <v>1</v>
      </c>
      <c r="Q37" s="60">
        <v>210880060473</v>
      </c>
      <c r="R37" s="60"/>
      <c r="S37" s="47" t="b">
        <v>1</v>
      </c>
      <c r="T37" s="61" t="s">
        <v>118</v>
      </c>
      <c r="U37" s="54">
        <f>I37*0.3194</f>
        <v>958.2</v>
      </c>
      <c r="V37" s="54">
        <f t="shared" si="1"/>
        <v>1291.8</v>
      </c>
      <c r="W37" s="49"/>
      <c r="X37" s="49"/>
    </row>
    <row r="38" spans="1:24" ht="15.75" customHeight="1">
      <c r="A38" s="50">
        <v>29</v>
      </c>
      <c r="B38" s="51"/>
      <c r="C38" s="71" t="s">
        <v>79</v>
      </c>
      <c r="D38" s="53" t="s">
        <v>104</v>
      </c>
      <c r="E38" s="53" t="s">
        <v>113</v>
      </c>
      <c r="F38" s="53" t="s">
        <v>114</v>
      </c>
      <c r="G38" s="53" t="s">
        <v>63</v>
      </c>
      <c r="H38" s="53" t="s">
        <v>30</v>
      </c>
      <c r="I38" s="53">
        <v>140</v>
      </c>
      <c r="J38" s="54">
        <v>22.5</v>
      </c>
      <c r="K38" s="54">
        <f t="shared" ref="K38:K39" si="3">J38:J40*I38</f>
        <v>3150</v>
      </c>
      <c r="L38" s="62" t="b">
        <v>1</v>
      </c>
      <c r="M38" s="56">
        <v>30120241846</v>
      </c>
      <c r="N38" s="64" t="b">
        <v>1</v>
      </c>
      <c r="O38" s="58" t="s">
        <v>64</v>
      </c>
      <c r="P38" s="65" t="b">
        <v>1</v>
      </c>
      <c r="Q38" s="60">
        <v>210880060473</v>
      </c>
      <c r="R38" s="60"/>
      <c r="S38" s="47" t="b">
        <v>1</v>
      </c>
      <c r="T38" s="61" t="s">
        <v>118</v>
      </c>
      <c r="U38" s="54">
        <f t="shared" ref="U38:U39" si="4">I38*8</f>
        <v>1120</v>
      </c>
      <c r="V38" s="54">
        <f t="shared" si="1"/>
        <v>2030</v>
      </c>
      <c r="W38" s="49"/>
      <c r="X38" s="49"/>
    </row>
    <row r="39" spans="1:24" ht="15.75" customHeight="1">
      <c r="A39" s="50">
        <v>30</v>
      </c>
      <c r="B39" s="51"/>
      <c r="C39" s="71" t="s">
        <v>79</v>
      </c>
      <c r="D39" s="53" t="s">
        <v>104</v>
      </c>
      <c r="E39" s="53" t="s">
        <v>113</v>
      </c>
      <c r="F39" s="53" t="s">
        <v>114</v>
      </c>
      <c r="G39" s="53" t="s">
        <v>63</v>
      </c>
      <c r="H39" s="53" t="s">
        <v>30</v>
      </c>
      <c r="I39" s="53">
        <v>60</v>
      </c>
      <c r="J39" s="54">
        <v>22.5</v>
      </c>
      <c r="K39" s="54">
        <f t="shared" si="3"/>
        <v>1350</v>
      </c>
      <c r="L39" s="62" t="b">
        <v>1</v>
      </c>
      <c r="M39" s="56">
        <v>30120241846</v>
      </c>
      <c r="N39" s="64" t="b">
        <v>1</v>
      </c>
      <c r="O39" s="58"/>
      <c r="P39" s="65" t="b">
        <v>1</v>
      </c>
      <c r="Q39" s="60"/>
      <c r="R39" s="60"/>
      <c r="S39" s="47" t="b">
        <v>1</v>
      </c>
      <c r="T39" s="61" t="s">
        <v>119</v>
      </c>
      <c r="U39" s="54">
        <f t="shared" si="4"/>
        <v>480</v>
      </c>
      <c r="V39" s="54">
        <f t="shared" si="1"/>
        <v>870</v>
      </c>
      <c r="W39" s="49"/>
      <c r="X39" s="49"/>
    </row>
    <row r="40" spans="1:24" ht="15.75" customHeight="1">
      <c r="A40" s="50">
        <v>31</v>
      </c>
      <c r="B40" s="51"/>
      <c r="C40" s="71" t="s">
        <v>79</v>
      </c>
      <c r="D40" s="53" t="s">
        <v>104</v>
      </c>
      <c r="E40" s="53" t="s">
        <v>113</v>
      </c>
      <c r="F40" s="53" t="s">
        <v>114</v>
      </c>
      <c r="G40" s="53" t="s">
        <v>86</v>
      </c>
      <c r="H40" s="53" t="s">
        <v>30</v>
      </c>
      <c r="I40" s="53">
        <v>1</v>
      </c>
      <c r="J40" s="54">
        <v>515</v>
      </c>
      <c r="K40" s="54">
        <f t="shared" ref="K40:K74" si="5">J40:J41*I40</f>
        <v>515</v>
      </c>
      <c r="L40" s="62" t="b">
        <v>1</v>
      </c>
      <c r="M40" s="56">
        <v>30120241846</v>
      </c>
      <c r="N40" s="64" t="b">
        <v>1</v>
      </c>
      <c r="O40" s="58" t="s">
        <v>64</v>
      </c>
      <c r="P40" s="65" t="b">
        <v>1</v>
      </c>
      <c r="Q40" s="60">
        <v>210880060473</v>
      </c>
      <c r="R40" s="60"/>
      <c r="S40" s="47" t="b">
        <v>1</v>
      </c>
      <c r="T40" s="61" t="s">
        <v>118</v>
      </c>
      <c r="U40" s="54">
        <v>300</v>
      </c>
      <c r="V40" s="54">
        <f t="shared" si="1"/>
        <v>215</v>
      </c>
      <c r="W40" s="49"/>
      <c r="X40" s="49"/>
    </row>
    <row r="41" spans="1:24" ht="15.75" customHeight="1">
      <c r="A41" s="50">
        <v>32</v>
      </c>
      <c r="B41" s="51"/>
      <c r="C41" s="71" t="s">
        <v>79</v>
      </c>
      <c r="D41" s="53" t="s">
        <v>104</v>
      </c>
      <c r="E41" s="53" t="s">
        <v>113</v>
      </c>
      <c r="F41" s="53" t="s">
        <v>114</v>
      </c>
      <c r="G41" s="66" t="s">
        <v>120</v>
      </c>
      <c r="H41" s="53" t="s">
        <v>30</v>
      </c>
      <c r="I41" s="53">
        <v>2</v>
      </c>
      <c r="J41" s="54">
        <v>175</v>
      </c>
      <c r="K41" s="54">
        <f t="shared" si="5"/>
        <v>350</v>
      </c>
      <c r="L41" s="62" t="b">
        <v>1</v>
      </c>
      <c r="M41" s="56">
        <v>30120241846</v>
      </c>
      <c r="N41" s="57" t="b">
        <v>1</v>
      </c>
      <c r="O41" s="63" t="s">
        <v>31</v>
      </c>
      <c r="P41" s="59" t="b">
        <v>1</v>
      </c>
      <c r="Q41" s="60"/>
      <c r="R41" s="60"/>
      <c r="S41" s="47" t="b">
        <v>1</v>
      </c>
      <c r="T41" s="61" t="s">
        <v>121</v>
      </c>
      <c r="U41" s="54">
        <f>I41*150</f>
        <v>300</v>
      </c>
      <c r="V41" s="54">
        <f t="shared" si="1"/>
        <v>50</v>
      </c>
      <c r="W41" s="49"/>
      <c r="X41" s="49"/>
    </row>
    <row r="42" spans="1:24" ht="15.75" customHeight="1">
      <c r="A42" s="50">
        <v>33</v>
      </c>
      <c r="B42" s="51"/>
      <c r="C42" s="71" t="s">
        <v>79</v>
      </c>
      <c r="D42" s="53" t="s">
        <v>104</v>
      </c>
      <c r="E42" s="53" t="s">
        <v>122</v>
      </c>
      <c r="F42" s="53" t="s">
        <v>123</v>
      </c>
      <c r="G42" s="66" t="s">
        <v>124</v>
      </c>
      <c r="H42" s="53" t="s">
        <v>30</v>
      </c>
      <c r="I42" s="74">
        <v>6</v>
      </c>
      <c r="J42" s="73">
        <v>595</v>
      </c>
      <c r="K42" s="54">
        <f t="shared" si="5"/>
        <v>3570</v>
      </c>
      <c r="L42" s="62" t="b">
        <v>1</v>
      </c>
      <c r="M42" s="56">
        <v>30120231932</v>
      </c>
      <c r="N42" s="64" t="b">
        <v>1</v>
      </c>
      <c r="O42" s="58" t="s">
        <v>31</v>
      </c>
      <c r="P42" s="65" t="b">
        <v>1</v>
      </c>
      <c r="Q42" s="60"/>
      <c r="R42" s="60"/>
      <c r="S42" s="47" t="b">
        <v>1</v>
      </c>
      <c r="T42" s="61" t="s">
        <v>125</v>
      </c>
      <c r="U42" s="54">
        <v>250</v>
      </c>
      <c r="V42" s="54">
        <f t="shared" si="1"/>
        <v>3320</v>
      </c>
      <c r="W42" s="49"/>
      <c r="X42" s="49"/>
    </row>
    <row r="43" spans="1:24" ht="15.75" customHeight="1">
      <c r="A43" s="50">
        <v>34</v>
      </c>
      <c r="B43" s="51"/>
      <c r="C43" s="71" t="s">
        <v>126</v>
      </c>
      <c r="D43" s="53" t="s">
        <v>108</v>
      </c>
      <c r="E43" s="53" t="s">
        <v>109</v>
      </c>
      <c r="F43" s="53" t="s">
        <v>110</v>
      </c>
      <c r="G43" s="66" t="s">
        <v>127</v>
      </c>
      <c r="H43" s="53" t="s">
        <v>30</v>
      </c>
      <c r="I43" s="74">
        <v>2</v>
      </c>
      <c r="J43" s="73">
        <v>175</v>
      </c>
      <c r="K43" s="54">
        <f t="shared" si="5"/>
        <v>350</v>
      </c>
      <c r="L43" s="62" t="b">
        <v>1</v>
      </c>
      <c r="M43" s="56">
        <v>40120241619</v>
      </c>
      <c r="N43" s="64" t="b">
        <v>1</v>
      </c>
      <c r="O43" s="63" t="s">
        <v>31</v>
      </c>
      <c r="P43" s="65" t="b">
        <v>1</v>
      </c>
      <c r="Q43" s="60"/>
      <c r="R43" s="60"/>
      <c r="S43" s="47" t="b">
        <v>1</v>
      </c>
      <c r="T43" s="61" t="s">
        <v>128</v>
      </c>
      <c r="U43" s="54">
        <f>I43*150</f>
        <v>300</v>
      </c>
      <c r="V43" s="54">
        <f t="shared" si="1"/>
        <v>50</v>
      </c>
      <c r="W43" s="49"/>
      <c r="X43" s="49"/>
    </row>
    <row r="44" spans="1:24" ht="15.75" customHeight="1">
      <c r="A44" s="50">
        <v>35</v>
      </c>
      <c r="B44" s="51"/>
      <c r="C44" s="71" t="s">
        <v>126</v>
      </c>
      <c r="D44" s="53" t="s">
        <v>129</v>
      </c>
      <c r="E44" s="53" t="s">
        <v>130</v>
      </c>
      <c r="F44" s="53" t="s">
        <v>131</v>
      </c>
      <c r="G44" s="66" t="s">
        <v>88</v>
      </c>
      <c r="H44" s="53" t="s">
        <v>30</v>
      </c>
      <c r="I44" s="74">
        <v>2</v>
      </c>
      <c r="J44" s="73">
        <v>495</v>
      </c>
      <c r="K44" s="54">
        <f t="shared" si="5"/>
        <v>990</v>
      </c>
      <c r="L44" s="62" t="b">
        <v>1</v>
      </c>
      <c r="M44" s="56">
        <v>40120231717</v>
      </c>
      <c r="N44" s="64" t="b">
        <v>1</v>
      </c>
      <c r="O44" s="58" t="s">
        <v>31</v>
      </c>
      <c r="P44" s="65" t="b">
        <v>1</v>
      </c>
      <c r="Q44" s="60"/>
      <c r="R44" s="60"/>
      <c r="S44" s="47" t="b">
        <v>1</v>
      </c>
      <c r="T44" s="61" t="s">
        <v>132</v>
      </c>
      <c r="U44" s="54">
        <v>150</v>
      </c>
      <c r="V44" s="54">
        <f t="shared" si="1"/>
        <v>840</v>
      </c>
      <c r="W44" s="49"/>
      <c r="X44" s="49"/>
    </row>
    <row r="45" spans="1:24" ht="15.75" customHeight="1">
      <c r="A45" s="50">
        <v>36</v>
      </c>
      <c r="B45" s="51"/>
      <c r="C45" s="71" t="s">
        <v>126</v>
      </c>
      <c r="D45" s="53" t="s">
        <v>55</v>
      </c>
      <c r="E45" s="53" t="s">
        <v>56</v>
      </c>
      <c r="F45" s="53" t="s">
        <v>57</v>
      </c>
      <c r="G45" s="66" t="s">
        <v>133</v>
      </c>
      <c r="H45" s="66" t="s">
        <v>30</v>
      </c>
      <c r="I45" s="66">
        <v>5</v>
      </c>
      <c r="J45" s="75">
        <v>70</v>
      </c>
      <c r="K45" s="54">
        <f t="shared" si="5"/>
        <v>350</v>
      </c>
      <c r="L45" s="62" t="b">
        <v>1</v>
      </c>
      <c r="M45" s="56">
        <v>40120231717</v>
      </c>
      <c r="N45" s="64" t="b">
        <v>1</v>
      </c>
      <c r="O45" s="58" t="s">
        <v>31</v>
      </c>
      <c r="P45" s="65" t="b">
        <v>1</v>
      </c>
      <c r="Q45" s="60"/>
      <c r="R45" s="60"/>
      <c r="S45" s="47" t="b">
        <v>1</v>
      </c>
      <c r="T45" s="61" t="s">
        <v>134</v>
      </c>
      <c r="U45" s="54">
        <f>I45*60</f>
        <v>300</v>
      </c>
      <c r="V45" s="54">
        <f t="shared" si="1"/>
        <v>50</v>
      </c>
      <c r="W45" s="49"/>
      <c r="X45" s="49"/>
    </row>
    <row r="46" spans="1:24" ht="15.75" customHeight="1">
      <c r="A46" s="50">
        <v>37</v>
      </c>
      <c r="B46" s="51"/>
      <c r="C46" s="71" t="s">
        <v>126</v>
      </c>
      <c r="D46" s="53" t="s">
        <v>51</v>
      </c>
      <c r="E46" s="53" t="s">
        <v>66</v>
      </c>
      <c r="F46" s="53" t="s">
        <v>67</v>
      </c>
      <c r="G46" s="66" t="s">
        <v>49</v>
      </c>
      <c r="H46" s="66" t="s">
        <v>30</v>
      </c>
      <c r="I46" s="66">
        <v>10</v>
      </c>
      <c r="J46" s="75">
        <v>695</v>
      </c>
      <c r="K46" s="54">
        <f t="shared" si="5"/>
        <v>6950</v>
      </c>
      <c r="L46" s="62" t="b">
        <v>1</v>
      </c>
      <c r="M46" s="56">
        <v>40120231717</v>
      </c>
      <c r="N46" s="64" t="b">
        <v>1</v>
      </c>
      <c r="O46" s="58" t="s">
        <v>31</v>
      </c>
      <c r="P46" s="65" t="b">
        <v>1</v>
      </c>
      <c r="Q46" s="60"/>
      <c r="R46" s="60"/>
      <c r="S46" s="47" t="b">
        <v>1</v>
      </c>
      <c r="T46" s="61" t="s">
        <v>135</v>
      </c>
      <c r="U46" s="54">
        <f>10000*0.46</f>
        <v>4600</v>
      </c>
      <c r="V46" s="54">
        <f t="shared" si="1"/>
        <v>2350</v>
      </c>
      <c r="W46" s="49"/>
      <c r="X46" s="49"/>
    </row>
    <row r="47" spans="1:24" ht="15.75" customHeight="1">
      <c r="A47" s="50">
        <v>38</v>
      </c>
      <c r="B47" s="51"/>
      <c r="C47" s="71" t="s">
        <v>136</v>
      </c>
      <c r="D47" s="66" t="s">
        <v>51</v>
      </c>
      <c r="E47" s="66" t="s">
        <v>137</v>
      </c>
      <c r="F47" s="66" t="s">
        <v>138</v>
      </c>
      <c r="G47" s="66" t="s">
        <v>139</v>
      </c>
      <c r="H47" s="66" t="s">
        <v>30</v>
      </c>
      <c r="I47" s="66">
        <v>30</v>
      </c>
      <c r="J47" s="75">
        <v>29</v>
      </c>
      <c r="K47" s="54">
        <f t="shared" si="5"/>
        <v>870</v>
      </c>
      <c r="L47" s="62" t="b">
        <v>1</v>
      </c>
      <c r="M47" s="56">
        <v>50120231653</v>
      </c>
      <c r="N47" s="64" t="b">
        <v>1</v>
      </c>
      <c r="O47" s="58" t="s">
        <v>31</v>
      </c>
      <c r="P47" s="65" t="b">
        <v>0</v>
      </c>
      <c r="Q47" s="60"/>
      <c r="R47" s="60"/>
      <c r="S47" s="47" t="b">
        <v>1</v>
      </c>
      <c r="T47" s="61" t="s">
        <v>140</v>
      </c>
      <c r="U47" s="54">
        <v>450</v>
      </c>
      <c r="V47" s="54">
        <f t="shared" si="1"/>
        <v>420</v>
      </c>
      <c r="W47" s="49"/>
      <c r="X47" s="49"/>
    </row>
    <row r="48" spans="1:24" ht="15.75" customHeight="1">
      <c r="A48" s="50">
        <v>39</v>
      </c>
      <c r="B48" s="51"/>
      <c r="C48" s="71" t="s">
        <v>136</v>
      </c>
      <c r="D48" s="66" t="s">
        <v>55</v>
      </c>
      <c r="E48" s="66" t="s">
        <v>141</v>
      </c>
      <c r="F48" s="66" t="s">
        <v>57</v>
      </c>
      <c r="G48" s="66" t="s">
        <v>142</v>
      </c>
      <c r="H48" s="66" t="s">
        <v>30</v>
      </c>
      <c r="I48" s="66">
        <v>1500</v>
      </c>
      <c r="J48" s="75">
        <v>0.95</v>
      </c>
      <c r="K48" s="54">
        <f t="shared" si="5"/>
        <v>1425</v>
      </c>
      <c r="L48" s="62" t="b">
        <v>1</v>
      </c>
      <c r="M48" s="56">
        <v>50120231754</v>
      </c>
      <c r="N48" s="64" t="b">
        <v>1</v>
      </c>
      <c r="O48" s="58" t="s">
        <v>31</v>
      </c>
      <c r="P48" s="65" t="b">
        <v>1</v>
      </c>
      <c r="Q48" s="60"/>
      <c r="R48" s="60"/>
      <c r="S48" s="47" t="b">
        <v>1</v>
      </c>
      <c r="T48" s="61" t="s">
        <v>143</v>
      </c>
      <c r="U48" s="54">
        <f>I48*0.68</f>
        <v>1020.0000000000001</v>
      </c>
      <c r="V48" s="54">
        <f t="shared" si="1"/>
        <v>404.99999999999989</v>
      </c>
      <c r="W48" s="49"/>
      <c r="X48" s="49"/>
    </row>
    <row r="49" spans="1:24" ht="15.75" customHeight="1">
      <c r="A49" s="50">
        <v>40</v>
      </c>
      <c r="B49" s="51"/>
      <c r="C49" s="71" t="s">
        <v>136</v>
      </c>
      <c r="D49" s="66" t="s">
        <v>144</v>
      </c>
      <c r="E49" s="66" t="s">
        <v>145</v>
      </c>
      <c r="F49" s="66" t="s">
        <v>146</v>
      </c>
      <c r="G49" s="66" t="s">
        <v>147</v>
      </c>
      <c r="H49" s="66" t="s">
        <v>30</v>
      </c>
      <c r="I49" s="66">
        <v>3</v>
      </c>
      <c r="J49" s="75">
        <v>750</v>
      </c>
      <c r="K49" s="54">
        <f t="shared" si="5"/>
        <v>2250</v>
      </c>
      <c r="L49" s="62" t="b">
        <v>1</v>
      </c>
      <c r="M49" s="56">
        <v>50120231756</v>
      </c>
      <c r="N49" s="64" t="b">
        <v>1</v>
      </c>
      <c r="O49" s="58" t="s">
        <v>31</v>
      </c>
      <c r="P49" s="65" t="b">
        <v>1</v>
      </c>
      <c r="Q49" s="60"/>
      <c r="R49" s="60"/>
      <c r="S49" s="47" t="b">
        <v>1</v>
      </c>
      <c r="T49" s="61" t="s">
        <v>148</v>
      </c>
      <c r="U49" s="54">
        <v>555</v>
      </c>
      <c r="V49" s="54">
        <f t="shared" si="1"/>
        <v>1695</v>
      </c>
      <c r="W49" s="49"/>
      <c r="X49" s="49"/>
    </row>
    <row r="50" spans="1:24" ht="15.75" customHeight="1">
      <c r="A50" s="50">
        <v>41</v>
      </c>
      <c r="B50" s="51"/>
      <c r="C50" s="76">
        <v>45299</v>
      </c>
      <c r="D50" s="66" t="s">
        <v>149</v>
      </c>
      <c r="E50" s="66" t="s">
        <v>130</v>
      </c>
      <c r="F50" s="66" t="s">
        <v>150</v>
      </c>
      <c r="G50" s="66" t="s">
        <v>151</v>
      </c>
      <c r="H50" s="66" t="s">
        <v>30</v>
      </c>
      <c r="I50" s="66">
        <v>2</v>
      </c>
      <c r="J50" s="75">
        <v>2250</v>
      </c>
      <c r="K50" s="54">
        <f t="shared" si="5"/>
        <v>4500</v>
      </c>
      <c r="L50" s="62" t="b">
        <v>1</v>
      </c>
      <c r="M50" s="56">
        <v>80120231019</v>
      </c>
      <c r="N50" s="64" t="b">
        <v>1</v>
      </c>
      <c r="O50" s="58" t="s">
        <v>31</v>
      </c>
      <c r="P50" s="65" t="b">
        <v>1</v>
      </c>
      <c r="Q50" s="60"/>
      <c r="R50" s="60"/>
      <c r="S50" s="47" t="b">
        <v>1</v>
      </c>
      <c r="T50" s="61" t="s">
        <v>152</v>
      </c>
      <c r="U50" s="54">
        <v>2750</v>
      </c>
      <c r="V50" s="54">
        <f t="shared" si="1"/>
        <v>1750</v>
      </c>
      <c r="W50" s="49"/>
      <c r="X50" s="49"/>
    </row>
    <row r="51" spans="1:24" ht="15.75" customHeight="1">
      <c r="A51" s="50">
        <v>42</v>
      </c>
      <c r="B51" s="77"/>
      <c r="C51" s="76">
        <v>45299</v>
      </c>
      <c r="D51" s="66" t="s">
        <v>51</v>
      </c>
      <c r="E51" s="66" t="s">
        <v>66</v>
      </c>
      <c r="F51" s="66" t="s">
        <v>67</v>
      </c>
      <c r="G51" s="66" t="s">
        <v>153</v>
      </c>
      <c r="H51" s="66" t="s">
        <v>30</v>
      </c>
      <c r="I51" s="66">
        <v>61</v>
      </c>
      <c r="J51" s="75">
        <v>105</v>
      </c>
      <c r="K51" s="54">
        <f t="shared" si="5"/>
        <v>6405</v>
      </c>
      <c r="L51" s="62" t="b">
        <v>1</v>
      </c>
      <c r="M51" s="56">
        <v>80120231019</v>
      </c>
      <c r="N51" s="64" t="b">
        <v>1</v>
      </c>
      <c r="O51" s="58" t="s">
        <v>31</v>
      </c>
      <c r="P51" s="65" t="b">
        <v>1</v>
      </c>
      <c r="Q51" s="60"/>
      <c r="R51" s="60"/>
      <c r="S51" s="47" t="b">
        <v>1</v>
      </c>
      <c r="T51" s="61" t="s">
        <v>154</v>
      </c>
      <c r="U51" s="54">
        <f>61*65</f>
        <v>3965</v>
      </c>
      <c r="V51" s="54">
        <f t="shared" si="1"/>
        <v>2440</v>
      </c>
      <c r="W51" s="49"/>
      <c r="X51" s="49"/>
    </row>
    <row r="52" spans="1:24" ht="15.75" customHeight="1">
      <c r="A52" s="50">
        <v>43</v>
      </c>
      <c r="B52" s="77"/>
      <c r="C52" s="76">
        <v>45299</v>
      </c>
      <c r="D52" s="66" t="s">
        <v>51</v>
      </c>
      <c r="E52" s="66" t="s">
        <v>66</v>
      </c>
      <c r="F52" s="66" t="s">
        <v>155</v>
      </c>
      <c r="G52" s="66" t="s">
        <v>156</v>
      </c>
      <c r="H52" s="66" t="s">
        <v>30</v>
      </c>
      <c r="I52" s="66">
        <v>5</v>
      </c>
      <c r="J52" s="75">
        <v>1250</v>
      </c>
      <c r="K52" s="54">
        <f t="shared" si="5"/>
        <v>6250</v>
      </c>
      <c r="L52" s="62" t="b">
        <v>1</v>
      </c>
      <c r="M52" s="56">
        <v>80120231019</v>
      </c>
      <c r="N52" s="64" t="b">
        <v>1</v>
      </c>
      <c r="O52" s="58"/>
      <c r="P52" s="65" t="b">
        <v>1</v>
      </c>
      <c r="Q52" s="60"/>
      <c r="R52" s="60"/>
      <c r="S52" s="47" t="b">
        <v>1</v>
      </c>
      <c r="T52" s="61" t="s">
        <v>157</v>
      </c>
      <c r="U52" s="54">
        <v>3750</v>
      </c>
      <c r="V52" s="54">
        <f t="shared" si="1"/>
        <v>2500</v>
      </c>
      <c r="W52" s="49"/>
      <c r="X52" s="49"/>
    </row>
    <row r="53" spans="1:24" ht="15.75" customHeight="1">
      <c r="A53" s="50">
        <v>44</v>
      </c>
      <c r="B53" s="51"/>
      <c r="C53" s="76">
        <v>45299</v>
      </c>
      <c r="D53" s="66" t="s">
        <v>104</v>
      </c>
      <c r="E53" s="66" t="s">
        <v>158</v>
      </c>
      <c r="F53" s="66" t="s">
        <v>159</v>
      </c>
      <c r="G53" s="66" t="s">
        <v>160</v>
      </c>
      <c r="H53" s="66" t="s">
        <v>30</v>
      </c>
      <c r="I53" s="66">
        <v>2</v>
      </c>
      <c r="J53" s="75">
        <v>1490</v>
      </c>
      <c r="K53" s="54">
        <f t="shared" si="5"/>
        <v>2980</v>
      </c>
      <c r="L53" s="62" t="b">
        <v>1</v>
      </c>
      <c r="M53" s="56">
        <v>80120231100</v>
      </c>
      <c r="N53" s="64" t="b">
        <v>1</v>
      </c>
      <c r="O53" s="58" t="s">
        <v>31</v>
      </c>
      <c r="P53" s="65" t="b">
        <v>1</v>
      </c>
      <c r="Q53" s="78"/>
      <c r="R53" s="60"/>
      <c r="S53" s="47" t="b">
        <v>1</v>
      </c>
      <c r="T53" s="61" t="s">
        <v>161</v>
      </c>
      <c r="U53" s="54">
        <f>I53*844.55</f>
        <v>1689.1</v>
      </c>
      <c r="V53" s="54">
        <f t="shared" si="1"/>
        <v>1290.9000000000001</v>
      </c>
      <c r="W53" s="49"/>
      <c r="X53" s="49"/>
    </row>
    <row r="54" spans="1:24" ht="15.75" customHeight="1">
      <c r="A54" s="50">
        <v>45</v>
      </c>
      <c r="B54" s="51"/>
      <c r="C54" s="76">
        <v>45299</v>
      </c>
      <c r="D54" s="66" t="s">
        <v>104</v>
      </c>
      <c r="E54" s="66" t="s">
        <v>158</v>
      </c>
      <c r="F54" s="66" t="s">
        <v>162</v>
      </c>
      <c r="G54" s="66" t="s">
        <v>49</v>
      </c>
      <c r="H54" s="66" t="s">
        <v>30</v>
      </c>
      <c r="I54" s="66">
        <v>5</v>
      </c>
      <c r="J54" s="75">
        <v>695</v>
      </c>
      <c r="K54" s="54">
        <f t="shared" si="5"/>
        <v>3475</v>
      </c>
      <c r="L54" s="62" t="b">
        <v>1</v>
      </c>
      <c r="M54" s="56">
        <v>80120231100</v>
      </c>
      <c r="N54" s="64" t="b">
        <v>1</v>
      </c>
      <c r="O54" s="58" t="s">
        <v>31</v>
      </c>
      <c r="P54" s="65" t="b">
        <v>1</v>
      </c>
      <c r="Q54" s="78"/>
      <c r="R54" s="60"/>
      <c r="S54" s="47" t="b">
        <v>1</v>
      </c>
      <c r="T54" s="61" t="s">
        <v>163</v>
      </c>
      <c r="U54" s="54">
        <f>5000*0.46</f>
        <v>2300</v>
      </c>
      <c r="V54" s="54">
        <f t="shared" si="1"/>
        <v>1175</v>
      </c>
      <c r="W54" s="49"/>
      <c r="X54" s="49"/>
    </row>
    <row r="55" spans="1:24" ht="15.75" customHeight="1">
      <c r="A55" s="50">
        <v>46</v>
      </c>
      <c r="B55" s="51"/>
      <c r="C55" s="76">
        <v>45299</v>
      </c>
      <c r="D55" s="66" t="s">
        <v>104</v>
      </c>
      <c r="E55" s="66" t="s">
        <v>158</v>
      </c>
      <c r="F55" s="66" t="s">
        <v>159</v>
      </c>
      <c r="G55" s="66" t="s">
        <v>83</v>
      </c>
      <c r="H55" s="66" t="s">
        <v>30</v>
      </c>
      <c r="I55" s="66">
        <v>1000</v>
      </c>
      <c r="J55" s="75">
        <v>1.5</v>
      </c>
      <c r="K55" s="54">
        <f t="shared" si="5"/>
        <v>1500</v>
      </c>
      <c r="L55" s="62" t="b">
        <v>1</v>
      </c>
      <c r="M55" s="56">
        <v>80120231100</v>
      </c>
      <c r="N55" s="64" t="b">
        <v>1</v>
      </c>
      <c r="O55" s="58"/>
      <c r="P55" s="65" t="b">
        <v>1</v>
      </c>
      <c r="Q55" s="78"/>
      <c r="R55" s="60"/>
      <c r="S55" s="47" t="b">
        <v>1</v>
      </c>
      <c r="T55" s="61" t="s">
        <v>164</v>
      </c>
      <c r="U55" s="54">
        <f>I55*0.95</f>
        <v>950</v>
      </c>
      <c r="V55" s="54">
        <f t="shared" si="1"/>
        <v>550</v>
      </c>
      <c r="W55" s="49"/>
      <c r="X55" s="49"/>
    </row>
    <row r="56" spans="1:24" ht="15.75" customHeight="1">
      <c r="A56" s="50">
        <v>47</v>
      </c>
      <c r="B56" s="51"/>
      <c r="C56" s="76">
        <v>45299</v>
      </c>
      <c r="D56" s="53" t="s">
        <v>104</v>
      </c>
      <c r="E56" s="53" t="s">
        <v>158</v>
      </c>
      <c r="F56" s="53" t="s">
        <v>159</v>
      </c>
      <c r="G56" s="53" t="s">
        <v>165</v>
      </c>
      <c r="H56" s="53" t="s">
        <v>30</v>
      </c>
      <c r="I56" s="53">
        <v>4</v>
      </c>
      <c r="J56" s="54">
        <v>250</v>
      </c>
      <c r="K56" s="54">
        <f t="shared" si="5"/>
        <v>1000</v>
      </c>
      <c r="L56" s="62" t="b">
        <v>1</v>
      </c>
      <c r="M56" s="56">
        <v>80120231100</v>
      </c>
      <c r="N56" s="64" t="b">
        <v>1</v>
      </c>
      <c r="O56" s="58" t="s">
        <v>31</v>
      </c>
      <c r="P56" s="65" t="b">
        <v>1</v>
      </c>
      <c r="Q56" s="78"/>
      <c r="R56" s="60"/>
      <c r="S56" s="47" t="b">
        <v>1</v>
      </c>
      <c r="T56" s="61" t="s">
        <v>161</v>
      </c>
      <c r="U56" s="54">
        <f>I56*71.81</f>
        <v>287.24</v>
      </c>
      <c r="V56" s="54">
        <f t="shared" si="1"/>
        <v>712.76</v>
      </c>
      <c r="W56" s="49"/>
      <c r="X56" s="49"/>
    </row>
    <row r="57" spans="1:24" ht="15.75" customHeight="1">
      <c r="A57" s="50">
        <v>48</v>
      </c>
      <c r="B57" s="51"/>
      <c r="C57" s="76">
        <v>45299</v>
      </c>
      <c r="D57" s="53" t="s">
        <v>55</v>
      </c>
      <c r="E57" s="53">
        <v>41</v>
      </c>
      <c r="F57" s="53" t="s">
        <v>166</v>
      </c>
      <c r="G57" s="53" t="s">
        <v>49</v>
      </c>
      <c r="H57" s="53" t="s">
        <v>30</v>
      </c>
      <c r="I57" s="53">
        <v>10</v>
      </c>
      <c r="J57" s="54">
        <v>695</v>
      </c>
      <c r="K57" s="54">
        <f t="shared" si="5"/>
        <v>6950</v>
      </c>
      <c r="L57" s="62" t="b">
        <v>1</v>
      </c>
      <c r="M57" s="56">
        <v>80120231100</v>
      </c>
      <c r="N57" s="64" t="b">
        <v>1</v>
      </c>
      <c r="O57" s="58" t="s">
        <v>31</v>
      </c>
      <c r="P57" s="65" t="b">
        <v>1</v>
      </c>
      <c r="Q57" s="78"/>
      <c r="R57" s="60"/>
      <c r="S57" s="47" t="b">
        <v>1</v>
      </c>
      <c r="T57" s="61" t="s">
        <v>167</v>
      </c>
      <c r="U57" s="54">
        <f>10000*0.46</f>
        <v>4600</v>
      </c>
      <c r="V57" s="54">
        <f t="shared" si="1"/>
        <v>2350</v>
      </c>
      <c r="W57" s="49"/>
      <c r="X57" s="49"/>
    </row>
    <row r="58" spans="1:24" ht="15.75" customHeight="1">
      <c r="A58" s="50">
        <v>49</v>
      </c>
      <c r="B58" s="51"/>
      <c r="C58" s="76">
        <v>45299</v>
      </c>
      <c r="D58" s="53" t="s">
        <v>51</v>
      </c>
      <c r="E58" s="53" t="s">
        <v>61</v>
      </c>
      <c r="F58" s="53" t="s">
        <v>168</v>
      </c>
      <c r="G58" s="53" t="s">
        <v>169</v>
      </c>
      <c r="H58" s="53" t="s">
        <v>30</v>
      </c>
      <c r="I58" s="53">
        <v>4</v>
      </c>
      <c r="J58" s="54">
        <v>295</v>
      </c>
      <c r="K58" s="54">
        <f t="shared" si="5"/>
        <v>1180</v>
      </c>
      <c r="L58" s="62" t="b">
        <v>1</v>
      </c>
      <c r="M58" s="56">
        <v>80120231342</v>
      </c>
      <c r="N58" s="64" t="b">
        <v>1</v>
      </c>
      <c r="O58" s="58" t="s">
        <v>31</v>
      </c>
      <c r="P58" s="65" t="b">
        <v>1</v>
      </c>
      <c r="Q58" s="78"/>
      <c r="R58" s="60"/>
      <c r="S58" s="47" t="b">
        <v>1</v>
      </c>
      <c r="T58" s="61" t="s">
        <v>170</v>
      </c>
      <c r="U58" s="54">
        <v>750</v>
      </c>
      <c r="V58" s="54">
        <f t="shared" si="1"/>
        <v>430</v>
      </c>
      <c r="W58" s="49"/>
      <c r="X58" s="49"/>
    </row>
    <row r="59" spans="1:24" ht="15.75" customHeight="1">
      <c r="A59" s="50">
        <v>50</v>
      </c>
      <c r="B59" s="51"/>
      <c r="C59" s="76">
        <v>45299</v>
      </c>
      <c r="D59" s="53" t="s">
        <v>171</v>
      </c>
      <c r="E59" s="53" t="s">
        <v>137</v>
      </c>
      <c r="F59" s="53" t="s">
        <v>172</v>
      </c>
      <c r="G59" s="53" t="s">
        <v>49</v>
      </c>
      <c r="H59" s="53" t="s">
        <v>30</v>
      </c>
      <c r="I59" s="53">
        <v>3</v>
      </c>
      <c r="J59" s="54">
        <v>695</v>
      </c>
      <c r="K59" s="54">
        <f t="shared" si="5"/>
        <v>2085</v>
      </c>
      <c r="L59" s="62" t="b">
        <v>1</v>
      </c>
      <c r="M59" s="56">
        <v>80120231342</v>
      </c>
      <c r="N59" s="57" t="b">
        <v>1</v>
      </c>
      <c r="O59" s="63" t="s">
        <v>39</v>
      </c>
      <c r="P59" s="59" t="b">
        <v>1</v>
      </c>
      <c r="Q59" s="43"/>
      <c r="R59" s="60"/>
      <c r="S59" s="47" t="b">
        <v>1</v>
      </c>
      <c r="T59" s="61" t="s">
        <v>173</v>
      </c>
      <c r="U59" s="54">
        <f>3000*0.46</f>
        <v>1380</v>
      </c>
      <c r="V59" s="54">
        <f t="shared" si="1"/>
        <v>705</v>
      </c>
      <c r="W59" s="49"/>
      <c r="X59" s="49"/>
    </row>
    <row r="60" spans="1:24" ht="15.75" customHeight="1">
      <c r="A60" s="50">
        <v>51</v>
      </c>
      <c r="B60" s="51"/>
      <c r="C60" s="76">
        <v>45299</v>
      </c>
      <c r="D60" s="53" t="s">
        <v>171</v>
      </c>
      <c r="E60" s="53" t="s">
        <v>137</v>
      </c>
      <c r="F60" s="53" t="s">
        <v>172</v>
      </c>
      <c r="G60" s="53" t="s">
        <v>116</v>
      </c>
      <c r="H60" s="53" t="s">
        <v>30</v>
      </c>
      <c r="I60" s="53">
        <v>24</v>
      </c>
      <c r="J60" s="54">
        <v>185</v>
      </c>
      <c r="K60" s="54">
        <f t="shared" si="5"/>
        <v>4440</v>
      </c>
      <c r="L60" s="62" t="b">
        <v>1</v>
      </c>
      <c r="M60" s="56">
        <v>80120231342</v>
      </c>
      <c r="N60" s="64" t="b">
        <v>1</v>
      </c>
      <c r="O60" s="58" t="s">
        <v>31</v>
      </c>
      <c r="P60" s="65" t="b">
        <v>1</v>
      </c>
      <c r="Q60" s="79"/>
      <c r="R60" s="60"/>
      <c r="S60" s="47" t="b">
        <v>1</v>
      </c>
      <c r="T60" s="61" t="s">
        <v>174</v>
      </c>
      <c r="U60" s="54">
        <f>I60*125</f>
        <v>3000</v>
      </c>
      <c r="V60" s="54">
        <f t="shared" si="1"/>
        <v>1440</v>
      </c>
      <c r="W60" s="49"/>
      <c r="X60" s="49"/>
    </row>
    <row r="61" spans="1:24" ht="15.75" customHeight="1">
      <c r="A61" s="50">
        <v>52</v>
      </c>
      <c r="B61" s="51"/>
      <c r="C61" s="76">
        <v>45299</v>
      </c>
      <c r="D61" s="53" t="s">
        <v>41</v>
      </c>
      <c r="E61" s="53" t="s">
        <v>74</v>
      </c>
      <c r="F61" s="53" t="s">
        <v>75</v>
      </c>
      <c r="G61" s="53" t="s">
        <v>175</v>
      </c>
      <c r="H61" s="53" t="s">
        <v>30</v>
      </c>
      <c r="I61" s="53">
        <v>5</v>
      </c>
      <c r="J61" s="54">
        <v>745</v>
      </c>
      <c r="K61" s="54">
        <f t="shared" si="5"/>
        <v>3725</v>
      </c>
      <c r="L61" s="62" t="b">
        <v>1</v>
      </c>
      <c r="M61" s="56">
        <v>80120231705</v>
      </c>
      <c r="N61" s="64" t="b">
        <v>1</v>
      </c>
      <c r="O61" s="58"/>
      <c r="P61" s="65" t="b">
        <v>1</v>
      </c>
      <c r="Q61" s="80"/>
      <c r="R61" s="80"/>
      <c r="S61" s="47" t="b">
        <v>1</v>
      </c>
      <c r="T61" s="61" t="s">
        <v>176</v>
      </c>
      <c r="U61" s="54">
        <v>1925</v>
      </c>
      <c r="V61" s="54">
        <f t="shared" si="1"/>
        <v>1800</v>
      </c>
      <c r="W61" s="49"/>
      <c r="X61" s="49"/>
    </row>
    <row r="62" spans="1:24" ht="15.75" customHeight="1">
      <c r="A62" s="50">
        <v>53</v>
      </c>
      <c r="B62" s="51"/>
      <c r="C62" s="76">
        <v>45299</v>
      </c>
      <c r="D62" s="53" t="s">
        <v>41</v>
      </c>
      <c r="E62" s="53" t="s">
        <v>74</v>
      </c>
      <c r="F62" s="53" t="s">
        <v>75</v>
      </c>
      <c r="G62" s="53" t="s">
        <v>177</v>
      </c>
      <c r="H62" s="53" t="s">
        <v>30</v>
      </c>
      <c r="I62" s="53">
        <v>5</v>
      </c>
      <c r="J62" s="54">
        <v>795</v>
      </c>
      <c r="K62" s="54">
        <f t="shared" si="5"/>
        <v>3975</v>
      </c>
      <c r="L62" s="62" t="b">
        <v>1</v>
      </c>
      <c r="M62" s="56">
        <v>80120231706</v>
      </c>
      <c r="N62" s="64" t="b">
        <v>1</v>
      </c>
      <c r="O62" s="58" t="s">
        <v>31</v>
      </c>
      <c r="P62" s="65" t="b">
        <v>1</v>
      </c>
      <c r="Q62" s="60"/>
      <c r="R62" s="60"/>
      <c r="S62" s="47" t="b">
        <v>1</v>
      </c>
      <c r="T62" s="61" t="s">
        <v>176</v>
      </c>
      <c r="U62" s="54">
        <v>1750</v>
      </c>
      <c r="V62" s="54">
        <f t="shared" si="1"/>
        <v>2225</v>
      </c>
      <c r="W62" s="49"/>
      <c r="X62" s="49"/>
    </row>
    <row r="63" spans="1:24" ht="15.75" customHeight="1">
      <c r="A63" s="50">
        <v>54</v>
      </c>
      <c r="B63" s="51"/>
      <c r="C63" s="76">
        <v>45299</v>
      </c>
      <c r="D63" s="53" t="s">
        <v>51</v>
      </c>
      <c r="E63" s="53" t="s">
        <v>89</v>
      </c>
      <c r="F63" s="53" t="s">
        <v>178</v>
      </c>
      <c r="G63" s="53" t="s">
        <v>179</v>
      </c>
      <c r="H63" s="53" t="s">
        <v>30</v>
      </c>
      <c r="I63" s="53">
        <v>1</v>
      </c>
      <c r="J63" s="54">
        <v>4500</v>
      </c>
      <c r="K63" s="54">
        <f t="shared" si="5"/>
        <v>4500</v>
      </c>
      <c r="L63" s="62" t="b">
        <v>1</v>
      </c>
      <c r="M63" s="56">
        <v>80120231738</v>
      </c>
      <c r="N63" s="64" t="b">
        <v>1</v>
      </c>
      <c r="O63" s="58"/>
      <c r="P63" s="65" t="b">
        <v>1</v>
      </c>
      <c r="Q63" s="78"/>
      <c r="R63" s="60"/>
      <c r="S63" s="47" t="b">
        <v>1</v>
      </c>
      <c r="T63" s="61" t="s">
        <v>180</v>
      </c>
      <c r="U63" s="54">
        <v>3300</v>
      </c>
      <c r="V63" s="54">
        <f t="shared" si="1"/>
        <v>1200</v>
      </c>
      <c r="W63" s="49"/>
      <c r="X63" s="49"/>
    </row>
    <row r="64" spans="1:24" ht="15.75" customHeight="1">
      <c r="A64" s="50">
        <v>55</v>
      </c>
      <c r="B64" s="51"/>
      <c r="C64" s="52">
        <v>45300</v>
      </c>
      <c r="D64" s="53" t="s">
        <v>104</v>
      </c>
      <c r="E64" s="53" t="s">
        <v>61</v>
      </c>
      <c r="F64" s="53" t="s">
        <v>181</v>
      </c>
      <c r="G64" s="53" t="s">
        <v>58</v>
      </c>
      <c r="H64" s="53" t="s">
        <v>30</v>
      </c>
      <c r="I64" s="53">
        <v>84</v>
      </c>
      <c r="J64" s="54">
        <v>30</v>
      </c>
      <c r="K64" s="54">
        <f t="shared" si="5"/>
        <v>2520</v>
      </c>
      <c r="L64" s="62" t="b">
        <v>1</v>
      </c>
      <c r="M64" s="56">
        <v>90120241610</v>
      </c>
      <c r="N64" s="64" t="b">
        <v>1</v>
      </c>
      <c r="O64" s="58"/>
      <c r="P64" s="65" t="b">
        <v>1</v>
      </c>
      <c r="Q64" s="78"/>
      <c r="R64" s="60"/>
      <c r="S64" s="47" t="b">
        <v>1</v>
      </c>
      <c r="T64" s="61" t="s">
        <v>182</v>
      </c>
      <c r="U64" s="54">
        <v>1765</v>
      </c>
      <c r="V64" s="54">
        <f t="shared" si="1"/>
        <v>755</v>
      </c>
      <c r="W64" s="49"/>
      <c r="X64" s="49"/>
    </row>
    <row r="65" spans="1:24" ht="15.75" customHeight="1">
      <c r="A65" s="50">
        <v>56</v>
      </c>
      <c r="B65" s="51"/>
      <c r="C65" s="52">
        <v>45300</v>
      </c>
      <c r="D65" s="53" t="s">
        <v>104</v>
      </c>
      <c r="E65" s="53" t="s">
        <v>61</v>
      </c>
      <c r="F65" s="53" t="s">
        <v>181</v>
      </c>
      <c r="G65" s="53" t="s">
        <v>183</v>
      </c>
      <c r="H65" s="53" t="s">
        <v>30</v>
      </c>
      <c r="I65" s="53">
        <v>6</v>
      </c>
      <c r="J65" s="54">
        <v>130</v>
      </c>
      <c r="K65" s="54">
        <f t="shared" si="5"/>
        <v>780</v>
      </c>
      <c r="L65" s="62" t="b">
        <v>1</v>
      </c>
      <c r="M65" s="56">
        <v>90120241404</v>
      </c>
      <c r="N65" s="64" t="b">
        <v>1</v>
      </c>
      <c r="O65" s="58" t="s">
        <v>64</v>
      </c>
      <c r="P65" s="65" t="b">
        <v>1</v>
      </c>
      <c r="Q65" s="78"/>
      <c r="R65" s="60"/>
      <c r="S65" s="47" t="b">
        <v>1</v>
      </c>
      <c r="T65" s="61" t="s">
        <v>184</v>
      </c>
      <c r="U65" s="54">
        <f>I65*80</f>
        <v>480</v>
      </c>
      <c r="V65" s="54">
        <f t="shared" si="1"/>
        <v>300</v>
      </c>
      <c r="W65" s="49"/>
      <c r="X65" s="49"/>
    </row>
    <row r="66" spans="1:24" ht="16.5" customHeight="1">
      <c r="A66" s="50">
        <v>57</v>
      </c>
      <c r="B66" s="51"/>
      <c r="C66" s="52">
        <v>45300</v>
      </c>
      <c r="D66" s="53" t="s">
        <v>104</v>
      </c>
      <c r="E66" s="53" t="s">
        <v>61</v>
      </c>
      <c r="F66" s="53" t="s">
        <v>181</v>
      </c>
      <c r="G66" s="53" t="s">
        <v>142</v>
      </c>
      <c r="H66" s="53" t="s">
        <v>30</v>
      </c>
      <c r="I66" s="53">
        <v>1500</v>
      </c>
      <c r="J66" s="54">
        <v>0.95</v>
      </c>
      <c r="K66" s="54">
        <f t="shared" si="5"/>
        <v>1425</v>
      </c>
      <c r="L66" s="62" t="b">
        <v>1</v>
      </c>
      <c r="M66" s="56">
        <v>90120231612</v>
      </c>
      <c r="N66" s="64" t="b">
        <v>1</v>
      </c>
      <c r="O66" s="58" t="s">
        <v>185</v>
      </c>
      <c r="P66" s="65" t="b">
        <v>1</v>
      </c>
      <c r="Q66" s="78"/>
      <c r="R66" s="60" t="s">
        <v>186</v>
      </c>
      <c r="S66" s="47" t="b">
        <v>1</v>
      </c>
      <c r="T66" s="61" t="s">
        <v>187</v>
      </c>
      <c r="U66" s="54">
        <f>I66*0.68</f>
        <v>1020.0000000000001</v>
      </c>
      <c r="V66" s="54">
        <f t="shared" si="1"/>
        <v>404.99999999999989</v>
      </c>
      <c r="W66" s="49"/>
      <c r="X66" s="49"/>
    </row>
    <row r="67" spans="1:24" ht="15.75" customHeight="1">
      <c r="A67" s="50">
        <v>58</v>
      </c>
      <c r="B67" s="51"/>
      <c r="C67" s="52">
        <v>45300</v>
      </c>
      <c r="D67" s="53" t="s">
        <v>104</v>
      </c>
      <c r="E67" s="53" t="s">
        <v>61</v>
      </c>
      <c r="F67" s="53" t="s">
        <v>181</v>
      </c>
      <c r="G67" s="53" t="s">
        <v>188</v>
      </c>
      <c r="H67" s="53" t="s">
        <v>30</v>
      </c>
      <c r="I67" s="53">
        <v>10</v>
      </c>
      <c r="J67" s="54">
        <v>70</v>
      </c>
      <c r="K67" s="54">
        <f t="shared" si="5"/>
        <v>700</v>
      </c>
      <c r="L67" s="62" t="b">
        <v>1</v>
      </c>
      <c r="M67" s="56">
        <v>90120241613</v>
      </c>
      <c r="N67" s="64" t="b">
        <v>1</v>
      </c>
      <c r="O67" s="58"/>
      <c r="P67" s="65" t="b">
        <v>1</v>
      </c>
      <c r="Q67" s="78"/>
      <c r="R67" s="60"/>
      <c r="S67" s="47" t="b">
        <v>1</v>
      </c>
      <c r="T67" s="61" t="s">
        <v>189</v>
      </c>
      <c r="U67" s="54">
        <v>350</v>
      </c>
      <c r="V67" s="54">
        <f t="shared" si="1"/>
        <v>350</v>
      </c>
      <c r="W67" s="49"/>
      <c r="X67" s="49"/>
    </row>
    <row r="68" spans="1:24" ht="15.75" customHeight="1">
      <c r="A68" s="50">
        <v>59</v>
      </c>
      <c r="B68" s="51"/>
      <c r="C68" s="52">
        <v>45300</v>
      </c>
      <c r="D68" s="53" t="s">
        <v>104</v>
      </c>
      <c r="E68" s="53" t="s">
        <v>61</v>
      </c>
      <c r="F68" s="53" t="s">
        <v>181</v>
      </c>
      <c r="G68" s="53" t="s">
        <v>190</v>
      </c>
      <c r="H68" s="53" t="s">
        <v>30</v>
      </c>
      <c r="I68" s="53">
        <v>6</v>
      </c>
      <c r="J68" s="54">
        <v>105</v>
      </c>
      <c r="K68" s="54">
        <f t="shared" si="5"/>
        <v>630</v>
      </c>
      <c r="L68" s="62" t="b">
        <v>1</v>
      </c>
      <c r="M68" s="56">
        <v>90120241615</v>
      </c>
      <c r="N68" s="64" t="b">
        <v>1</v>
      </c>
      <c r="O68" s="58" t="s">
        <v>31</v>
      </c>
      <c r="P68" s="65" t="b">
        <v>1</v>
      </c>
      <c r="Q68" s="78"/>
      <c r="R68" s="60"/>
      <c r="S68" s="47" t="b">
        <v>1</v>
      </c>
      <c r="T68" s="61" t="s">
        <v>189</v>
      </c>
      <c r="U68" s="54">
        <f t="shared" ref="U68:U69" si="6">I68*65</f>
        <v>390</v>
      </c>
      <c r="V68" s="54">
        <f t="shared" si="1"/>
        <v>240</v>
      </c>
      <c r="W68" s="49"/>
      <c r="X68" s="49"/>
    </row>
    <row r="69" spans="1:24" ht="15.75" customHeight="1">
      <c r="A69" s="50">
        <v>60</v>
      </c>
      <c r="B69" s="51"/>
      <c r="C69" s="52">
        <v>45300</v>
      </c>
      <c r="D69" s="53" t="s">
        <v>51</v>
      </c>
      <c r="E69" s="53" t="s">
        <v>66</v>
      </c>
      <c r="F69" s="53" t="s">
        <v>67</v>
      </c>
      <c r="G69" s="53" t="s">
        <v>191</v>
      </c>
      <c r="H69" s="53" t="s">
        <v>30</v>
      </c>
      <c r="I69" s="53">
        <v>12</v>
      </c>
      <c r="J69" s="54">
        <v>105</v>
      </c>
      <c r="K69" s="54">
        <f t="shared" si="5"/>
        <v>1260</v>
      </c>
      <c r="L69" s="62" t="b">
        <v>1</v>
      </c>
      <c r="M69" s="56">
        <v>90120241618</v>
      </c>
      <c r="N69" s="64" t="b">
        <v>1</v>
      </c>
      <c r="O69" s="58" t="s">
        <v>31</v>
      </c>
      <c r="P69" s="65" t="b">
        <v>1</v>
      </c>
      <c r="Q69" s="78"/>
      <c r="R69" s="60"/>
      <c r="S69" s="47" t="b">
        <v>1</v>
      </c>
      <c r="T69" s="61" t="s">
        <v>192</v>
      </c>
      <c r="U69" s="54">
        <f t="shared" si="6"/>
        <v>780</v>
      </c>
      <c r="V69" s="54">
        <f t="shared" si="1"/>
        <v>480</v>
      </c>
      <c r="W69" s="49"/>
      <c r="X69" s="49"/>
    </row>
    <row r="70" spans="1:24" ht="15.75" customHeight="1">
      <c r="A70" s="50">
        <v>61</v>
      </c>
      <c r="B70" s="51"/>
      <c r="C70" s="52">
        <v>45300</v>
      </c>
      <c r="D70" s="66" t="s">
        <v>104</v>
      </c>
      <c r="E70" s="66" t="s">
        <v>158</v>
      </c>
      <c r="F70" s="66" t="s">
        <v>159</v>
      </c>
      <c r="G70" s="66" t="s">
        <v>83</v>
      </c>
      <c r="H70" s="66" t="s">
        <v>30</v>
      </c>
      <c r="I70" s="66">
        <v>1000</v>
      </c>
      <c r="J70" s="75">
        <v>1.5</v>
      </c>
      <c r="K70" s="54">
        <f t="shared" si="5"/>
        <v>1500</v>
      </c>
      <c r="L70" s="62" t="b">
        <v>1</v>
      </c>
      <c r="M70" s="56">
        <v>90120241618</v>
      </c>
      <c r="N70" s="64" t="b">
        <v>1</v>
      </c>
      <c r="O70" s="58" t="s">
        <v>31</v>
      </c>
      <c r="P70" s="65" t="b">
        <v>1</v>
      </c>
      <c r="Q70" s="78"/>
      <c r="R70" s="60"/>
      <c r="S70" s="47" t="b">
        <v>1</v>
      </c>
      <c r="T70" s="61" t="s">
        <v>193</v>
      </c>
      <c r="U70" s="54">
        <f>I70*0.95</f>
        <v>950</v>
      </c>
      <c r="V70" s="54">
        <f t="shared" si="1"/>
        <v>550</v>
      </c>
      <c r="W70" s="49"/>
      <c r="X70" s="49"/>
    </row>
    <row r="71" spans="1:24" ht="15.75" customHeight="1">
      <c r="A71" s="50">
        <v>62</v>
      </c>
      <c r="B71" s="51"/>
      <c r="C71" s="52">
        <v>45303</v>
      </c>
      <c r="D71" s="53" t="s">
        <v>194</v>
      </c>
      <c r="E71" s="53" t="s">
        <v>195</v>
      </c>
      <c r="F71" s="53" t="s">
        <v>196</v>
      </c>
      <c r="G71" s="53" t="s">
        <v>197</v>
      </c>
      <c r="H71" s="53" t="s">
        <v>30</v>
      </c>
      <c r="I71" s="53">
        <v>12</v>
      </c>
      <c r="J71" s="54">
        <v>185</v>
      </c>
      <c r="K71" s="54">
        <f t="shared" si="5"/>
        <v>2220</v>
      </c>
      <c r="L71" s="62" t="b">
        <v>1</v>
      </c>
      <c r="M71" s="56">
        <v>120120241452</v>
      </c>
      <c r="N71" s="64" t="b">
        <v>1</v>
      </c>
      <c r="O71" s="58"/>
      <c r="P71" s="65" t="b">
        <v>1</v>
      </c>
      <c r="Q71" s="78"/>
      <c r="R71" s="60"/>
      <c r="S71" s="47" t="b">
        <v>1</v>
      </c>
      <c r="T71" s="61" t="s">
        <v>198</v>
      </c>
      <c r="U71" s="54">
        <f>I71*90</f>
        <v>1080</v>
      </c>
      <c r="V71" s="54">
        <f t="shared" si="1"/>
        <v>1140</v>
      </c>
      <c r="W71" s="49"/>
      <c r="X71" s="49"/>
    </row>
    <row r="72" spans="1:24" ht="15.75" customHeight="1">
      <c r="A72" s="50">
        <v>63</v>
      </c>
      <c r="B72" s="51"/>
      <c r="C72" s="52">
        <v>45303</v>
      </c>
      <c r="D72" s="53" t="s">
        <v>194</v>
      </c>
      <c r="E72" s="53" t="s">
        <v>195</v>
      </c>
      <c r="F72" s="53" t="s">
        <v>196</v>
      </c>
      <c r="G72" s="66" t="s">
        <v>199</v>
      </c>
      <c r="H72" s="53" t="s">
        <v>30</v>
      </c>
      <c r="I72" s="74">
        <v>70</v>
      </c>
      <c r="J72" s="73">
        <v>39.5</v>
      </c>
      <c r="K72" s="54">
        <f t="shared" si="5"/>
        <v>2765</v>
      </c>
      <c r="L72" s="62" t="b">
        <v>1</v>
      </c>
      <c r="M72" s="56">
        <v>120120241453</v>
      </c>
      <c r="N72" s="64" t="b">
        <v>1</v>
      </c>
      <c r="O72" s="58"/>
      <c r="P72" s="65" t="b">
        <v>1</v>
      </c>
      <c r="Q72" s="78"/>
      <c r="R72" s="60"/>
      <c r="S72" s="47" t="b">
        <v>1</v>
      </c>
      <c r="T72" s="61" t="s">
        <v>200</v>
      </c>
      <c r="U72" s="54">
        <f>I72*18</f>
        <v>1260</v>
      </c>
      <c r="V72" s="54">
        <f t="shared" si="1"/>
        <v>1505</v>
      </c>
      <c r="W72" s="49"/>
      <c r="X72" s="49"/>
    </row>
    <row r="73" spans="1:24" ht="15.75" customHeight="1">
      <c r="A73" s="50">
        <v>64</v>
      </c>
      <c r="B73" s="51"/>
      <c r="C73" s="52">
        <v>45304</v>
      </c>
      <c r="D73" s="53" t="s">
        <v>51</v>
      </c>
      <c r="E73" s="53" t="s">
        <v>201</v>
      </c>
      <c r="F73" s="53" t="s">
        <v>202</v>
      </c>
      <c r="G73" s="66" t="s">
        <v>203</v>
      </c>
      <c r="H73" s="53" t="s">
        <v>30</v>
      </c>
      <c r="I73" s="74">
        <v>30</v>
      </c>
      <c r="J73" s="73">
        <v>140</v>
      </c>
      <c r="K73" s="54">
        <f t="shared" si="5"/>
        <v>4200</v>
      </c>
      <c r="L73" s="62" t="b">
        <v>1</v>
      </c>
      <c r="M73" s="56">
        <v>130120241105</v>
      </c>
      <c r="N73" s="64" t="b">
        <v>1</v>
      </c>
      <c r="O73" s="58" t="s">
        <v>31</v>
      </c>
      <c r="P73" s="65" t="b">
        <v>1</v>
      </c>
      <c r="Q73" s="78"/>
      <c r="R73" s="60"/>
      <c r="S73" s="47" t="b">
        <v>1</v>
      </c>
      <c r="T73" s="61" t="s">
        <v>204</v>
      </c>
      <c r="U73" s="54">
        <f>I73*80</f>
        <v>2400</v>
      </c>
      <c r="V73" s="54">
        <f t="shared" si="1"/>
        <v>1800</v>
      </c>
      <c r="W73" s="49"/>
      <c r="X73" s="49"/>
    </row>
    <row r="74" spans="1:24" ht="15.75" customHeight="1">
      <c r="A74" s="50">
        <v>65</v>
      </c>
      <c r="B74" s="51"/>
      <c r="C74" s="52">
        <v>45304</v>
      </c>
      <c r="D74" s="53" t="s">
        <v>51</v>
      </c>
      <c r="E74" s="53" t="s">
        <v>201</v>
      </c>
      <c r="F74" s="53" t="s">
        <v>202</v>
      </c>
      <c r="G74" s="53" t="s">
        <v>205</v>
      </c>
      <c r="H74" s="53" t="s">
        <v>30</v>
      </c>
      <c r="I74" s="53">
        <v>10</v>
      </c>
      <c r="J74" s="54">
        <v>495</v>
      </c>
      <c r="K74" s="54">
        <f t="shared" si="5"/>
        <v>4950</v>
      </c>
      <c r="L74" s="62" t="b">
        <v>1</v>
      </c>
      <c r="M74" s="56">
        <v>130120241106</v>
      </c>
      <c r="N74" s="64" t="b">
        <v>1</v>
      </c>
      <c r="O74" s="58" t="s">
        <v>31</v>
      </c>
      <c r="P74" s="65" t="b">
        <v>1</v>
      </c>
      <c r="Q74" s="78"/>
      <c r="R74" s="60"/>
      <c r="S74" s="47" t="b">
        <v>1</v>
      </c>
      <c r="T74" s="61" t="s">
        <v>204</v>
      </c>
      <c r="U74" s="54">
        <f>I74*310</f>
        <v>3100</v>
      </c>
      <c r="V74" s="54">
        <f t="shared" si="1"/>
        <v>1850</v>
      </c>
      <c r="W74" s="49"/>
      <c r="X74" s="49"/>
    </row>
    <row r="75" spans="1:24" ht="15.75" customHeight="1">
      <c r="A75" s="50">
        <v>66</v>
      </c>
      <c r="B75" s="51"/>
      <c r="C75" s="52">
        <v>45306</v>
      </c>
      <c r="D75" s="53" t="s">
        <v>104</v>
      </c>
      <c r="E75" s="53" t="s">
        <v>206</v>
      </c>
      <c r="F75" s="53" t="s">
        <v>207</v>
      </c>
      <c r="G75" s="53" t="s">
        <v>92</v>
      </c>
      <c r="H75" s="53" t="s">
        <v>30</v>
      </c>
      <c r="I75" s="53">
        <v>10</v>
      </c>
      <c r="J75" s="54">
        <v>90</v>
      </c>
      <c r="K75" s="54">
        <f>J75*I75</f>
        <v>900</v>
      </c>
      <c r="L75" s="62" t="b">
        <v>1</v>
      </c>
      <c r="M75" s="56">
        <v>150120240918</v>
      </c>
      <c r="N75" s="64" t="b">
        <v>1</v>
      </c>
      <c r="O75" s="58" t="s">
        <v>31</v>
      </c>
      <c r="P75" s="65" t="b">
        <v>1</v>
      </c>
      <c r="Q75" s="78"/>
      <c r="R75" s="60"/>
      <c r="S75" s="47" t="b">
        <v>1</v>
      </c>
      <c r="T75" s="61" t="s">
        <v>208</v>
      </c>
      <c r="U75" s="54">
        <f>I75*58</f>
        <v>580</v>
      </c>
      <c r="V75" s="54">
        <f t="shared" si="1"/>
        <v>320</v>
      </c>
      <c r="W75" s="49"/>
      <c r="X75" s="49"/>
    </row>
    <row r="76" spans="1:24" ht="15.75" customHeight="1">
      <c r="A76" s="50">
        <v>67</v>
      </c>
      <c r="B76" s="51"/>
      <c r="C76" s="52">
        <v>45306</v>
      </c>
      <c r="D76" s="53" t="s">
        <v>41</v>
      </c>
      <c r="E76" s="53" t="s">
        <v>42</v>
      </c>
      <c r="F76" s="53" t="s">
        <v>209</v>
      </c>
      <c r="G76" s="53" t="s">
        <v>210</v>
      </c>
      <c r="H76" s="53" t="s">
        <v>30</v>
      </c>
      <c r="I76" s="53">
        <v>10</v>
      </c>
      <c r="J76" s="54">
        <v>105</v>
      </c>
      <c r="K76" s="54">
        <f t="shared" ref="K76:K115" si="7">J76:J77*I76</f>
        <v>1050</v>
      </c>
      <c r="L76" s="62" t="b">
        <v>1</v>
      </c>
      <c r="M76" s="56">
        <v>150120240920</v>
      </c>
      <c r="N76" s="57" t="b">
        <v>1</v>
      </c>
      <c r="O76" s="63"/>
      <c r="P76" s="59" t="b">
        <v>1</v>
      </c>
      <c r="Q76" s="78"/>
      <c r="R76" s="60"/>
      <c r="S76" s="47" t="b">
        <v>1</v>
      </c>
      <c r="T76" s="61" t="s">
        <v>211</v>
      </c>
      <c r="U76" s="54">
        <f>I76*65</f>
        <v>650</v>
      </c>
      <c r="V76" s="54">
        <f t="shared" si="1"/>
        <v>400</v>
      </c>
      <c r="W76" s="49"/>
      <c r="X76" s="49"/>
    </row>
    <row r="77" spans="1:24" ht="15.75" customHeight="1">
      <c r="A77" s="50">
        <v>68</v>
      </c>
      <c r="B77" s="51"/>
      <c r="C77" s="52">
        <v>45306</v>
      </c>
      <c r="D77" s="53" t="s">
        <v>212</v>
      </c>
      <c r="E77" s="53" t="s">
        <v>213</v>
      </c>
      <c r="F77" s="53" t="s">
        <v>214</v>
      </c>
      <c r="G77" s="53" t="s">
        <v>96</v>
      </c>
      <c r="H77" s="53" t="s">
        <v>30</v>
      </c>
      <c r="I77" s="53">
        <v>3</v>
      </c>
      <c r="J77" s="54">
        <v>1200</v>
      </c>
      <c r="K77" s="54">
        <f t="shared" si="7"/>
        <v>3600</v>
      </c>
      <c r="L77" s="62" t="b">
        <v>1</v>
      </c>
      <c r="M77" s="56">
        <v>150120240923</v>
      </c>
      <c r="N77" s="64" t="b">
        <v>1</v>
      </c>
      <c r="O77" s="58"/>
      <c r="P77" s="65" t="b">
        <v>1</v>
      </c>
      <c r="Q77" s="78"/>
      <c r="R77" s="60"/>
      <c r="S77" s="47" t="b">
        <v>1</v>
      </c>
      <c r="T77" s="61" t="s">
        <v>215</v>
      </c>
      <c r="U77" s="54">
        <f>I77*862.57</f>
        <v>2587.71</v>
      </c>
      <c r="V77" s="54">
        <f t="shared" si="1"/>
        <v>1012.29</v>
      </c>
      <c r="W77" s="49"/>
      <c r="X77" s="49"/>
    </row>
    <row r="78" spans="1:24" ht="15.75" customHeight="1">
      <c r="A78" s="50">
        <v>69</v>
      </c>
      <c r="B78" s="51"/>
      <c r="C78" s="52">
        <v>45306</v>
      </c>
      <c r="D78" s="53" t="s">
        <v>216</v>
      </c>
      <c r="E78" s="53" t="s">
        <v>109</v>
      </c>
      <c r="F78" s="53" t="s">
        <v>110</v>
      </c>
      <c r="G78" s="53" t="s">
        <v>63</v>
      </c>
      <c r="H78" s="53" t="s">
        <v>30</v>
      </c>
      <c r="I78" s="53">
        <v>150</v>
      </c>
      <c r="J78" s="54">
        <v>19.75</v>
      </c>
      <c r="K78" s="54">
        <f t="shared" si="7"/>
        <v>2962.5</v>
      </c>
      <c r="L78" s="62" t="b">
        <v>1</v>
      </c>
      <c r="M78" s="56">
        <v>150120241125</v>
      </c>
      <c r="N78" s="64" t="b">
        <v>1</v>
      </c>
      <c r="O78" s="58" t="s">
        <v>31</v>
      </c>
      <c r="P78" s="65" t="b">
        <v>1</v>
      </c>
      <c r="Q78" s="78"/>
      <c r="R78" s="60"/>
      <c r="S78" s="47" t="b">
        <v>1</v>
      </c>
      <c r="T78" s="61" t="s">
        <v>217</v>
      </c>
      <c r="U78" s="54">
        <f>I78*8</f>
        <v>1200</v>
      </c>
      <c r="V78" s="54">
        <f t="shared" si="1"/>
        <v>1762.5</v>
      </c>
      <c r="W78" s="49"/>
      <c r="X78" s="49"/>
    </row>
    <row r="79" spans="1:24" ht="15.75" customHeight="1">
      <c r="A79" s="50">
        <v>70</v>
      </c>
      <c r="B79" s="51"/>
      <c r="C79" s="52">
        <v>45306</v>
      </c>
      <c r="D79" s="53" t="s">
        <v>26</v>
      </c>
      <c r="E79" s="53" t="s">
        <v>27</v>
      </c>
      <c r="F79" s="53" t="s">
        <v>218</v>
      </c>
      <c r="G79" s="53" t="s">
        <v>101</v>
      </c>
      <c r="H79" s="53" t="s">
        <v>30</v>
      </c>
      <c r="I79" s="53">
        <v>20</v>
      </c>
      <c r="J79" s="54">
        <v>595</v>
      </c>
      <c r="K79" s="54">
        <f t="shared" si="7"/>
        <v>11900</v>
      </c>
      <c r="L79" s="62" t="b">
        <v>1</v>
      </c>
      <c r="M79" s="56">
        <v>150120241203</v>
      </c>
      <c r="N79" s="64" t="b">
        <v>1</v>
      </c>
      <c r="O79" s="58" t="s">
        <v>31</v>
      </c>
      <c r="P79" s="65" t="b">
        <v>1</v>
      </c>
      <c r="Q79" s="78"/>
      <c r="R79" s="60"/>
      <c r="S79" s="47" t="b">
        <v>1</v>
      </c>
      <c r="T79" s="61" t="s">
        <v>219</v>
      </c>
      <c r="U79" s="54">
        <v>9000</v>
      </c>
      <c r="V79" s="54">
        <f t="shared" si="1"/>
        <v>2900</v>
      </c>
      <c r="W79" s="49"/>
      <c r="X79" s="49"/>
    </row>
    <row r="80" spans="1:24" ht="15.75" customHeight="1">
      <c r="A80" s="50">
        <v>71</v>
      </c>
      <c r="B80" s="51"/>
      <c r="C80" s="52">
        <v>45306</v>
      </c>
      <c r="D80" s="53" t="s">
        <v>26</v>
      </c>
      <c r="E80" s="53" t="s">
        <v>220</v>
      </c>
      <c r="F80" s="53" t="s">
        <v>221</v>
      </c>
      <c r="G80" s="53" t="s">
        <v>222</v>
      </c>
      <c r="H80" s="53" t="s">
        <v>30</v>
      </c>
      <c r="I80" s="53">
        <v>2</v>
      </c>
      <c r="J80" s="54">
        <v>175</v>
      </c>
      <c r="K80" s="54">
        <f t="shared" si="7"/>
        <v>350</v>
      </c>
      <c r="L80" s="62" t="b">
        <v>1</v>
      </c>
      <c r="M80" s="56">
        <v>150120241223</v>
      </c>
      <c r="N80" s="64" t="b">
        <v>1</v>
      </c>
      <c r="O80" s="58" t="s">
        <v>31</v>
      </c>
      <c r="P80" s="65" t="b">
        <v>1</v>
      </c>
      <c r="Q80" s="78"/>
      <c r="R80" s="60"/>
      <c r="S80" s="47" t="b">
        <v>1</v>
      </c>
      <c r="T80" s="61" t="s">
        <v>223</v>
      </c>
      <c r="U80" s="54">
        <f>I80*125</f>
        <v>250</v>
      </c>
      <c r="V80" s="54">
        <f t="shared" si="1"/>
        <v>100</v>
      </c>
      <c r="W80" s="49"/>
      <c r="X80" s="49"/>
    </row>
    <row r="81" spans="1:24" ht="15.75" customHeight="1">
      <c r="A81" s="50">
        <v>72</v>
      </c>
      <c r="B81" s="51"/>
      <c r="C81" s="52">
        <v>45306</v>
      </c>
      <c r="D81" s="53" t="s">
        <v>26</v>
      </c>
      <c r="E81" s="53" t="s">
        <v>220</v>
      </c>
      <c r="F81" s="53" t="s">
        <v>221</v>
      </c>
      <c r="G81" s="53" t="s">
        <v>224</v>
      </c>
      <c r="H81" s="53" t="s">
        <v>30</v>
      </c>
      <c r="I81" s="53">
        <v>1</v>
      </c>
      <c r="J81" s="54">
        <v>175</v>
      </c>
      <c r="K81" s="54">
        <f t="shared" si="7"/>
        <v>175</v>
      </c>
      <c r="L81" s="62" t="b">
        <v>1</v>
      </c>
      <c r="M81" s="56">
        <v>150120241224</v>
      </c>
      <c r="N81" s="64" t="b">
        <v>1</v>
      </c>
      <c r="O81" s="58" t="s">
        <v>31</v>
      </c>
      <c r="P81" s="65" t="b">
        <v>1</v>
      </c>
      <c r="Q81" s="78"/>
      <c r="R81" s="60"/>
      <c r="S81" s="47" t="b">
        <v>1</v>
      </c>
      <c r="T81" s="61" t="s">
        <v>223</v>
      </c>
      <c r="U81" s="54">
        <f>I81*150</f>
        <v>150</v>
      </c>
      <c r="V81" s="54">
        <f t="shared" si="1"/>
        <v>25</v>
      </c>
      <c r="W81" s="49"/>
      <c r="X81" s="49"/>
    </row>
    <row r="82" spans="1:24" ht="15.75" customHeight="1">
      <c r="A82" s="50">
        <v>73</v>
      </c>
      <c r="B82" s="51"/>
      <c r="C82" s="52">
        <v>45306</v>
      </c>
      <c r="D82" s="53" t="s">
        <v>225</v>
      </c>
      <c r="E82" s="53" t="s">
        <v>122</v>
      </c>
      <c r="F82" s="53" t="s">
        <v>123</v>
      </c>
      <c r="G82" s="53" t="s">
        <v>226</v>
      </c>
      <c r="H82" s="53" t="s">
        <v>30</v>
      </c>
      <c r="I82" s="53">
        <v>14</v>
      </c>
      <c r="J82" s="54">
        <v>725</v>
      </c>
      <c r="K82" s="54">
        <f t="shared" si="7"/>
        <v>10150</v>
      </c>
      <c r="L82" s="62" t="b">
        <v>1</v>
      </c>
      <c r="M82" s="56">
        <v>150120241946</v>
      </c>
      <c r="N82" s="64" t="b">
        <v>1</v>
      </c>
      <c r="O82" s="58"/>
      <c r="P82" s="65" t="b">
        <v>1</v>
      </c>
      <c r="Q82" s="78"/>
      <c r="R82" s="60"/>
      <c r="S82" s="47" t="b">
        <v>1</v>
      </c>
      <c r="T82" s="61" t="s">
        <v>227</v>
      </c>
      <c r="U82" s="54">
        <v>4900</v>
      </c>
      <c r="V82" s="54">
        <f t="shared" si="1"/>
        <v>5250</v>
      </c>
      <c r="W82" s="49"/>
      <c r="X82" s="49"/>
    </row>
    <row r="83" spans="1:24" ht="15.75" customHeight="1">
      <c r="A83" s="50">
        <v>74</v>
      </c>
      <c r="B83" s="51"/>
      <c r="C83" s="52">
        <v>45307</v>
      </c>
      <c r="D83" s="53" t="s">
        <v>51</v>
      </c>
      <c r="E83" s="53" t="s">
        <v>137</v>
      </c>
      <c r="F83" s="53" t="s">
        <v>138</v>
      </c>
      <c r="G83" s="53" t="s">
        <v>124</v>
      </c>
      <c r="H83" s="53" t="s">
        <v>30</v>
      </c>
      <c r="I83" s="53">
        <v>1</v>
      </c>
      <c r="J83" s="54">
        <v>585</v>
      </c>
      <c r="K83" s="54">
        <f t="shared" si="7"/>
        <v>585</v>
      </c>
      <c r="L83" s="62" t="b">
        <v>1</v>
      </c>
      <c r="M83" s="56">
        <v>160120240900</v>
      </c>
      <c r="N83" s="64" t="b">
        <v>1</v>
      </c>
      <c r="O83" s="58" t="s">
        <v>31</v>
      </c>
      <c r="P83" s="65" t="b">
        <v>1</v>
      </c>
      <c r="Q83" s="78"/>
      <c r="R83" s="60"/>
      <c r="S83" s="47" t="b">
        <v>1</v>
      </c>
      <c r="T83" s="61" t="s">
        <v>228</v>
      </c>
      <c r="U83" s="54">
        <v>250</v>
      </c>
      <c r="V83" s="54">
        <f t="shared" si="1"/>
        <v>335</v>
      </c>
      <c r="W83" s="49"/>
      <c r="X83" s="49"/>
    </row>
    <row r="84" spans="1:24" ht="15.75" customHeight="1">
      <c r="A84" s="50">
        <v>75</v>
      </c>
      <c r="B84" s="51"/>
      <c r="C84" s="52">
        <v>45307</v>
      </c>
      <c r="D84" s="53" t="s">
        <v>51</v>
      </c>
      <c r="E84" s="53" t="s">
        <v>137</v>
      </c>
      <c r="F84" s="53" t="s">
        <v>138</v>
      </c>
      <c r="G84" s="53" t="s">
        <v>229</v>
      </c>
      <c r="H84" s="53" t="s">
        <v>30</v>
      </c>
      <c r="I84" s="53">
        <v>1</v>
      </c>
      <c r="J84" s="54">
        <v>535</v>
      </c>
      <c r="K84" s="54">
        <f t="shared" si="7"/>
        <v>535</v>
      </c>
      <c r="L84" s="62" t="b">
        <v>1</v>
      </c>
      <c r="M84" s="56">
        <v>160120240900</v>
      </c>
      <c r="N84" s="64" t="b">
        <v>1</v>
      </c>
      <c r="O84" s="58" t="s">
        <v>31</v>
      </c>
      <c r="P84" s="65" t="b">
        <v>1</v>
      </c>
      <c r="Q84" s="78"/>
      <c r="R84" s="60"/>
      <c r="S84" s="47" t="b">
        <v>1</v>
      </c>
      <c r="T84" s="61" t="s">
        <v>228</v>
      </c>
      <c r="U84" s="54">
        <v>200</v>
      </c>
      <c r="V84" s="54">
        <f t="shared" si="1"/>
        <v>335</v>
      </c>
      <c r="W84" s="49"/>
      <c r="X84" s="49"/>
    </row>
    <row r="85" spans="1:24" ht="15.75" customHeight="1">
      <c r="A85" s="50">
        <v>76</v>
      </c>
      <c r="B85" s="51"/>
      <c r="C85" s="52">
        <v>45307</v>
      </c>
      <c r="D85" s="53" t="s">
        <v>41</v>
      </c>
      <c r="E85" s="53" t="s">
        <v>230</v>
      </c>
      <c r="F85" s="53" t="s">
        <v>231</v>
      </c>
      <c r="G85" s="53" t="s">
        <v>68</v>
      </c>
      <c r="H85" s="53" t="s">
        <v>30</v>
      </c>
      <c r="I85" s="53">
        <v>2</v>
      </c>
      <c r="J85" s="54">
        <v>2149</v>
      </c>
      <c r="K85" s="54">
        <f t="shared" si="7"/>
        <v>4298</v>
      </c>
      <c r="L85" s="62" t="b">
        <v>1</v>
      </c>
      <c r="M85" s="56">
        <v>160120240900</v>
      </c>
      <c r="N85" s="64" t="b">
        <v>1</v>
      </c>
      <c r="O85" s="58"/>
      <c r="P85" s="65" t="b">
        <v>1</v>
      </c>
      <c r="Q85" s="78"/>
      <c r="R85" s="60"/>
      <c r="S85" s="47" t="b">
        <v>1</v>
      </c>
      <c r="T85" s="61" t="s">
        <v>232</v>
      </c>
      <c r="U85" s="54">
        <f>6000*0.3194</f>
        <v>1916.4</v>
      </c>
      <c r="V85" s="54">
        <f t="shared" si="1"/>
        <v>2381.6</v>
      </c>
      <c r="W85" s="49"/>
      <c r="X85" s="49"/>
    </row>
    <row r="86" spans="1:24" ht="15.75" customHeight="1">
      <c r="A86" s="50">
        <v>77</v>
      </c>
      <c r="B86" s="51"/>
      <c r="C86" s="52">
        <v>45307</v>
      </c>
      <c r="D86" s="53" t="s">
        <v>194</v>
      </c>
      <c r="E86" s="53" t="s">
        <v>195</v>
      </c>
      <c r="F86" s="53" t="s">
        <v>233</v>
      </c>
      <c r="G86" s="53" t="s">
        <v>234</v>
      </c>
      <c r="H86" s="53" t="s">
        <v>30</v>
      </c>
      <c r="I86" s="53">
        <v>5</v>
      </c>
      <c r="J86" s="54">
        <v>3450</v>
      </c>
      <c r="K86" s="54">
        <f t="shared" si="7"/>
        <v>17250</v>
      </c>
      <c r="L86" s="62" t="b">
        <v>1</v>
      </c>
      <c r="M86" s="56">
        <v>160120240900</v>
      </c>
      <c r="N86" s="64" t="b">
        <v>1</v>
      </c>
      <c r="O86" s="58" t="s">
        <v>31</v>
      </c>
      <c r="P86" s="65" t="b">
        <v>1</v>
      </c>
      <c r="Q86" s="78"/>
      <c r="R86" s="60"/>
      <c r="S86" s="47" t="b">
        <v>1</v>
      </c>
      <c r="T86" s="61" t="s">
        <v>235</v>
      </c>
      <c r="U86" s="54">
        <v>11475</v>
      </c>
      <c r="V86" s="54">
        <f t="shared" si="1"/>
        <v>5775</v>
      </c>
      <c r="W86" s="49"/>
      <c r="X86" s="49"/>
    </row>
    <row r="87" spans="1:24" ht="15.75" customHeight="1">
      <c r="A87" s="50">
        <v>78</v>
      </c>
      <c r="B87" s="51"/>
      <c r="C87" s="52">
        <v>45307</v>
      </c>
      <c r="D87" s="53" t="s">
        <v>26</v>
      </c>
      <c r="E87" s="53" t="s">
        <v>36</v>
      </c>
      <c r="F87" s="53" t="s">
        <v>37</v>
      </c>
      <c r="G87" s="80" t="s">
        <v>236</v>
      </c>
      <c r="H87" s="53" t="s">
        <v>30</v>
      </c>
      <c r="I87" s="53">
        <v>6</v>
      </c>
      <c r="J87" s="54">
        <v>140</v>
      </c>
      <c r="K87" s="54">
        <f t="shared" si="7"/>
        <v>840</v>
      </c>
      <c r="L87" s="62" t="b">
        <v>1</v>
      </c>
      <c r="M87" s="56">
        <v>160120241218</v>
      </c>
      <c r="N87" s="64" t="b">
        <v>1</v>
      </c>
      <c r="O87" s="58" t="s">
        <v>31</v>
      </c>
      <c r="P87" s="65" t="b">
        <v>1</v>
      </c>
      <c r="Q87" s="78"/>
      <c r="R87" s="60"/>
      <c r="S87" s="47" t="b">
        <v>1</v>
      </c>
      <c r="T87" s="61" t="s">
        <v>40</v>
      </c>
      <c r="U87" s="54">
        <f>I87*80</f>
        <v>480</v>
      </c>
      <c r="V87" s="54">
        <f t="shared" si="1"/>
        <v>360</v>
      </c>
      <c r="W87" s="49"/>
      <c r="X87" s="49"/>
    </row>
    <row r="88" spans="1:24" ht="15.75" customHeight="1">
      <c r="A88" s="50">
        <v>79</v>
      </c>
      <c r="B88" s="51"/>
      <c r="C88" s="52">
        <v>45307</v>
      </c>
      <c r="D88" s="53" t="s">
        <v>51</v>
      </c>
      <c r="E88" s="53" t="s">
        <v>52</v>
      </c>
      <c r="F88" s="53" t="s">
        <v>237</v>
      </c>
      <c r="G88" s="53" t="s">
        <v>238</v>
      </c>
      <c r="H88" s="53" t="s">
        <v>30</v>
      </c>
      <c r="I88" s="53">
        <v>24</v>
      </c>
      <c r="J88" s="54">
        <v>185</v>
      </c>
      <c r="K88" s="54">
        <f t="shared" si="7"/>
        <v>4440</v>
      </c>
      <c r="L88" s="62" t="b">
        <v>1</v>
      </c>
      <c r="M88" s="56">
        <v>160120241330</v>
      </c>
      <c r="N88" s="64" t="b">
        <v>1</v>
      </c>
      <c r="O88" s="58" t="s">
        <v>31</v>
      </c>
      <c r="P88" s="65" t="b">
        <v>1</v>
      </c>
      <c r="Q88" s="78"/>
      <c r="R88" s="60"/>
      <c r="S88" s="47" t="b">
        <v>1</v>
      </c>
      <c r="T88" s="61" t="s">
        <v>239</v>
      </c>
      <c r="U88" s="54">
        <f>I88*125</f>
        <v>3000</v>
      </c>
      <c r="V88" s="54">
        <f t="shared" si="1"/>
        <v>1440</v>
      </c>
      <c r="W88" s="49"/>
      <c r="X88" s="49"/>
    </row>
    <row r="89" spans="1:24" ht="15.75" customHeight="1">
      <c r="A89" s="50">
        <v>80</v>
      </c>
      <c r="B89" s="51"/>
      <c r="C89" s="52">
        <v>45307</v>
      </c>
      <c r="D89" s="53" t="s">
        <v>51</v>
      </c>
      <c r="E89" s="53" t="s">
        <v>52</v>
      </c>
      <c r="F89" s="53" t="s">
        <v>237</v>
      </c>
      <c r="G89" s="53" t="s">
        <v>142</v>
      </c>
      <c r="H89" s="53" t="s">
        <v>30</v>
      </c>
      <c r="I89" s="53">
        <v>1500</v>
      </c>
      <c r="J89" s="54">
        <v>0.9</v>
      </c>
      <c r="K89" s="54">
        <f t="shared" si="7"/>
        <v>1350</v>
      </c>
      <c r="L89" s="62" t="b">
        <v>1</v>
      </c>
      <c r="M89" s="56">
        <v>160120241331</v>
      </c>
      <c r="N89" s="64" t="b">
        <v>1</v>
      </c>
      <c r="O89" s="58" t="s">
        <v>31</v>
      </c>
      <c r="P89" s="65" t="b">
        <v>1</v>
      </c>
      <c r="Q89" s="78"/>
      <c r="R89" s="60"/>
      <c r="S89" s="47" t="b">
        <v>1</v>
      </c>
      <c r="T89" s="61" t="s">
        <v>240</v>
      </c>
      <c r="U89" s="54">
        <f>I89*0.68</f>
        <v>1020.0000000000001</v>
      </c>
      <c r="V89" s="54">
        <f t="shared" si="1"/>
        <v>329.99999999999989</v>
      </c>
      <c r="W89" s="49"/>
      <c r="X89" s="49"/>
    </row>
    <row r="90" spans="1:24" ht="15.75" customHeight="1">
      <c r="A90" s="50">
        <v>81</v>
      </c>
      <c r="B90" s="49"/>
      <c r="C90" s="52">
        <v>45307</v>
      </c>
      <c r="D90" s="53" t="s">
        <v>104</v>
      </c>
      <c r="E90" s="53" t="s">
        <v>206</v>
      </c>
      <c r="F90" s="53" t="s">
        <v>241</v>
      </c>
      <c r="G90" s="53" t="s">
        <v>68</v>
      </c>
      <c r="H90" s="53" t="s">
        <v>30</v>
      </c>
      <c r="I90" s="81">
        <v>2</v>
      </c>
      <c r="J90" s="54">
        <v>2149</v>
      </c>
      <c r="K90" s="54">
        <f t="shared" si="7"/>
        <v>4298</v>
      </c>
      <c r="L90" s="62" t="b">
        <v>1</v>
      </c>
      <c r="M90" s="56">
        <v>160120241748</v>
      </c>
      <c r="N90" s="64" t="b">
        <v>1</v>
      </c>
      <c r="O90" s="58" t="s">
        <v>31</v>
      </c>
      <c r="P90" s="65" t="b">
        <v>1</v>
      </c>
      <c r="Q90" s="78"/>
      <c r="R90" s="82"/>
      <c r="S90" s="47" t="b">
        <v>1</v>
      </c>
      <c r="T90" s="61" t="s">
        <v>242</v>
      </c>
      <c r="U90" s="54">
        <f>6000*0.3194</f>
        <v>1916.4</v>
      </c>
      <c r="V90" s="54">
        <f t="shared" si="1"/>
        <v>2381.6</v>
      </c>
      <c r="W90" s="49"/>
      <c r="X90" s="49"/>
    </row>
    <row r="91" spans="1:24" ht="15.75" customHeight="1">
      <c r="A91" s="50">
        <v>82</v>
      </c>
      <c r="B91" s="51"/>
      <c r="C91" s="52">
        <v>45308</v>
      </c>
      <c r="D91" s="53" t="s">
        <v>144</v>
      </c>
      <c r="E91" s="53" t="s">
        <v>243</v>
      </c>
      <c r="F91" s="53" t="s">
        <v>244</v>
      </c>
      <c r="G91" s="53" t="s">
        <v>245</v>
      </c>
      <c r="H91" s="53" t="s">
        <v>30</v>
      </c>
      <c r="I91" s="53">
        <v>37</v>
      </c>
      <c r="J91" s="54">
        <v>155</v>
      </c>
      <c r="K91" s="54">
        <f t="shared" si="7"/>
        <v>5735</v>
      </c>
      <c r="L91" s="62" t="b">
        <v>1</v>
      </c>
      <c r="M91" s="56">
        <v>170120240950</v>
      </c>
      <c r="N91" s="64" t="b">
        <v>1</v>
      </c>
      <c r="O91" s="58" t="s">
        <v>31</v>
      </c>
      <c r="P91" s="65" t="b">
        <v>1</v>
      </c>
      <c r="Q91" s="78"/>
      <c r="R91" s="60"/>
      <c r="S91" s="47" t="b">
        <v>1</v>
      </c>
      <c r="T91" s="61" t="s">
        <v>246</v>
      </c>
      <c r="U91" s="54">
        <v>2550</v>
      </c>
      <c r="V91" s="54">
        <f t="shared" si="1"/>
        <v>3185</v>
      </c>
      <c r="W91" s="49"/>
      <c r="X91" s="49"/>
    </row>
    <row r="92" spans="1:24" ht="15.75" customHeight="1">
      <c r="A92" s="50">
        <v>83</v>
      </c>
      <c r="B92" s="51"/>
      <c r="C92" s="52">
        <v>45308</v>
      </c>
      <c r="D92" s="53" t="s">
        <v>247</v>
      </c>
      <c r="E92" s="53" t="s">
        <v>248</v>
      </c>
      <c r="F92" s="53" t="s">
        <v>249</v>
      </c>
      <c r="G92" s="53" t="s">
        <v>68</v>
      </c>
      <c r="H92" s="53" t="s">
        <v>30</v>
      </c>
      <c r="I92" s="83">
        <v>1</v>
      </c>
      <c r="J92" s="54">
        <v>2149</v>
      </c>
      <c r="K92" s="54">
        <f t="shared" si="7"/>
        <v>2149</v>
      </c>
      <c r="L92" s="62" t="b">
        <v>1</v>
      </c>
      <c r="M92" s="56">
        <v>170120240950</v>
      </c>
      <c r="N92" s="64" t="b">
        <v>1</v>
      </c>
      <c r="O92" s="58" t="s">
        <v>31</v>
      </c>
      <c r="P92" s="65" t="b">
        <v>1</v>
      </c>
      <c r="Q92" s="78"/>
      <c r="R92" s="60"/>
      <c r="S92" s="47" t="b">
        <v>1</v>
      </c>
      <c r="T92" s="61" t="s">
        <v>250</v>
      </c>
      <c r="U92" s="54">
        <f>3000*0.3194</f>
        <v>958.2</v>
      </c>
      <c r="V92" s="54">
        <f t="shared" si="1"/>
        <v>1190.8</v>
      </c>
      <c r="W92" s="49"/>
      <c r="X92" s="49"/>
    </row>
    <row r="93" spans="1:24" ht="15.75" customHeight="1">
      <c r="A93" s="50">
        <v>84</v>
      </c>
      <c r="B93" s="51"/>
      <c r="C93" s="52">
        <v>45308</v>
      </c>
      <c r="D93" s="53" t="s">
        <v>41</v>
      </c>
      <c r="E93" s="53" t="s">
        <v>230</v>
      </c>
      <c r="F93" s="53" t="s">
        <v>251</v>
      </c>
      <c r="G93" s="53" t="s">
        <v>252</v>
      </c>
      <c r="H93" s="53" t="s">
        <v>30</v>
      </c>
      <c r="I93" s="53">
        <v>8</v>
      </c>
      <c r="J93" s="54">
        <v>5250</v>
      </c>
      <c r="K93" s="54">
        <f t="shared" si="7"/>
        <v>42000</v>
      </c>
      <c r="L93" s="62" t="b">
        <v>1</v>
      </c>
      <c r="M93" s="56">
        <v>170120241701</v>
      </c>
      <c r="N93" s="64" t="b">
        <v>1</v>
      </c>
      <c r="O93" s="58" t="s">
        <v>31</v>
      </c>
      <c r="P93" s="65" t="b">
        <v>1</v>
      </c>
      <c r="Q93" s="78"/>
      <c r="R93" s="60" t="s">
        <v>253</v>
      </c>
      <c r="S93" s="47" t="b">
        <v>1</v>
      </c>
      <c r="T93" s="61" t="s">
        <v>254</v>
      </c>
      <c r="U93" s="54">
        <v>14000</v>
      </c>
      <c r="V93" s="54">
        <f t="shared" si="1"/>
        <v>28000</v>
      </c>
      <c r="W93" s="49"/>
      <c r="X93" s="49"/>
    </row>
    <row r="94" spans="1:24" ht="15.75" customHeight="1">
      <c r="A94" s="50">
        <v>85</v>
      </c>
      <c r="B94" s="51"/>
      <c r="C94" s="52">
        <v>45308</v>
      </c>
      <c r="D94" s="53" t="s">
        <v>41</v>
      </c>
      <c r="E94" s="53" t="s">
        <v>230</v>
      </c>
      <c r="F94" s="53" t="s">
        <v>251</v>
      </c>
      <c r="G94" s="53" t="s">
        <v>255</v>
      </c>
      <c r="H94" s="53" t="s">
        <v>30</v>
      </c>
      <c r="I94" s="53">
        <v>40</v>
      </c>
      <c r="J94" s="54">
        <v>70</v>
      </c>
      <c r="K94" s="54">
        <f t="shared" si="7"/>
        <v>2800</v>
      </c>
      <c r="L94" s="62" t="b">
        <v>1</v>
      </c>
      <c r="M94" s="56">
        <v>170120241714</v>
      </c>
      <c r="N94" s="57" t="b">
        <v>1</v>
      </c>
      <c r="O94" s="58" t="s">
        <v>31</v>
      </c>
      <c r="P94" s="59" t="b">
        <v>1</v>
      </c>
      <c r="Q94" s="43"/>
      <c r="R94" s="60" t="s">
        <v>253</v>
      </c>
      <c r="S94" s="47" t="b">
        <v>1</v>
      </c>
      <c r="T94" s="61" t="s">
        <v>254</v>
      </c>
      <c r="U94" s="54">
        <v>1400</v>
      </c>
      <c r="V94" s="54">
        <f t="shared" si="1"/>
        <v>1400</v>
      </c>
      <c r="W94" s="49"/>
      <c r="X94" s="49"/>
    </row>
    <row r="95" spans="1:24" ht="15.75" customHeight="1">
      <c r="A95" s="50">
        <v>86</v>
      </c>
      <c r="B95" s="51"/>
      <c r="C95" s="84">
        <v>45309</v>
      </c>
      <c r="D95" s="53" t="s">
        <v>41</v>
      </c>
      <c r="E95" s="53" t="s">
        <v>230</v>
      </c>
      <c r="F95" s="53" t="s">
        <v>251</v>
      </c>
      <c r="G95" s="53" t="s">
        <v>256</v>
      </c>
      <c r="H95" s="53" t="s">
        <v>30</v>
      </c>
      <c r="I95" s="53">
        <v>1</v>
      </c>
      <c r="J95" s="54">
        <v>6250</v>
      </c>
      <c r="K95" s="54">
        <f t="shared" si="7"/>
        <v>6250</v>
      </c>
      <c r="L95" s="62" t="b">
        <v>1</v>
      </c>
      <c r="M95" s="56">
        <v>180120241001</v>
      </c>
      <c r="N95" s="64" t="b">
        <v>1</v>
      </c>
      <c r="O95" s="58" t="s">
        <v>31</v>
      </c>
      <c r="P95" s="65" t="b">
        <v>1</v>
      </c>
      <c r="Q95" s="78"/>
      <c r="R95" s="60" t="s">
        <v>253</v>
      </c>
      <c r="S95" s="47" t="b">
        <v>1</v>
      </c>
      <c r="T95" s="61" t="s">
        <v>254</v>
      </c>
      <c r="U95" s="54">
        <v>4000</v>
      </c>
      <c r="V95" s="54">
        <f t="shared" si="1"/>
        <v>2250</v>
      </c>
      <c r="W95" s="49"/>
      <c r="X95" s="49"/>
    </row>
    <row r="96" spans="1:24" ht="15.75" customHeight="1">
      <c r="A96" s="50">
        <v>87</v>
      </c>
      <c r="B96" s="51"/>
      <c r="C96" s="52">
        <v>45309</v>
      </c>
      <c r="D96" s="53" t="s">
        <v>41</v>
      </c>
      <c r="E96" s="53" t="s">
        <v>230</v>
      </c>
      <c r="F96" s="53" t="s">
        <v>251</v>
      </c>
      <c r="G96" s="53" t="s">
        <v>257</v>
      </c>
      <c r="H96" s="53" t="s">
        <v>30</v>
      </c>
      <c r="I96" s="53">
        <v>1</v>
      </c>
      <c r="J96" s="54">
        <v>7250</v>
      </c>
      <c r="K96" s="54">
        <f t="shared" si="7"/>
        <v>7250</v>
      </c>
      <c r="L96" s="62" t="b">
        <v>1</v>
      </c>
      <c r="M96" s="56">
        <v>180120241002</v>
      </c>
      <c r="N96" s="64" t="b">
        <v>1</v>
      </c>
      <c r="O96" s="58" t="s">
        <v>31</v>
      </c>
      <c r="P96" s="65" t="b">
        <v>1</v>
      </c>
      <c r="Q96" s="78"/>
      <c r="R96" s="60" t="s">
        <v>253</v>
      </c>
      <c r="S96" s="47" t="b">
        <v>1</v>
      </c>
      <c r="T96" s="61" t="s">
        <v>254</v>
      </c>
      <c r="U96" s="54">
        <v>5500</v>
      </c>
      <c r="V96" s="54">
        <f t="shared" si="1"/>
        <v>1750</v>
      </c>
      <c r="W96" s="49"/>
      <c r="X96" s="49"/>
    </row>
    <row r="97" spans="1:24" ht="15.75" customHeight="1">
      <c r="A97" s="50">
        <v>88</v>
      </c>
      <c r="B97" s="51"/>
      <c r="C97" s="52">
        <v>45309</v>
      </c>
      <c r="D97" s="53" t="s">
        <v>51</v>
      </c>
      <c r="E97" s="53" t="s">
        <v>89</v>
      </c>
      <c r="F97" s="53" t="s">
        <v>90</v>
      </c>
      <c r="G97" s="66" t="s">
        <v>258</v>
      </c>
      <c r="H97" s="66" t="s">
        <v>30</v>
      </c>
      <c r="I97" s="66">
        <v>2</v>
      </c>
      <c r="J97" s="54">
        <v>1300</v>
      </c>
      <c r="K97" s="54">
        <f t="shared" si="7"/>
        <v>2600</v>
      </c>
      <c r="L97" s="62" t="b">
        <v>1</v>
      </c>
      <c r="M97" s="56">
        <v>18020241004</v>
      </c>
      <c r="N97" s="64" t="b">
        <v>1</v>
      </c>
      <c r="O97" s="58" t="s">
        <v>31</v>
      </c>
      <c r="P97" s="65" t="b">
        <v>1</v>
      </c>
      <c r="Q97" s="78"/>
      <c r="R97" s="60"/>
      <c r="S97" s="47" t="b">
        <v>1</v>
      </c>
      <c r="T97" s="61" t="s">
        <v>259</v>
      </c>
      <c r="U97" s="54">
        <v>800</v>
      </c>
      <c r="V97" s="54">
        <f t="shared" si="1"/>
        <v>1800</v>
      </c>
      <c r="W97" s="49"/>
      <c r="X97" s="49"/>
    </row>
    <row r="98" spans="1:24" ht="15.75" customHeight="1">
      <c r="A98" s="50">
        <v>89</v>
      </c>
      <c r="B98" s="51"/>
      <c r="C98" s="52">
        <v>45309</v>
      </c>
      <c r="D98" s="53" t="s">
        <v>51</v>
      </c>
      <c r="E98" s="53" t="s">
        <v>89</v>
      </c>
      <c r="F98" s="53" t="s">
        <v>260</v>
      </c>
      <c r="G98" s="66" t="s">
        <v>261</v>
      </c>
      <c r="H98" s="66" t="s">
        <v>30</v>
      </c>
      <c r="I98" s="66">
        <v>2</v>
      </c>
      <c r="J98" s="54">
        <v>2400</v>
      </c>
      <c r="K98" s="54">
        <f t="shared" si="7"/>
        <v>4800</v>
      </c>
      <c r="L98" s="62" t="b">
        <v>1</v>
      </c>
      <c r="M98" s="56">
        <v>180120241004</v>
      </c>
      <c r="N98" s="64" t="b">
        <v>1</v>
      </c>
      <c r="O98" s="58" t="s">
        <v>31</v>
      </c>
      <c r="P98" s="65" t="b">
        <v>1</v>
      </c>
      <c r="Q98" s="78"/>
      <c r="R98" s="60"/>
      <c r="S98" s="47" t="b">
        <v>1</v>
      </c>
      <c r="T98" s="61" t="s">
        <v>259</v>
      </c>
      <c r="U98" s="54">
        <v>1500</v>
      </c>
      <c r="V98" s="54">
        <f t="shared" si="1"/>
        <v>3300</v>
      </c>
      <c r="W98" s="49"/>
      <c r="X98" s="49"/>
    </row>
    <row r="99" spans="1:24" ht="15.75" customHeight="1">
      <c r="A99" s="50">
        <v>90</v>
      </c>
      <c r="B99" s="51"/>
      <c r="C99" s="52">
        <v>45309</v>
      </c>
      <c r="D99" s="53" t="s">
        <v>262</v>
      </c>
      <c r="E99" s="53" t="s">
        <v>263</v>
      </c>
      <c r="F99" s="53" t="s">
        <v>264</v>
      </c>
      <c r="G99" s="66" t="s">
        <v>142</v>
      </c>
      <c r="H99" s="85" t="s">
        <v>30</v>
      </c>
      <c r="I99" s="66">
        <v>4500</v>
      </c>
      <c r="J99" s="54">
        <v>1</v>
      </c>
      <c r="K99" s="54">
        <f t="shared" si="7"/>
        <v>4500</v>
      </c>
      <c r="L99" s="62" t="b">
        <v>1</v>
      </c>
      <c r="M99" s="56">
        <v>180120241258</v>
      </c>
      <c r="N99" s="64" t="b">
        <v>1</v>
      </c>
      <c r="O99" s="58" t="s">
        <v>31</v>
      </c>
      <c r="P99" s="65" t="b">
        <v>1</v>
      </c>
      <c r="Q99" s="78"/>
      <c r="R99" s="60"/>
      <c r="S99" s="47" t="b">
        <v>1</v>
      </c>
      <c r="T99" s="61" t="s">
        <v>265</v>
      </c>
      <c r="U99" s="54">
        <f>I99*0.68</f>
        <v>3060</v>
      </c>
      <c r="V99" s="54">
        <f t="shared" si="1"/>
        <v>1440</v>
      </c>
      <c r="W99" s="49"/>
      <c r="X99" s="49"/>
    </row>
    <row r="100" spans="1:24" ht="15.75" customHeight="1">
      <c r="A100" s="50">
        <v>91</v>
      </c>
      <c r="B100" s="51"/>
      <c r="C100" s="52">
        <v>45310</v>
      </c>
      <c r="D100" s="53" t="s">
        <v>171</v>
      </c>
      <c r="E100" s="53" t="s">
        <v>137</v>
      </c>
      <c r="F100" s="53" t="s">
        <v>172</v>
      </c>
      <c r="G100" s="53" t="s">
        <v>49</v>
      </c>
      <c r="H100" s="53" t="s">
        <v>30</v>
      </c>
      <c r="I100" s="53">
        <v>15</v>
      </c>
      <c r="J100" s="54">
        <v>695</v>
      </c>
      <c r="K100" s="54">
        <f t="shared" si="7"/>
        <v>10425</v>
      </c>
      <c r="L100" s="62" t="b">
        <v>1</v>
      </c>
      <c r="M100" s="56">
        <v>190120241010</v>
      </c>
      <c r="N100" s="64" t="b">
        <v>1</v>
      </c>
      <c r="O100" s="58" t="s">
        <v>31</v>
      </c>
      <c r="P100" s="65" t="b">
        <v>1</v>
      </c>
      <c r="Q100" s="78"/>
      <c r="R100" s="60"/>
      <c r="S100" s="47" t="b">
        <v>1</v>
      </c>
      <c r="T100" s="61" t="s">
        <v>266</v>
      </c>
      <c r="U100" s="54">
        <f>15000*0.46</f>
        <v>6900</v>
      </c>
      <c r="V100" s="54">
        <f t="shared" si="1"/>
        <v>3525</v>
      </c>
      <c r="W100" s="49"/>
      <c r="X100" s="49"/>
    </row>
    <row r="101" spans="1:24" ht="15.75" customHeight="1">
      <c r="A101" s="50">
        <v>92</v>
      </c>
      <c r="B101" s="51"/>
      <c r="C101" s="52">
        <v>45310</v>
      </c>
      <c r="D101" s="53" t="s">
        <v>171</v>
      </c>
      <c r="E101" s="53" t="s">
        <v>137</v>
      </c>
      <c r="F101" s="53" t="s">
        <v>172</v>
      </c>
      <c r="G101" s="53" t="s">
        <v>80</v>
      </c>
      <c r="H101" s="53" t="s">
        <v>30</v>
      </c>
      <c r="I101" s="53">
        <v>30</v>
      </c>
      <c r="J101" s="54">
        <v>300</v>
      </c>
      <c r="K101" s="54">
        <f t="shared" si="7"/>
        <v>9000</v>
      </c>
      <c r="L101" s="62" t="b">
        <v>1</v>
      </c>
      <c r="M101" s="56">
        <v>190120241010</v>
      </c>
      <c r="N101" s="64" t="b">
        <v>1</v>
      </c>
      <c r="O101" s="58" t="s">
        <v>31</v>
      </c>
      <c r="P101" s="65" t="b">
        <v>1</v>
      </c>
      <c r="Q101" s="78"/>
      <c r="R101" s="60"/>
      <c r="S101" s="47" t="b">
        <v>1</v>
      </c>
      <c r="T101" s="61" t="s">
        <v>267</v>
      </c>
      <c r="U101" s="54">
        <f>I101*120</f>
        <v>3600</v>
      </c>
      <c r="V101" s="54">
        <f t="shared" si="1"/>
        <v>5400</v>
      </c>
      <c r="W101" s="49"/>
      <c r="X101" s="49"/>
    </row>
    <row r="102" spans="1:24" ht="15.75" customHeight="1">
      <c r="A102" s="50">
        <v>93</v>
      </c>
      <c r="B102" s="51"/>
      <c r="C102" s="52">
        <v>45310</v>
      </c>
      <c r="D102" s="53" t="s">
        <v>171</v>
      </c>
      <c r="E102" s="53" t="s">
        <v>137</v>
      </c>
      <c r="F102" s="53" t="s">
        <v>172</v>
      </c>
      <c r="G102" s="53" t="s">
        <v>92</v>
      </c>
      <c r="H102" s="53" t="s">
        <v>30</v>
      </c>
      <c r="I102" s="53">
        <v>20</v>
      </c>
      <c r="J102" s="54">
        <v>90</v>
      </c>
      <c r="K102" s="54">
        <f t="shared" si="7"/>
        <v>1800</v>
      </c>
      <c r="L102" s="62" t="b">
        <v>1</v>
      </c>
      <c r="M102" s="56">
        <v>190120241010</v>
      </c>
      <c r="N102" s="64" t="b">
        <v>1</v>
      </c>
      <c r="O102" s="58" t="s">
        <v>31</v>
      </c>
      <c r="P102" s="65" t="b">
        <v>1</v>
      </c>
      <c r="Q102" s="78"/>
      <c r="R102" s="60"/>
      <c r="S102" s="47" t="b">
        <v>1</v>
      </c>
      <c r="T102" s="61" t="s">
        <v>267</v>
      </c>
      <c r="U102" s="54">
        <f>I102*60</f>
        <v>1200</v>
      </c>
      <c r="V102" s="54">
        <f t="shared" si="1"/>
        <v>600</v>
      </c>
      <c r="W102" s="49"/>
      <c r="X102" s="49"/>
    </row>
    <row r="103" spans="1:24" ht="15.75" customHeight="1">
      <c r="A103" s="50">
        <v>94</v>
      </c>
      <c r="B103" s="51"/>
      <c r="C103" s="52">
        <v>45310</v>
      </c>
      <c r="D103" s="53" t="s">
        <v>93</v>
      </c>
      <c r="E103" s="53" t="s">
        <v>137</v>
      </c>
      <c r="F103" s="53" t="s">
        <v>268</v>
      </c>
      <c r="G103" s="53" t="s">
        <v>58</v>
      </c>
      <c r="H103" s="53" t="s">
        <v>30</v>
      </c>
      <c r="I103" s="53">
        <v>84</v>
      </c>
      <c r="J103" s="54">
        <v>30</v>
      </c>
      <c r="K103" s="54">
        <f t="shared" si="7"/>
        <v>2520</v>
      </c>
      <c r="L103" s="62" t="b">
        <v>1</v>
      </c>
      <c r="M103" s="56">
        <v>190120241013</v>
      </c>
      <c r="N103" s="64" t="b">
        <v>1</v>
      </c>
      <c r="O103" s="58"/>
      <c r="P103" s="65" t="b">
        <v>1</v>
      </c>
      <c r="Q103" s="78"/>
      <c r="R103" s="60"/>
      <c r="S103" s="47" t="b">
        <v>1</v>
      </c>
      <c r="T103" s="61" t="s">
        <v>269</v>
      </c>
      <c r="U103" s="54">
        <v>1765</v>
      </c>
      <c r="V103" s="54">
        <f t="shared" si="1"/>
        <v>755</v>
      </c>
      <c r="W103" s="49"/>
      <c r="X103" s="49"/>
    </row>
    <row r="104" spans="1:24" ht="15.75" customHeight="1">
      <c r="A104" s="50">
        <v>95</v>
      </c>
      <c r="B104" s="51"/>
      <c r="C104" s="52">
        <v>45310</v>
      </c>
      <c r="D104" s="53" t="s">
        <v>51</v>
      </c>
      <c r="E104" s="53" t="s">
        <v>61</v>
      </c>
      <c r="F104" s="53" t="s">
        <v>168</v>
      </c>
      <c r="G104" s="53" t="s">
        <v>270</v>
      </c>
      <c r="H104" s="53" t="s">
        <v>30</v>
      </c>
      <c r="I104" s="53">
        <v>15</v>
      </c>
      <c r="J104" s="54">
        <v>105</v>
      </c>
      <c r="K104" s="54">
        <f t="shared" si="7"/>
        <v>1575</v>
      </c>
      <c r="L104" s="62" t="b">
        <v>1</v>
      </c>
      <c r="M104" s="56">
        <v>190120241014</v>
      </c>
      <c r="N104" s="64" t="b">
        <v>1</v>
      </c>
      <c r="O104" s="58"/>
      <c r="P104" s="65" t="b">
        <v>1</v>
      </c>
      <c r="Q104" s="78"/>
      <c r="R104" s="60"/>
      <c r="S104" s="47" t="b">
        <v>1</v>
      </c>
      <c r="T104" s="61" t="s">
        <v>271</v>
      </c>
      <c r="U104" s="54">
        <f>I104*65</f>
        <v>975</v>
      </c>
      <c r="V104" s="54">
        <f t="shared" si="1"/>
        <v>600</v>
      </c>
      <c r="W104" s="49"/>
      <c r="X104" s="49"/>
    </row>
    <row r="105" spans="1:24" ht="15.75" customHeight="1">
      <c r="A105" s="50">
        <v>96</v>
      </c>
      <c r="B105" s="51"/>
      <c r="C105" s="52">
        <v>45310</v>
      </c>
      <c r="D105" s="53" t="s">
        <v>104</v>
      </c>
      <c r="E105" s="53" t="s">
        <v>272</v>
      </c>
      <c r="F105" s="53" t="s">
        <v>273</v>
      </c>
      <c r="G105" s="53" t="s">
        <v>101</v>
      </c>
      <c r="H105" s="53" t="s">
        <v>30</v>
      </c>
      <c r="I105" s="53">
        <v>30</v>
      </c>
      <c r="J105" s="54">
        <v>595</v>
      </c>
      <c r="K105" s="54">
        <f t="shared" si="7"/>
        <v>17850</v>
      </c>
      <c r="L105" s="62" t="b">
        <v>1</v>
      </c>
      <c r="M105" s="56">
        <v>190120241016</v>
      </c>
      <c r="N105" s="64" t="b">
        <v>1</v>
      </c>
      <c r="O105" s="58" t="s">
        <v>31</v>
      </c>
      <c r="P105" s="65" t="b">
        <v>1</v>
      </c>
      <c r="Q105" s="78"/>
      <c r="R105" s="60"/>
      <c r="S105" s="47" t="b">
        <v>1</v>
      </c>
      <c r="T105" s="61" t="s">
        <v>274</v>
      </c>
      <c r="U105" s="54">
        <f>30*400</f>
        <v>12000</v>
      </c>
      <c r="V105" s="54">
        <f t="shared" si="1"/>
        <v>5850</v>
      </c>
      <c r="W105" s="49"/>
      <c r="X105" s="49"/>
    </row>
    <row r="106" spans="1:24" ht="15.75" customHeight="1">
      <c r="A106" s="50">
        <v>97</v>
      </c>
      <c r="B106" s="51"/>
      <c r="C106" s="52">
        <v>45310</v>
      </c>
      <c r="D106" s="53" t="s">
        <v>104</v>
      </c>
      <c r="E106" s="53" t="s">
        <v>272</v>
      </c>
      <c r="F106" s="53" t="s">
        <v>273</v>
      </c>
      <c r="G106" s="53" t="s">
        <v>275</v>
      </c>
      <c r="H106" s="53" t="s">
        <v>30</v>
      </c>
      <c r="I106" s="53">
        <v>10</v>
      </c>
      <c r="J106" s="54">
        <v>375</v>
      </c>
      <c r="K106" s="54">
        <f t="shared" si="7"/>
        <v>3750</v>
      </c>
      <c r="L106" s="62" t="b">
        <v>1</v>
      </c>
      <c r="M106" s="56">
        <v>190120241018</v>
      </c>
      <c r="N106" s="64" t="b">
        <v>1</v>
      </c>
      <c r="O106" s="58" t="s">
        <v>31</v>
      </c>
      <c r="P106" s="65" t="b">
        <v>1</v>
      </c>
      <c r="Q106" s="78"/>
      <c r="R106" s="60"/>
      <c r="S106" s="47" t="b">
        <v>1</v>
      </c>
      <c r="T106" s="61" t="s">
        <v>276</v>
      </c>
      <c r="U106" s="54">
        <f>I106*250</f>
        <v>2500</v>
      </c>
      <c r="V106" s="54">
        <f t="shared" si="1"/>
        <v>1250</v>
      </c>
      <c r="W106" s="49"/>
      <c r="X106" s="49"/>
    </row>
    <row r="107" spans="1:24" ht="15.75" customHeight="1">
      <c r="A107" s="50">
        <v>98</v>
      </c>
      <c r="B107" s="51"/>
      <c r="C107" s="52">
        <v>45310</v>
      </c>
      <c r="D107" s="53" t="s">
        <v>104</v>
      </c>
      <c r="E107" s="53" t="s">
        <v>272</v>
      </c>
      <c r="F107" s="53" t="s">
        <v>273</v>
      </c>
      <c r="G107" s="53" t="s">
        <v>277</v>
      </c>
      <c r="H107" s="53" t="s">
        <v>30</v>
      </c>
      <c r="I107" s="53">
        <v>2</v>
      </c>
      <c r="J107" s="54">
        <v>175</v>
      </c>
      <c r="K107" s="54">
        <f t="shared" si="7"/>
        <v>350</v>
      </c>
      <c r="L107" s="62" t="b">
        <v>1</v>
      </c>
      <c r="M107" s="56">
        <v>190120241019</v>
      </c>
      <c r="N107" s="64" t="b">
        <v>1</v>
      </c>
      <c r="O107" s="58"/>
      <c r="P107" s="65" t="b">
        <v>1</v>
      </c>
      <c r="Q107" s="78"/>
      <c r="R107" s="60"/>
      <c r="S107" s="47" t="b">
        <v>1</v>
      </c>
      <c r="T107" s="61" t="s">
        <v>274</v>
      </c>
      <c r="U107" s="54">
        <f t="shared" ref="U107:U108" si="8">I107*80</f>
        <v>160</v>
      </c>
      <c r="V107" s="54">
        <f t="shared" si="1"/>
        <v>190</v>
      </c>
      <c r="W107" s="49"/>
      <c r="X107" s="49"/>
    </row>
    <row r="108" spans="1:24" ht="15.75" customHeight="1">
      <c r="A108" s="50">
        <v>99</v>
      </c>
      <c r="B108" s="51"/>
      <c r="C108" s="52">
        <v>45310</v>
      </c>
      <c r="D108" s="53" t="s">
        <v>104</v>
      </c>
      <c r="E108" s="53" t="s">
        <v>272</v>
      </c>
      <c r="F108" s="53" t="s">
        <v>273</v>
      </c>
      <c r="G108" s="53" t="s">
        <v>278</v>
      </c>
      <c r="H108" s="53" t="s">
        <v>30</v>
      </c>
      <c r="I108" s="53">
        <v>2</v>
      </c>
      <c r="J108" s="54">
        <v>175</v>
      </c>
      <c r="K108" s="54">
        <f t="shared" si="7"/>
        <v>350</v>
      </c>
      <c r="L108" s="62" t="b">
        <v>1</v>
      </c>
      <c r="M108" s="56">
        <v>190120241019</v>
      </c>
      <c r="N108" s="64" t="b">
        <v>1</v>
      </c>
      <c r="O108" s="58"/>
      <c r="P108" s="65" t="b">
        <v>1</v>
      </c>
      <c r="Q108" s="78"/>
      <c r="R108" s="60"/>
      <c r="S108" s="47" t="b">
        <v>1</v>
      </c>
      <c r="T108" s="61" t="s">
        <v>274</v>
      </c>
      <c r="U108" s="54">
        <f t="shared" si="8"/>
        <v>160</v>
      </c>
      <c r="V108" s="54">
        <f t="shared" si="1"/>
        <v>190</v>
      </c>
      <c r="W108" s="49"/>
      <c r="X108" s="49"/>
    </row>
    <row r="109" spans="1:24" ht="15.75" customHeight="1">
      <c r="A109" s="50">
        <v>100</v>
      </c>
      <c r="B109" s="51"/>
      <c r="C109" s="52">
        <v>45310</v>
      </c>
      <c r="D109" s="53" t="s">
        <v>104</v>
      </c>
      <c r="E109" s="53" t="s">
        <v>272</v>
      </c>
      <c r="F109" s="53" t="s">
        <v>273</v>
      </c>
      <c r="G109" s="53" t="s">
        <v>279</v>
      </c>
      <c r="H109" s="53" t="s">
        <v>30</v>
      </c>
      <c r="I109" s="53">
        <v>1</v>
      </c>
      <c r="J109" s="54">
        <v>525</v>
      </c>
      <c r="K109" s="54">
        <f t="shared" si="7"/>
        <v>525</v>
      </c>
      <c r="L109" s="62" t="b">
        <v>1</v>
      </c>
      <c r="M109" s="56">
        <v>190120241019</v>
      </c>
      <c r="N109" s="64" t="b">
        <v>1</v>
      </c>
      <c r="O109" s="58" t="s">
        <v>39</v>
      </c>
      <c r="P109" s="65" t="b">
        <v>1</v>
      </c>
      <c r="Q109" s="78"/>
      <c r="R109" s="60"/>
      <c r="S109" s="47" t="b">
        <v>1</v>
      </c>
      <c r="T109" s="61" t="s">
        <v>280</v>
      </c>
      <c r="U109" s="54">
        <v>302</v>
      </c>
      <c r="V109" s="54">
        <f t="shared" si="1"/>
        <v>223</v>
      </c>
      <c r="W109" s="49"/>
      <c r="X109" s="49"/>
    </row>
    <row r="110" spans="1:24" ht="15.75" customHeight="1">
      <c r="A110" s="50">
        <v>101</v>
      </c>
      <c r="B110" s="51"/>
      <c r="C110" s="52">
        <v>45310</v>
      </c>
      <c r="D110" s="53" t="s">
        <v>41</v>
      </c>
      <c r="E110" s="53" t="s">
        <v>230</v>
      </c>
      <c r="F110" s="53" t="s">
        <v>231</v>
      </c>
      <c r="G110" s="53" t="s">
        <v>229</v>
      </c>
      <c r="H110" s="53" t="s">
        <v>30</v>
      </c>
      <c r="I110" s="53">
        <v>5</v>
      </c>
      <c r="J110" s="54">
        <v>535</v>
      </c>
      <c r="K110" s="54">
        <f t="shared" si="7"/>
        <v>2675</v>
      </c>
      <c r="L110" s="62" t="b">
        <v>1</v>
      </c>
      <c r="M110" s="56">
        <v>190120241151</v>
      </c>
      <c r="N110" s="64" t="b">
        <v>1</v>
      </c>
      <c r="O110" s="63" t="s">
        <v>31</v>
      </c>
      <c r="P110" s="65" t="b">
        <v>1</v>
      </c>
      <c r="Q110" s="78"/>
      <c r="R110" s="60"/>
      <c r="S110" s="47" t="b">
        <v>1</v>
      </c>
      <c r="T110" s="61" t="s">
        <v>281</v>
      </c>
      <c r="U110" s="54">
        <f>I110*200</f>
        <v>1000</v>
      </c>
      <c r="V110" s="54">
        <f t="shared" si="1"/>
        <v>1675</v>
      </c>
      <c r="W110" s="49"/>
      <c r="X110" s="49"/>
    </row>
    <row r="111" spans="1:24" ht="15.75" customHeight="1">
      <c r="A111" s="50">
        <v>102</v>
      </c>
      <c r="B111" s="51"/>
      <c r="C111" s="52">
        <v>45310</v>
      </c>
      <c r="D111" s="53" t="s">
        <v>41</v>
      </c>
      <c r="E111" s="53" t="s">
        <v>230</v>
      </c>
      <c r="F111" s="53" t="s">
        <v>231</v>
      </c>
      <c r="G111" s="53" t="s">
        <v>124</v>
      </c>
      <c r="H111" s="53" t="s">
        <v>30</v>
      </c>
      <c r="I111" s="53">
        <v>5</v>
      </c>
      <c r="J111" s="54">
        <v>585</v>
      </c>
      <c r="K111" s="54">
        <f t="shared" si="7"/>
        <v>2925</v>
      </c>
      <c r="L111" s="62" t="b">
        <v>1</v>
      </c>
      <c r="M111" s="56">
        <v>190120241151</v>
      </c>
      <c r="N111" s="64" t="b">
        <v>1</v>
      </c>
      <c r="O111" s="58" t="s">
        <v>31</v>
      </c>
      <c r="P111" s="65" t="b">
        <v>1</v>
      </c>
      <c r="Q111" s="78"/>
      <c r="R111" s="60"/>
      <c r="S111" s="47" t="b">
        <v>1</v>
      </c>
      <c r="T111" s="61" t="s">
        <v>281</v>
      </c>
      <c r="U111" s="54">
        <f>I111*250</f>
        <v>1250</v>
      </c>
      <c r="V111" s="54">
        <f t="shared" si="1"/>
        <v>1675</v>
      </c>
      <c r="W111" s="49"/>
      <c r="X111" s="49"/>
    </row>
    <row r="112" spans="1:24" ht="15.75" customHeight="1">
      <c r="A112" s="50">
        <v>103</v>
      </c>
      <c r="B112" s="51"/>
      <c r="C112" s="52">
        <v>45310</v>
      </c>
      <c r="D112" s="53" t="s">
        <v>282</v>
      </c>
      <c r="E112" s="53" t="s">
        <v>74</v>
      </c>
      <c r="F112" s="53" t="s">
        <v>283</v>
      </c>
      <c r="G112" s="80" t="s">
        <v>80</v>
      </c>
      <c r="H112" s="53" t="s">
        <v>30</v>
      </c>
      <c r="I112" s="53">
        <v>30</v>
      </c>
      <c r="J112" s="54">
        <v>300</v>
      </c>
      <c r="K112" s="54">
        <f t="shared" si="7"/>
        <v>9000</v>
      </c>
      <c r="L112" s="62" t="b">
        <v>1</v>
      </c>
      <c r="M112" s="56">
        <v>190120241616</v>
      </c>
      <c r="N112" s="57" t="b">
        <v>1</v>
      </c>
      <c r="O112" s="63" t="s">
        <v>31</v>
      </c>
      <c r="P112" s="59" t="b">
        <v>1</v>
      </c>
      <c r="Q112" s="43"/>
      <c r="R112" s="60"/>
      <c r="S112" s="47" t="b">
        <v>1</v>
      </c>
      <c r="T112" s="61" t="s">
        <v>284</v>
      </c>
      <c r="U112" s="54">
        <f>I112*120</f>
        <v>3600</v>
      </c>
      <c r="V112" s="54">
        <f t="shared" si="1"/>
        <v>5400</v>
      </c>
      <c r="W112" s="49"/>
      <c r="X112" s="49"/>
    </row>
    <row r="113" spans="1:24" ht="15.75" customHeight="1">
      <c r="A113" s="50">
        <v>104</v>
      </c>
      <c r="B113" s="51"/>
      <c r="C113" s="52">
        <v>45310</v>
      </c>
      <c r="D113" s="53" t="s">
        <v>282</v>
      </c>
      <c r="E113" s="53" t="s">
        <v>74</v>
      </c>
      <c r="F113" s="53" t="s">
        <v>283</v>
      </c>
      <c r="G113" s="53" t="s">
        <v>92</v>
      </c>
      <c r="H113" s="53" t="s">
        <v>30</v>
      </c>
      <c r="I113" s="53">
        <v>30</v>
      </c>
      <c r="J113" s="54">
        <v>90</v>
      </c>
      <c r="K113" s="54">
        <f t="shared" si="7"/>
        <v>2700</v>
      </c>
      <c r="L113" s="62" t="b">
        <v>1</v>
      </c>
      <c r="M113" s="56">
        <v>190120241616</v>
      </c>
      <c r="N113" s="64" t="b">
        <v>1</v>
      </c>
      <c r="O113" s="58" t="s">
        <v>31</v>
      </c>
      <c r="P113" s="65" t="b">
        <v>1</v>
      </c>
      <c r="Q113" s="78"/>
      <c r="R113" s="60"/>
      <c r="S113" s="47" t="b">
        <v>1</v>
      </c>
      <c r="T113" s="61" t="s">
        <v>284</v>
      </c>
      <c r="U113" s="54">
        <f>30*60</f>
        <v>1800</v>
      </c>
      <c r="V113" s="54">
        <f t="shared" si="1"/>
        <v>900</v>
      </c>
      <c r="W113" s="49"/>
      <c r="X113" s="49"/>
    </row>
    <row r="114" spans="1:24" ht="15.75" customHeight="1">
      <c r="A114" s="50">
        <v>105</v>
      </c>
      <c r="B114" s="51"/>
      <c r="C114" s="52">
        <v>45310</v>
      </c>
      <c r="D114" s="53" t="s">
        <v>144</v>
      </c>
      <c r="E114" s="53" t="s">
        <v>285</v>
      </c>
      <c r="F114" s="53" t="s">
        <v>286</v>
      </c>
      <c r="G114" s="53" t="s">
        <v>63</v>
      </c>
      <c r="H114" s="53" t="s">
        <v>30</v>
      </c>
      <c r="I114" s="53">
        <v>50</v>
      </c>
      <c r="J114" s="54">
        <v>19.75</v>
      </c>
      <c r="K114" s="54">
        <f t="shared" si="7"/>
        <v>987.5</v>
      </c>
      <c r="L114" s="62" t="b">
        <v>1</v>
      </c>
      <c r="M114" s="56">
        <v>190120241620</v>
      </c>
      <c r="N114" s="64" t="b">
        <v>1</v>
      </c>
      <c r="O114" s="58" t="s">
        <v>31</v>
      </c>
      <c r="P114" s="65" t="b">
        <v>1</v>
      </c>
      <c r="Q114" s="78"/>
      <c r="R114" s="60"/>
      <c r="S114" s="47" t="b">
        <v>1</v>
      </c>
      <c r="T114" s="61" t="s">
        <v>287</v>
      </c>
      <c r="U114" s="54">
        <f>I114*8</f>
        <v>400</v>
      </c>
      <c r="V114" s="54">
        <f t="shared" si="1"/>
        <v>587.5</v>
      </c>
      <c r="W114" s="49"/>
      <c r="X114" s="49"/>
    </row>
    <row r="115" spans="1:24" ht="15.75" customHeight="1">
      <c r="A115" s="50">
        <v>106</v>
      </c>
      <c r="B115" s="51"/>
      <c r="C115" s="52">
        <v>45310</v>
      </c>
      <c r="D115" s="53" t="s">
        <v>144</v>
      </c>
      <c r="E115" s="53" t="s">
        <v>285</v>
      </c>
      <c r="F115" s="53" t="s">
        <v>286</v>
      </c>
      <c r="G115" s="53" t="s">
        <v>288</v>
      </c>
      <c r="H115" s="53" t="s">
        <v>30</v>
      </c>
      <c r="I115" s="53">
        <v>100</v>
      </c>
      <c r="J115" s="54">
        <v>19.5</v>
      </c>
      <c r="K115" s="54">
        <f t="shared" si="7"/>
        <v>1950</v>
      </c>
      <c r="L115" s="62" t="b">
        <v>1</v>
      </c>
      <c r="M115" s="56">
        <v>190120241620</v>
      </c>
      <c r="N115" s="64" t="b">
        <v>1</v>
      </c>
      <c r="O115" s="58" t="s">
        <v>31</v>
      </c>
      <c r="P115" s="65" t="b">
        <v>1</v>
      </c>
      <c r="Q115" s="78"/>
      <c r="R115" s="60"/>
      <c r="S115" s="47" t="b">
        <v>1</v>
      </c>
      <c r="T115" s="61" t="s">
        <v>289</v>
      </c>
      <c r="U115" s="54">
        <v>1000</v>
      </c>
      <c r="V115" s="54">
        <f t="shared" si="1"/>
        <v>950</v>
      </c>
      <c r="W115" s="49"/>
      <c r="X115" s="49"/>
    </row>
    <row r="116" spans="1:24" ht="15.75" customHeight="1">
      <c r="A116" s="50">
        <v>107</v>
      </c>
      <c r="B116" s="51"/>
      <c r="C116" s="52">
        <v>45310</v>
      </c>
      <c r="D116" s="53" t="s">
        <v>149</v>
      </c>
      <c r="E116" s="53" t="s">
        <v>130</v>
      </c>
      <c r="F116" s="53" t="s">
        <v>290</v>
      </c>
      <c r="G116" s="53" t="s">
        <v>68</v>
      </c>
      <c r="H116" s="53" t="s">
        <v>30</v>
      </c>
      <c r="I116" s="53">
        <v>1</v>
      </c>
      <c r="J116" s="54">
        <v>2149</v>
      </c>
      <c r="K116" s="54">
        <f>J116*I116</f>
        <v>2149</v>
      </c>
      <c r="L116" s="62" t="b">
        <v>1</v>
      </c>
      <c r="M116" s="56">
        <v>190120241745</v>
      </c>
      <c r="N116" s="64" t="b">
        <v>1</v>
      </c>
      <c r="O116" s="58" t="s">
        <v>31</v>
      </c>
      <c r="P116" s="65" t="b">
        <v>1</v>
      </c>
      <c r="Q116" s="78"/>
      <c r="R116" s="60"/>
      <c r="S116" s="47" t="b">
        <v>1</v>
      </c>
      <c r="T116" s="61" t="s">
        <v>291</v>
      </c>
      <c r="U116" s="54">
        <f t="shared" ref="U116:U118" si="9">3000*0.3194</f>
        <v>958.2</v>
      </c>
      <c r="V116" s="54">
        <f t="shared" si="1"/>
        <v>1190.8</v>
      </c>
      <c r="W116" s="49"/>
      <c r="X116" s="49"/>
    </row>
    <row r="117" spans="1:24" ht="15.75" customHeight="1">
      <c r="A117" s="50">
        <v>109</v>
      </c>
      <c r="B117" s="51"/>
      <c r="C117" s="52">
        <v>45310</v>
      </c>
      <c r="D117" s="53" t="s">
        <v>104</v>
      </c>
      <c r="E117" s="53" t="s">
        <v>292</v>
      </c>
      <c r="F117" s="53" t="s">
        <v>106</v>
      </c>
      <c r="G117" s="80" t="s">
        <v>293</v>
      </c>
      <c r="H117" s="53" t="s">
        <v>30</v>
      </c>
      <c r="I117" s="53">
        <v>1</v>
      </c>
      <c r="J117" s="54">
        <v>2149</v>
      </c>
      <c r="K117" s="54">
        <f t="shared" ref="K117:K119" si="10">J117:J118*I117</f>
        <v>2149</v>
      </c>
      <c r="L117" s="62" t="b">
        <v>1</v>
      </c>
      <c r="M117" s="56">
        <v>190120241834</v>
      </c>
      <c r="N117" s="64" t="b">
        <v>1</v>
      </c>
      <c r="O117" s="58" t="s">
        <v>31</v>
      </c>
      <c r="P117" s="65" t="b">
        <v>1</v>
      </c>
      <c r="Q117" s="78"/>
      <c r="R117" s="60"/>
      <c r="S117" s="47" t="b">
        <v>1</v>
      </c>
      <c r="T117" s="61" t="s">
        <v>294</v>
      </c>
      <c r="U117" s="54">
        <f t="shared" si="9"/>
        <v>958.2</v>
      </c>
      <c r="V117" s="54">
        <f t="shared" si="1"/>
        <v>1190.8</v>
      </c>
      <c r="W117" s="49"/>
      <c r="X117" s="49"/>
    </row>
    <row r="118" spans="1:24" ht="15.75" customHeight="1">
      <c r="A118" s="50">
        <v>110</v>
      </c>
      <c r="B118" s="51"/>
      <c r="C118" s="52">
        <v>45310</v>
      </c>
      <c r="D118" s="53" t="s">
        <v>51</v>
      </c>
      <c r="E118" s="53" t="s">
        <v>61</v>
      </c>
      <c r="F118" s="53" t="s">
        <v>168</v>
      </c>
      <c r="G118" s="80" t="s">
        <v>68</v>
      </c>
      <c r="H118" s="53" t="s">
        <v>30</v>
      </c>
      <c r="I118" s="53">
        <v>1</v>
      </c>
      <c r="J118" s="54">
        <v>2149</v>
      </c>
      <c r="K118" s="54">
        <f t="shared" si="10"/>
        <v>2149</v>
      </c>
      <c r="L118" s="62" t="b">
        <v>1</v>
      </c>
      <c r="M118" s="56">
        <v>190120241837</v>
      </c>
      <c r="N118" s="64" t="b">
        <v>1</v>
      </c>
      <c r="O118" s="58" t="s">
        <v>31</v>
      </c>
      <c r="P118" s="65" t="b">
        <v>1</v>
      </c>
      <c r="Q118" s="78"/>
      <c r="R118" s="60"/>
      <c r="S118" s="47" t="b">
        <v>1</v>
      </c>
      <c r="T118" s="61" t="s">
        <v>295</v>
      </c>
      <c r="U118" s="54">
        <f t="shared" si="9"/>
        <v>958.2</v>
      </c>
      <c r="V118" s="54">
        <f t="shared" si="1"/>
        <v>1190.8</v>
      </c>
      <c r="W118" s="49"/>
      <c r="X118" s="49"/>
    </row>
    <row r="119" spans="1:24" ht="15.75" customHeight="1">
      <c r="A119" s="50">
        <v>111</v>
      </c>
      <c r="B119" s="51"/>
      <c r="C119" s="52">
        <v>45310</v>
      </c>
      <c r="D119" s="53" t="s">
        <v>104</v>
      </c>
      <c r="E119" s="53" t="s">
        <v>296</v>
      </c>
      <c r="F119" s="53" t="s">
        <v>297</v>
      </c>
      <c r="G119" s="80" t="s">
        <v>49</v>
      </c>
      <c r="H119" s="53" t="s">
        <v>30</v>
      </c>
      <c r="I119" s="53">
        <v>4</v>
      </c>
      <c r="J119" s="54">
        <v>695</v>
      </c>
      <c r="K119" s="54">
        <f t="shared" si="10"/>
        <v>2780</v>
      </c>
      <c r="L119" s="62" t="b">
        <v>1</v>
      </c>
      <c r="M119" s="56">
        <v>190120241841</v>
      </c>
      <c r="N119" s="64" t="b">
        <v>1</v>
      </c>
      <c r="O119" s="58"/>
      <c r="P119" s="65" t="b">
        <v>1</v>
      </c>
      <c r="Q119" s="78"/>
      <c r="R119" s="60"/>
      <c r="S119" s="47" t="b">
        <v>1</v>
      </c>
      <c r="T119" s="61" t="s">
        <v>298</v>
      </c>
      <c r="U119" s="54">
        <f>4000*0.46</f>
        <v>1840</v>
      </c>
      <c r="V119" s="54">
        <f t="shared" si="1"/>
        <v>940</v>
      </c>
      <c r="W119" s="49"/>
      <c r="X119" s="49"/>
    </row>
    <row r="120" spans="1:24" ht="15.75" customHeight="1">
      <c r="A120" s="50">
        <v>112</v>
      </c>
      <c r="B120" s="51"/>
      <c r="C120" s="52">
        <v>45310</v>
      </c>
      <c r="D120" s="53" t="s">
        <v>171</v>
      </c>
      <c r="E120" s="53" t="s">
        <v>137</v>
      </c>
      <c r="F120" s="53" t="s">
        <v>172</v>
      </c>
      <c r="G120" s="53" t="s">
        <v>49</v>
      </c>
      <c r="H120" s="53" t="s">
        <v>30</v>
      </c>
      <c r="I120" s="53">
        <v>10</v>
      </c>
      <c r="J120" s="54">
        <v>695</v>
      </c>
      <c r="K120" s="54">
        <f>J120*I120</f>
        <v>6950</v>
      </c>
      <c r="L120" s="62" t="b">
        <v>1</v>
      </c>
      <c r="M120" s="56">
        <v>190120241911</v>
      </c>
      <c r="N120" s="64" t="b">
        <v>1</v>
      </c>
      <c r="O120" s="58" t="s">
        <v>31</v>
      </c>
      <c r="P120" s="65" t="b">
        <v>1</v>
      </c>
      <c r="Q120" s="78"/>
      <c r="R120" s="60"/>
      <c r="S120" s="47" t="b">
        <v>1</v>
      </c>
      <c r="T120" s="61" t="s">
        <v>299</v>
      </c>
      <c r="U120" s="54">
        <f>10000*0.46</f>
        <v>4600</v>
      </c>
      <c r="V120" s="54">
        <f t="shared" si="1"/>
        <v>2350</v>
      </c>
      <c r="W120" s="49"/>
      <c r="X120" s="49"/>
    </row>
    <row r="121" spans="1:24" ht="15.75" customHeight="1">
      <c r="A121" s="50">
        <v>114</v>
      </c>
      <c r="B121" s="51"/>
      <c r="C121" s="52">
        <v>45313</v>
      </c>
      <c r="D121" s="53" t="s">
        <v>129</v>
      </c>
      <c r="E121" s="53" t="s">
        <v>130</v>
      </c>
      <c r="F121" s="53" t="s">
        <v>131</v>
      </c>
      <c r="G121" s="53" t="s">
        <v>300</v>
      </c>
      <c r="H121" s="53" t="s">
        <v>30</v>
      </c>
      <c r="I121" s="53">
        <v>10</v>
      </c>
      <c r="J121" s="54">
        <v>100</v>
      </c>
      <c r="K121" s="54">
        <f t="shared" ref="K121:K125" si="11">J121:J122*I121</f>
        <v>1000</v>
      </c>
      <c r="L121" s="62" t="b">
        <v>1</v>
      </c>
      <c r="M121" s="56">
        <v>220120240924</v>
      </c>
      <c r="N121" s="64" t="b">
        <v>1</v>
      </c>
      <c r="O121" s="58" t="s">
        <v>31</v>
      </c>
      <c r="P121" s="65" t="b">
        <v>1</v>
      </c>
      <c r="Q121" s="78"/>
      <c r="R121" s="60"/>
      <c r="S121" s="47" t="b">
        <v>1</v>
      </c>
      <c r="T121" s="61" t="s">
        <v>301</v>
      </c>
      <c r="U121" s="54">
        <f>10*30</f>
        <v>300</v>
      </c>
      <c r="V121" s="54">
        <f t="shared" si="1"/>
        <v>700</v>
      </c>
      <c r="W121" s="49"/>
      <c r="X121" s="49"/>
    </row>
    <row r="122" spans="1:24" ht="15.75" customHeight="1">
      <c r="A122" s="50">
        <v>115</v>
      </c>
      <c r="B122" s="51"/>
      <c r="C122" s="52">
        <v>45313</v>
      </c>
      <c r="D122" s="53" t="s">
        <v>55</v>
      </c>
      <c r="E122" s="53">
        <v>41</v>
      </c>
      <c r="F122" s="53" t="s">
        <v>166</v>
      </c>
      <c r="G122" s="53" t="s">
        <v>80</v>
      </c>
      <c r="H122" s="53" t="s">
        <v>30</v>
      </c>
      <c r="I122" s="53">
        <v>10</v>
      </c>
      <c r="J122" s="54">
        <v>300</v>
      </c>
      <c r="K122" s="54">
        <f t="shared" si="11"/>
        <v>3000</v>
      </c>
      <c r="L122" s="62" t="b">
        <v>1</v>
      </c>
      <c r="M122" s="56">
        <v>220120240931</v>
      </c>
      <c r="N122" s="64" t="b">
        <v>1</v>
      </c>
      <c r="O122" s="58" t="s">
        <v>31</v>
      </c>
      <c r="P122" s="65" t="b">
        <v>1</v>
      </c>
      <c r="Q122" s="78"/>
      <c r="R122" s="60"/>
      <c r="S122" s="47" t="b">
        <v>1</v>
      </c>
      <c r="T122" s="61" t="s">
        <v>302</v>
      </c>
      <c r="U122" s="54">
        <f>I122*120</f>
        <v>1200</v>
      </c>
      <c r="V122" s="54">
        <f t="shared" si="1"/>
        <v>1800</v>
      </c>
      <c r="W122" s="49"/>
      <c r="X122" s="49"/>
    </row>
    <row r="123" spans="1:24" ht="15.75" customHeight="1">
      <c r="A123" s="50">
        <v>116</v>
      </c>
      <c r="B123" s="51"/>
      <c r="C123" s="52">
        <v>45313</v>
      </c>
      <c r="D123" s="53" t="s">
        <v>55</v>
      </c>
      <c r="E123" s="53">
        <v>41</v>
      </c>
      <c r="F123" s="53" t="s">
        <v>166</v>
      </c>
      <c r="G123" s="53" t="s">
        <v>92</v>
      </c>
      <c r="H123" s="53" t="s">
        <v>30</v>
      </c>
      <c r="I123" s="53">
        <v>30</v>
      </c>
      <c r="J123" s="54">
        <v>90</v>
      </c>
      <c r="K123" s="54">
        <f t="shared" si="11"/>
        <v>2700</v>
      </c>
      <c r="L123" s="62" t="b">
        <v>1</v>
      </c>
      <c r="M123" s="56">
        <v>220120240932</v>
      </c>
      <c r="N123" s="64" t="b">
        <v>1</v>
      </c>
      <c r="O123" s="58" t="s">
        <v>31</v>
      </c>
      <c r="P123" s="65" t="b">
        <v>1</v>
      </c>
      <c r="Q123" s="78"/>
      <c r="R123" s="60"/>
      <c r="S123" s="47" t="b">
        <v>1</v>
      </c>
      <c r="T123" s="61" t="s">
        <v>302</v>
      </c>
      <c r="U123" s="54">
        <f>I123*60</f>
        <v>1800</v>
      </c>
      <c r="V123" s="54">
        <f t="shared" si="1"/>
        <v>900</v>
      </c>
      <c r="W123" s="49"/>
      <c r="X123" s="49"/>
    </row>
    <row r="124" spans="1:24" ht="15.75" customHeight="1">
      <c r="A124" s="50">
        <v>117</v>
      </c>
      <c r="B124" s="51"/>
      <c r="C124" s="52">
        <v>45313</v>
      </c>
      <c r="D124" s="53" t="s">
        <v>55</v>
      </c>
      <c r="E124" s="53" t="s">
        <v>56</v>
      </c>
      <c r="F124" s="53" t="s">
        <v>303</v>
      </c>
      <c r="G124" s="66" t="s">
        <v>304</v>
      </c>
      <c r="H124" s="53" t="s">
        <v>30</v>
      </c>
      <c r="I124" s="53">
        <v>24</v>
      </c>
      <c r="J124" s="54">
        <v>52</v>
      </c>
      <c r="K124" s="54">
        <f t="shared" si="11"/>
        <v>1248</v>
      </c>
      <c r="L124" s="62" t="b">
        <v>1</v>
      </c>
      <c r="M124" s="56">
        <v>220120240933</v>
      </c>
      <c r="N124" s="64" t="b">
        <v>1</v>
      </c>
      <c r="O124" s="58" t="s">
        <v>31</v>
      </c>
      <c r="P124" s="65" t="b">
        <v>1</v>
      </c>
      <c r="Q124" s="78"/>
      <c r="R124" s="60"/>
      <c r="S124" s="47" t="b">
        <v>1</v>
      </c>
      <c r="T124" s="61" t="s">
        <v>305</v>
      </c>
      <c r="U124" s="54">
        <f>I124*30</f>
        <v>720</v>
      </c>
      <c r="V124" s="54">
        <f t="shared" si="1"/>
        <v>528</v>
      </c>
      <c r="W124" s="49"/>
      <c r="X124" s="49"/>
    </row>
    <row r="125" spans="1:24" ht="15.75" customHeight="1">
      <c r="A125" s="50">
        <v>118</v>
      </c>
      <c r="B125" s="51"/>
      <c r="C125" s="52">
        <v>45313</v>
      </c>
      <c r="D125" s="53" t="s">
        <v>41</v>
      </c>
      <c r="E125" s="53" t="s">
        <v>230</v>
      </c>
      <c r="F125" s="53" t="s">
        <v>231</v>
      </c>
      <c r="G125" s="53" t="s">
        <v>306</v>
      </c>
      <c r="H125" s="53" t="s">
        <v>30</v>
      </c>
      <c r="I125" s="53">
        <v>10</v>
      </c>
      <c r="J125" s="54">
        <v>145</v>
      </c>
      <c r="K125" s="54">
        <f t="shared" si="11"/>
        <v>1450</v>
      </c>
      <c r="L125" s="62" t="b">
        <v>1</v>
      </c>
      <c r="M125" s="56">
        <v>220120140937</v>
      </c>
      <c r="N125" s="64" t="b">
        <v>1</v>
      </c>
      <c r="O125" s="58" t="s">
        <v>31</v>
      </c>
      <c r="P125" s="65" t="b">
        <v>1</v>
      </c>
      <c r="Q125" s="78"/>
      <c r="R125" s="60"/>
      <c r="S125" s="47" t="b">
        <v>1</v>
      </c>
      <c r="T125" s="61" t="s">
        <v>307</v>
      </c>
      <c r="U125" s="54">
        <v>650</v>
      </c>
      <c r="V125" s="54">
        <f t="shared" si="1"/>
        <v>800</v>
      </c>
      <c r="W125" s="49"/>
      <c r="X125" s="49"/>
    </row>
    <row r="126" spans="1:24" ht="15.75" customHeight="1">
      <c r="A126" s="50">
        <v>119</v>
      </c>
      <c r="B126" s="51"/>
      <c r="C126" s="52">
        <v>45313</v>
      </c>
      <c r="D126" s="53" t="s">
        <v>51</v>
      </c>
      <c r="E126" s="53" t="s">
        <v>66</v>
      </c>
      <c r="F126" s="53" t="s">
        <v>67</v>
      </c>
      <c r="G126" s="53" t="s">
        <v>308</v>
      </c>
      <c r="H126" s="53" t="s">
        <v>30</v>
      </c>
      <c r="I126" s="53">
        <v>4</v>
      </c>
      <c r="J126" s="54">
        <v>450</v>
      </c>
      <c r="K126" s="54">
        <f>J126*I126</f>
        <v>1800</v>
      </c>
      <c r="L126" s="62" t="b">
        <v>1</v>
      </c>
      <c r="M126" s="56">
        <v>220120241019</v>
      </c>
      <c r="N126" s="64" t="b">
        <v>1</v>
      </c>
      <c r="O126" s="58" t="s">
        <v>31</v>
      </c>
      <c r="P126" s="65" t="b">
        <v>1</v>
      </c>
      <c r="Q126" s="78"/>
      <c r="R126" s="60"/>
      <c r="S126" s="47" t="b">
        <v>1</v>
      </c>
      <c r="T126" s="61" t="s">
        <v>309</v>
      </c>
      <c r="U126" s="54">
        <v>1000</v>
      </c>
      <c r="V126" s="54">
        <f t="shared" si="1"/>
        <v>800</v>
      </c>
      <c r="W126" s="49"/>
      <c r="X126" s="49"/>
    </row>
    <row r="127" spans="1:24" ht="15" customHeight="1">
      <c r="A127" s="50">
        <v>121</v>
      </c>
      <c r="B127" s="51"/>
      <c r="C127" s="52">
        <v>45313</v>
      </c>
      <c r="D127" s="53" t="s">
        <v>144</v>
      </c>
      <c r="E127" s="53" t="s">
        <v>145</v>
      </c>
      <c r="F127" s="53" t="s">
        <v>146</v>
      </c>
      <c r="G127" s="53" t="s">
        <v>68</v>
      </c>
      <c r="H127" s="53" t="s">
        <v>30</v>
      </c>
      <c r="I127" s="53">
        <v>1</v>
      </c>
      <c r="J127" s="54">
        <v>2149</v>
      </c>
      <c r="K127" s="54">
        <f t="shared" ref="K127:K192" si="12">J127:J128*I127</f>
        <v>2149</v>
      </c>
      <c r="L127" s="62" t="b">
        <v>1</v>
      </c>
      <c r="M127" s="56">
        <v>220120241102</v>
      </c>
      <c r="N127" s="57" t="b">
        <v>1</v>
      </c>
      <c r="O127" s="58" t="s">
        <v>31</v>
      </c>
      <c r="P127" s="59" t="b">
        <v>1</v>
      </c>
      <c r="Q127" s="43"/>
      <c r="R127" s="60"/>
      <c r="S127" s="47" t="b">
        <v>1</v>
      </c>
      <c r="T127" s="61" t="s">
        <v>310</v>
      </c>
      <c r="U127" s="54">
        <f t="shared" ref="U127:U128" si="13">3000*0.3194</f>
        <v>958.2</v>
      </c>
      <c r="V127" s="54">
        <f t="shared" si="1"/>
        <v>1190.8</v>
      </c>
      <c r="W127" s="49"/>
      <c r="X127" s="49"/>
    </row>
    <row r="128" spans="1:24" ht="15.75" customHeight="1">
      <c r="A128" s="50">
        <v>122</v>
      </c>
      <c r="B128" s="51"/>
      <c r="C128" s="52">
        <v>45313</v>
      </c>
      <c r="D128" s="53" t="s">
        <v>212</v>
      </c>
      <c r="E128" s="53" t="s">
        <v>311</v>
      </c>
      <c r="F128" s="53" t="s">
        <v>312</v>
      </c>
      <c r="G128" s="53" t="s">
        <v>68</v>
      </c>
      <c r="H128" s="53" t="s">
        <v>30</v>
      </c>
      <c r="I128" s="53">
        <v>1</v>
      </c>
      <c r="J128" s="54">
        <v>2149</v>
      </c>
      <c r="K128" s="54">
        <f t="shared" si="12"/>
        <v>2149</v>
      </c>
      <c r="L128" s="62" t="b">
        <v>1</v>
      </c>
      <c r="M128" s="56">
        <v>220120241500</v>
      </c>
      <c r="N128" s="64" t="b">
        <v>1</v>
      </c>
      <c r="O128" s="58" t="s">
        <v>31</v>
      </c>
      <c r="P128" s="65" t="b">
        <v>1</v>
      </c>
      <c r="Q128" s="78"/>
      <c r="R128" s="60"/>
      <c r="S128" s="47" t="b">
        <v>1</v>
      </c>
      <c r="T128" s="61" t="s">
        <v>313</v>
      </c>
      <c r="U128" s="54">
        <f t="shared" si="13"/>
        <v>958.2</v>
      </c>
      <c r="V128" s="54">
        <f t="shared" si="1"/>
        <v>1190.8</v>
      </c>
      <c r="W128" s="49"/>
      <c r="X128" s="49"/>
    </row>
    <row r="129" spans="1:24" ht="15.75" customHeight="1">
      <c r="A129" s="50">
        <v>123</v>
      </c>
      <c r="B129" s="51"/>
      <c r="C129" s="52">
        <v>45313</v>
      </c>
      <c r="D129" s="53" t="s">
        <v>104</v>
      </c>
      <c r="E129" s="53" t="s">
        <v>61</v>
      </c>
      <c r="F129" s="53" t="s">
        <v>314</v>
      </c>
      <c r="G129" s="53" t="s">
        <v>68</v>
      </c>
      <c r="H129" s="53" t="s">
        <v>30</v>
      </c>
      <c r="I129" s="53">
        <v>2</v>
      </c>
      <c r="J129" s="54">
        <v>2149</v>
      </c>
      <c r="K129" s="54">
        <f t="shared" si="12"/>
        <v>4298</v>
      </c>
      <c r="L129" s="62" t="b">
        <v>1</v>
      </c>
      <c r="M129" s="56">
        <v>220120241500</v>
      </c>
      <c r="N129" s="64" t="b">
        <v>1</v>
      </c>
      <c r="O129" s="58" t="s">
        <v>31</v>
      </c>
      <c r="P129" s="65" t="b">
        <v>1</v>
      </c>
      <c r="Q129" s="78"/>
      <c r="R129" s="60"/>
      <c r="S129" s="47" t="b">
        <v>1</v>
      </c>
      <c r="T129" s="61" t="s">
        <v>315</v>
      </c>
      <c r="U129" s="54">
        <f>6000*0.3194</f>
        <v>1916.4</v>
      </c>
      <c r="V129" s="54">
        <f t="shared" si="1"/>
        <v>2381.6</v>
      </c>
      <c r="W129" s="49"/>
      <c r="X129" s="49"/>
    </row>
    <row r="130" spans="1:24" ht="15.75" customHeight="1">
      <c r="A130" s="50">
        <v>124</v>
      </c>
      <c r="B130" s="51"/>
      <c r="C130" s="52">
        <v>45313</v>
      </c>
      <c r="D130" s="53" t="s">
        <v>104</v>
      </c>
      <c r="E130" s="53" t="s">
        <v>316</v>
      </c>
      <c r="F130" s="53" t="s">
        <v>317</v>
      </c>
      <c r="G130" s="53" t="s">
        <v>318</v>
      </c>
      <c r="H130" s="53" t="s">
        <v>319</v>
      </c>
      <c r="I130" s="53">
        <v>1</v>
      </c>
      <c r="J130" s="54">
        <v>400</v>
      </c>
      <c r="K130" s="54">
        <f t="shared" si="12"/>
        <v>400</v>
      </c>
      <c r="L130" s="62" t="b">
        <v>1</v>
      </c>
      <c r="M130" s="56">
        <v>220120241500</v>
      </c>
      <c r="N130" s="64" t="b">
        <v>1</v>
      </c>
      <c r="O130" s="58" t="s">
        <v>31</v>
      </c>
      <c r="P130" s="65" t="b">
        <v>1</v>
      </c>
      <c r="Q130" s="78"/>
      <c r="R130" s="60"/>
      <c r="S130" s="47" t="b">
        <v>1</v>
      </c>
      <c r="T130" s="61" t="s">
        <v>320</v>
      </c>
      <c r="U130" s="54">
        <f>I130*150</f>
        <v>150</v>
      </c>
      <c r="V130" s="54">
        <f t="shared" si="1"/>
        <v>250</v>
      </c>
      <c r="W130" s="49"/>
      <c r="X130" s="49"/>
    </row>
    <row r="131" spans="1:24" ht="15.75" customHeight="1">
      <c r="A131" s="50">
        <v>125</v>
      </c>
      <c r="B131" s="51"/>
      <c r="C131" s="52">
        <v>45313</v>
      </c>
      <c r="D131" s="53" t="s">
        <v>104</v>
      </c>
      <c r="E131" s="53" t="s">
        <v>316</v>
      </c>
      <c r="F131" s="53" t="s">
        <v>317</v>
      </c>
      <c r="G131" s="53" t="s">
        <v>321</v>
      </c>
      <c r="H131" s="53" t="s">
        <v>30</v>
      </c>
      <c r="I131" s="53">
        <v>168</v>
      </c>
      <c r="J131" s="54">
        <v>30</v>
      </c>
      <c r="K131" s="54">
        <f t="shared" si="12"/>
        <v>5040</v>
      </c>
      <c r="L131" s="62" t="b">
        <v>1</v>
      </c>
      <c r="M131" s="56">
        <v>220120241500</v>
      </c>
      <c r="N131" s="64" t="b">
        <v>1</v>
      </c>
      <c r="O131" s="58" t="s">
        <v>31</v>
      </c>
      <c r="P131" s="65" t="b">
        <v>1</v>
      </c>
      <c r="Q131" s="78"/>
      <c r="R131" s="60"/>
      <c r="S131" s="47" t="b">
        <v>1</v>
      </c>
      <c r="T131" s="61" t="s">
        <v>322</v>
      </c>
      <c r="U131" s="54">
        <f>I131*21</f>
        <v>3528</v>
      </c>
      <c r="V131" s="54">
        <f t="shared" si="1"/>
        <v>1512</v>
      </c>
      <c r="W131" s="49"/>
      <c r="X131" s="49"/>
    </row>
    <row r="132" spans="1:24" ht="15.75" customHeight="1">
      <c r="A132" s="50">
        <v>126</v>
      </c>
      <c r="B132" s="51"/>
      <c r="C132" s="52">
        <v>45313</v>
      </c>
      <c r="D132" s="53" t="s">
        <v>149</v>
      </c>
      <c r="E132" s="53" t="s">
        <v>130</v>
      </c>
      <c r="F132" s="53" t="s">
        <v>290</v>
      </c>
      <c r="G132" s="53" t="s">
        <v>88</v>
      </c>
      <c r="H132" s="53" t="s">
        <v>30</v>
      </c>
      <c r="I132" s="53">
        <v>1</v>
      </c>
      <c r="J132" s="54">
        <v>550</v>
      </c>
      <c r="K132" s="54">
        <f t="shared" si="12"/>
        <v>550</v>
      </c>
      <c r="L132" s="62" t="b">
        <v>1</v>
      </c>
      <c r="M132" s="56">
        <v>220120241500</v>
      </c>
      <c r="N132" s="64" t="b">
        <v>1</v>
      </c>
      <c r="O132" s="58" t="s">
        <v>31</v>
      </c>
      <c r="P132" s="65" t="b">
        <v>1</v>
      </c>
      <c r="Q132" s="78"/>
      <c r="R132" s="60"/>
      <c r="S132" s="47" t="b">
        <v>1</v>
      </c>
      <c r="T132" s="61" t="s">
        <v>323</v>
      </c>
      <c r="U132" s="54">
        <f>1*250</f>
        <v>250</v>
      </c>
      <c r="V132" s="54">
        <f t="shared" si="1"/>
        <v>300</v>
      </c>
      <c r="W132" s="49"/>
      <c r="X132" s="49"/>
    </row>
    <row r="133" spans="1:24" ht="15.75" customHeight="1">
      <c r="A133" s="50">
        <v>127</v>
      </c>
      <c r="B133" s="51"/>
      <c r="C133" s="52">
        <v>45313</v>
      </c>
      <c r="D133" s="53" t="s">
        <v>149</v>
      </c>
      <c r="E133" s="53" t="s">
        <v>130</v>
      </c>
      <c r="F133" s="53" t="s">
        <v>290</v>
      </c>
      <c r="G133" s="53" t="s">
        <v>304</v>
      </c>
      <c r="H133" s="53" t="s">
        <v>30</v>
      </c>
      <c r="I133" s="53">
        <v>24</v>
      </c>
      <c r="J133" s="54">
        <v>52</v>
      </c>
      <c r="K133" s="54">
        <f t="shared" si="12"/>
        <v>1248</v>
      </c>
      <c r="L133" s="62" t="b">
        <v>1</v>
      </c>
      <c r="M133" s="56">
        <v>220120241737</v>
      </c>
      <c r="N133" s="64" t="b">
        <v>1</v>
      </c>
      <c r="O133" s="58" t="s">
        <v>31</v>
      </c>
      <c r="P133" s="65" t="b">
        <v>1</v>
      </c>
      <c r="Q133" s="78"/>
      <c r="R133" s="60"/>
      <c r="S133" s="47" t="b">
        <v>1</v>
      </c>
      <c r="T133" s="61" t="s">
        <v>323</v>
      </c>
      <c r="U133" s="54">
        <f>I133*30</f>
        <v>720</v>
      </c>
      <c r="V133" s="54">
        <f t="shared" si="1"/>
        <v>528</v>
      </c>
      <c r="W133" s="49"/>
      <c r="X133" s="49"/>
    </row>
    <row r="134" spans="1:24" ht="15.75" customHeight="1">
      <c r="A134" s="50">
        <v>128</v>
      </c>
      <c r="B134" s="51"/>
      <c r="C134" s="52">
        <v>45313</v>
      </c>
      <c r="D134" s="53" t="s">
        <v>104</v>
      </c>
      <c r="E134" s="53" t="s">
        <v>61</v>
      </c>
      <c r="F134" s="53" t="s">
        <v>181</v>
      </c>
      <c r="G134" s="53" t="s">
        <v>324</v>
      </c>
      <c r="H134" s="53" t="s">
        <v>30</v>
      </c>
      <c r="I134" s="53">
        <v>2</v>
      </c>
      <c r="J134" s="54">
        <v>950</v>
      </c>
      <c r="K134" s="54">
        <f t="shared" si="12"/>
        <v>1900</v>
      </c>
      <c r="L134" s="62" t="b">
        <v>1</v>
      </c>
      <c r="M134" s="56">
        <v>220120241737</v>
      </c>
      <c r="N134" s="64" t="b">
        <v>1</v>
      </c>
      <c r="O134" s="58" t="s">
        <v>31</v>
      </c>
      <c r="P134" s="65" t="b">
        <v>1</v>
      </c>
      <c r="Q134" s="78"/>
      <c r="R134" s="60"/>
      <c r="S134" s="47" t="b">
        <v>1</v>
      </c>
      <c r="T134" s="61" t="s">
        <v>325</v>
      </c>
      <c r="U134" s="54">
        <f>2*375</f>
        <v>750</v>
      </c>
      <c r="V134" s="54">
        <f t="shared" si="1"/>
        <v>1150</v>
      </c>
      <c r="W134" s="49"/>
      <c r="X134" s="49"/>
    </row>
    <row r="135" spans="1:24" ht="15.75" customHeight="1">
      <c r="A135" s="50">
        <v>129</v>
      </c>
      <c r="B135" s="51"/>
      <c r="C135" s="84">
        <v>45313</v>
      </c>
      <c r="D135" s="53" t="s">
        <v>104</v>
      </c>
      <c r="E135" s="53" t="s">
        <v>61</v>
      </c>
      <c r="F135" s="53" t="s">
        <v>181</v>
      </c>
      <c r="G135" s="53" t="s">
        <v>236</v>
      </c>
      <c r="H135" s="53" t="s">
        <v>30</v>
      </c>
      <c r="I135" s="53">
        <v>6</v>
      </c>
      <c r="J135" s="54">
        <v>175</v>
      </c>
      <c r="K135" s="54">
        <f t="shared" si="12"/>
        <v>1050</v>
      </c>
      <c r="L135" s="62" t="b">
        <v>1</v>
      </c>
      <c r="M135" s="56">
        <v>220120241737</v>
      </c>
      <c r="N135" s="64" t="b">
        <v>1</v>
      </c>
      <c r="O135" s="58" t="s">
        <v>31</v>
      </c>
      <c r="P135" s="65" t="b">
        <v>1</v>
      </c>
      <c r="Q135" s="78"/>
      <c r="R135" s="60"/>
      <c r="S135" s="47" t="b">
        <v>1</v>
      </c>
      <c r="T135" s="61" t="s">
        <v>325</v>
      </c>
      <c r="U135" s="54">
        <f>I135*130</f>
        <v>780</v>
      </c>
      <c r="V135" s="54">
        <f t="shared" si="1"/>
        <v>270</v>
      </c>
      <c r="W135" s="49"/>
      <c r="X135" s="49"/>
    </row>
    <row r="136" spans="1:24" ht="15.75" customHeight="1">
      <c r="A136" s="50">
        <v>130</v>
      </c>
      <c r="B136" s="51"/>
      <c r="C136" s="52">
        <v>45314</v>
      </c>
      <c r="D136" s="53" t="s">
        <v>144</v>
      </c>
      <c r="E136" s="53" t="s">
        <v>326</v>
      </c>
      <c r="F136" s="53" t="s">
        <v>327</v>
      </c>
      <c r="G136" s="53" t="s">
        <v>58</v>
      </c>
      <c r="H136" s="53" t="s">
        <v>30</v>
      </c>
      <c r="I136" s="53">
        <v>84</v>
      </c>
      <c r="J136" s="54">
        <v>30</v>
      </c>
      <c r="K136" s="54">
        <f t="shared" si="12"/>
        <v>2520</v>
      </c>
      <c r="L136" s="62" t="b">
        <v>1</v>
      </c>
      <c r="M136" s="56">
        <v>230120231405</v>
      </c>
      <c r="N136" s="64" t="b">
        <v>1</v>
      </c>
      <c r="O136" s="58" t="s">
        <v>31</v>
      </c>
      <c r="P136" s="65" t="b">
        <v>1</v>
      </c>
      <c r="Q136" s="78"/>
      <c r="R136" s="60"/>
      <c r="S136" s="47" t="b">
        <v>1</v>
      </c>
      <c r="T136" s="61" t="s">
        <v>328</v>
      </c>
      <c r="U136" s="54">
        <f>84*21</f>
        <v>1764</v>
      </c>
      <c r="V136" s="54">
        <f t="shared" si="1"/>
        <v>756</v>
      </c>
      <c r="W136" s="49"/>
      <c r="X136" s="49"/>
    </row>
    <row r="137" spans="1:24" ht="15.75" customHeight="1">
      <c r="A137" s="50">
        <v>131</v>
      </c>
      <c r="B137" s="51"/>
      <c r="C137" s="52">
        <v>45314</v>
      </c>
      <c r="D137" s="53" t="s">
        <v>51</v>
      </c>
      <c r="E137" s="53" t="s">
        <v>201</v>
      </c>
      <c r="F137" s="53" t="s">
        <v>202</v>
      </c>
      <c r="G137" s="53" t="s">
        <v>68</v>
      </c>
      <c r="H137" s="53" t="s">
        <v>30</v>
      </c>
      <c r="I137" s="53">
        <v>2</v>
      </c>
      <c r="J137" s="54">
        <v>2149</v>
      </c>
      <c r="K137" s="54">
        <f t="shared" si="12"/>
        <v>4298</v>
      </c>
      <c r="L137" s="62" t="b">
        <v>1</v>
      </c>
      <c r="M137" s="56">
        <v>230120241408</v>
      </c>
      <c r="N137" s="64" t="b">
        <v>1</v>
      </c>
      <c r="O137" s="58" t="s">
        <v>31</v>
      </c>
      <c r="P137" s="65" t="b">
        <v>1</v>
      </c>
      <c r="Q137" s="78"/>
      <c r="R137" s="60"/>
      <c r="S137" s="47" t="b">
        <v>1</v>
      </c>
      <c r="T137" s="61" t="s">
        <v>329</v>
      </c>
      <c r="U137" s="54">
        <f>6000*0.3194</f>
        <v>1916.4</v>
      </c>
      <c r="V137" s="54">
        <f t="shared" si="1"/>
        <v>2381.6</v>
      </c>
      <c r="W137" s="49"/>
      <c r="X137" s="49"/>
    </row>
    <row r="138" spans="1:24" ht="15.75" customHeight="1">
      <c r="A138" s="50">
        <v>132</v>
      </c>
      <c r="B138" s="51"/>
      <c r="C138" s="52">
        <v>45314</v>
      </c>
      <c r="D138" s="53" t="s">
        <v>41</v>
      </c>
      <c r="E138" s="53" t="s">
        <v>42</v>
      </c>
      <c r="F138" s="53" t="s">
        <v>209</v>
      </c>
      <c r="G138" s="53" t="s">
        <v>330</v>
      </c>
      <c r="H138" s="53" t="s">
        <v>30</v>
      </c>
      <c r="I138" s="53">
        <v>15</v>
      </c>
      <c r="J138" s="54">
        <v>195</v>
      </c>
      <c r="K138" s="54">
        <f t="shared" si="12"/>
        <v>2925</v>
      </c>
      <c r="L138" s="62" t="b">
        <v>1</v>
      </c>
      <c r="M138" s="56">
        <v>240120241440</v>
      </c>
      <c r="N138" s="64" t="b">
        <v>1</v>
      </c>
      <c r="O138" s="58" t="s">
        <v>31</v>
      </c>
      <c r="P138" s="65" t="b">
        <v>1</v>
      </c>
      <c r="Q138" s="78"/>
      <c r="R138" s="60"/>
      <c r="S138" s="47" t="b">
        <v>1</v>
      </c>
      <c r="T138" s="61" t="s">
        <v>331</v>
      </c>
      <c r="U138" s="54">
        <f>15*100</f>
        <v>1500</v>
      </c>
      <c r="V138" s="54">
        <f t="shared" si="1"/>
        <v>1425</v>
      </c>
      <c r="W138" s="49"/>
      <c r="X138" s="49"/>
    </row>
    <row r="139" spans="1:24" ht="15.75" customHeight="1">
      <c r="A139" s="50">
        <v>133</v>
      </c>
      <c r="B139" s="51"/>
      <c r="C139" s="52">
        <v>45314</v>
      </c>
      <c r="D139" s="53" t="s">
        <v>104</v>
      </c>
      <c r="E139" s="53" t="s">
        <v>332</v>
      </c>
      <c r="F139" s="53" t="s">
        <v>333</v>
      </c>
      <c r="G139" s="53" t="s">
        <v>229</v>
      </c>
      <c r="H139" s="53" t="s">
        <v>30</v>
      </c>
      <c r="I139" s="53">
        <v>4</v>
      </c>
      <c r="J139" s="54">
        <v>535</v>
      </c>
      <c r="K139" s="54">
        <f t="shared" si="12"/>
        <v>2140</v>
      </c>
      <c r="L139" s="62" t="b">
        <v>1</v>
      </c>
      <c r="M139" s="56">
        <v>240120241800</v>
      </c>
      <c r="N139" s="64" t="b">
        <v>1</v>
      </c>
      <c r="O139" s="58"/>
      <c r="P139" s="65" t="b">
        <v>1</v>
      </c>
      <c r="Q139" s="78"/>
      <c r="R139" s="60"/>
      <c r="S139" s="47" t="b">
        <v>1</v>
      </c>
      <c r="T139" s="61" t="s">
        <v>334</v>
      </c>
      <c r="U139" s="54">
        <f>5*350</f>
        <v>1750</v>
      </c>
      <c r="V139" s="54">
        <f t="shared" si="1"/>
        <v>390</v>
      </c>
      <c r="W139" s="49"/>
      <c r="X139" s="49"/>
    </row>
    <row r="140" spans="1:24" ht="15.75" customHeight="1">
      <c r="A140" s="50">
        <v>134</v>
      </c>
      <c r="B140" s="51"/>
      <c r="C140" s="52">
        <v>45314</v>
      </c>
      <c r="D140" s="53" t="s">
        <v>104</v>
      </c>
      <c r="E140" s="53" t="s">
        <v>332</v>
      </c>
      <c r="F140" s="53" t="s">
        <v>333</v>
      </c>
      <c r="G140" s="53" t="s">
        <v>124</v>
      </c>
      <c r="H140" s="53" t="s">
        <v>30</v>
      </c>
      <c r="I140" s="53">
        <v>1</v>
      </c>
      <c r="J140" s="54">
        <v>585</v>
      </c>
      <c r="K140" s="54">
        <f t="shared" si="12"/>
        <v>585</v>
      </c>
      <c r="L140" s="62" t="b">
        <v>1</v>
      </c>
      <c r="M140" s="56">
        <v>240120241800</v>
      </c>
      <c r="N140" s="64" t="b">
        <v>1</v>
      </c>
      <c r="O140" s="58"/>
      <c r="P140" s="65" t="b">
        <v>1</v>
      </c>
      <c r="Q140" s="78"/>
      <c r="R140" s="60"/>
      <c r="S140" s="47" t="b">
        <v>1</v>
      </c>
      <c r="T140" s="61" t="s">
        <v>334</v>
      </c>
      <c r="U140" s="54">
        <f>1*400</f>
        <v>400</v>
      </c>
      <c r="V140" s="54">
        <f t="shared" si="1"/>
        <v>185</v>
      </c>
      <c r="W140" s="49"/>
      <c r="X140" s="49"/>
    </row>
    <row r="141" spans="1:24" ht="15.75" customHeight="1">
      <c r="A141" s="50">
        <v>135</v>
      </c>
      <c r="B141" s="51"/>
      <c r="C141" s="52">
        <v>45315</v>
      </c>
      <c r="D141" s="53" t="s">
        <v>51</v>
      </c>
      <c r="E141" s="53" t="s">
        <v>335</v>
      </c>
      <c r="F141" s="53" t="s">
        <v>336</v>
      </c>
      <c r="G141" s="53" t="s">
        <v>68</v>
      </c>
      <c r="H141" s="53" t="s">
        <v>30</v>
      </c>
      <c r="I141" s="53">
        <v>6</v>
      </c>
      <c r="J141" s="54">
        <v>2149</v>
      </c>
      <c r="K141" s="54">
        <f t="shared" si="12"/>
        <v>12894</v>
      </c>
      <c r="L141" s="62" t="b">
        <v>1</v>
      </c>
      <c r="M141" s="56">
        <v>240120241609</v>
      </c>
      <c r="N141" s="64" t="b">
        <v>1</v>
      </c>
      <c r="O141" s="58" t="s">
        <v>31</v>
      </c>
      <c r="P141" s="65" t="b">
        <v>1</v>
      </c>
      <c r="Q141" s="78"/>
      <c r="R141" s="60"/>
      <c r="S141" s="47" t="b">
        <v>1</v>
      </c>
      <c r="T141" s="61" t="s">
        <v>337</v>
      </c>
      <c r="U141" s="54">
        <f>18000*0.3194</f>
        <v>5749.2000000000007</v>
      </c>
      <c r="V141" s="54">
        <f t="shared" si="1"/>
        <v>7144.7999999999993</v>
      </c>
      <c r="W141" s="49"/>
      <c r="X141" s="49"/>
    </row>
    <row r="142" spans="1:24" ht="15.75" customHeight="1">
      <c r="A142" s="50">
        <v>136</v>
      </c>
      <c r="B142" s="51"/>
      <c r="C142" s="52">
        <v>45315</v>
      </c>
      <c r="D142" s="53" t="s">
        <v>51</v>
      </c>
      <c r="E142" s="53" t="s">
        <v>338</v>
      </c>
      <c r="F142" s="53" t="s">
        <v>339</v>
      </c>
      <c r="G142" s="53" t="s">
        <v>68</v>
      </c>
      <c r="H142" s="53" t="s">
        <v>30</v>
      </c>
      <c r="I142" s="53">
        <v>3</v>
      </c>
      <c r="J142" s="54">
        <v>2149</v>
      </c>
      <c r="K142" s="54">
        <f t="shared" si="12"/>
        <v>6447</v>
      </c>
      <c r="L142" s="62" t="b">
        <v>1</v>
      </c>
      <c r="M142" s="56">
        <v>240120241609</v>
      </c>
      <c r="N142" s="64" t="b">
        <v>1</v>
      </c>
      <c r="O142" s="58" t="s">
        <v>31</v>
      </c>
      <c r="P142" s="65" t="b">
        <v>1</v>
      </c>
      <c r="Q142" s="78"/>
      <c r="R142" s="60"/>
      <c r="S142" s="47" t="b">
        <v>1</v>
      </c>
      <c r="T142" s="61" t="s">
        <v>340</v>
      </c>
      <c r="U142" s="54">
        <f>9000*0.3194</f>
        <v>2874.6000000000004</v>
      </c>
      <c r="V142" s="54">
        <f t="shared" si="1"/>
        <v>3572.3999999999996</v>
      </c>
      <c r="W142" s="49"/>
      <c r="X142" s="49"/>
    </row>
    <row r="143" spans="1:24" ht="15.75" customHeight="1">
      <c r="A143" s="50">
        <v>137</v>
      </c>
      <c r="B143" s="51"/>
      <c r="C143" s="52">
        <v>45315</v>
      </c>
      <c r="D143" s="53" t="s">
        <v>341</v>
      </c>
      <c r="E143" s="53" t="s">
        <v>342</v>
      </c>
      <c r="F143" s="53" t="s">
        <v>343</v>
      </c>
      <c r="G143" s="53" t="s">
        <v>68</v>
      </c>
      <c r="H143" s="53" t="s">
        <v>30</v>
      </c>
      <c r="I143" s="53">
        <v>2</v>
      </c>
      <c r="J143" s="54">
        <v>2149</v>
      </c>
      <c r="K143" s="54">
        <f t="shared" si="12"/>
        <v>4298</v>
      </c>
      <c r="L143" s="62" t="b">
        <v>1</v>
      </c>
      <c r="M143" s="56">
        <v>240120241609</v>
      </c>
      <c r="N143" s="64" t="b">
        <v>1</v>
      </c>
      <c r="O143" s="58" t="s">
        <v>31</v>
      </c>
      <c r="P143" s="65" t="b">
        <v>1</v>
      </c>
      <c r="Q143" s="78"/>
      <c r="R143" s="60"/>
      <c r="S143" s="47" t="b">
        <v>1</v>
      </c>
      <c r="T143" s="61" t="s">
        <v>344</v>
      </c>
      <c r="U143" s="54">
        <f>6000*0.3194</f>
        <v>1916.4</v>
      </c>
      <c r="V143" s="54">
        <f t="shared" si="1"/>
        <v>2381.6</v>
      </c>
      <c r="W143" s="49"/>
      <c r="X143" s="49"/>
    </row>
    <row r="144" spans="1:24" ht="15.75" customHeight="1">
      <c r="A144" s="50">
        <v>138</v>
      </c>
      <c r="B144" s="51"/>
      <c r="C144" s="52">
        <v>45315</v>
      </c>
      <c r="D144" s="53" t="s">
        <v>345</v>
      </c>
      <c r="E144" s="53" t="s">
        <v>342</v>
      </c>
      <c r="F144" s="53" t="s">
        <v>343</v>
      </c>
      <c r="G144" s="53" t="s">
        <v>346</v>
      </c>
      <c r="H144" s="53" t="s">
        <v>30</v>
      </c>
      <c r="I144" s="53">
        <v>2</v>
      </c>
      <c r="J144" s="54">
        <v>950</v>
      </c>
      <c r="K144" s="54">
        <f t="shared" si="12"/>
        <v>1900</v>
      </c>
      <c r="L144" s="62" t="b">
        <v>1</v>
      </c>
      <c r="M144" s="56">
        <v>240120241609</v>
      </c>
      <c r="N144" s="64" t="b">
        <v>1</v>
      </c>
      <c r="O144" s="58" t="s">
        <v>31</v>
      </c>
      <c r="P144" s="65" t="b">
        <v>1</v>
      </c>
      <c r="Q144" s="78"/>
      <c r="R144" s="60"/>
      <c r="S144" s="47" t="b">
        <v>1</v>
      </c>
      <c r="T144" s="61" t="s">
        <v>347</v>
      </c>
      <c r="U144" s="54">
        <f>6000*0.125</f>
        <v>750</v>
      </c>
      <c r="V144" s="54">
        <f t="shared" si="1"/>
        <v>1150</v>
      </c>
      <c r="W144" s="49"/>
      <c r="X144" s="49"/>
    </row>
    <row r="145" spans="1:24" ht="15.75" customHeight="1">
      <c r="A145" s="50">
        <v>139</v>
      </c>
      <c r="B145" s="51"/>
      <c r="C145" s="52">
        <v>45315</v>
      </c>
      <c r="D145" s="53" t="s">
        <v>41</v>
      </c>
      <c r="E145" s="53" t="s">
        <v>74</v>
      </c>
      <c r="F145" s="53" t="s">
        <v>75</v>
      </c>
      <c r="G145" s="53" t="s">
        <v>177</v>
      </c>
      <c r="H145" s="53" t="s">
        <v>30</v>
      </c>
      <c r="I145" s="53">
        <v>10</v>
      </c>
      <c r="J145" s="54">
        <v>795</v>
      </c>
      <c r="K145" s="54">
        <f t="shared" si="12"/>
        <v>7950</v>
      </c>
      <c r="L145" s="62" t="b">
        <v>1</v>
      </c>
      <c r="M145" s="56">
        <v>240120241816</v>
      </c>
      <c r="N145" s="57" t="b">
        <v>1</v>
      </c>
      <c r="O145" s="63" t="s">
        <v>31</v>
      </c>
      <c r="P145" s="59" t="b">
        <v>1</v>
      </c>
      <c r="Q145" s="43"/>
      <c r="R145" s="60"/>
      <c r="S145" s="47" t="b">
        <v>1</v>
      </c>
      <c r="T145" s="61" t="s">
        <v>348</v>
      </c>
      <c r="U145" s="54">
        <f>10*385</f>
        <v>3850</v>
      </c>
      <c r="V145" s="54">
        <f t="shared" si="1"/>
        <v>4100</v>
      </c>
      <c r="W145" s="49"/>
      <c r="X145" s="49"/>
    </row>
    <row r="146" spans="1:24" ht="15.75" customHeight="1">
      <c r="A146" s="50">
        <v>140</v>
      </c>
      <c r="B146" s="51"/>
      <c r="C146" s="52">
        <v>45315</v>
      </c>
      <c r="D146" s="53" t="s">
        <v>51</v>
      </c>
      <c r="E146" s="53" t="s">
        <v>66</v>
      </c>
      <c r="F146" s="53" t="s">
        <v>349</v>
      </c>
      <c r="G146" s="53" t="s">
        <v>350</v>
      </c>
      <c r="H146" s="53" t="s">
        <v>30</v>
      </c>
      <c r="I146" s="53">
        <v>2</v>
      </c>
      <c r="J146" s="54">
        <v>1150</v>
      </c>
      <c r="K146" s="54">
        <f t="shared" si="12"/>
        <v>2300</v>
      </c>
      <c r="L146" s="62" t="b">
        <v>1</v>
      </c>
      <c r="M146" s="56">
        <v>240120241819</v>
      </c>
      <c r="N146" s="64" t="b">
        <v>1</v>
      </c>
      <c r="O146" s="58" t="s">
        <v>351</v>
      </c>
      <c r="P146" s="65" t="b">
        <v>1</v>
      </c>
      <c r="Q146" s="78"/>
      <c r="R146" s="60"/>
      <c r="S146" s="47" t="b">
        <v>1</v>
      </c>
      <c r="T146" s="61" t="s">
        <v>352</v>
      </c>
      <c r="U146" s="54">
        <v>1600</v>
      </c>
      <c r="V146" s="54">
        <f t="shared" si="1"/>
        <v>700</v>
      </c>
      <c r="W146" s="49"/>
      <c r="X146" s="49"/>
    </row>
    <row r="147" spans="1:24" ht="15.75" customHeight="1">
      <c r="A147" s="50">
        <v>141</v>
      </c>
      <c r="B147" s="51"/>
      <c r="C147" s="52">
        <v>45316</v>
      </c>
      <c r="D147" s="53" t="s">
        <v>51</v>
      </c>
      <c r="E147" s="53" t="s">
        <v>137</v>
      </c>
      <c r="F147" s="53" t="s">
        <v>138</v>
      </c>
      <c r="G147" s="53" t="s">
        <v>49</v>
      </c>
      <c r="H147" s="53" t="s">
        <v>30</v>
      </c>
      <c r="I147" s="53">
        <v>2</v>
      </c>
      <c r="J147" s="54">
        <v>695</v>
      </c>
      <c r="K147" s="54">
        <f t="shared" si="12"/>
        <v>1390</v>
      </c>
      <c r="L147" s="62" t="b">
        <v>1</v>
      </c>
      <c r="M147" s="56">
        <v>250120240954</v>
      </c>
      <c r="N147" s="64" t="b">
        <v>1</v>
      </c>
      <c r="O147" s="58"/>
      <c r="P147" s="65" t="b">
        <v>1</v>
      </c>
      <c r="Q147" s="78"/>
      <c r="R147" s="60"/>
      <c r="S147" s="47" t="b">
        <v>1</v>
      </c>
      <c r="T147" s="61" t="s">
        <v>353</v>
      </c>
      <c r="U147" s="54">
        <f>2000*0.465</f>
        <v>930</v>
      </c>
      <c r="V147" s="54">
        <f t="shared" si="1"/>
        <v>460</v>
      </c>
      <c r="W147" s="49"/>
      <c r="X147" s="49"/>
    </row>
    <row r="148" spans="1:24" ht="15.75" customHeight="1">
      <c r="A148" s="50">
        <v>142</v>
      </c>
      <c r="B148" s="51"/>
      <c r="C148" s="52">
        <v>45317</v>
      </c>
      <c r="D148" s="53" t="s">
        <v>108</v>
      </c>
      <c r="E148" s="53" t="s">
        <v>109</v>
      </c>
      <c r="F148" s="53" t="s">
        <v>110</v>
      </c>
      <c r="G148" s="53" t="s">
        <v>49</v>
      </c>
      <c r="H148" s="53" t="s">
        <v>30</v>
      </c>
      <c r="I148" s="53">
        <v>20</v>
      </c>
      <c r="J148" s="54">
        <v>695</v>
      </c>
      <c r="K148" s="54">
        <f t="shared" si="12"/>
        <v>13900</v>
      </c>
      <c r="L148" s="62" t="b">
        <v>1</v>
      </c>
      <c r="M148" s="56">
        <v>260120240916</v>
      </c>
      <c r="N148" s="64" t="b">
        <v>1</v>
      </c>
      <c r="O148" s="58" t="s">
        <v>39</v>
      </c>
      <c r="P148" s="65" t="b">
        <v>1</v>
      </c>
      <c r="Q148" s="78"/>
      <c r="R148" s="60"/>
      <c r="S148" s="47" t="b">
        <v>1</v>
      </c>
      <c r="T148" s="61" t="s">
        <v>354</v>
      </c>
      <c r="U148" s="54">
        <f>20000*0.465</f>
        <v>9300</v>
      </c>
      <c r="V148" s="54">
        <f t="shared" si="1"/>
        <v>4600</v>
      </c>
      <c r="W148" s="49"/>
      <c r="X148" s="49"/>
    </row>
    <row r="149" spans="1:24" ht="15.75" customHeight="1">
      <c r="A149" s="50">
        <v>143</v>
      </c>
      <c r="B149" s="51"/>
      <c r="C149" s="52">
        <v>45317</v>
      </c>
      <c r="D149" s="53" t="s">
        <v>108</v>
      </c>
      <c r="E149" s="53" t="s">
        <v>109</v>
      </c>
      <c r="F149" s="53" t="s">
        <v>110</v>
      </c>
      <c r="G149" s="80" t="s">
        <v>300</v>
      </c>
      <c r="H149" s="53" t="s">
        <v>30</v>
      </c>
      <c r="I149" s="53">
        <v>20</v>
      </c>
      <c r="J149" s="54">
        <v>110</v>
      </c>
      <c r="K149" s="54">
        <f t="shared" si="12"/>
        <v>2200</v>
      </c>
      <c r="L149" s="62" t="b">
        <v>1</v>
      </c>
      <c r="M149" s="56">
        <v>260120240916</v>
      </c>
      <c r="N149" s="64" t="b">
        <v>1</v>
      </c>
      <c r="O149" s="58"/>
      <c r="P149" s="65" t="b">
        <v>1</v>
      </c>
      <c r="Q149" s="78"/>
      <c r="R149" s="60"/>
      <c r="S149" s="47" t="b">
        <v>1</v>
      </c>
      <c r="T149" s="61" t="s">
        <v>355</v>
      </c>
      <c r="U149" s="54">
        <f>I149*30</f>
        <v>600</v>
      </c>
      <c r="V149" s="54">
        <f t="shared" si="1"/>
        <v>1600</v>
      </c>
      <c r="W149" s="49"/>
      <c r="X149" s="49"/>
    </row>
    <row r="150" spans="1:24" ht="15.75" customHeight="1">
      <c r="A150" s="50">
        <v>144</v>
      </c>
      <c r="B150" s="51"/>
      <c r="C150" s="52">
        <v>45317</v>
      </c>
      <c r="D150" s="53" t="s">
        <v>144</v>
      </c>
      <c r="E150" s="53" t="s">
        <v>285</v>
      </c>
      <c r="F150" s="53" t="s">
        <v>286</v>
      </c>
      <c r="G150" s="53" t="s">
        <v>96</v>
      </c>
      <c r="H150" s="53" t="s">
        <v>30</v>
      </c>
      <c r="I150" s="53">
        <v>2</v>
      </c>
      <c r="J150" s="54">
        <v>1250</v>
      </c>
      <c r="K150" s="54">
        <f t="shared" si="12"/>
        <v>2500</v>
      </c>
      <c r="L150" s="62" t="b">
        <v>1</v>
      </c>
      <c r="M150" s="56">
        <v>260120242048</v>
      </c>
      <c r="N150" s="64" t="b">
        <v>1</v>
      </c>
      <c r="O150" s="58" t="s">
        <v>351</v>
      </c>
      <c r="P150" s="65" t="b">
        <v>1</v>
      </c>
      <c r="Q150" s="78"/>
      <c r="R150" s="60"/>
      <c r="S150" s="47" t="b">
        <v>1</v>
      </c>
      <c r="T150" s="61" t="s">
        <v>356</v>
      </c>
      <c r="U150" s="54">
        <f>2*862.5</f>
        <v>1725</v>
      </c>
      <c r="V150" s="54">
        <f t="shared" si="1"/>
        <v>775</v>
      </c>
      <c r="W150" s="49"/>
      <c r="X150" s="49"/>
    </row>
    <row r="151" spans="1:24" ht="16.5" customHeight="1">
      <c r="A151" s="50">
        <v>145</v>
      </c>
      <c r="B151" s="51"/>
      <c r="C151" s="52">
        <v>45317</v>
      </c>
      <c r="D151" s="53" t="s">
        <v>144</v>
      </c>
      <c r="E151" s="53" t="s">
        <v>285</v>
      </c>
      <c r="F151" s="53" t="s">
        <v>286</v>
      </c>
      <c r="G151" s="53" t="s">
        <v>357</v>
      </c>
      <c r="H151" s="53" t="s">
        <v>30</v>
      </c>
      <c r="I151" s="53">
        <v>2</v>
      </c>
      <c r="J151" s="75">
        <v>550</v>
      </c>
      <c r="K151" s="54">
        <f t="shared" si="12"/>
        <v>1100</v>
      </c>
      <c r="L151" s="62" t="b">
        <v>1</v>
      </c>
      <c r="M151" s="56">
        <v>260120242057</v>
      </c>
      <c r="N151" s="64" t="b">
        <v>1</v>
      </c>
      <c r="O151" s="58" t="s">
        <v>351</v>
      </c>
      <c r="P151" s="65" t="b">
        <v>1</v>
      </c>
      <c r="Q151" s="78"/>
      <c r="R151" s="60"/>
      <c r="S151" s="47" t="b">
        <v>1</v>
      </c>
      <c r="T151" s="61" t="s">
        <v>356</v>
      </c>
      <c r="U151" s="54">
        <f>2*330</f>
        <v>660</v>
      </c>
      <c r="V151" s="54">
        <f t="shared" si="1"/>
        <v>440</v>
      </c>
      <c r="W151" s="49"/>
      <c r="X151" s="49"/>
    </row>
    <row r="152" spans="1:24" ht="15.75" customHeight="1">
      <c r="A152" s="50">
        <v>146</v>
      </c>
      <c r="B152" s="51"/>
      <c r="C152" s="52">
        <v>45317</v>
      </c>
      <c r="D152" s="53" t="s">
        <v>144</v>
      </c>
      <c r="E152" s="53" t="s">
        <v>285</v>
      </c>
      <c r="F152" s="53" t="s">
        <v>286</v>
      </c>
      <c r="G152" s="53" t="s">
        <v>358</v>
      </c>
      <c r="H152" s="53" t="s">
        <v>30</v>
      </c>
      <c r="I152" s="53">
        <v>2</v>
      </c>
      <c r="J152" s="54">
        <v>650</v>
      </c>
      <c r="K152" s="54">
        <f t="shared" si="12"/>
        <v>1300</v>
      </c>
      <c r="L152" s="62" t="b">
        <v>1</v>
      </c>
      <c r="M152" s="56">
        <v>260120242057</v>
      </c>
      <c r="N152" s="64" t="b">
        <v>1</v>
      </c>
      <c r="O152" s="58" t="s">
        <v>351</v>
      </c>
      <c r="P152" s="65" t="b">
        <v>1</v>
      </c>
      <c r="Q152" s="78"/>
      <c r="S152" s="47" t="b">
        <v>1</v>
      </c>
      <c r="T152" s="61" t="s">
        <v>356</v>
      </c>
      <c r="U152" s="54">
        <f>2*428</f>
        <v>856</v>
      </c>
      <c r="V152" s="54">
        <f t="shared" si="1"/>
        <v>444</v>
      </c>
      <c r="W152" s="49"/>
      <c r="X152" s="49"/>
    </row>
    <row r="153" spans="1:24" ht="15.75" customHeight="1">
      <c r="A153" s="50">
        <v>147</v>
      </c>
      <c r="B153" s="51"/>
      <c r="C153" s="52">
        <v>45320</v>
      </c>
      <c r="D153" s="53" t="s">
        <v>225</v>
      </c>
      <c r="E153" s="53" t="s">
        <v>359</v>
      </c>
      <c r="F153" s="53" t="s">
        <v>360</v>
      </c>
      <c r="G153" s="54" t="s">
        <v>361</v>
      </c>
      <c r="H153" s="53" t="s">
        <v>30</v>
      </c>
      <c r="I153" s="53">
        <v>9</v>
      </c>
      <c r="J153" s="75">
        <v>105</v>
      </c>
      <c r="K153" s="54">
        <f t="shared" si="12"/>
        <v>945</v>
      </c>
      <c r="L153" s="62" t="b">
        <v>1</v>
      </c>
      <c r="M153" s="56">
        <v>290120240924</v>
      </c>
      <c r="N153" s="64" t="b">
        <v>1</v>
      </c>
      <c r="O153" s="58" t="s">
        <v>31</v>
      </c>
      <c r="P153" s="65" t="b">
        <v>1</v>
      </c>
      <c r="Q153" s="78"/>
      <c r="R153" s="60"/>
      <c r="S153" s="47" t="b">
        <v>1</v>
      </c>
      <c r="T153" s="61" t="s">
        <v>362</v>
      </c>
      <c r="U153" s="54">
        <f>9*75</f>
        <v>675</v>
      </c>
      <c r="V153" s="54">
        <f t="shared" si="1"/>
        <v>270</v>
      </c>
      <c r="W153" s="49"/>
      <c r="X153" s="49"/>
    </row>
    <row r="154" spans="1:24" ht="15.75" customHeight="1">
      <c r="A154" s="50">
        <v>148</v>
      </c>
      <c r="B154" s="51"/>
      <c r="C154" s="52">
        <v>45320</v>
      </c>
      <c r="D154" s="53" t="s">
        <v>104</v>
      </c>
      <c r="E154" s="53" t="s">
        <v>296</v>
      </c>
      <c r="F154" s="53" t="s">
        <v>297</v>
      </c>
      <c r="G154" s="53" t="s">
        <v>236</v>
      </c>
      <c r="H154" s="53" t="s">
        <v>30</v>
      </c>
      <c r="I154" s="53">
        <v>6</v>
      </c>
      <c r="J154" s="75">
        <v>140</v>
      </c>
      <c r="K154" s="54">
        <f t="shared" si="12"/>
        <v>840</v>
      </c>
      <c r="L154" s="62" t="b">
        <v>1</v>
      </c>
      <c r="M154" s="56">
        <v>290120241603</v>
      </c>
      <c r="N154" s="64" t="b">
        <v>1</v>
      </c>
      <c r="O154" s="58" t="s">
        <v>31</v>
      </c>
      <c r="P154" s="65" t="b">
        <v>1</v>
      </c>
      <c r="Q154" s="78"/>
      <c r="R154" s="60"/>
      <c r="S154" s="47" t="b">
        <v>1</v>
      </c>
      <c r="T154" s="61" t="s">
        <v>363</v>
      </c>
      <c r="U154" s="54">
        <f>6*80</f>
        <v>480</v>
      </c>
      <c r="V154" s="54">
        <f t="shared" si="1"/>
        <v>360</v>
      </c>
      <c r="W154" s="49"/>
      <c r="X154" s="49"/>
    </row>
    <row r="155" spans="1:24" ht="15.75" customHeight="1">
      <c r="A155" s="50">
        <v>149</v>
      </c>
      <c r="B155" s="51"/>
      <c r="C155" s="52">
        <v>45322</v>
      </c>
      <c r="D155" s="53" t="s">
        <v>108</v>
      </c>
      <c r="E155" s="53" t="s">
        <v>109</v>
      </c>
      <c r="F155" s="53" t="s">
        <v>110</v>
      </c>
      <c r="G155" s="53" t="s">
        <v>245</v>
      </c>
      <c r="H155" s="53" t="s">
        <v>30</v>
      </c>
      <c r="I155" s="53">
        <v>4</v>
      </c>
      <c r="J155" s="75">
        <v>165</v>
      </c>
      <c r="K155" s="54">
        <f t="shared" si="12"/>
        <v>660</v>
      </c>
      <c r="L155" s="62" t="b">
        <v>1</v>
      </c>
      <c r="M155" s="56">
        <v>310120241030</v>
      </c>
      <c r="N155" s="64" t="b">
        <v>1</v>
      </c>
      <c r="O155" s="58" t="s">
        <v>31</v>
      </c>
      <c r="P155" s="65" t="b">
        <v>1</v>
      </c>
      <c r="Q155" s="78"/>
      <c r="R155" s="60"/>
      <c r="S155" s="47" t="b">
        <v>1</v>
      </c>
      <c r="T155" s="61" t="s">
        <v>364</v>
      </c>
      <c r="U155" s="51"/>
      <c r="V155" s="54">
        <f t="shared" si="1"/>
        <v>660</v>
      </c>
      <c r="W155" s="49"/>
      <c r="X155" s="49"/>
    </row>
    <row r="156" spans="1:24" ht="15.75" customHeight="1">
      <c r="A156" s="50">
        <v>150</v>
      </c>
      <c r="B156" s="51"/>
      <c r="C156" s="52">
        <v>45322</v>
      </c>
      <c r="D156" s="53" t="s">
        <v>282</v>
      </c>
      <c r="E156" s="53" t="s">
        <v>74</v>
      </c>
      <c r="F156" s="53" t="s">
        <v>365</v>
      </c>
      <c r="G156" s="66" t="s">
        <v>366</v>
      </c>
      <c r="H156" s="53" t="s">
        <v>30</v>
      </c>
      <c r="I156" s="53">
        <v>6</v>
      </c>
      <c r="J156" s="75">
        <v>140</v>
      </c>
      <c r="K156" s="54">
        <f t="shared" si="12"/>
        <v>840</v>
      </c>
      <c r="L156" s="62" t="b">
        <v>1</v>
      </c>
      <c r="M156" s="56">
        <v>310120241311</v>
      </c>
      <c r="N156" s="64" t="b">
        <v>1</v>
      </c>
      <c r="O156" s="58" t="s">
        <v>31</v>
      </c>
      <c r="P156" s="65" t="b">
        <v>1</v>
      </c>
      <c r="Q156" s="78"/>
      <c r="R156" s="86"/>
      <c r="S156" s="47" t="b">
        <v>1</v>
      </c>
      <c r="T156" s="61" t="s">
        <v>367</v>
      </c>
      <c r="U156" s="54">
        <f>6*80</f>
        <v>480</v>
      </c>
      <c r="V156" s="54">
        <f t="shared" si="1"/>
        <v>360</v>
      </c>
      <c r="W156" s="49"/>
      <c r="X156" s="49"/>
    </row>
    <row r="157" spans="1:24" ht="15.75" customHeight="1">
      <c r="A157" s="50">
        <v>151</v>
      </c>
      <c r="B157" s="51"/>
      <c r="C157" s="52"/>
      <c r="D157" s="53"/>
      <c r="E157" s="53"/>
      <c r="F157" s="53"/>
      <c r="G157" s="66"/>
      <c r="H157" s="53" t="s">
        <v>30</v>
      </c>
      <c r="I157" s="53"/>
      <c r="J157" s="75"/>
      <c r="K157" s="54">
        <f t="shared" si="12"/>
        <v>0</v>
      </c>
      <c r="L157" s="62" t="b">
        <v>0</v>
      </c>
      <c r="M157" s="56"/>
      <c r="N157" s="64" t="b">
        <v>0</v>
      </c>
      <c r="O157" s="58"/>
      <c r="P157" s="65" t="b">
        <v>0</v>
      </c>
      <c r="Q157" s="78"/>
      <c r="R157" s="86"/>
      <c r="S157" s="87"/>
      <c r="T157" s="61"/>
      <c r="U157" s="51"/>
      <c r="V157" s="54">
        <f t="shared" si="1"/>
        <v>0</v>
      </c>
      <c r="W157" s="49"/>
      <c r="X157" s="49"/>
    </row>
    <row r="158" spans="1:24" ht="15.75" customHeight="1">
      <c r="A158" s="50">
        <v>152</v>
      </c>
      <c r="B158" s="51"/>
      <c r="C158" s="52"/>
      <c r="D158" s="53"/>
      <c r="E158" s="53"/>
      <c r="F158" s="53"/>
      <c r="G158" s="66"/>
      <c r="H158" s="53"/>
      <c r="I158" s="53"/>
      <c r="J158" s="75"/>
      <c r="K158" s="54">
        <f t="shared" si="12"/>
        <v>0</v>
      </c>
      <c r="L158" s="62" t="b">
        <v>0</v>
      </c>
      <c r="M158" s="56"/>
      <c r="N158" s="64" t="b">
        <v>0</v>
      </c>
      <c r="O158" s="58"/>
      <c r="P158" s="65" t="b">
        <v>0</v>
      </c>
      <c r="Q158" s="78"/>
      <c r="R158" s="60"/>
      <c r="S158" s="87"/>
      <c r="T158" s="61"/>
      <c r="U158" s="51"/>
      <c r="V158" s="54">
        <f t="shared" si="1"/>
        <v>0</v>
      </c>
      <c r="W158" s="49"/>
      <c r="X158" s="49"/>
    </row>
    <row r="159" spans="1:24" ht="15.75" customHeight="1">
      <c r="A159" s="50">
        <v>153</v>
      </c>
      <c r="B159" s="51"/>
      <c r="C159" s="52"/>
      <c r="D159" s="53"/>
      <c r="E159" s="53"/>
      <c r="F159" s="53"/>
      <c r="G159" s="66"/>
      <c r="H159" s="53"/>
      <c r="I159" s="53"/>
      <c r="J159" s="75"/>
      <c r="K159" s="54">
        <f t="shared" si="12"/>
        <v>0</v>
      </c>
      <c r="L159" s="62" t="b">
        <v>0</v>
      </c>
      <c r="M159" s="56"/>
      <c r="N159" s="64" t="b">
        <v>0</v>
      </c>
      <c r="O159" s="58"/>
      <c r="P159" s="65" t="b">
        <v>0</v>
      </c>
      <c r="Q159" s="78"/>
      <c r="R159" s="60"/>
      <c r="S159" s="87"/>
      <c r="T159" s="61"/>
      <c r="U159" s="51"/>
      <c r="V159" s="54">
        <f t="shared" si="1"/>
        <v>0</v>
      </c>
      <c r="W159" s="49"/>
      <c r="X159" s="49"/>
    </row>
    <row r="160" spans="1:24" ht="15.75" customHeight="1">
      <c r="A160" s="50">
        <v>154</v>
      </c>
      <c r="B160" s="51"/>
      <c r="C160" s="52"/>
      <c r="D160" s="53"/>
      <c r="E160" s="53"/>
      <c r="F160" s="53"/>
      <c r="G160" s="66"/>
      <c r="H160" s="53"/>
      <c r="I160" s="53"/>
      <c r="J160" s="75"/>
      <c r="K160" s="54">
        <f t="shared" si="12"/>
        <v>0</v>
      </c>
      <c r="L160" s="62" t="b">
        <v>0</v>
      </c>
      <c r="M160" s="56"/>
      <c r="N160" s="64" t="b">
        <v>0</v>
      </c>
      <c r="O160" s="58"/>
      <c r="P160" s="65" t="b">
        <v>0</v>
      </c>
      <c r="Q160" s="78"/>
      <c r="R160" s="60"/>
      <c r="S160" s="87"/>
      <c r="T160" s="61"/>
      <c r="U160" s="51"/>
      <c r="V160" s="54">
        <f t="shared" si="1"/>
        <v>0</v>
      </c>
      <c r="W160" s="49"/>
      <c r="X160" s="49"/>
    </row>
    <row r="161" spans="1:24" ht="15.75" customHeight="1">
      <c r="A161" s="50">
        <v>155</v>
      </c>
      <c r="B161" s="51"/>
      <c r="C161" s="52"/>
      <c r="D161" s="53"/>
      <c r="E161" s="53"/>
      <c r="F161" s="53"/>
      <c r="G161" s="66"/>
      <c r="H161" s="53"/>
      <c r="I161" s="53"/>
      <c r="J161" s="75"/>
      <c r="K161" s="54">
        <f t="shared" si="12"/>
        <v>0</v>
      </c>
      <c r="L161" s="62" t="b">
        <v>0</v>
      </c>
      <c r="M161" s="56"/>
      <c r="N161" s="64" t="b">
        <v>0</v>
      </c>
      <c r="O161" s="58"/>
      <c r="P161" s="65" t="b">
        <v>0</v>
      </c>
      <c r="Q161" s="78"/>
      <c r="R161" s="60"/>
      <c r="S161" s="47"/>
      <c r="T161" s="61"/>
      <c r="U161" s="51"/>
      <c r="V161" s="88">
        <f t="shared" si="1"/>
        <v>0</v>
      </c>
      <c r="W161" s="49"/>
      <c r="X161" s="49"/>
    </row>
    <row r="162" spans="1:24" ht="15.75" customHeight="1">
      <c r="A162" s="89"/>
      <c r="B162" s="51"/>
      <c r="C162" s="52"/>
      <c r="D162" s="53"/>
      <c r="E162" s="53"/>
      <c r="F162" s="53"/>
      <c r="G162" s="66"/>
      <c r="H162" s="53"/>
      <c r="I162" s="53"/>
      <c r="J162" s="75"/>
      <c r="K162" s="54">
        <f t="shared" si="12"/>
        <v>0</v>
      </c>
      <c r="L162" s="62" t="b">
        <v>0</v>
      </c>
      <c r="M162" s="56"/>
      <c r="N162" s="64" t="b">
        <v>0</v>
      </c>
      <c r="O162" s="58"/>
      <c r="P162" s="65" t="b">
        <v>0</v>
      </c>
      <c r="Q162" s="78"/>
      <c r="R162" s="60"/>
      <c r="S162" s="87"/>
      <c r="T162" s="61"/>
      <c r="U162" s="51"/>
      <c r="V162" s="88">
        <f t="shared" si="1"/>
        <v>0</v>
      </c>
      <c r="W162" s="49"/>
      <c r="X162" s="49"/>
    </row>
    <row r="163" spans="1:24" ht="15.75" customHeight="1">
      <c r="A163" s="89"/>
      <c r="B163" s="51"/>
      <c r="C163" s="52"/>
      <c r="D163" s="53"/>
      <c r="E163" s="53"/>
      <c r="F163" s="53"/>
      <c r="G163" s="66"/>
      <c r="H163" s="53"/>
      <c r="I163" s="53"/>
      <c r="J163" s="75"/>
      <c r="K163" s="54">
        <f t="shared" si="12"/>
        <v>0</v>
      </c>
      <c r="L163" s="62" t="b">
        <v>0</v>
      </c>
      <c r="M163" s="56"/>
      <c r="N163" s="57" t="b">
        <v>0</v>
      </c>
      <c r="O163" s="63"/>
      <c r="P163" s="59" t="b">
        <v>0</v>
      </c>
      <c r="Q163" s="43"/>
      <c r="R163" s="60"/>
      <c r="S163" s="87"/>
      <c r="T163" s="61"/>
      <c r="U163" s="51"/>
      <c r="V163" s="88">
        <f t="shared" si="1"/>
        <v>0</v>
      </c>
      <c r="W163" s="49"/>
      <c r="X163" s="49"/>
    </row>
    <row r="164" spans="1:24" ht="15.75" customHeight="1">
      <c r="A164" s="89"/>
      <c r="B164" s="51"/>
      <c r="C164" s="52"/>
      <c r="D164" s="53"/>
      <c r="E164" s="53"/>
      <c r="F164" s="53"/>
      <c r="G164" s="66"/>
      <c r="H164" s="53"/>
      <c r="I164" s="53"/>
      <c r="J164" s="75"/>
      <c r="K164" s="54">
        <f t="shared" si="12"/>
        <v>0</v>
      </c>
      <c r="L164" s="62" t="b">
        <v>0</v>
      </c>
      <c r="M164" s="56"/>
      <c r="N164" s="64" t="b">
        <v>0</v>
      </c>
      <c r="O164" s="58"/>
      <c r="P164" s="65" t="b">
        <v>0</v>
      </c>
      <c r="Q164" s="78"/>
      <c r="R164" s="60"/>
      <c r="S164" s="87"/>
      <c r="T164" s="61"/>
      <c r="U164" s="51"/>
      <c r="V164" s="88">
        <f t="shared" si="1"/>
        <v>0</v>
      </c>
      <c r="W164" s="49"/>
      <c r="X164" s="49"/>
    </row>
    <row r="165" spans="1:24" ht="15.75" customHeight="1">
      <c r="A165" s="89"/>
      <c r="B165" s="51"/>
      <c r="C165" s="52"/>
      <c r="D165" s="53"/>
      <c r="E165" s="53"/>
      <c r="F165" s="53"/>
      <c r="G165" s="66"/>
      <c r="H165" s="53"/>
      <c r="I165" s="53"/>
      <c r="J165" s="75"/>
      <c r="K165" s="54">
        <f t="shared" si="12"/>
        <v>0</v>
      </c>
      <c r="L165" s="62" t="b">
        <v>0</v>
      </c>
      <c r="M165" s="56"/>
      <c r="N165" s="64" t="b">
        <v>0</v>
      </c>
      <c r="O165" s="58"/>
      <c r="P165" s="65" t="b">
        <v>0</v>
      </c>
      <c r="Q165" s="78"/>
      <c r="R165" s="60"/>
      <c r="S165" s="87"/>
      <c r="T165" s="61"/>
      <c r="U165" s="51"/>
      <c r="V165" s="88">
        <f t="shared" si="1"/>
        <v>0</v>
      </c>
      <c r="W165" s="49"/>
      <c r="X165" s="49"/>
    </row>
    <row r="166" spans="1:24" ht="15.75" customHeight="1">
      <c r="A166" s="89"/>
      <c r="B166" s="51"/>
      <c r="C166" s="52"/>
      <c r="D166" s="53"/>
      <c r="E166" s="53"/>
      <c r="F166" s="53"/>
      <c r="G166" s="66"/>
      <c r="H166" s="53"/>
      <c r="I166" s="53"/>
      <c r="J166" s="75"/>
      <c r="K166" s="54">
        <f t="shared" si="12"/>
        <v>0</v>
      </c>
      <c r="L166" s="62" t="b">
        <v>0</v>
      </c>
      <c r="M166" s="56"/>
      <c r="N166" s="64" t="b">
        <v>0</v>
      </c>
      <c r="O166" s="58"/>
      <c r="P166" s="65" t="b">
        <v>0</v>
      </c>
      <c r="Q166" s="78"/>
      <c r="R166" s="60"/>
      <c r="S166" s="87"/>
      <c r="T166" s="61"/>
      <c r="U166" s="51"/>
      <c r="V166" s="88">
        <f t="shared" si="1"/>
        <v>0</v>
      </c>
      <c r="W166" s="49"/>
      <c r="X166" s="49"/>
    </row>
    <row r="167" spans="1:24" ht="15.75" customHeight="1">
      <c r="A167" s="89"/>
      <c r="B167" s="51"/>
      <c r="C167" s="52"/>
      <c r="D167" s="53"/>
      <c r="E167" s="53"/>
      <c r="F167" s="53"/>
      <c r="G167" s="66"/>
      <c r="H167" s="53"/>
      <c r="I167" s="53"/>
      <c r="J167" s="54"/>
      <c r="K167" s="54">
        <f t="shared" si="12"/>
        <v>0</v>
      </c>
      <c r="L167" s="62" t="b">
        <v>0</v>
      </c>
      <c r="M167" s="56"/>
      <c r="N167" s="64" t="b">
        <v>0</v>
      </c>
      <c r="O167" s="58"/>
      <c r="P167" s="65" t="b">
        <v>0</v>
      </c>
      <c r="Q167" s="78"/>
      <c r="R167" s="60"/>
      <c r="S167" s="87"/>
      <c r="T167" s="61"/>
      <c r="U167" s="51"/>
      <c r="V167" s="88">
        <f t="shared" si="1"/>
        <v>0</v>
      </c>
      <c r="W167" s="49"/>
      <c r="X167" s="49"/>
    </row>
    <row r="168" spans="1:24" ht="15.75" customHeight="1">
      <c r="A168" s="89"/>
      <c r="B168" s="51"/>
      <c r="C168" s="52"/>
      <c r="D168" s="53"/>
      <c r="E168" s="53"/>
      <c r="F168" s="53"/>
      <c r="G168" s="66"/>
      <c r="H168" s="53"/>
      <c r="I168" s="53"/>
      <c r="J168" s="54"/>
      <c r="K168" s="54">
        <f t="shared" si="12"/>
        <v>0</v>
      </c>
      <c r="L168" s="62" t="b">
        <v>0</v>
      </c>
      <c r="M168" s="56"/>
      <c r="N168" s="64" t="b">
        <v>0</v>
      </c>
      <c r="O168" s="58"/>
      <c r="P168" s="65" t="b">
        <v>0</v>
      </c>
      <c r="Q168" s="78"/>
      <c r="R168" s="60"/>
      <c r="S168" s="87"/>
      <c r="T168" s="61"/>
      <c r="U168" s="51"/>
      <c r="V168" s="88">
        <f t="shared" si="1"/>
        <v>0</v>
      </c>
      <c r="W168" s="49"/>
      <c r="X168" s="49"/>
    </row>
    <row r="169" spans="1:24" ht="15.75" customHeight="1">
      <c r="A169" s="89"/>
      <c r="B169" s="51"/>
      <c r="C169" s="52"/>
      <c r="D169" s="53"/>
      <c r="E169" s="66"/>
      <c r="F169" s="66"/>
      <c r="G169" s="66"/>
      <c r="H169" s="53"/>
      <c r="I169" s="53"/>
      <c r="J169" s="75"/>
      <c r="K169" s="54">
        <f t="shared" si="12"/>
        <v>0</v>
      </c>
      <c r="L169" s="62" t="b">
        <v>0</v>
      </c>
      <c r="M169" s="56"/>
      <c r="N169" s="64" t="b">
        <v>0</v>
      </c>
      <c r="O169" s="58"/>
      <c r="P169" s="65" t="b">
        <v>0</v>
      </c>
      <c r="Q169" s="78"/>
      <c r="R169" s="86"/>
      <c r="S169" s="87"/>
      <c r="T169" s="61"/>
      <c r="U169" s="51"/>
      <c r="V169" s="88">
        <f t="shared" si="1"/>
        <v>0</v>
      </c>
      <c r="W169" s="49"/>
      <c r="X169" s="49"/>
    </row>
    <row r="170" spans="1:24" ht="15.75" customHeight="1">
      <c r="A170" s="89"/>
      <c r="B170" s="51"/>
      <c r="C170" s="52"/>
      <c r="D170" s="53"/>
      <c r="E170" s="53"/>
      <c r="F170" s="53"/>
      <c r="G170" s="66"/>
      <c r="H170" s="53"/>
      <c r="I170" s="53"/>
      <c r="J170" s="75"/>
      <c r="K170" s="54">
        <f t="shared" si="12"/>
        <v>0</v>
      </c>
      <c r="L170" s="62" t="b">
        <v>0</v>
      </c>
      <c r="M170" s="56"/>
      <c r="N170" s="64" t="b">
        <v>0</v>
      </c>
      <c r="O170" s="58"/>
      <c r="P170" s="65" t="b">
        <v>0</v>
      </c>
      <c r="Q170" s="78"/>
      <c r="R170" s="86"/>
      <c r="S170" s="47"/>
      <c r="T170" s="61"/>
      <c r="U170" s="51"/>
      <c r="V170" s="88">
        <f t="shared" si="1"/>
        <v>0</v>
      </c>
      <c r="W170" s="49"/>
      <c r="X170" s="49"/>
    </row>
    <row r="171" spans="1:24" ht="15.75" customHeight="1">
      <c r="A171" s="89"/>
      <c r="B171" s="51"/>
      <c r="C171" s="52"/>
      <c r="D171" s="53"/>
      <c r="E171" s="53"/>
      <c r="F171" s="53"/>
      <c r="G171" s="66"/>
      <c r="H171" s="53"/>
      <c r="I171" s="53"/>
      <c r="J171" s="75"/>
      <c r="K171" s="54">
        <f t="shared" si="12"/>
        <v>0</v>
      </c>
      <c r="L171" s="62" t="b">
        <v>0</v>
      </c>
      <c r="M171" s="56"/>
      <c r="N171" s="64" t="b">
        <v>0</v>
      </c>
      <c r="O171" s="58"/>
      <c r="P171" s="65" t="b">
        <v>0</v>
      </c>
      <c r="Q171" s="78"/>
      <c r="R171" s="86"/>
      <c r="S171" s="47"/>
      <c r="T171" s="61"/>
      <c r="U171" s="51"/>
      <c r="V171" s="88">
        <f t="shared" si="1"/>
        <v>0</v>
      </c>
      <c r="W171" s="49"/>
      <c r="X171" s="49"/>
    </row>
    <row r="172" spans="1:24" ht="15.75" customHeight="1">
      <c r="A172" s="50"/>
      <c r="B172" s="90"/>
      <c r="C172" s="52"/>
      <c r="D172" s="53"/>
      <c r="E172" s="53"/>
      <c r="F172" s="53"/>
      <c r="G172" s="66"/>
      <c r="H172" s="53"/>
      <c r="I172" s="53"/>
      <c r="J172" s="75"/>
      <c r="K172" s="54">
        <f t="shared" si="12"/>
        <v>0</v>
      </c>
      <c r="L172" s="62" t="b">
        <v>0</v>
      </c>
      <c r="M172" s="56"/>
      <c r="N172" s="64" t="b">
        <v>0</v>
      </c>
      <c r="O172" s="58"/>
      <c r="P172" s="65" t="b">
        <v>0</v>
      </c>
      <c r="Q172" s="78"/>
      <c r="R172" s="86"/>
      <c r="S172" s="87"/>
      <c r="T172" s="61"/>
      <c r="U172" s="90"/>
      <c r="V172" s="88">
        <f t="shared" si="1"/>
        <v>0</v>
      </c>
      <c r="W172" s="49"/>
      <c r="X172" s="49"/>
    </row>
    <row r="173" spans="1:24" ht="15.75" customHeight="1">
      <c r="A173" s="50"/>
      <c r="B173" s="90"/>
      <c r="C173" s="52"/>
      <c r="D173" s="53"/>
      <c r="E173" s="53"/>
      <c r="F173" s="53"/>
      <c r="G173" s="66"/>
      <c r="H173" s="53"/>
      <c r="I173" s="53"/>
      <c r="J173" s="75"/>
      <c r="K173" s="54">
        <f t="shared" si="12"/>
        <v>0</v>
      </c>
      <c r="L173" s="62" t="b">
        <v>0</v>
      </c>
      <c r="M173" s="56"/>
      <c r="N173" s="64" t="b">
        <v>0</v>
      </c>
      <c r="O173" s="58"/>
      <c r="P173" s="65" t="b">
        <v>0</v>
      </c>
      <c r="Q173" s="78"/>
      <c r="R173" s="86"/>
      <c r="S173" s="87"/>
      <c r="T173" s="61"/>
      <c r="U173" s="90"/>
      <c r="V173" s="88">
        <f t="shared" si="1"/>
        <v>0</v>
      </c>
      <c r="W173" s="49"/>
      <c r="X173" s="49"/>
    </row>
    <row r="174" spans="1:24" ht="15.75" customHeight="1">
      <c r="A174" s="50"/>
      <c r="B174" s="90"/>
      <c r="C174" s="52"/>
      <c r="D174" s="53"/>
      <c r="E174" s="53"/>
      <c r="F174" s="53"/>
      <c r="G174" s="66"/>
      <c r="H174" s="53"/>
      <c r="I174" s="53"/>
      <c r="J174" s="75"/>
      <c r="K174" s="54">
        <f t="shared" si="12"/>
        <v>0</v>
      </c>
      <c r="L174" s="62" t="b">
        <v>0</v>
      </c>
      <c r="M174" s="56"/>
      <c r="N174" s="64" t="b">
        <v>0</v>
      </c>
      <c r="O174" s="58"/>
      <c r="P174" s="65" t="b">
        <v>0</v>
      </c>
      <c r="Q174" s="78"/>
      <c r="R174" s="86"/>
      <c r="S174" s="87"/>
      <c r="T174" s="61"/>
      <c r="U174" s="90"/>
      <c r="V174" s="88">
        <f t="shared" si="1"/>
        <v>0</v>
      </c>
      <c r="W174" s="49"/>
      <c r="X174" s="49"/>
    </row>
    <row r="175" spans="1:24" ht="15.75" customHeight="1">
      <c r="A175" s="50"/>
      <c r="B175" s="90"/>
      <c r="C175" s="52"/>
      <c r="D175" s="53"/>
      <c r="E175" s="53"/>
      <c r="F175" s="53"/>
      <c r="G175" s="66"/>
      <c r="H175" s="53"/>
      <c r="I175" s="53"/>
      <c r="J175" s="75"/>
      <c r="K175" s="54">
        <f t="shared" si="12"/>
        <v>0</v>
      </c>
      <c r="L175" s="62" t="b">
        <v>0</v>
      </c>
      <c r="M175" s="56"/>
      <c r="N175" s="64" t="b">
        <v>0</v>
      </c>
      <c r="O175" s="58"/>
      <c r="P175" s="65" t="b">
        <v>0</v>
      </c>
      <c r="Q175" s="78"/>
      <c r="R175" s="86"/>
      <c r="S175" s="47"/>
      <c r="T175" s="61"/>
      <c r="U175" s="90"/>
      <c r="V175" s="88">
        <f t="shared" si="1"/>
        <v>0</v>
      </c>
      <c r="W175" s="49"/>
      <c r="X175" s="49"/>
    </row>
    <row r="176" spans="1:24" ht="15.75" customHeight="1">
      <c r="A176" s="50"/>
      <c r="B176" s="90"/>
      <c r="C176" s="52"/>
      <c r="D176" s="53"/>
      <c r="E176" s="53"/>
      <c r="F176" s="53"/>
      <c r="G176" s="66"/>
      <c r="H176" s="53"/>
      <c r="I176" s="53"/>
      <c r="J176" s="75"/>
      <c r="K176" s="54">
        <f t="shared" si="12"/>
        <v>0</v>
      </c>
      <c r="L176" s="62" t="b">
        <v>0</v>
      </c>
      <c r="M176" s="56"/>
      <c r="N176" s="64" t="b">
        <v>0</v>
      </c>
      <c r="O176" s="58"/>
      <c r="P176" s="65" t="b">
        <v>0</v>
      </c>
      <c r="Q176" s="78"/>
      <c r="R176" s="86"/>
      <c r="S176" s="47"/>
      <c r="T176" s="61"/>
      <c r="U176" s="90"/>
      <c r="V176" s="88">
        <f t="shared" si="1"/>
        <v>0</v>
      </c>
      <c r="W176" s="49"/>
      <c r="X176" s="49"/>
    </row>
    <row r="177" spans="1:24" ht="15.75" customHeight="1">
      <c r="A177" s="50"/>
      <c r="B177" s="90"/>
      <c r="C177" s="52"/>
      <c r="D177" s="53"/>
      <c r="E177" s="53"/>
      <c r="F177" s="53"/>
      <c r="G177" s="66"/>
      <c r="H177" s="53"/>
      <c r="I177" s="53"/>
      <c r="J177" s="75"/>
      <c r="K177" s="54">
        <f t="shared" si="12"/>
        <v>0</v>
      </c>
      <c r="L177" s="62" t="b">
        <v>0</v>
      </c>
      <c r="M177" s="56"/>
      <c r="N177" s="64" t="b">
        <v>0</v>
      </c>
      <c r="O177" s="58"/>
      <c r="P177" s="65" t="b">
        <v>0</v>
      </c>
      <c r="Q177" s="78"/>
      <c r="R177" s="86"/>
      <c r="S177" s="87"/>
      <c r="T177" s="61"/>
      <c r="U177" s="90"/>
      <c r="V177" s="88">
        <f t="shared" si="1"/>
        <v>0</v>
      </c>
      <c r="W177" s="49"/>
      <c r="X177" s="49"/>
    </row>
    <row r="178" spans="1:24" ht="15.75" customHeight="1">
      <c r="A178" s="50"/>
      <c r="B178" s="90"/>
      <c r="C178" s="52"/>
      <c r="D178" s="53"/>
      <c r="E178" s="53"/>
      <c r="F178" s="53"/>
      <c r="G178" s="66"/>
      <c r="H178" s="53"/>
      <c r="I178" s="53"/>
      <c r="J178" s="75"/>
      <c r="K178" s="54">
        <f t="shared" si="12"/>
        <v>0</v>
      </c>
      <c r="L178" s="62" t="b">
        <v>0</v>
      </c>
      <c r="M178" s="56"/>
      <c r="N178" s="64" t="b">
        <v>0</v>
      </c>
      <c r="O178" s="58"/>
      <c r="P178" s="65" t="b">
        <v>0</v>
      </c>
      <c r="Q178" s="78"/>
      <c r="R178" s="60"/>
      <c r="S178" s="47"/>
      <c r="T178" s="61"/>
      <c r="U178" s="90"/>
      <c r="V178" s="88">
        <f t="shared" si="1"/>
        <v>0</v>
      </c>
      <c r="W178" s="49"/>
      <c r="X178" s="49"/>
    </row>
    <row r="179" spans="1:24" ht="15.75" customHeight="1">
      <c r="A179" s="50"/>
      <c r="B179" s="90"/>
      <c r="C179" s="52"/>
      <c r="D179" s="53"/>
      <c r="E179" s="53"/>
      <c r="F179" s="53"/>
      <c r="G179" s="66"/>
      <c r="H179" s="53"/>
      <c r="I179" s="53"/>
      <c r="J179" s="75"/>
      <c r="K179" s="54">
        <f t="shared" si="12"/>
        <v>0</v>
      </c>
      <c r="L179" s="62" t="b">
        <v>0</v>
      </c>
      <c r="M179" s="56"/>
      <c r="N179" s="64" t="b">
        <v>0</v>
      </c>
      <c r="O179" s="58"/>
      <c r="P179" s="65" t="b">
        <v>0</v>
      </c>
      <c r="Q179" s="78"/>
      <c r="R179" s="60"/>
      <c r="S179" s="47"/>
      <c r="T179" s="61"/>
      <c r="U179" s="1"/>
      <c r="V179" s="88">
        <f t="shared" si="1"/>
        <v>0</v>
      </c>
    </row>
    <row r="180" spans="1:24" ht="15.75" customHeight="1">
      <c r="A180" s="50"/>
      <c r="B180" s="90"/>
      <c r="C180" s="52"/>
      <c r="D180" s="53"/>
      <c r="E180" s="53"/>
      <c r="F180" s="53"/>
      <c r="G180" s="66"/>
      <c r="H180" s="53"/>
      <c r="I180" s="53"/>
      <c r="J180" s="75"/>
      <c r="K180" s="54">
        <f t="shared" si="12"/>
        <v>0</v>
      </c>
      <c r="L180" s="62" t="b">
        <v>0</v>
      </c>
      <c r="M180" s="56"/>
      <c r="N180" s="64" t="b">
        <v>0</v>
      </c>
      <c r="O180" s="58"/>
      <c r="P180" s="65" t="b">
        <v>0</v>
      </c>
      <c r="Q180" s="78"/>
      <c r="R180" s="60"/>
      <c r="S180" s="47"/>
      <c r="T180" s="61"/>
      <c r="U180" s="1"/>
      <c r="V180" s="88">
        <f t="shared" si="1"/>
        <v>0</v>
      </c>
    </row>
    <row r="181" spans="1:24" ht="15.75" customHeight="1">
      <c r="A181" s="50"/>
      <c r="B181" s="90"/>
      <c r="C181" s="52"/>
      <c r="D181" s="53"/>
      <c r="E181" s="53"/>
      <c r="F181" s="53"/>
      <c r="G181" s="66"/>
      <c r="H181" s="53"/>
      <c r="I181" s="53"/>
      <c r="J181" s="75"/>
      <c r="K181" s="54">
        <f t="shared" si="12"/>
        <v>0</v>
      </c>
      <c r="L181" s="62" t="b">
        <v>0</v>
      </c>
      <c r="M181" s="56"/>
      <c r="N181" s="57" t="b">
        <v>0</v>
      </c>
      <c r="O181" s="63"/>
      <c r="P181" s="59" t="b">
        <v>0</v>
      </c>
      <c r="Q181" s="43"/>
      <c r="R181" s="86"/>
      <c r="S181" s="47"/>
      <c r="T181" s="61"/>
      <c r="U181" s="1"/>
      <c r="V181" s="88">
        <f t="shared" si="1"/>
        <v>0</v>
      </c>
    </row>
    <row r="182" spans="1:24" ht="15.75" customHeight="1">
      <c r="A182" s="50"/>
      <c r="B182" s="90"/>
      <c r="C182" s="52"/>
      <c r="D182" s="53"/>
      <c r="E182" s="53"/>
      <c r="F182" s="53"/>
      <c r="G182" s="66"/>
      <c r="H182" s="53"/>
      <c r="I182" s="53"/>
      <c r="J182" s="75"/>
      <c r="K182" s="54">
        <f t="shared" si="12"/>
        <v>0</v>
      </c>
      <c r="L182" s="62" t="b">
        <v>0</v>
      </c>
      <c r="M182" s="56"/>
      <c r="N182" s="64" t="b">
        <v>0</v>
      </c>
      <c r="O182" s="58"/>
      <c r="P182" s="65" t="b">
        <v>0</v>
      </c>
      <c r="Q182" s="78"/>
      <c r="R182" s="86"/>
      <c r="S182" s="47"/>
      <c r="T182" s="61"/>
      <c r="U182" s="1"/>
      <c r="V182" s="88">
        <f t="shared" si="1"/>
        <v>0</v>
      </c>
    </row>
    <row r="183" spans="1:24" ht="15.75" customHeight="1">
      <c r="A183" s="50"/>
      <c r="B183" s="90"/>
      <c r="C183" s="52"/>
      <c r="D183" s="53"/>
      <c r="E183" s="53"/>
      <c r="F183" s="53"/>
      <c r="G183" s="66"/>
      <c r="H183" s="53"/>
      <c r="I183" s="53"/>
      <c r="J183" s="75"/>
      <c r="K183" s="54">
        <f t="shared" si="12"/>
        <v>0</v>
      </c>
      <c r="L183" s="62" t="b">
        <v>0</v>
      </c>
      <c r="M183" s="56"/>
      <c r="N183" s="64" t="b">
        <v>0</v>
      </c>
      <c r="O183" s="58"/>
      <c r="P183" s="65" t="b">
        <v>0</v>
      </c>
      <c r="Q183" s="78"/>
      <c r="R183" s="86"/>
      <c r="S183" s="47"/>
      <c r="T183" s="61"/>
      <c r="U183" s="1"/>
      <c r="V183" s="88">
        <f t="shared" si="1"/>
        <v>0</v>
      </c>
    </row>
    <row r="184" spans="1:24" ht="15.75" customHeight="1">
      <c r="A184" s="50"/>
      <c r="B184" s="90"/>
      <c r="C184" s="52"/>
      <c r="D184" s="53"/>
      <c r="E184" s="53"/>
      <c r="F184" s="53"/>
      <c r="G184" s="66"/>
      <c r="H184" s="53"/>
      <c r="I184" s="53"/>
      <c r="J184" s="75"/>
      <c r="K184" s="54">
        <f t="shared" si="12"/>
        <v>0</v>
      </c>
      <c r="L184" s="62" t="b">
        <v>0</v>
      </c>
      <c r="M184" s="56"/>
      <c r="N184" s="64" t="b">
        <v>0</v>
      </c>
      <c r="O184" s="58"/>
      <c r="P184" s="65" t="b">
        <v>0</v>
      </c>
      <c r="Q184" s="78"/>
      <c r="R184" s="86"/>
      <c r="S184" s="47"/>
      <c r="T184" s="61"/>
      <c r="U184" s="1"/>
      <c r="V184" s="88">
        <f t="shared" si="1"/>
        <v>0</v>
      </c>
    </row>
    <row r="185" spans="1:24" ht="15.75" customHeight="1">
      <c r="A185" s="50"/>
      <c r="B185" s="90"/>
      <c r="C185" s="52"/>
      <c r="D185" s="53"/>
      <c r="E185" s="53"/>
      <c r="F185" s="53"/>
      <c r="G185" s="66"/>
      <c r="H185" s="53"/>
      <c r="I185" s="53"/>
      <c r="J185" s="75"/>
      <c r="K185" s="54">
        <f t="shared" si="12"/>
        <v>0</v>
      </c>
      <c r="L185" s="62" t="b">
        <v>0</v>
      </c>
      <c r="M185" s="56"/>
      <c r="N185" s="64" t="b">
        <v>0</v>
      </c>
      <c r="O185" s="58"/>
      <c r="P185" s="65" t="b">
        <v>0</v>
      </c>
      <c r="Q185" s="78"/>
      <c r="R185" s="86"/>
      <c r="S185" s="47"/>
      <c r="T185" s="61"/>
      <c r="U185" s="1"/>
      <c r="V185" s="88">
        <f t="shared" si="1"/>
        <v>0</v>
      </c>
    </row>
    <row r="186" spans="1:24" ht="15.75" customHeight="1">
      <c r="A186" s="50"/>
      <c r="B186" s="90"/>
      <c r="C186" s="52"/>
      <c r="D186" s="53"/>
      <c r="E186" s="53"/>
      <c r="F186" s="53"/>
      <c r="G186" s="53"/>
      <c r="H186" s="53"/>
      <c r="I186" s="53"/>
      <c r="J186" s="75"/>
      <c r="K186" s="54">
        <f t="shared" si="12"/>
        <v>0</v>
      </c>
      <c r="L186" s="62" t="b">
        <v>0</v>
      </c>
      <c r="M186" s="56"/>
      <c r="N186" s="64" t="b">
        <v>0</v>
      </c>
      <c r="O186" s="58"/>
      <c r="P186" s="65" t="b">
        <v>0</v>
      </c>
      <c r="Q186" s="78"/>
      <c r="R186" s="86"/>
      <c r="S186" s="47"/>
      <c r="T186" s="61"/>
      <c r="U186" s="1"/>
      <c r="V186" s="88">
        <f t="shared" si="1"/>
        <v>0</v>
      </c>
    </row>
    <row r="187" spans="1:24" ht="15.75" customHeight="1">
      <c r="A187" s="50"/>
      <c r="B187" s="90"/>
      <c r="C187" s="52"/>
      <c r="D187" s="53"/>
      <c r="E187" s="53"/>
      <c r="F187" s="53"/>
      <c r="G187" s="66"/>
      <c r="H187" s="53"/>
      <c r="I187" s="53"/>
      <c r="J187" s="75"/>
      <c r="K187" s="54">
        <f t="shared" si="12"/>
        <v>0</v>
      </c>
      <c r="L187" s="62" t="b">
        <v>0</v>
      </c>
      <c r="M187" s="56"/>
      <c r="N187" s="64" t="b">
        <v>0</v>
      </c>
      <c r="O187" s="58"/>
      <c r="P187" s="65" t="b">
        <v>0</v>
      </c>
      <c r="Q187" s="78"/>
      <c r="R187" s="86"/>
      <c r="S187" s="47"/>
      <c r="T187" s="61"/>
      <c r="U187" s="1"/>
      <c r="V187" s="88">
        <f t="shared" si="1"/>
        <v>0</v>
      </c>
    </row>
    <row r="188" spans="1:24" ht="15.75" customHeight="1">
      <c r="A188" s="50"/>
      <c r="B188" s="90"/>
      <c r="C188" s="52"/>
      <c r="D188" s="53"/>
      <c r="E188" s="53"/>
      <c r="F188" s="53"/>
      <c r="G188" s="66"/>
      <c r="H188" s="53"/>
      <c r="I188" s="53"/>
      <c r="J188" s="75"/>
      <c r="K188" s="54">
        <f t="shared" si="12"/>
        <v>0</v>
      </c>
      <c r="L188" s="62" t="b">
        <v>0</v>
      </c>
      <c r="M188" s="56"/>
      <c r="N188" s="64" t="b">
        <v>0</v>
      </c>
      <c r="O188" s="58"/>
      <c r="P188" s="65" t="b">
        <v>0</v>
      </c>
      <c r="Q188" s="78"/>
      <c r="R188" s="86"/>
      <c r="S188" s="47"/>
      <c r="T188" s="61"/>
      <c r="U188" s="1"/>
      <c r="V188" s="88">
        <f t="shared" si="1"/>
        <v>0</v>
      </c>
    </row>
    <row r="189" spans="1:24" ht="15.75" customHeight="1">
      <c r="A189" s="50"/>
      <c r="B189" s="90"/>
      <c r="C189" s="52"/>
      <c r="D189" s="53"/>
      <c r="E189" s="53"/>
      <c r="F189" s="53"/>
      <c r="G189" s="66"/>
      <c r="H189" s="53"/>
      <c r="I189" s="53"/>
      <c r="J189" s="75"/>
      <c r="K189" s="54">
        <f t="shared" si="12"/>
        <v>0</v>
      </c>
      <c r="L189" s="62" t="b">
        <v>0</v>
      </c>
      <c r="M189" s="56"/>
      <c r="N189" s="64" t="b">
        <v>0</v>
      </c>
      <c r="O189" s="58"/>
      <c r="P189" s="65" t="b">
        <v>0</v>
      </c>
      <c r="Q189" s="78"/>
      <c r="R189" s="86"/>
      <c r="S189" s="47"/>
      <c r="T189" s="61"/>
      <c r="U189" s="1"/>
      <c r="V189" s="88">
        <f t="shared" si="1"/>
        <v>0</v>
      </c>
    </row>
    <row r="190" spans="1:24" ht="15.75" customHeight="1">
      <c r="A190" s="50"/>
      <c r="B190" s="90"/>
      <c r="C190" s="52"/>
      <c r="D190" s="53"/>
      <c r="E190" s="53"/>
      <c r="F190" s="53"/>
      <c r="G190" s="66"/>
      <c r="H190" s="53"/>
      <c r="I190" s="53"/>
      <c r="J190" s="75"/>
      <c r="K190" s="54">
        <f t="shared" si="12"/>
        <v>0</v>
      </c>
      <c r="L190" s="62" t="b">
        <v>0</v>
      </c>
      <c r="M190" s="56"/>
      <c r="N190" s="64" t="b">
        <v>0</v>
      </c>
      <c r="O190" s="58"/>
      <c r="P190" s="65" t="b">
        <v>0</v>
      </c>
      <c r="Q190" s="78"/>
      <c r="R190" s="86"/>
      <c r="S190" s="47"/>
      <c r="T190" s="61"/>
      <c r="U190" s="1"/>
      <c r="V190" s="88">
        <f t="shared" si="1"/>
        <v>0</v>
      </c>
    </row>
    <row r="191" spans="1:24" ht="15.75" customHeight="1">
      <c r="A191" s="50"/>
      <c r="B191" s="90"/>
      <c r="C191" s="52"/>
      <c r="D191" s="53"/>
      <c r="E191" s="53"/>
      <c r="F191" s="53"/>
      <c r="G191" s="66"/>
      <c r="H191" s="53"/>
      <c r="I191" s="53"/>
      <c r="J191" s="75"/>
      <c r="K191" s="54">
        <f t="shared" si="12"/>
        <v>0</v>
      </c>
      <c r="L191" s="62" t="b">
        <v>0</v>
      </c>
      <c r="M191" s="56"/>
      <c r="N191" s="64" t="b">
        <v>0</v>
      </c>
      <c r="O191" s="58"/>
      <c r="P191" s="65" t="b">
        <v>0</v>
      </c>
      <c r="Q191" s="78"/>
      <c r="R191" s="86"/>
      <c r="S191" s="47"/>
      <c r="T191" s="61"/>
      <c r="U191" s="1"/>
      <c r="V191" s="88">
        <f t="shared" si="1"/>
        <v>0</v>
      </c>
    </row>
    <row r="192" spans="1:24" ht="15.75" customHeight="1">
      <c r="A192" s="50"/>
      <c r="B192" s="90"/>
      <c r="C192" s="52"/>
      <c r="D192" s="53"/>
      <c r="E192" s="53"/>
      <c r="F192" s="53"/>
      <c r="G192" s="53"/>
      <c r="H192" s="53"/>
      <c r="I192" s="53"/>
      <c r="J192" s="75"/>
      <c r="K192" s="54">
        <f t="shared" si="12"/>
        <v>0</v>
      </c>
      <c r="L192" s="62" t="b">
        <v>0</v>
      </c>
      <c r="M192" s="56"/>
      <c r="N192" s="64" t="b">
        <v>0</v>
      </c>
      <c r="O192" s="58"/>
      <c r="P192" s="65" t="b">
        <v>0</v>
      </c>
      <c r="Q192" s="78"/>
      <c r="R192" s="86"/>
      <c r="S192" s="47"/>
      <c r="T192" s="61"/>
      <c r="U192" s="1"/>
      <c r="V192" s="88">
        <f t="shared" si="1"/>
        <v>0</v>
      </c>
    </row>
    <row r="193" spans="1:22" ht="15.75" customHeight="1">
      <c r="A193" s="50"/>
      <c r="B193" s="90"/>
      <c r="C193" s="52"/>
      <c r="D193" s="53"/>
      <c r="E193" s="53"/>
      <c r="F193" s="53"/>
      <c r="G193" s="66"/>
      <c r="H193" s="53"/>
      <c r="I193" s="53"/>
      <c r="J193" s="75"/>
      <c r="K193" s="54">
        <f>J193*I193</f>
        <v>0</v>
      </c>
      <c r="L193" s="62" t="b">
        <v>0</v>
      </c>
      <c r="M193" s="56"/>
      <c r="N193" s="64" t="b">
        <v>0</v>
      </c>
      <c r="O193" s="58"/>
      <c r="P193" s="65" t="b">
        <v>0</v>
      </c>
      <c r="Q193" s="78"/>
      <c r="R193" s="86"/>
      <c r="S193" s="47"/>
      <c r="T193" s="61"/>
      <c r="U193" s="1"/>
      <c r="V193" s="88">
        <f t="shared" si="1"/>
        <v>0</v>
      </c>
    </row>
    <row r="194" spans="1:22" ht="15.75" customHeight="1">
      <c r="A194" s="2"/>
      <c r="B194" s="1"/>
      <c r="C194" s="1"/>
      <c r="D194" s="1"/>
      <c r="E194" s="1"/>
      <c r="F194" s="1"/>
      <c r="G194" s="18"/>
      <c r="H194" s="1"/>
      <c r="I194" s="1"/>
      <c r="J194" s="8"/>
      <c r="K194" s="8"/>
      <c r="L194" s="8"/>
      <c r="M194" s="8"/>
      <c r="N194" s="8"/>
      <c r="O194" s="8"/>
      <c r="P194" s="8"/>
      <c r="Q194" s="8"/>
      <c r="R194" s="8"/>
      <c r="S194" s="1"/>
      <c r="T194" s="1"/>
      <c r="U194" s="1"/>
    </row>
    <row r="195" spans="1:22" ht="15.75" customHeight="1">
      <c r="A195" s="2"/>
      <c r="B195" s="1"/>
      <c r="C195" s="1"/>
      <c r="D195" s="1"/>
      <c r="E195" s="1"/>
      <c r="F195" s="1"/>
      <c r="G195" s="18"/>
      <c r="H195" s="1"/>
      <c r="I195" s="1"/>
      <c r="J195" s="8"/>
      <c r="K195" s="8"/>
      <c r="L195" s="8"/>
      <c r="M195" s="8"/>
      <c r="N195" s="8"/>
      <c r="O195" s="8"/>
      <c r="P195" s="8"/>
      <c r="Q195" s="8"/>
      <c r="R195" s="8"/>
      <c r="S195" s="1"/>
      <c r="T195" s="1"/>
      <c r="U195" s="1"/>
    </row>
    <row r="196" spans="1:22" ht="15.75" customHeight="1">
      <c r="A196" s="2"/>
      <c r="B196" s="1"/>
      <c r="C196" s="1"/>
      <c r="D196" s="1"/>
      <c r="E196" s="1"/>
      <c r="F196" s="1"/>
      <c r="G196" s="18"/>
      <c r="H196" s="1"/>
      <c r="I196" s="1"/>
      <c r="J196" s="8"/>
      <c r="K196" s="8"/>
      <c r="L196" s="8"/>
      <c r="M196" s="8"/>
      <c r="N196" s="8"/>
      <c r="O196" s="8"/>
      <c r="P196" s="8"/>
      <c r="Q196" s="8"/>
      <c r="R196" s="8"/>
      <c r="S196" s="1"/>
      <c r="T196" s="1"/>
      <c r="U196" s="1"/>
    </row>
    <row r="197" spans="1:22" ht="15.75" customHeight="1">
      <c r="A197" s="2"/>
      <c r="B197" s="1"/>
      <c r="C197" s="1"/>
      <c r="D197" s="1"/>
      <c r="E197" s="1"/>
      <c r="F197" s="1"/>
      <c r="G197" s="18"/>
      <c r="H197" s="1"/>
      <c r="I197" s="1"/>
      <c r="J197" s="8"/>
      <c r="K197" s="8"/>
      <c r="L197" s="8"/>
      <c r="M197" s="8"/>
      <c r="N197" s="8"/>
      <c r="O197" s="8"/>
      <c r="P197" s="8"/>
      <c r="Q197" s="8"/>
      <c r="R197" s="8"/>
      <c r="S197" s="1"/>
      <c r="T197" s="1"/>
      <c r="U197" s="1"/>
    </row>
    <row r="198" spans="1:22" ht="15.75" customHeight="1">
      <c r="A198" s="2"/>
      <c r="B198" s="1"/>
      <c r="C198" s="1"/>
      <c r="D198" s="1"/>
      <c r="E198" s="1"/>
      <c r="F198" s="1"/>
      <c r="G198" s="18"/>
      <c r="H198" s="1"/>
      <c r="I198" s="1"/>
      <c r="J198" s="8"/>
      <c r="K198" s="8"/>
      <c r="L198" s="8"/>
      <c r="M198" s="8"/>
      <c r="N198" s="8"/>
      <c r="O198" s="8"/>
      <c r="P198" s="8"/>
      <c r="Q198" s="8"/>
      <c r="R198" s="8"/>
      <c r="S198" s="1"/>
      <c r="T198" s="1"/>
      <c r="U198" s="1"/>
    </row>
    <row r="199" spans="1:22" ht="15.75" customHeight="1">
      <c r="A199" s="2"/>
      <c r="B199" s="1"/>
      <c r="C199" s="1"/>
      <c r="D199" s="1"/>
      <c r="E199" s="1"/>
      <c r="F199" s="1"/>
      <c r="G199" s="18"/>
      <c r="H199" s="1"/>
      <c r="I199" s="1"/>
      <c r="J199" s="8"/>
      <c r="K199" s="8"/>
      <c r="L199" s="8"/>
      <c r="M199" s="8"/>
      <c r="N199" s="8"/>
      <c r="O199" s="8"/>
      <c r="P199" s="8"/>
      <c r="Q199" s="8"/>
      <c r="R199" s="8"/>
      <c r="S199" s="1"/>
      <c r="T199" s="1"/>
      <c r="U199" s="1"/>
    </row>
    <row r="200" spans="1:22" ht="15.75" customHeight="1">
      <c r="A200" s="2"/>
      <c r="B200" s="1"/>
      <c r="C200" s="1"/>
      <c r="D200" s="1"/>
      <c r="E200" s="1"/>
      <c r="F200" s="1"/>
      <c r="G200" s="18"/>
      <c r="H200" s="1"/>
      <c r="I200" s="1"/>
      <c r="J200" s="8"/>
      <c r="K200" s="8"/>
      <c r="L200" s="1"/>
      <c r="M200" s="1"/>
      <c r="N200" s="9"/>
      <c r="O200" s="10"/>
      <c r="P200" s="1"/>
      <c r="Q200" s="1"/>
      <c r="R200" s="1"/>
      <c r="S200" s="1"/>
      <c r="T200" s="1"/>
      <c r="U200" s="1"/>
    </row>
    <row r="201" spans="1:22" ht="15.75" customHeight="1">
      <c r="A201" s="2"/>
      <c r="B201" s="1"/>
      <c r="C201" s="1"/>
      <c r="D201" s="1"/>
      <c r="E201" s="1"/>
      <c r="F201" s="1"/>
      <c r="G201" s="18"/>
      <c r="H201" s="1"/>
      <c r="I201" s="1"/>
      <c r="J201" s="8"/>
      <c r="K201" s="8"/>
      <c r="L201" s="1"/>
      <c r="M201" s="1"/>
      <c r="N201" s="9"/>
      <c r="O201" s="10"/>
      <c r="P201" s="1"/>
      <c r="Q201" s="1"/>
      <c r="R201" s="1"/>
      <c r="S201" s="1"/>
      <c r="T201" s="1"/>
      <c r="U201" s="1"/>
    </row>
    <row r="202" spans="1:22" ht="15.75" customHeight="1">
      <c r="A202" s="2"/>
      <c r="B202" s="1"/>
      <c r="C202" s="1"/>
      <c r="D202" s="1"/>
      <c r="E202" s="1"/>
      <c r="F202" s="1"/>
      <c r="G202" s="18"/>
      <c r="H202" s="1"/>
      <c r="I202" s="1"/>
      <c r="J202" s="8"/>
      <c r="K202" s="8"/>
      <c r="L202" s="1"/>
      <c r="M202" s="1"/>
      <c r="N202" s="9"/>
      <c r="O202" s="10"/>
      <c r="P202" s="1"/>
      <c r="Q202" s="1"/>
      <c r="R202" s="1"/>
      <c r="S202" s="1"/>
      <c r="T202" s="1"/>
      <c r="U202" s="1"/>
    </row>
    <row r="203" spans="1:22" ht="15.75" customHeight="1">
      <c r="A203" s="2"/>
      <c r="B203" s="1"/>
      <c r="C203" s="1"/>
      <c r="D203" s="1"/>
      <c r="E203" s="1"/>
      <c r="F203" s="1"/>
      <c r="G203" s="18"/>
      <c r="H203" s="1"/>
      <c r="I203" s="1"/>
      <c r="J203" s="8"/>
      <c r="K203" s="8"/>
      <c r="L203" s="1"/>
      <c r="M203" s="1"/>
      <c r="N203" s="9"/>
      <c r="O203" s="10"/>
      <c r="P203" s="1"/>
      <c r="Q203" s="1"/>
      <c r="R203" s="1"/>
      <c r="S203" s="1"/>
      <c r="T203" s="1"/>
      <c r="U203" s="1"/>
    </row>
    <row r="204" spans="1:22" ht="15.75" customHeight="1">
      <c r="A204" s="2"/>
      <c r="B204" s="1"/>
      <c r="C204" s="1"/>
      <c r="D204" s="1"/>
      <c r="E204" s="1"/>
      <c r="F204" s="1"/>
      <c r="G204" s="18"/>
      <c r="H204" s="1"/>
      <c r="I204" s="1"/>
      <c r="J204" s="8"/>
      <c r="K204" s="8"/>
      <c r="L204" s="1"/>
      <c r="M204" s="1"/>
      <c r="N204" s="9"/>
      <c r="O204" s="10"/>
      <c r="P204" s="1"/>
      <c r="Q204" s="1"/>
      <c r="R204" s="1"/>
      <c r="S204" s="1"/>
      <c r="T204" s="1"/>
      <c r="U204" s="1"/>
    </row>
    <row r="205" spans="1:22" ht="15.75" customHeight="1">
      <c r="A205" s="2"/>
      <c r="B205" s="1"/>
      <c r="C205" s="1"/>
      <c r="D205" s="1"/>
      <c r="E205" s="1"/>
      <c r="F205" s="1"/>
      <c r="G205" s="18"/>
      <c r="H205" s="1"/>
      <c r="I205" s="1"/>
      <c r="J205" s="8"/>
      <c r="K205" s="8"/>
      <c r="L205" s="1"/>
      <c r="M205" s="1"/>
      <c r="N205" s="9"/>
      <c r="O205" s="10"/>
      <c r="P205" s="1"/>
      <c r="Q205" s="1"/>
      <c r="R205" s="1"/>
      <c r="S205" s="1"/>
      <c r="T205" s="1"/>
      <c r="U205" s="1"/>
    </row>
    <row r="206" spans="1:22" ht="15.75" customHeight="1">
      <c r="A206" s="2"/>
      <c r="B206" s="1"/>
      <c r="C206" s="1"/>
      <c r="D206" s="1"/>
      <c r="E206" s="1"/>
      <c r="F206" s="1"/>
      <c r="G206" s="18"/>
      <c r="H206" s="1"/>
      <c r="I206" s="1"/>
      <c r="J206" s="8"/>
      <c r="K206" s="8"/>
      <c r="L206" s="1"/>
      <c r="M206" s="1"/>
      <c r="N206" s="9"/>
      <c r="O206" s="10"/>
      <c r="P206" s="1"/>
      <c r="Q206" s="1"/>
      <c r="R206" s="1"/>
      <c r="S206" s="1"/>
      <c r="T206" s="1"/>
      <c r="U206" s="1"/>
    </row>
    <row r="207" spans="1:22" ht="15.75" customHeight="1">
      <c r="A207" s="2"/>
      <c r="B207" s="1"/>
      <c r="C207" s="1"/>
      <c r="D207" s="1"/>
      <c r="E207" s="1"/>
      <c r="F207" s="1"/>
      <c r="G207" s="18"/>
      <c r="H207" s="1"/>
      <c r="I207" s="1"/>
      <c r="J207" s="8"/>
      <c r="K207" s="8"/>
      <c r="L207" s="1"/>
      <c r="M207" s="1"/>
      <c r="N207" s="9"/>
      <c r="O207" s="10"/>
      <c r="P207" s="1"/>
      <c r="Q207" s="1"/>
      <c r="R207" s="1"/>
      <c r="S207" s="1"/>
      <c r="T207" s="1"/>
      <c r="U207" s="1"/>
    </row>
    <row r="208" spans="1:22" ht="15.75" customHeight="1">
      <c r="A208" s="2"/>
      <c r="B208" s="1"/>
      <c r="C208" s="1"/>
      <c r="D208" s="1"/>
      <c r="E208" s="1"/>
      <c r="F208" s="1"/>
      <c r="G208" s="18"/>
      <c r="H208" s="1"/>
      <c r="I208" s="1"/>
      <c r="J208" s="8"/>
      <c r="K208" s="8"/>
      <c r="L208" s="1"/>
      <c r="M208" s="1"/>
      <c r="N208" s="9"/>
      <c r="O208" s="10"/>
      <c r="P208" s="1"/>
      <c r="Q208" s="1"/>
      <c r="R208" s="1"/>
      <c r="S208" s="1"/>
      <c r="T208" s="1"/>
      <c r="U208" s="1"/>
    </row>
    <row r="209" spans="1:21" ht="15.75" customHeight="1">
      <c r="A209" s="2"/>
      <c r="B209" s="1"/>
      <c r="C209" s="1"/>
      <c r="D209" s="1"/>
      <c r="E209" s="1"/>
      <c r="F209" s="1"/>
      <c r="G209" s="18"/>
      <c r="H209" s="1"/>
      <c r="I209" s="1"/>
      <c r="J209" s="8"/>
      <c r="K209" s="8"/>
      <c r="L209" s="1"/>
      <c r="M209" s="1"/>
      <c r="N209" s="9"/>
      <c r="O209" s="10"/>
      <c r="P209" s="1"/>
      <c r="Q209" s="1"/>
      <c r="R209" s="1"/>
      <c r="S209" s="1"/>
      <c r="T209" s="1"/>
      <c r="U209" s="1"/>
    </row>
    <row r="210" spans="1:21" ht="15.75" customHeight="1">
      <c r="A210" s="2"/>
      <c r="B210" s="1"/>
      <c r="C210" s="1"/>
      <c r="D210" s="1"/>
      <c r="E210" s="1"/>
      <c r="F210" s="1"/>
      <c r="G210" s="18"/>
      <c r="H210" s="1"/>
      <c r="I210" s="1"/>
      <c r="J210" s="8"/>
      <c r="K210" s="8"/>
      <c r="L210" s="1"/>
      <c r="M210" s="1"/>
      <c r="N210" s="9"/>
      <c r="O210" s="10"/>
      <c r="P210" s="1"/>
      <c r="Q210" s="1"/>
      <c r="R210" s="1"/>
      <c r="S210" s="1"/>
      <c r="T210" s="1"/>
      <c r="U210" s="1"/>
    </row>
    <row r="211" spans="1:21" ht="15.75" customHeight="1">
      <c r="A211" s="2"/>
      <c r="B211" s="1"/>
      <c r="C211" s="1"/>
      <c r="D211" s="1"/>
      <c r="E211" s="1"/>
      <c r="F211" s="1"/>
      <c r="G211" s="18"/>
      <c r="H211" s="1"/>
      <c r="I211" s="1"/>
      <c r="J211" s="8"/>
      <c r="K211" s="8"/>
      <c r="L211" s="1"/>
      <c r="M211" s="1"/>
      <c r="N211" s="9"/>
      <c r="O211" s="10"/>
      <c r="P211" s="1"/>
      <c r="Q211" s="1"/>
      <c r="R211" s="1"/>
      <c r="S211" s="1"/>
      <c r="T211" s="1"/>
      <c r="U211" s="1"/>
    </row>
    <row r="212" spans="1:21" ht="15.75" customHeight="1">
      <c r="A212" s="2"/>
      <c r="B212" s="1"/>
      <c r="C212" s="1"/>
      <c r="D212" s="1"/>
      <c r="E212" s="1"/>
      <c r="F212" s="1"/>
      <c r="G212" s="18"/>
      <c r="H212" s="1"/>
      <c r="I212" s="1"/>
      <c r="J212" s="8"/>
      <c r="K212" s="8"/>
      <c r="L212" s="1"/>
      <c r="M212" s="1"/>
      <c r="N212" s="9"/>
      <c r="O212" s="10"/>
      <c r="P212" s="1"/>
      <c r="Q212" s="1"/>
      <c r="R212" s="1"/>
      <c r="S212" s="1"/>
      <c r="T212" s="1"/>
      <c r="U212" s="1"/>
    </row>
    <row r="213" spans="1:21" ht="15.75" customHeight="1">
      <c r="A213" s="2"/>
      <c r="B213" s="1"/>
      <c r="C213" s="1"/>
      <c r="D213" s="1"/>
      <c r="E213" s="1"/>
      <c r="F213" s="1"/>
      <c r="G213" s="18"/>
      <c r="H213" s="1"/>
      <c r="I213" s="1"/>
      <c r="J213" s="8"/>
      <c r="K213" s="8"/>
      <c r="L213" s="1"/>
      <c r="M213" s="1"/>
      <c r="N213" s="9"/>
      <c r="O213" s="10"/>
      <c r="P213" s="1"/>
      <c r="Q213" s="1"/>
      <c r="R213" s="1"/>
      <c r="S213" s="1"/>
      <c r="T213" s="1"/>
      <c r="U213" s="1"/>
    </row>
    <row r="214" spans="1:21" ht="15.75" customHeight="1">
      <c r="A214" s="2"/>
      <c r="B214" s="1"/>
      <c r="C214" s="1"/>
      <c r="D214" s="1"/>
      <c r="E214" s="1"/>
      <c r="F214" s="1"/>
      <c r="G214" s="18"/>
      <c r="H214" s="1"/>
      <c r="I214" s="1"/>
      <c r="J214" s="8"/>
      <c r="K214" s="8"/>
      <c r="L214" s="1"/>
      <c r="M214" s="1"/>
      <c r="N214" s="9"/>
      <c r="O214" s="10"/>
      <c r="P214" s="1"/>
      <c r="Q214" s="1"/>
      <c r="R214" s="1"/>
      <c r="S214" s="1"/>
      <c r="T214" s="1"/>
      <c r="U214" s="1"/>
    </row>
    <row r="215" spans="1:21" ht="15.75" customHeight="1">
      <c r="A215" s="2"/>
      <c r="B215" s="1"/>
      <c r="C215" s="1"/>
      <c r="D215" s="1"/>
      <c r="E215" s="1"/>
      <c r="F215" s="1"/>
      <c r="G215" s="18"/>
      <c r="H215" s="1"/>
      <c r="I215" s="1"/>
      <c r="J215" s="8"/>
      <c r="K215" s="8"/>
      <c r="L215" s="1"/>
      <c r="M215" s="1"/>
      <c r="N215" s="9"/>
      <c r="O215" s="10"/>
      <c r="P215" s="1"/>
      <c r="Q215" s="1"/>
      <c r="R215" s="1"/>
      <c r="S215" s="1"/>
      <c r="T215" s="1"/>
      <c r="U215" s="1"/>
    </row>
    <row r="216" spans="1:21" ht="15.75" customHeight="1">
      <c r="A216" s="2"/>
      <c r="B216" s="1"/>
      <c r="C216" s="1"/>
      <c r="D216" s="1"/>
      <c r="E216" s="1"/>
      <c r="F216" s="1"/>
      <c r="G216" s="18"/>
      <c r="H216" s="1"/>
      <c r="I216" s="1"/>
      <c r="J216" s="8"/>
      <c r="K216" s="8"/>
      <c r="L216" s="1"/>
      <c r="M216" s="1"/>
      <c r="N216" s="9"/>
      <c r="O216" s="10"/>
      <c r="P216" s="1"/>
      <c r="Q216" s="1"/>
      <c r="R216" s="1"/>
      <c r="S216" s="1"/>
      <c r="T216" s="1"/>
      <c r="U216" s="1"/>
    </row>
    <row r="217" spans="1:21" ht="15.75" customHeight="1">
      <c r="A217" s="2"/>
      <c r="B217" s="1"/>
      <c r="C217" s="1"/>
      <c r="D217" s="1"/>
      <c r="E217" s="1"/>
      <c r="F217" s="1"/>
      <c r="G217" s="18"/>
      <c r="H217" s="1"/>
      <c r="I217" s="1"/>
      <c r="J217" s="8"/>
      <c r="K217" s="8"/>
      <c r="L217" s="1"/>
      <c r="M217" s="1"/>
      <c r="N217" s="9"/>
      <c r="O217" s="10"/>
      <c r="P217" s="1"/>
      <c r="Q217" s="1"/>
      <c r="R217" s="1"/>
      <c r="S217" s="1"/>
      <c r="T217" s="1"/>
      <c r="U217" s="1"/>
    </row>
    <row r="218" spans="1:21" ht="15.75" customHeight="1">
      <c r="A218" s="2"/>
      <c r="B218" s="1"/>
      <c r="C218" s="1"/>
      <c r="D218" s="1"/>
      <c r="E218" s="1"/>
      <c r="F218" s="1"/>
      <c r="G218" s="18"/>
      <c r="H218" s="1"/>
      <c r="I218" s="1"/>
      <c r="J218" s="8"/>
      <c r="K218" s="8"/>
      <c r="L218" s="1"/>
      <c r="M218" s="1"/>
      <c r="N218" s="9"/>
      <c r="O218" s="10"/>
      <c r="P218" s="1"/>
      <c r="Q218" s="1"/>
      <c r="R218" s="1"/>
      <c r="S218" s="1"/>
      <c r="T218" s="1"/>
      <c r="U218" s="1"/>
    </row>
    <row r="219" spans="1:21" ht="15.75" customHeight="1">
      <c r="A219" s="2"/>
      <c r="B219" s="1"/>
      <c r="C219" s="1"/>
      <c r="D219" s="1"/>
      <c r="E219" s="1"/>
      <c r="F219" s="1"/>
      <c r="G219" s="18"/>
      <c r="H219" s="1"/>
      <c r="I219" s="1"/>
      <c r="J219" s="8"/>
      <c r="K219" s="8"/>
      <c r="L219" s="1"/>
      <c r="M219" s="1"/>
      <c r="N219" s="9"/>
      <c r="O219" s="10"/>
      <c r="P219" s="1"/>
      <c r="Q219" s="1"/>
      <c r="R219" s="1"/>
      <c r="S219" s="1"/>
      <c r="T219" s="1"/>
      <c r="U219" s="1"/>
    </row>
    <row r="220" spans="1:21" ht="15.75" customHeight="1">
      <c r="A220" s="2"/>
      <c r="B220" s="1"/>
      <c r="C220" s="1"/>
      <c r="D220" s="1"/>
      <c r="E220" s="1"/>
      <c r="F220" s="1"/>
      <c r="G220" s="18"/>
      <c r="H220" s="1"/>
      <c r="I220" s="1"/>
      <c r="J220" s="8"/>
      <c r="K220" s="8"/>
      <c r="L220" s="1"/>
      <c r="M220" s="1"/>
      <c r="N220" s="9"/>
      <c r="O220" s="10"/>
      <c r="P220" s="1"/>
      <c r="Q220" s="1"/>
      <c r="R220" s="1"/>
      <c r="S220" s="1"/>
      <c r="T220" s="1"/>
      <c r="U220" s="1"/>
    </row>
    <row r="221" spans="1:21" ht="15.75" customHeight="1">
      <c r="A221" s="2"/>
      <c r="B221" s="1"/>
      <c r="C221" s="1"/>
      <c r="D221" s="1"/>
      <c r="E221" s="1"/>
      <c r="F221" s="1"/>
      <c r="G221" s="18"/>
      <c r="H221" s="1"/>
      <c r="I221" s="1"/>
      <c r="J221" s="8"/>
      <c r="K221" s="8"/>
      <c r="L221" s="1"/>
      <c r="M221" s="1"/>
      <c r="N221" s="9"/>
      <c r="O221" s="10"/>
      <c r="P221" s="1"/>
      <c r="Q221" s="1"/>
      <c r="R221" s="1"/>
      <c r="S221" s="1"/>
      <c r="T221" s="1"/>
      <c r="U221" s="1"/>
    </row>
    <row r="222" spans="1:21" ht="15.75" customHeight="1">
      <c r="A222" s="2"/>
      <c r="B222" s="1"/>
      <c r="C222" s="1"/>
      <c r="D222" s="1"/>
      <c r="E222" s="1"/>
      <c r="F222" s="1"/>
      <c r="G222" s="18"/>
      <c r="H222" s="1"/>
      <c r="I222" s="1"/>
      <c r="J222" s="8"/>
      <c r="K222" s="8"/>
      <c r="L222" s="1"/>
      <c r="M222" s="1"/>
      <c r="N222" s="9"/>
      <c r="O222" s="10"/>
      <c r="P222" s="1"/>
      <c r="Q222" s="1"/>
      <c r="R222" s="1"/>
      <c r="S222" s="1"/>
      <c r="T222" s="1"/>
      <c r="U222" s="1"/>
    </row>
    <row r="223" spans="1:21" ht="15.75" customHeight="1">
      <c r="A223" s="2"/>
      <c r="B223" s="1"/>
      <c r="C223" s="1"/>
      <c r="D223" s="1"/>
      <c r="E223" s="1"/>
      <c r="F223" s="1"/>
      <c r="G223" s="18"/>
      <c r="H223" s="1"/>
      <c r="I223" s="1"/>
      <c r="J223" s="8"/>
      <c r="K223" s="8"/>
      <c r="L223" s="1"/>
      <c r="M223" s="1"/>
      <c r="N223" s="9"/>
      <c r="O223" s="10"/>
      <c r="P223" s="1"/>
      <c r="Q223" s="1"/>
      <c r="R223" s="1"/>
      <c r="S223" s="1"/>
      <c r="T223" s="1"/>
      <c r="U223" s="1"/>
    </row>
    <row r="224" spans="1:21" ht="15.75" customHeight="1">
      <c r="A224" s="2"/>
      <c r="B224" s="1"/>
      <c r="C224" s="1"/>
      <c r="D224" s="1"/>
      <c r="E224" s="1"/>
      <c r="F224" s="1"/>
      <c r="G224" s="18"/>
      <c r="H224" s="1"/>
      <c r="I224" s="1"/>
      <c r="J224" s="8"/>
      <c r="K224" s="8"/>
      <c r="L224" s="1"/>
      <c r="M224" s="1"/>
      <c r="N224" s="9"/>
      <c r="O224" s="10"/>
      <c r="P224" s="1"/>
      <c r="Q224" s="1"/>
      <c r="R224" s="1"/>
      <c r="S224" s="1"/>
      <c r="T224" s="1"/>
      <c r="U224" s="1"/>
    </row>
    <row r="225" spans="1:21" ht="15.75" customHeight="1">
      <c r="A225" s="2"/>
      <c r="B225" s="1"/>
      <c r="C225" s="1"/>
      <c r="D225" s="1"/>
      <c r="E225" s="1"/>
      <c r="F225" s="1"/>
      <c r="G225" s="18"/>
      <c r="H225" s="1"/>
      <c r="I225" s="1"/>
      <c r="J225" s="8"/>
      <c r="K225" s="8"/>
      <c r="L225" s="1"/>
      <c r="M225" s="1"/>
      <c r="N225" s="9"/>
      <c r="O225" s="10"/>
      <c r="P225" s="1"/>
      <c r="Q225" s="1"/>
      <c r="R225" s="1"/>
      <c r="S225" s="1"/>
      <c r="T225" s="1"/>
      <c r="U225" s="1"/>
    </row>
    <row r="226" spans="1:21" ht="15.75" customHeight="1">
      <c r="A226" s="2"/>
      <c r="B226" s="1"/>
      <c r="C226" s="1"/>
      <c r="D226" s="1"/>
      <c r="E226" s="1"/>
      <c r="F226" s="1"/>
      <c r="G226" s="18"/>
      <c r="H226" s="1"/>
      <c r="I226" s="1"/>
      <c r="J226" s="8"/>
      <c r="K226" s="8"/>
      <c r="L226" s="1"/>
      <c r="M226" s="1"/>
      <c r="N226" s="9"/>
      <c r="O226" s="10"/>
      <c r="P226" s="1"/>
      <c r="Q226" s="1"/>
      <c r="R226" s="1"/>
      <c r="S226" s="1"/>
      <c r="T226" s="1"/>
      <c r="U226" s="1"/>
    </row>
    <row r="227" spans="1:21" ht="15.75" customHeight="1">
      <c r="A227" s="2"/>
      <c r="B227" s="1"/>
      <c r="C227" s="1"/>
      <c r="D227" s="1"/>
      <c r="E227" s="1"/>
      <c r="F227" s="1"/>
      <c r="G227" s="18"/>
      <c r="H227" s="1"/>
      <c r="I227" s="1"/>
      <c r="J227" s="8"/>
      <c r="K227" s="8"/>
      <c r="L227" s="1"/>
      <c r="M227" s="1"/>
      <c r="N227" s="9"/>
      <c r="O227" s="10"/>
      <c r="P227" s="1"/>
      <c r="Q227" s="1"/>
      <c r="R227" s="1"/>
      <c r="S227" s="1"/>
      <c r="T227" s="1"/>
      <c r="U227" s="1"/>
    </row>
    <row r="228" spans="1:21" ht="15.75" customHeight="1">
      <c r="A228" s="2"/>
      <c r="B228" s="1"/>
      <c r="C228" s="1"/>
      <c r="D228" s="1"/>
      <c r="E228" s="1"/>
      <c r="F228" s="1"/>
      <c r="G228" s="18"/>
      <c r="H228" s="1"/>
      <c r="I228" s="1"/>
      <c r="J228" s="8"/>
      <c r="K228" s="8"/>
      <c r="L228" s="1"/>
      <c r="M228" s="1"/>
      <c r="N228" s="9"/>
      <c r="O228" s="10"/>
      <c r="P228" s="1"/>
      <c r="Q228" s="1"/>
      <c r="R228" s="1"/>
      <c r="S228" s="1"/>
      <c r="T228" s="1"/>
      <c r="U228" s="1"/>
    </row>
    <row r="229" spans="1:21" ht="15.75" customHeight="1">
      <c r="A229" s="2"/>
      <c r="B229" s="1"/>
      <c r="C229" s="1"/>
      <c r="D229" s="1"/>
      <c r="E229" s="1"/>
      <c r="F229" s="1"/>
      <c r="G229" s="18"/>
      <c r="H229" s="1"/>
      <c r="I229" s="1"/>
      <c r="J229" s="8"/>
      <c r="K229" s="8"/>
      <c r="L229" s="1"/>
      <c r="M229" s="1"/>
      <c r="N229" s="9"/>
      <c r="O229" s="10"/>
      <c r="P229" s="1"/>
      <c r="Q229" s="1"/>
      <c r="R229" s="1"/>
      <c r="S229" s="1"/>
      <c r="T229" s="1"/>
      <c r="U229" s="1"/>
    </row>
    <row r="230" spans="1:21" ht="15.75" customHeight="1">
      <c r="A230" s="2"/>
      <c r="B230" s="1"/>
      <c r="C230" s="1"/>
      <c r="D230" s="1"/>
      <c r="E230" s="1"/>
      <c r="F230" s="1"/>
      <c r="G230" s="18"/>
      <c r="H230" s="1"/>
      <c r="I230" s="1"/>
      <c r="J230" s="8"/>
      <c r="K230" s="8"/>
      <c r="L230" s="1"/>
      <c r="M230" s="1"/>
      <c r="N230" s="9"/>
      <c r="O230" s="10"/>
      <c r="P230" s="1"/>
      <c r="Q230" s="1"/>
      <c r="R230" s="1"/>
      <c r="S230" s="1"/>
      <c r="T230" s="1"/>
      <c r="U230" s="1"/>
    </row>
    <row r="231" spans="1:21" ht="15.75" customHeight="1">
      <c r="A231" s="2"/>
      <c r="B231" s="1"/>
      <c r="C231" s="1"/>
      <c r="D231" s="1"/>
      <c r="E231" s="1"/>
      <c r="F231" s="1"/>
      <c r="G231" s="18"/>
      <c r="H231" s="1"/>
      <c r="I231" s="1"/>
      <c r="J231" s="8"/>
      <c r="K231" s="8"/>
      <c r="L231" s="1"/>
      <c r="M231" s="1"/>
      <c r="N231" s="9"/>
      <c r="O231" s="10"/>
      <c r="P231" s="1"/>
      <c r="Q231" s="1"/>
      <c r="R231" s="1"/>
      <c r="S231" s="1"/>
      <c r="T231" s="1"/>
      <c r="U231" s="1"/>
    </row>
    <row r="232" spans="1:21" ht="15.75" customHeight="1">
      <c r="A232" s="2"/>
      <c r="B232" s="1"/>
      <c r="C232" s="1"/>
      <c r="D232" s="1"/>
      <c r="E232" s="1"/>
      <c r="F232" s="1"/>
      <c r="G232" s="18"/>
      <c r="H232" s="1"/>
      <c r="I232" s="1"/>
      <c r="J232" s="8"/>
      <c r="K232" s="8"/>
      <c r="L232" s="1"/>
      <c r="M232" s="1"/>
      <c r="N232" s="9"/>
      <c r="O232" s="10"/>
      <c r="P232" s="1"/>
      <c r="Q232" s="1"/>
      <c r="R232" s="1"/>
      <c r="S232" s="1"/>
      <c r="T232" s="1"/>
      <c r="U232" s="1"/>
    </row>
    <row r="233" spans="1:21" ht="15.75" customHeight="1">
      <c r="A233" s="2"/>
      <c r="B233" s="1"/>
      <c r="C233" s="1"/>
      <c r="D233" s="1"/>
      <c r="E233" s="1"/>
      <c r="F233" s="1"/>
      <c r="G233" s="18"/>
      <c r="H233" s="1"/>
      <c r="I233" s="1"/>
      <c r="J233" s="8"/>
      <c r="K233" s="8"/>
      <c r="L233" s="1"/>
      <c r="M233" s="1"/>
      <c r="N233" s="9"/>
      <c r="O233" s="10"/>
      <c r="P233" s="1"/>
      <c r="Q233" s="1"/>
      <c r="R233" s="1"/>
      <c r="S233" s="1"/>
      <c r="T233" s="1"/>
      <c r="U233" s="1"/>
    </row>
    <row r="234" spans="1:21" ht="15.75" customHeight="1">
      <c r="A234" s="2"/>
      <c r="B234" s="1"/>
      <c r="C234" s="1"/>
      <c r="D234" s="1"/>
      <c r="E234" s="1"/>
      <c r="F234" s="1"/>
      <c r="G234" s="18"/>
      <c r="H234" s="1"/>
      <c r="I234" s="1"/>
      <c r="J234" s="8"/>
      <c r="K234" s="8"/>
      <c r="L234" s="1"/>
      <c r="M234" s="1"/>
      <c r="N234" s="9"/>
      <c r="O234" s="10"/>
      <c r="P234" s="1"/>
      <c r="Q234" s="1"/>
      <c r="R234" s="1"/>
      <c r="S234" s="1"/>
      <c r="T234" s="1"/>
      <c r="U234" s="1"/>
    </row>
    <row r="235" spans="1:21" ht="15.75" customHeight="1">
      <c r="A235" s="2"/>
      <c r="B235" s="1"/>
      <c r="C235" s="1"/>
      <c r="D235" s="1"/>
      <c r="E235" s="1"/>
      <c r="F235" s="1"/>
      <c r="G235" s="18"/>
      <c r="H235" s="1"/>
      <c r="I235" s="1"/>
      <c r="J235" s="8"/>
      <c r="K235" s="8"/>
      <c r="L235" s="1"/>
      <c r="M235" s="1"/>
      <c r="N235" s="9"/>
      <c r="O235" s="10"/>
      <c r="P235" s="1"/>
      <c r="Q235" s="1"/>
      <c r="R235" s="1"/>
      <c r="S235" s="1"/>
      <c r="T235" s="1"/>
      <c r="U235" s="1"/>
    </row>
    <row r="236" spans="1:21" ht="15.75" customHeight="1">
      <c r="A236" s="2"/>
      <c r="B236" s="1"/>
      <c r="C236" s="1"/>
      <c r="D236" s="1"/>
      <c r="E236" s="1"/>
      <c r="F236" s="1"/>
      <c r="G236" s="18"/>
      <c r="H236" s="1"/>
      <c r="I236" s="1"/>
      <c r="J236" s="8"/>
      <c r="K236" s="8"/>
      <c r="L236" s="1"/>
      <c r="M236" s="1"/>
      <c r="N236" s="9"/>
      <c r="O236" s="10"/>
      <c r="P236" s="1"/>
      <c r="Q236" s="1"/>
      <c r="R236" s="1"/>
      <c r="S236" s="1"/>
      <c r="T236" s="1"/>
      <c r="U236" s="1"/>
    </row>
    <row r="237" spans="1:21" ht="15.75" customHeight="1">
      <c r="A237" s="2"/>
      <c r="B237" s="1"/>
      <c r="C237" s="1"/>
      <c r="D237" s="1"/>
      <c r="E237" s="1"/>
      <c r="F237" s="1"/>
      <c r="G237" s="18"/>
      <c r="H237" s="1"/>
      <c r="I237" s="1"/>
      <c r="J237" s="8"/>
      <c r="K237" s="8"/>
      <c r="L237" s="1"/>
      <c r="M237" s="1"/>
      <c r="N237" s="9"/>
      <c r="O237" s="10"/>
      <c r="P237" s="1"/>
      <c r="Q237" s="1"/>
      <c r="R237" s="1"/>
      <c r="S237" s="1"/>
      <c r="T237" s="1"/>
      <c r="U237" s="1"/>
    </row>
    <row r="238" spans="1:21" ht="15.75" customHeight="1">
      <c r="A238" s="2"/>
      <c r="B238" s="1"/>
      <c r="C238" s="1"/>
      <c r="D238" s="1"/>
      <c r="E238" s="1"/>
      <c r="F238" s="1"/>
      <c r="G238" s="18"/>
      <c r="H238" s="1"/>
      <c r="I238" s="1"/>
      <c r="J238" s="8"/>
      <c r="K238" s="8"/>
      <c r="L238" s="1"/>
      <c r="M238" s="1"/>
      <c r="N238" s="9"/>
      <c r="O238" s="10"/>
      <c r="P238" s="1"/>
      <c r="Q238" s="1"/>
      <c r="R238" s="1"/>
      <c r="S238" s="1"/>
      <c r="T238" s="1"/>
      <c r="U238" s="1"/>
    </row>
    <row r="239" spans="1:21" ht="15.75" customHeight="1">
      <c r="A239" s="2"/>
      <c r="B239" s="1"/>
      <c r="C239" s="1"/>
      <c r="D239" s="1"/>
      <c r="E239" s="1"/>
      <c r="F239" s="1"/>
      <c r="G239" s="18"/>
      <c r="H239" s="1"/>
      <c r="I239" s="1"/>
      <c r="J239" s="8"/>
      <c r="K239" s="8"/>
      <c r="L239" s="1"/>
      <c r="M239" s="1"/>
      <c r="N239" s="9"/>
      <c r="O239" s="10"/>
      <c r="P239" s="1"/>
      <c r="Q239" s="1"/>
      <c r="R239" s="1"/>
      <c r="S239" s="1"/>
      <c r="T239" s="1"/>
      <c r="U239" s="1"/>
    </row>
    <row r="240" spans="1:21" ht="15.75" customHeight="1">
      <c r="A240" s="2"/>
      <c r="B240" s="1"/>
      <c r="C240" s="1"/>
      <c r="D240" s="1"/>
      <c r="E240" s="1"/>
      <c r="F240" s="1"/>
      <c r="G240" s="18"/>
      <c r="H240" s="1"/>
      <c r="I240" s="1"/>
      <c r="J240" s="8"/>
      <c r="K240" s="8"/>
      <c r="L240" s="1"/>
      <c r="M240" s="1"/>
      <c r="N240" s="9"/>
      <c r="O240" s="10"/>
      <c r="P240" s="1"/>
      <c r="Q240" s="1"/>
      <c r="R240" s="1"/>
      <c r="S240" s="1"/>
      <c r="T240" s="1"/>
      <c r="U240" s="1"/>
    </row>
    <row r="241" spans="1:21" ht="15.75" customHeight="1">
      <c r="A241" s="2"/>
      <c r="B241" s="1"/>
      <c r="C241" s="1"/>
      <c r="D241" s="1"/>
      <c r="E241" s="1"/>
      <c r="F241" s="1"/>
      <c r="G241" s="18"/>
      <c r="H241" s="1"/>
      <c r="I241" s="1"/>
      <c r="J241" s="8"/>
      <c r="K241" s="8"/>
      <c r="L241" s="1"/>
      <c r="M241" s="1"/>
      <c r="N241" s="9"/>
      <c r="O241" s="10"/>
      <c r="P241" s="1"/>
      <c r="Q241" s="1"/>
      <c r="R241" s="1"/>
      <c r="S241" s="1"/>
      <c r="T241" s="1"/>
      <c r="U241" s="1"/>
    </row>
    <row r="242" spans="1:21" ht="15.75" customHeight="1">
      <c r="A242" s="2"/>
      <c r="B242" s="1"/>
      <c r="C242" s="1"/>
      <c r="D242" s="1"/>
      <c r="E242" s="1"/>
      <c r="F242" s="1"/>
      <c r="G242" s="18"/>
      <c r="H242" s="1"/>
      <c r="I242" s="1"/>
      <c r="J242" s="8"/>
      <c r="K242" s="8"/>
      <c r="L242" s="1"/>
      <c r="M242" s="1"/>
      <c r="N242" s="9"/>
      <c r="O242" s="10"/>
      <c r="P242" s="1"/>
      <c r="Q242" s="1"/>
      <c r="R242" s="1"/>
      <c r="S242" s="1"/>
      <c r="T242" s="1"/>
      <c r="U242" s="1"/>
    </row>
    <row r="243" spans="1:21" ht="15.75" customHeight="1">
      <c r="A243" s="2"/>
      <c r="B243" s="1"/>
      <c r="C243" s="1"/>
      <c r="D243" s="1"/>
      <c r="E243" s="1"/>
      <c r="F243" s="1"/>
      <c r="G243" s="18"/>
      <c r="H243" s="1"/>
      <c r="I243" s="1"/>
      <c r="J243" s="8"/>
      <c r="K243" s="8"/>
      <c r="L243" s="1"/>
      <c r="M243" s="1"/>
      <c r="N243" s="9"/>
      <c r="O243" s="10"/>
      <c r="P243" s="1"/>
      <c r="Q243" s="1"/>
      <c r="R243" s="1"/>
      <c r="S243" s="1"/>
      <c r="T243" s="1"/>
      <c r="U243" s="1"/>
    </row>
    <row r="244" spans="1:21" ht="15.75" customHeight="1">
      <c r="A244" s="2"/>
      <c r="B244" s="1"/>
      <c r="C244" s="1"/>
      <c r="D244" s="1"/>
      <c r="E244" s="1"/>
      <c r="F244" s="1"/>
      <c r="G244" s="18"/>
      <c r="H244" s="1"/>
      <c r="I244" s="1"/>
      <c r="J244" s="8"/>
      <c r="K244" s="8"/>
      <c r="L244" s="1"/>
      <c r="M244" s="1"/>
      <c r="N244" s="9"/>
      <c r="O244" s="10"/>
      <c r="P244" s="1"/>
      <c r="Q244" s="1"/>
      <c r="R244" s="1"/>
      <c r="S244" s="1"/>
      <c r="T244" s="1"/>
      <c r="U244" s="1"/>
    </row>
    <row r="245" spans="1:21" ht="15.75" customHeight="1">
      <c r="A245" s="2"/>
      <c r="B245" s="1"/>
      <c r="C245" s="1"/>
      <c r="D245" s="1"/>
      <c r="E245" s="1"/>
      <c r="F245" s="1"/>
      <c r="G245" s="18"/>
      <c r="H245" s="1"/>
      <c r="I245" s="1"/>
      <c r="J245" s="8"/>
      <c r="K245" s="8"/>
      <c r="L245" s="1"/>
      <c r="M245" s="1"/>
      <c r="N245" s="9"/>
      <c r="O245" s="10"/>
      <c r="P245" s="1"/>
      <c r="Q245" s="1"/>
      <c r="R245" s="1"/>
      <c r="S245" s="1"/>
      <c r="T245" s="1"/>
      <c r="U245" s="1"/>
    </row>
    <row r="246" spans="1:21" ht="15.75" customHeight="1">
      <c r="A246" s="2"/>
      <c r="B246" s="1"/>
      <c r="C246" s="1"/>
      <c r="D246" s="1"/>
      <c r="E246" s="1"/>
      <c r="F246" s="1"/>
      <c r="G246" s="18"/>
      <c r="H246" s="1"/>
      <c r="I246" s="1"/>
      <c r="J246" s="8"/>
      <c r="K246" s="8"/>
      <c r="L246" s="1"/>
      <c r="M246" s="1"/>
      <c r="N246" s="9"/>
      <c r="O246" s="10"/>
      <c r="P246" s="1"/>
      <c r="Q246" s="1"/>
      <c r="R246" s="1"/>
      <c r="S246" s="1"/>
      <c r="T246" s="1"/>
      <c r="U246" s="1"/>
    </row>
    <row r="247" spans="1:21" ht="15.75" customHeight="1">
      <c r="A247" s="2"/>
      <c r="B247" s="1"/>
      <c r="C247" s="1"/>
      <c r="D247" s="1"/>
      <c r="E247" s="1"/>
      <c r="F247" s="1"/>
      <c r="G247" s="18"/>
      <c r="H247" s="1"/>
      <c r="I247" s="1"/>
      <c r="J247" s="8"/>
      <c r="K247" s="8"/>
      <c r="L247" s="1"/>
      <c r="M247" s="1"/>
      <c r="N247" s="9"/>
      <c r="O247" s="10"/>
      <c r="P247" s="1"/>
      <c r="Q247" s="1"/>
      <c r="R247" s="1"/>
      <c r="S247" s="1"/>
      <c r="T247" s="1"/>
      <c r="U247" s="1"/>
    </row>
    <row r="248" spans="1:21" ht="15.75" customHeight="1">
      <c r="A248" s="2"/>
      <c r="B248" s="1"/>
      <c r="C248" s="1"/>
      <c r="D248" s="1"/>
      <c r="E248" s="1"/>
      <c r="F248" s="1"/>
      <c r="G248" s="18"/>
      <c r="H248" s="1"/>
      <c r="I248" s="1"/>
      <c r="J248" s="8"/>
      <c r="K248" s="8"/>
      <c r="L248" s="1"/>
      <c r="M248" s="1"/>
      <c r="N248" s="9"/>
      <c r="O248" s="10"/>
      <c r="P248" s="1"/>
      <c r="Q248" s="1"/>
      <c r="R248" s="1"/>
      <c r="S248" s="1"/>
      <c r="T248" s="1"/>
      <c r="U248" s="1"/>
    </row>
    <row r="249" spans="1:21" ht="15.75" customHeight="1">
      <c r="A249" s="2"/>
      <c r="B249" s="1"/>
      <c r="C249" s="1"/>
      <c r="D249" s="1"/>
      <c r="E249" s="1"/>
      <c r="F249" s="1"/>
      <c r="G249" s="18"/>
      <c r="H249" s="1"/>
      <c r="I249" s="1"/>
      <c r="J249" s="8"/>
      <c r="K249" s="8"/>
      <c r="L249" s="1"/>
      <c r="M249" s="1"/>
      <c r="N249" s="9"/>
      <c r="O249" s="10"/>
      <c r="P249" s="1"/>
      <c r="Q249" s="1"/>
      <c r="R249" s="1"/>
      <c r="S249" s="1"/>
      <c r="T249" s="1"/>
      <c r="U249" s="1"/>
    </row>
    <row r="250" spans="1:21" ht="15.75" customHeight="1">
      <c r="A250" s="2"/>
      <c r="B250" s="1"/>
      <c r="C250" s="1"/>
      <c r="D250" s="1"/>
      <c r="E250" s="1"/>
      <c r="F250" s="1"/>
      <c r="G250" s="18"/>
      <c r="H250" s="1"/>
      <c r="I250" s="1"/>
      <c r="J250" s="8"/>
      <c r="K250" s="8"/>
      <c r="L250" s="1"/>
      <c r="M250" s="1"/>
      <c r="N250" s="9"/>
      <c r="O250" s="10"/>
      <c r="P250" s="1"/>
      <c r="Q250" s="1"/>
      <c r="R250" s="1"/>
      <c r="S250" s="1"/>
      <c r="T250" s="1"/>
      <c r="U250" s="1"/>
    </row>
    <row r="251" spans="1:21" ht="15.75" customHeight="1">
      <c r="A251" s="2"/>
      <c r="B251" s="1"/>
      <c r="C251" s="1"/>
      <c r="D251" s="1"/>
      <c r="E251" s="1"/>
      <c r="F251" s="1"/>
      <c r="G251" s="18"/>
      <c r="H251" s="1"/>
      <c r="I251" s="1"/>
      <c r="J251" s="8"/>
      <c r="K251" s="8"/>
      <c r="L251" s="1"/>
      <c r="M251" s="1"/>
      <c r="N251" s="9"/>
      <c r="O251" s="10"/>
      <c r="P251" s="1"/>
      <c r="Q251" s="1"/>
      <c r="R251" s="1"/>
      <c r="S251" s="1"/>
      <c r="T251" s="1"/>
      <c r="U251" s="1"/>
    </row>
    <row r="252" spans="1:21" ht="15.75" customHeight="1">
      <c r="A252" s="2"/>
      <c r="B252" s="1"/>
      <c r="C252" s="1"/>
      <c r="D252" s="1"/>
      <c r="E252" s="1"/>
      <c r="F252" s="1"/>
      <c r="G252" s="18"/>
      <c r="H252" s="1"/>
      <c r="I252" s="1"/>
      <c r="J252" s="8"/>
      <c r="K252" s="8"/>
      <c r="L252" s="1"/>
      <c r="M252" s="1"/>
      <c r="N252" s="9"/>
      <c r="O252" s="10"/>
      <c r="P252" s="1"/>
      <c r="Q252" s="1"/>
      <c r="R252" s="1"/>
      <c r="S252" s="1"/>
      <c r="T252" s="1"/>
      <c r="U252" s="1"/>
    </row>
    <row r="253" spans="1:21" ht="15.75" customHeight="1">
      <c r="A253" s="2"/>
      <c r="B253" s="1"/>
      <c r="C253" s="1"/>
      <c r="D253" s="1"/>
      <c r="E253" s="1"/>
      <c r="F253" s="1"/>
      <c r="G253" s="18"/>
      <c r="H253" s="1"/>
      <c r="I253" s="1"/>
      <c r="J253" s="8"/>
      <c r="K253" s="8"/>
      <c r="L253" s="1"/>
      <c r="M253" s="1"/>
      <c r="N253" s="9"/>
      <c r="O253" s="10"/>
      <c r="P253" s="1"/>
      <c r="Q253" s="1"/>
      <c r="R253" s="1"/>
      <c r="S253" s="1"/>
      <c r="T253" s="1"/>
      <c r="U253" s="1"/>
    </row>
    <row r="254" spans="1:21" ht="15.75" customHeight="1">
      <c r="A254" s="2"/>
      <c r="B254" s="1"/>
      <c r="C254" s="1"/>
      <c r="D254" s="1"/>
      <c r="E254" s="1"/>
      <c r="F254" s="1"/>
      <c r="G254" s="18"/>
      <c r="H254" s="1"/>
      <c r="I254" s="1"/>
      <c r="J254" s="8"/>
      <c r="K254" s="8"/>
      <c r="L254" s="1"/>
      <c r="M254" s="1"/>
      <c r="N254" s="9"/>
      <c r="O254" s="10"/>
      <c r="P254" s="1"/>
      <c r="Q254" s="1"/>
      <c r="R254" s="1"/>
      <c r="S254" s="1"/>
      <c r="T254" s="1"/>
      <c r="U254" s="1"/>
    </row>
    <row r="255" spans="1:21" ht="15.75" customHeight="1">
      <c r="A255" s="2"/>
      <c r="B255" s="1"/>
      <c r="C255" s="1"/>
      <c r="D255" s="1"/>
      <c r="E255" s="1"/>
      <c r="F255" s="1"/>
      <c r="G255" s="18"/>
      <c r="H255" s="1"/>
      <c r="I255" s="1"/>
      <c r="J255" s="8"/>
      <c r="K255" s="8"/>
      <c r="L255" s="1"/>
      <c r="M255" s="1"/>
      <c r="N255" s="9"/>
      <c r="O255" s="10"/>
      <c r="P255" s="1"/>
      <c r="Q255" s="1"/>
      <c r="R255" s="1"/>
      <c r="S255" s="1"/>
      <c r="T255" s="1"/>
      <c r="U255" s="1"/>
    </row>
    <row r="256" spans="1:21" ht="15.75" customHeight="1">
      <c r="A256" s="2"/>
      <c r="B256" s="1"/>
      <c r="C256" s="1"/>
      <c r="D256" s="1"/>
      <c r="E256" s="1"/>
      <c r="F256" s="1"/>
      <c r="G256" s="18"/>
      <c r="H256" s="1"/>
      <c r="I256" s="1"/>
      <c r="J256" s="8"/>
      <c r="K256" s="8"/>
      <c r="L256" s="1"/>
      <c r="M256" s="1"/>
      <c r="N256" s="9"/>
      <c r="O256" s="10"/>
      <c r="P256" s="1"/>
      <c r="Q256" s="1"/>
      <c r="R256" s="1"/>
      <c r="S256" s="1"/>
      <c r="T256" s="1"/>
      <c r="U256" s="1"/>
    </row>
    <row r="257" spans="1:21" ht="15.75" customHeight="1">
      <c r="A257" s="2"/>
      <c r="B257" s="1"/>
      <c r="C257" s="1"/>
      <c r="D257" s="1"/>
      <c r="E257" s="1"/>
      <c r="F257" s="1"/>
      <c r="G257" s="18"/>
      <c r="H257" s="1"/>
      <c r="I257" s="1"/>
      <c r="J257" s="8"/>
      <c r="K257" s="8"/>
      <c r="L257" s="1"/>
      <c r="M257" s="1"/>
      <c r="N257" s="9"/>
      <c r="O257" s="10"/>
      <c r="P257" s="1"/>
      <c r="Q257" s="1"/>
      <c r="R257" s="1"/>
      <c r="S257" s="1"/>
      <c r="T257" s="1"/>
      <c r="U257" s="1"/>
    </row>
    <row r="258" spans="1:21" ht="15.75" customHeight="1">
      <c r="A258" s="2"/>
      <c r="B258" s="1"/>
      <c r="C258" s="1"/>
      <c r="D258" s="1"/>
      <c r="E258" s="1"/>
      <c r="F258" s="1"/>
      <c r="G258" s="18"/>
      <c r="H258" s="1"/>
      <c r="I258" s="1"/>
      <c r="J258" s="8"/>
      <c r="K258" s="8"/>
      <c r="L258" s="1"/>
      <c r="M258" s="1"/>
      <c r="N258" s="9"/>
      <c r="O258" s="10"/>
      <c r="P258" s="1"/>
      <c r="Q258" s="1"/>
      <c r="R258" s="1"/>
      <c r="S258" s="1"/>
      <c r="T258" s="1"/>
      <c r="U258" s="1"/>
    </row>
    <row r="259" spans="1:21" ht="15.75" customHeight="1">
      <c r="A259" s="2"/>
      <c r="B259" s="1"/>
      <c r="C259" s="1"/>
      <c r="D259" s="1"/>
      <c r="E259" s="1"/>
      <c r="F259" s="1"/>
      <c r="G259" s="18"/>
      <c r="H259" s="1"/>
      <c r="I259" s="1"/>
      <c r="J259" s="8"/>
      <c r="K259" s="8"/>
      <c r="L259" s="1"/>
      <c r="M259" s="1"/>
      <c r="N259" s="9"/>
      <c r="O259" s="10"/>
      <c r="P259" s="1"/>
      <c r="Q259" s="1"/>
      <c r="R259" s="1"/>
      <c r="S259" s="1"/>
      <c r="T259" s="1"/>
      <c r="U259" s="1"/>
    </row>
    <row r="260" spans="1:21" ht="15.75" customHeight="1">
      <c r="A260" s="2"/>
      <c r="B260" s="1"/>
      <c r="C260" s="1"/>
      <c r="D260" s="1"/>
      <c r="E260" s="1"/>
      <c r="F260" s="1"/>
      <c r="G260" s="18"/>
      <c r="H260" s="1"/>
      <c r="I260" s="1"/>
      <c r="J260" s="8"/>
      <c r="K260" s="8"/>
      <c r="L260" s="1"/>
      <c r="M260" s="1"/>
      <c r="N260" s="9"/>
      <c r="O260" s="10"/>
      <c r="P260" s="1"/>
      <c r="Q260" s="1"/>
      <c r="R260" s="1"/>
      <c r="S260" s="1"/>
      <c r="T260" s="1"/>
      <c r="U260" s="1"/>
    </row>
    <row r="261" spans="1:21" ht="15.75" customHeight="1">
      <c r="A261" s="2"/>
      <c r="B261" s="1"/>
      <c r="C261" s="1"/>
      <c r="D261" s="1"/>
      <c r="E261" s="1"/>
      <c r="F261" s="1"/>
      <c r="G261" s="18"/>
      <c r="H261" s="1"/>
      <c r="I261" s="1"/>
      <c r="J261" s="8"/>
      <c r="K261" s="8"/>
      <c r="L261" s="1"/>
      <c r="M261" s="1"/>
      <c r="N261" s="9"/>
      <c r="O261" s="10"/>
      <c r="P261" s="1"/>
      <c r="Q261" s="1"/>
      <c r="R261" s="1"/>
      <c r="S261" s="1"/>
      <c r="T261" s="1"/>
      <c r="U261" s="1"/>
    </row>
    <row r="262" spans="1:21" ht="15.75" customHeight="1">
      <c r="A262" s="2"/>
      <c r="B262" s="1"/>
      <c r="C262" s="1"/>
      <c r="D262" s="1"/>
      <c r="E262" s="1"/>
      <c r="F262" s="1"/>
      <c r="G262" s="18"/>
      <c r="H262" s="1"/>
      <c r="I262" s="1"/>
      <c r="J262" s="8"/>
      <c r="K262" s="8"/>
      <c r="L262" s="1"/>
      <c r="M262" s="1"/>
      <c r="N262" s="9"/>
      <c r="O262" s="10"/>
      <c r="P262" s="1"/>
      <c r="Q262" s="1"/>
      <c r="R262" s="1"/>
      <c r="S262" s="1"/>
      <c r="T262" s="1"/>
      <c r="U262" s="1"/>
    </row>
    <row r="263" spans="1:21" ht="15.75" customHeight="1">
      <c r="A263" s="2"/>
      <c r="B263" s="1"/>
      <c r="C263" s="1"/>
      <c r="D263" s="1"/>
      <c r="E263" s="1"/>
      <c r="F263" s="1"/>
      <c r="G263" s="18"/>
      <c r="H263" s="1"/>
      <c r="I263" s="1"/>
      <c r="J263" s="8"/>
      <c r="K263" s="8"/>
      <c r="L263" s="1"/>
      <c r="M263" s="1"/>
      <c r="N263" s="9"/>
      <c r="O263" s="10"/>
      <c r="P263" s="1"/>
      <c r="Q263" s="1"/>
      <c r="R263" s="1"/>
      <c r="S263" s="1"/>
      <c r="T263" s="1"/>
      <c r="U263" s="1"/>
    </row>
    <row r="264" spans="1:21" ht="15.75" customHeight="1">
      <c r="A264" s="2"/>
      <c r="B264" s="1"/>
      <c r="C264" s="1"/>
      <c r="D264" s="1"/>
      <c r="E264" s="1"/>
      <c r="F264" s="1"/>
      <c r="G264" s="18"/>
      <c r="H264" s="1"/>
      <c r="I264" s="1"/>
      <c r="J264" s="8"/>
      <c r="K264" s="8"/>
      <c r="L264" s="1"/>
      <c r="M264" s="1"/>
      <c r="N264" s="9"/>
      <c r="O264" s="10"/>
      <c r="P264" s="1"/>
      <c r="Q264" s="1"/>
      <c r="R264" s="1"/>
      <c r="S264" s="1"/>
      <c r="T264" s="1"/>
      <c r="U264" s="1"/>
    </row>
    <row r="265" spans="1:21" ht="15.75" customHeight="1">
      <c r="A265" s="2"/>
      <c r="B265" s="1"/>
      <c r="C265" s="1"/>
      <c r="D265" s="1"/>
      <c r="E265" s="1"/>
      <c r="F265" s="1"/>
      <c r="G265" s="18"/>
      <c r="H265" s="1"/>
      <c r="I265" s="1"/>
      <c r="J265" s="8"/>
      <c r="K265" s="8"/>
      <c r="L265" s="1"/>
      <c r="M265" s="1"/>
      <c r="N265" s="9"/>
      <c r="O265" s="10"/>
      <c r="P265" s="1"/>
      <c r="Q265" s="1"/>
      <c r="R265" s="1"/>
      <c r="S265" s="1"/>
      <c r="T265" s="1"/>
      <c r="U265" s="1"/>
    </row>
    <row r="266" spans="1:21" ht="15.75" customHeight="1">
      <c r="A266" s="2"/>
      <c r="B266" s="1"/>
      <c r="C266" s="1"/>
      <c r="D266" s="1"/>
      <c r="E266" s="1"/>
      <c r="F266" s="1"/>
      <c r="G266" s="18"/>
      <c r="H266" s="1"/>
      <c r="I266" s="1"/>
      <c r="J266" s="8"/>
      <c r="K266" s="8"/>
      <c r="L266" s="1"/>
      <c r="M266" s="1"/>
      <c r="N266" s="9"/>
      <c r="O266" s="10"/>
      <c r="P266" s="1"/>
      <c r="Q266" s="1"/>
      <c r="R266" s="1"/>
      <c r="S266" s="1"/>
      <c r="T266" s="1"/>
      <c r="U266" s="1"/>
    </row>
    <row r="267" spans="1:21" ht="15.75" customHeight="1">
      <c r="A267" s="2"/>
      <c r="B267" s="1"/>
      <c r="C267" s="1"/>
      <c r="D267" s="1"/>
      <c r="E267" s="1"/>
      <c r="F267" s="1"/>
      <c r="G267" s="18"/>
      <c r="H267" s="1"/>
      <c r="I267" s="1"/>
      <c r="J267" s="8"/>
      <c r="K267" s="8"/>
      <c r="L267" s="1"/>
      <c r="M267" s="1"/>
      <c r="N267" s="9"/>
      <c r="O267" s="10"/>
      <c r="P267" s="1"/>
      <c r="Q267" s="1"/>
      <c r="R267" s="1"/>
      <c r="S267" s="1"/>
      <c r="T267" s="1"/>
      <c r="U267" s="1"/>
    </row>
    <row r="268" spans="1:21" ht="15.75" customHeight="1">
      <c r="A268" s="2"/>
      <c r="B268" s="1"/>
      <c r="C268" s="1"/>
      <c r="D268" s="1"/>
      <c r="E268" s="1"/>
      <c r="F268" s="1"/>
      <c r="G268" s="18"/>
      <c r="H268" s="1"/>
      <c r="I268" s="1"/>
      <c r="J268" s="8"/>
      <c r="K268" s="8"/>
      <c r="L268" s="1"/>
      <c r="M268" s="1"/>
      <c r="N268" s="9"/>
      <c r="O268" s="10"/>
      <c r="P268" s="1"/>
      <c r="Q268" s="1"/>
      <c r="R268" s="1"/>
      <c r="S268" s="1"/>
      <c r="T268" s="1"/>
      <c r="U268" s="1"/>
    </row>
    <row r="269" spans="1:21" ht="15.75" customHeight="1">
      <c r="A269" s="2"/>
      <c r="B269" s="1"/>
      <c r="C269" s="1"/>
      <c r="D269" s="1"/>
      <c r="E269" s="1"/>
      <c r="F269" s="1"/>
      <c r="G269" s="18"/>
      <c r="H269" s="1"/>
      <c r="I269" s="1"/>
      <c r="J269" s="8"/>
      <c r="K269" s="8"/>
      <c r="L269" s="1"/>
      <c r="M269" s="1"/>
      <c r="N269" s="9"/>
      <c r="O269" s="10"/>
      <c r="P269" s="1"/>
      <c r="Q269" s="1"/>
      <c r="R269" s="1"/>
      <c r="S269" s="1"/>
      <c r="T269" s="1"/>
      <c r="U269" s="1"/>
    </row>
    <row r="270" spans="1:21" ht="15.75" customHeight="1">
      <c r="A270" s="2"/>
      <c r="B270" s="1"/>
      <c r="C270" s="1"/>
      <c r="D270" s="1"/>
      <c r="E270" s="1"/>
      <c r="F270" s="1"/>
      <c r="G270" s="18"/>
      <c r="H270" s="1"/>
      <c r="I270" s="1"/>
      <c r="J270" s="8"/>
      <c r="K270" s="8"/>
      <c r="L270" s="1"/>
      <c r="M270" s="1"/>
      <c r="N270" s="9"/>
      <c r="O270" s="10"/>
      <c r="P270" s="1"/>
      <c r="Q270" s="1"/>
      <c r="R270" s="1"/>
      <c r="S270" s="1"/>
      <c r="T270" s="1"/>
      <c r="U270" s="1"/>
    </row>
    <row r="271" spans="1:21" ht="15.75" customHeight="1">
      <c r="A271" s="2"/>
      <c r="B271" s="1"/>
      <c r="C271" s="1"/>
      <c r="D271" s="1"/>
      <c r="E271" s="1"/>
      <c r="F271" s="1"/>
      <c r="G271" s="18"/>
      <c r="H271" s="1"/>
      <c r="I271" s="1"/>
      <c r="J271" s="8"/>
      <c r="K271" s="8"/>
      <c r="L271" s="1"/>
      <c r="M271" s="1"/>
      <c r="N271" s="9"/>
      <c r="O271" s="10"/>
      <c r="P271" s="1"/>
      <c r="Q271" s="1"/>
      <c r="R271" s="1"/>
      <c r="S271" s="1"/>
      <c r="T271" s="1"/>
      <c r="U271" s="1"/>
    </row>
    <row r="272" spans="1:21" ht="15.75" customHeight="1">
      <c r="A272" s="2"/>
      <c r="B272" s="1"/>
      <c r="C272" s="1"/>
      <c r="D272" s="1"/>
      <c r="E272" s="1"/>
      <c r="F272" s="1"/>
      <c r="G272" s="18"/>
      <c r="H272" s="1"/>
      <c r="I272" s="1"/>
      <c r="J272" s="8"/>
      <c r="K272" s="8"/>
      <c r="L272" s="1"/>
      <c r="M272" s="1"/>
      <c r="N272" s="9"/>
      <c r="O272" s="10"/>
      <c r="P272" s="1"/>
      <c r="Q272" s="1"/>
      <c r="R272" s="1"/>
      <c r="S272" s="1"/>
      <c r="T272" s="1"/>
      <c r="U272" s="1"/>
    </row>
    <row r="273" spans="1:21" ht="15.75" customHeight="1">
      <c r="A273" s="2"/>
      <c r="B273" s="1"/>
      <c r="C273" s="1"/>
      <c r="D273" s="1"/>
      <c r="E273" s="1"/>
      <c r="F273" s="1"/>
      <c r="G273" s="18"/>
      <c r="H273" s="1"/>
      <c r="I273" s="1"/>
      <c r="J273" s="8"/>
      <c r="K273" s="8"/>
      <c r="L273" s="1"/>
      <c r="M273" s="1"/>
      <c r="N273" s="9"/>
      <c r="O273" s="10"/>
      <c r="P273" s="1"/>
      <c r="Q273" s="1"/>
      <c r="R273" s="1"/>
      <c r="S273" s="1"/>
      <c r="T273" s="1"/>
      <c r="U273" s="1"/>
    </row>
    <row r="274" spans="1:21" ht="15.75" customHeight="1">
      <c r="A274" s="2"/>
      <c r="B274" s="1"/>
      <c r="C274" s="1"/>
      <c r="D274" s="1"/>
      <c r="E274" s="1"/>
      <c r="F274" s="1"/>
      <c r="G274" s="18"/>
      <c r="H274" s="1"/>
      <c r="I274" s="1"/>
      <c r="J274" s="8"/>
      <c r="K274" s="8"/>
      <c r="L274" s="1"/>
      <c r="M274" s="1"/>
      <c r="N274" s="9"/>
      <c r="O274" s="10"/>
      <c r="P274" s="1"/>
      <c r="Q274" s="1"/>
      <c r="R274" s="1"/>
      <c r="S274" s="1"/>
      <c r="T274" s="1"/>
      <c r="U274" s="1"/>
    </row>
    <row r="275" spans="1:21" ht="15.75" customHeight="1">
      <c r="A275" s="2"/>
      <c r="B275" s="1"/>
      <c r="C275" s="1"/>
      <c r="D275" s="1"/>
      <c r="E275" s="1"/>
      <c r="F275" s="1"/>
      <c r="G275" s="18"/>
      <c r="H275" s="1"/>
      <c r="I275" s="1"/>
      <c r="J275" s="8"/>
      <c r="K275" s="8"/>
      <c r="L275" s="1"/>
      <c r="M275" s="1"/>
      <c r="N275" s="9"/>
      <c r="O275" s="10"/>
      <c r="P275" s="1"/>
      <c r="Q275" s="1"/>
      <c r="R275" s="1"/>
      <c r="S275" s="1"/>
      <c r="T275" s="1"/>
      <c r="U275" s="1"/>
    </row>
    <row r="276" spans="1:21" ht="15.75" customHeight="1">
      <c r="A276" s="2"/>
      <c r="B276" s="1"/>
      <c r="C276" s="1"/>
      <c r="D276" s="1"/>
      <c r="E276" s="1"/>
      <c r="F276" s="1"/>
      <c r="G276" s="18"/>
      <c r="H276" s="1"/>
      <c r="I276" s="1"/>
      <c r="J276" s="8"/>
      <c r="K276" s="8"/>
      <c r="L276" s="1"/>
      <c r="M276" s="1"/>
      <c r="N276" s="9"/>
      <c r="O276" s="10"/>
      <c r="P276" s="1"/>
      <c r="Q276" s="1"/>
      <c r="R276" s="1"/>
      <c r="S276" s="1"/>
      <c r="T276" s="1"/>
      <c r="U276" s="1"/>
    </row>
    <row r="277" spans="1:21" ht="15.75" customHeight="1">
      <c r="A277" s="2"/>
      <c r="B277" s="1"/>
      <c r="C277" s="1"/>
      <c r="D277" s="1"/>
      <c r="E277" s="1"/>
      <c r="F277" s="1"/>
      <c r="G277" s="18"/>
      <c r="H277" s="1"/>
      <c r="I277" s="1"/>
      <c r="J277" s="8"/>
      <c r="K277" s="8"/>
      <c r="L277" s="1"/>
      <c r="M277" s="1"/>
      <c r="N277" s="9"/>
      <c r="O277" s="10"/>
      <c r="P277" s="1"/>
      <c r="Q277" s="1"/>
      <c r="R277" s="1"/>
      <c r="S277" s="1"/>
      <c r="T277" s="1"/>
      <c r="U277" s="1"/>
    </row>
    <row r="278" spans="1:21" ht="15.75" customHeight="1">
      <c r="A278" s="2"/>
      <c r="B278" s="1"/>
      <c r="C278" s="1"/>
      <c r="D278" s="1"/>
      <c r="E278" s="1"/>
      <c r="F278" s="1"/>
      <c r="G278" s="18"/>
      <c r="H278" s="1"/>
      <c r="I278" s="1"/>
      <c r="J278" s="8"/>
      <c r="K278" s="8"/>
      <c r="L278" s="1"/>
      <c r="M278" s="1"/>
      <c r="N278" s="9"/>
      <c r="O278" s="10"/>
      <c r="P278" s="1"/>
      <c r="Q278" s="1"/>
      <c r="R278" s="1"/>
      <c r="S278" s="1"/>
      <c r="T278" s="1"/>
      <c r="U278" s="1"/>
    </row>
    <row r="279" spans="1:21" ht="15.75" customHeight="1">
      <c r="A279" s="2"/>
      <c r="B279" s="1"/>
      <c r="C279" s="1"/>
      <c r="D279" s="1"/>
      <c r="E279" s="1"/>
      <c r="F279" s="1"/>
      <c r="G279" s="18"/>
      <c r="H279" s="1"/>
      <c r="I279" s="1"/>
      <c r="J279" s="8"/>
      <c r="K279" s="8"/>
      <c r="L279" s="1"/>
      <c r="M279" s="1"/>
      <c r="N279" s="9"/>
      <c r="O279" s="10"/>
      <c r="P279" s="1"/>
      <c r="Q279" s="1"/>
      <c r="R279" s="1"/>
      <c r="S279" s="1"/>
      <c r="T279" s="1"/>
      <c r="U279" s="1"/>
    </row>
    <row r="280" spans="1:21" ht="15.75" customHeight="1">
      <c r="A280" s="2"/>
      <c r="B280" s="1"/>
      <c r="C280" s="1"/>
      <c r="D280" s="1"/>
      <c r="E280" s="1"/>
      <c r="F280" s="1"/>
      <c r="G280" s="18"/>
      <c r="H280" s="1"/>
      <c r="I280" s="1"/>
      <c r="J280" s="8"/>
      <c r="K280" s="8"/>
      <c r="L280" s="1"/>
      <c r="M280" s="1"/>
      <c r="N280" s="9"/>
      <c r="O280" s="10"/>
      <c r="P280" s="1"/>
      <c r="Q280" s="1"/>
      <c r="R280" s="1"/>
      <c r="S280" s="1"/>
      <c r="T280" s="1"/>
      <c r="U280" s="1"/>
    </row>
    <row r="281" spans="1:21" ht="15.75" customHeight="1">
      <c r="A281" s="2"/>
      <c r="B281" s="1"/>
      <c r="C281" s="1"/>
      <c r="D281" s="1"/>
      <c r="E281" s="1"/>
      <c r="F281" s="1"/>
      <c r="G281" s="18"/>
      <c r="H281" s="1"/>
      <c r="I281" s="1"/>
      <c r="J281" s="8"/>
      <c r="K281" s="8"/>
      <c r="L281" s="1"/>
      <c r="M281" s="1"/>
      <c r="N281" s="9"/>
      <c r="O281" s="10"/>
      <c r="P281" s="1"/>
      <c r="Q281" s="1"/>
      <c r="R281" s="1"/>
      <c r="S281" s="1"/>
      <c r="T281" s="1"/>
      <c r="U281" s="1"/>
    </row>
    <row r="282" spans="1:21" ht="15.75" customHeight="1">
      <c r="A282" s="2"/>
      <c r="B282" s="1"/>
      <c r="C282" s="1"/>
      <c r="D282" s="1"/>
      <c r="E282" s="1"/>
      <c r="F282" s="1"/>
      <c r="G282" s="18"/>
      <c r="H282" s="1"/>
      <c r="I282" s="1"/>
      <c r="J282" s="8"/>
      <c r="K282" s="8"/>
      <c r="L282" s="1"/>
      <c r="M282" s="1"/>
      <c r="N282" s="9"/>
      <c r="O282" s="10"/>
      <c r="P282" s="1"/>
      <c r="Q282" s="1"/>
      <c r="R282" s="1"/>
      <c r="S282" s="1"/>
      <c r="T282" s="1"/>
      <c r="U282" s="1"/>
    </row>
    <row r="283" spans="1:21" ht="15.75" customHeight="1">
      <c r="A283" s="2"/>
      <c r="B283" s="1"/>
      <c r="C283" s="1"/>
      <c r="D283" s="1"/>
      <c r="E283" s="1"/>
      <c r="F283" s="1"/>
      <c r="G283" s="18"/>
      <c r="H283" s="1"/>
      <c r="I283" s="1"/>
      <c r="J283" s="8"/>
      <c r="K283" s="8"/>
      <c r="L283" s="1"/>
      <c r="M283" s="1"/>
      <c r="N283" s="9"/>
      <c r="O283" s="10"/>
      <c r="P283" s="1"/>
      <c r="Q283" s="1"/>
      <c r="R283" s="1"/>
      <c r="S283" s="1"/>
      <c r="T283" s="1"/>
      <c r="U283" s="1"/>
    </row>
    <row r="284" spans="1:21" ht="15.75" customHeight="1">
      <c r="A284" s="2"/>
      <c r="B284" s="1"/>
      <c r="C284" s="1"/>
      <c r="D284" s="1"/>
      <c r="E284" s="1"/>
      <c r="F284" s="1"/>
      <c r="G284" s="18"/>
      <c r="H284" s="1"/>
      <c r="I284" s="1"/>
      <c r="J284" s="8"/>
      <c r="K284" s="8"/>
      <c r="L284" s="1"/>
      <c r="M284" s="1"/>
      <c r="N284" s="9"/>
      <c r="O284" s="10"/>
      <c r="P284" s="1"/>
      <c r="Q284" s="1"/>
      <c r="R284" s="1"/>
      <c r="S284" s="1"/>
      <c r="T284" s="1"/>
      <c r="U284" s="1"/>
    </row>
    <row r="285" spans="1:21" ht="15.75" customHeight="1">
      <c r="A285" s="2"/>
      <c r="B285" s="1"/>
      <c r="C285" s="1"/>
      <c r="D285" s="1"/>
      <c r="E285" s="1"/>
      <c r="F285" s="1"/>
      <c r="G285" s="18"/>
      <c r="H285" s="1"/>
      <c r="I285" s="1"/>
      <c r="J285" s="8"/>
      <c r="K285" s="8"/>
      <c r="L285" s="1"/>
      <c r="M285" s="1"/>
      <c r="N285" s="9"/>
      <c r="O285" s="10"/>
      <c r="P285" s="1"/>
      <c r="Q285" s="1"/>
      <c r="R285" s="1"/>
      <c r="S285" s="1"/>
      <c r="T285" s="1"/>
      <c r="U285" s="1"/>
    </row>
    <row r="286" spans="1:21" ht="15.75" customHeight="1">
      <c r="A286" s="2"/>
      <c r="B286" s="1"/>
      <c r="C286" s="1"/>
      <c r="D286" s="1"/>
      <c r="E286" s="1"/>
      <c r="F286" s="1"/>
      <c r="G286" s="18"/>
      <c r="H286" s="1"/>
      <c r="I286" s="1"/>
      <c r="J286" s="8"/>
      <c r="K286" s="8"/>
      <c r="L286" s="1"/>
      <c r="M286" s="1"/>
      <c r="N286" s="9"/>
      <c r="O286" s="10"/>
      <c r="P286" s="1"/>
      <c r="Q286" s="1"/>
      <c r="R286" s="1"/>
      <c r="S286" s="1"/>
      <c r="T286" s="1"/>
      <c r="U286" s="1"/>
    </row>
    <row r="287" spans="1:21" ht="15.75" customHeight="1">
      <c r="A287" s="2"/>
      <c r="B287" s="1"/>
      <c r="C287" s="1"/>
      <c r="D287" s="1"/>
      <c r="E287" s="1"/>
      <c r="F287" s="1"/>
      <c r="G287" s="18"/>
      <c r="H287" s="1"/>
      <c r="I287" s="1"/>
      <c r="J287" s="8"/>
      <c r="K287" s="8"/>
      <c r="L287" s="1"/>
      <c r="M287" s="1"/>
      <c r="N287" s="9"/>
      <c r="O287" s="10"/>
      <c r="P287" s="1"/>
      <c r="Q287" s="1"/>
      <c r="R287" s="1"/>
      <c r="S287" s="1"/>
      <c r="T287" s="1"/>
      <c r="U287" s="1"/>
    </row>
    <row r="288" spans="1:21" ht="15.75" customHeight="1">
      <c r="A288" s="2"/>
      <c r="B288" s="1"/>
      <c r="C288" s="1"/>
      <c r="D288" s="1"/>
      <c r="E288" s="1"/>
      <c r="F288" s="1"/>
      <c r="G288" s="18"/>
      <c r="H288" s="1"/>
      <c r="I288" s="1"/>
      <c r="J288" s="8"/>
      <c r="K288" s="8"/>
      <c r="L288" s="1"/>
      <c r="M288" s="1"/>
      <c r="N288" s="9"/>
      <c r="O288" s="10"/>
      <c r="P288" s="1"/>
      <c r="Q288" s="1"/>
      <c r="R288" s="1"/>
      <c r="S288" s="1"/>
      <c r="T288" s="1"/>
      <c r="U288" s="1"/>
    </row>
    <row r="289" spans="1:21" ht="15.75" customHeight="1">
      <c r="A289" s="2"/>
      <c r="B289" s="1"/>
      <c r="C289" s="1"/>
      <c r="D289" s="1"/>
      <c r="E289" s="1"/>
      <c r="F289" s="1"/>
      <c r="G289" s="18"/>
      <c r="H289" s="1"/>
      <c r="I289" s="1"/>
      <c r="J289" s="8"/>
      <c r="K289" s="8"/>
      <c r="L289" s="1"/>
      <c r="M289" s="1"/>
      <c r="N289" s="9"/>
      <c r="O289" s="10"/>
      <c r="P289" s="1"/>
      <c r="Q289" s="1"/>
      <c r="R289" s="1"/>
      <c r="S289" s="1"/>
      <c r="T289" s="1"/>
      <c r="U289" s="1"/>
    </row>
    <row r="290" spans="1:21" ht="15.75" customHeight="1">
      <c r="A290" s="2"/>
      <c r="B290" s="1"/>
      <c r="C290" s="1"/>
      <c r="D290" s="1"/>
      <c r="E290" s="1"/>
      <c r="F290" s="1"/>
      <c r="G290" s="18"/>
      <c r="H290" s="1"/>
      <c r="I290" s="1"/>
      <c r="J290" s="8"/>
      <c r="K290" s="8"/>
      <c r="L290" s="1"/>
      <c r="M290" s="1"/>
      <c r="N290" s="9"/>
      <c r="O290" s="10"/>
      <c r="P290" s="1"/>
      <c r="Q290" s="1"/>
      <c r="R290" s="1"/>
      <c r="S290" s="1"/>
      <c r="T290" s="1"/>
      <c r="U290" s="1"/>
    </row>
    <row r="291" spans="1:21" ht="15.75" customHeight="1">
      <c r="A291" s="2"/>
      <c r="B291" s="1"/>
      <c r="C291" s="1"/>
      <c r="D291" s="1"/>
      <c r="E291" s="1"/>
      <c r="F291" s="1"/>
      <c r="G291" s="18"/>
      <c r="H291" s="1"/>
      <c r="I291" s="1"/>
      <c r="J291" s="8"/>
      <c r="K291" s="8"/>
      <c r="L291" s="1"/>
      <c r="M291" s="1"/>
      <c r="N291" s="9"/>
      <c r="O291" s="10"/>
      <c r="P291" s="1"/>
      <c r="Q291" s="1"/>
      <c r="R291" s="1"/>
      <c r="S291" s="1"/>
      <c r="T291" s="1"/>
      <c r="U291" s="1"/>
    </row>
    <row r="292" spans="1:21" ht="15.75" customHeight="1">
      <c r="A292" s="2"/>
      <c r="B292" s="1"/>
      <c r="C292" s="1"/>
      <c r="D292" s="1"/>
      <c r="E292" s="1"/>
      <c r="F292" s="1"/>
      <c r="G292" s="18"/>
      <c r="H292" s="1"/>
      <c r="I292" s="1"/>
      <c r="J292" s="8"/>
      <c r="K292" s="8"/>
      <c r="L292" s="1"/>
      <c r="M292" s="1"/>
      <c r="N292" s="9"/>
      <c r="O292" s="10"/>
      <c r="P292" s="1"/>
      <c r="Q292" s="1"/>
      <c r="R292" s="1"/>
      <c r="S292" s="1"/>
      <c r="T292" s="1"/>
      <c r="U292" s="1"/>
    </row>
    <row r="293" spans="1:21" ht="15.75" customHeight="1">
      <c r="A293" s="2"/>
      <c r="B293" s="1"/>
      <c r="C293" s="1"/>
      <c r="D293" s="1"/>
      <c r="E293" s="1"/>
      <c r="F293" s="1"/>
      <c r="G293" s="18"/>
      <c r="H293" s="1"/>
      <c r="I293" s="1"/>
      <c r="J293" s="8"/>
      <c r="K293" s="8"/>
      <c r="L293" s="1"/>
      <c r="M293" s="1"/>
      <c r="N293" s="9"/>
      <c r="O293" s="10"/>
      <c r="P293" s="1"/>
      <c r="Q293" s="1"/>
      <c r="R293" s="1"/>
      <c r="S293" s="1"/>
      <c r="T293" s="1"/>
      <c r="U293" s="1"/>
    </row>
    <row r="294" spans="1:21" ht="15.75" customHeight="1">
      <c r="A294" s="2"/>
      <c r="B294" s="1"/>
      <c r="C294" s="1"/>
      <c r="D294" s="1"/>
      <c r="E294" s="1"/>
      <c r="F294" s="1"/>
      <c r="G294" s="18"/>
      <c r="H294" s="1"/>
      <c r="I294" s="1"/>
      <c r="J294" s="8"/>
      <c r="K294" s="8"/>
      <c r="L294" s="1"/>
      <c r="M294" s="1"/>
      <c r="N294" s="9"/>
      <c r="O294" s="10"/>
      <c r="P294" s="1"/>
      <c r="Q294" s="1"/>
      <c r="R294" s="1"/>
      <c r="S294" s="1"/>
      <c r="T294" s="1"/>
      <c r="U294" s="1"/>
    </row>
    <row r="295" spans="1:21" ht="15.75" customHeight="1">
      <c r="A295" s="2"/>
      <c r="B295" s="1"/>
      <c r="C295" s="1"/>
      <c r="D295" s="1"/>
      <c r="E295" s="1"/>
      <c r="F295" s="1"/>
      <c r="G295" s="18"/>
      <c r="H295" s="1"/>
      <c r="I295" s="1"/>
      <c r="J295" s="8"/>
      <c r="K295" s="8"/>
      <c r="L295" s="1"/>
      <c r="M295" s="1"/>
      <c r="N295" s="9"/>
      <c r="O295" s="10"/>
      <c r="P295" s="1"/>
      <c r="Q295" s="1"/>
      <c r="R295" s="1"/>
      <c r="S295" s="1"/>
      <c r="T295" s="1"/>
      <c r="U295" s="1"/>
    </row>
    <row r="296" spans="1:21" ht="15.75" customHeight="1">
      <c r="A296" s="2"/>
      <c r="B296" s="1"/>
      <c r="C296" s="1"/>
      <c r="D296" s="1"/>
      <c r="E296" s="1"/>
      <c r="F296" s="1"/>
      <c r="G296" s="18"/>
      <c r="H296" s="1"/>
      <c r="I296" s="1"/>
      <c r="J296" s="8"/>
      <c r="K296" s="8"/>
      <c r="L296" s="1"/>
      <c r="M296" s="1"/>
      <c r="N296" s="9"/>
      <c r="O296" s="10"/>
      <c r="P296" s="1"/>
      <c r="Q296" s="1"/>
      <c r="R296" s="1"/>
      <c r="S296" s="1"/>
      <c r="T296" s="1"/>
      <c r="U296" s="1"/>
    </row>
    <row r="297" spans="1:21" ht="15.75" customHeight="1">
      <c r="A297" s="2"/>
      <c r="B297" s="1"/>
      <c r="C297" s="1"/>
      <c r="D297" s="1"/>
      <c r="E297" s="1"/>
      <c r="F297" s="1"/>
      <c r="G297" s="18"/>
      <c r="H297" s="1"/>
      <c r="I297" s="1"/>
      <c r="J297" s="8"/>
      <c r="K297" s="8"/>
      <c r="L297" s="1"/>
      <c r="M297" s="1"/>
      <c r="N297" s="9"/>
      <c r="O297" s="10"/>
      <c r="P297" s="1"/>
      <c r="Q297" s="1"/>
      <c r="R297" s="1"/>
      <c r="S297" s="1"/>
      <c r="T297" s="1"/>
      <c r="U297" s="1"/>
    </row>
    <row r="298" spans="1:21" ht="15.75" customHeight="1">
      <c r="A298" s="2"/>
      <c r="B298" s="1"/>
      <c r="C298" s="1"/>
      <c r="D298" s="1"/>
      <c r="E298" s="1"/>
      <c r="F298" s="1"/>
      <c r="G298" s="18"/>
      <c r="H298" s="1"/>
      <c r="I298" s="1"/>
      <c r="J298" s="8"/>
      <c r="K298" s="8"/>
      <c r="L298" s="1"/>
      <c r="M298" s="1"/>
      <c r="N298" s="9"/>
      <c r="O298" s="10"/>
      <c r="P298" s="1"/>
      <c r="Q298" s="1"/>
      <c r="R298" s="1"/>
      <c r="S298" s="1"/>
      <c r="T298" s="1"/>
      <c r="U298" s="1"/>
    </row>
    <row r="299" spans="1:21" ht="15.75" customHeight="1">
      <c r="A299" s="2"/>
      <c r="B299" s="1"/>
      <c r="C299" s="1"/>
      <c r="D299" s="1"/>
      <c r="E299" s="1"/>
      <c r="F299" s="1"/>
      <c r="G299" s="18"/>
      <c r="H299" s="1"/>
      <c r="I299" s="1"/>
      <c r="J299" s="8"/>
      <c r="K299" s="8"/>
      <c r="L299" s="1"/>
      <c r="M299" s="1"/>
      <c r="N299" s="9"/>
      <c r="O299" s="10"/>
      <c r="P299" s="1"/>
      <c r="Q299" s="1"/>
      <c r="R299" s="1"/>
      <c r="S299" s="1"/>
      <c r="T299" s="1"/>
      <c r="U299" s="1"/>
    </row>
    <row r="300" spans="1:21" ht="15.75" customHeight="1">
      <c r="A300" s="2"/>
      <c r="B300" s="1"/>
      <c r="C300" s="1"/>
      <c r="D300" s="1"/>
      <c r="E300" s="1"/>
      <c r="F300" s="1"/>
      <c r="G300" s="18"/>
      <c r="H300" s="1"/>
      <c r="I300" s="1"/>
      <c r="J300" s="8"/>
      <c r="K300" s="8"/>
      <c r="L300" s="1"/>
      <c r="M300" s="1"/>
      <c r="N300" s="9"/>
      <c r="O300" s="10"/>
      <c r="P300" s="1"/>
      <c r="Q300" s="1"/>
      <c r="R300" s="1"/>
      <c r="S300" s="1"/>
      <c r="T300" s="1"/>
      <c r="U300" s="1"/>
    </row>
    <row r="301" spans="1:21" ht="15.75" customHeight="1">
      <c r="A301" s="2"/>
      <c r="B301" s="1"/>
      <c r="C301" s="1"/>
      <c r="D301" s="1"/>
      <c r="E301" s="1"/>
      <c r="F301" s="1"/>
      <c r="G301" s="18"/>
      <c r="H301" s="1"/>
      <c r="I301" s="1"/>
      <c r="J301" s="8"/>
      <c r="K301" s="8"/>
      <c r="L301" s="1"/>
      <c r="M301" s="1"/>
      <c r="N301" s="9"/>
      <c r="O301" s="10"/>
      <c r="P301" s="1"/>
      <c r="Q301" s="1"/>
      <c r="R301" s="1"/>
      <c r="S301" s="1"/>
      <c r="T301" s="1"/>
      <c r="U301" s="1"/>
    </row>
    <row r="302" spans="1:21" ht="15.75" customHeight="1">
      <c r="A302" s="2"/>
      <c r="B302" s="1"/>
      <c r="C302" s="1"/>
      <c r="D302" s="1"/>
      <c r="E302" s="1"/>
      <c r="F302" s="1"/>
      <c r="G302" s="18"/>
      <c r="H302" s="1"/>
      <c r="I302" s="1"/>
      <c r="J302" s="8"/>
      <c r="K302" s="8"/>
      <c r="L302" s="1"/>
      <c r="M302" s="1"/>
      <c r="N302" s="9"/>
      <c r="O302" s="10"/>
      <c r="P302" s="1"/>
      <c r="Q302" s="1"/>
      <c r="R302" s="1"/>
      <c r="S302" s="1"/>
      <c r="T302" s="1"/>
      <c r="U302" s="1"/>
    </row>
    <row r="303" spans="1:21" ht="15.75" customHeight="1">
      <c r="A303" s="2"/>
      <c r="B303" s="1"/>
      <c r="C303" s="1"/>
      <c r="D303" s="1"/>
      <c r="E303" s="1"/>
      <c r="F303" s="1"/>
      <c r="G303" s="18"/>
      <c r="H303" s="1"/>
      <c r="I303" s="1"/>
      <c r="J303" s="8"/>
      <c r="K303" s="8"/>
      <c r="L303" s="1"/>
      <c r="M303" s="1"/>
      <c r="N303" s="9"/>
      <c r="O303" s="10"/>
      <c r="P303" s="1"/>
      <c r="Q303" s="1"/>
      <c r="R303" s="1"/>
      <c r="S303" s="1"/>
      <c r="T303" s="1"/>
      <c r="U303" s="1"/>
    </row>
    <row r="304" spans="1:21" ht="15.75" customHeight="1">
      <c r="A304" s="2"/>
      <c r="B304" s="1"/>
      <c r="C304" s="1"/>
      <c r="D304" s="1"/>
      <c r="E304" s="1"/>
      <c r="F304" s="1"/>
      <c r="G304" s="18"/>
      <c r="H304" s="1"/>
      <c r="I304" s="1"/>
      <c r="J304" s="8"/>
      <c r="K304" s="8"/>
      <c r="L304" s="1"/>
      <c r="M304" s="1"/>
      <c r="N304" s="9"/>
      <c r="O304" s="10"/>
      <c r="P304" s="1"/>
      <c r="Q304" s="1"/>
      <c r="R304" s="1"/>
      <c r="S304" s="1"/>
      <c r="T304" s="1"/>
      <c r="U304" s="1"/>
    </row>
    <row r="305" spans="1:21" ht="15.75" customHeight="1">
      <c r="A305" s="2"/>
      <c r="B305" s="1"/>
      <c r="C305" s="1"/>
      <c r="D305" s="1"/>
      <c r="E305" s="1"/>
      <c r="F305" s="1"/>
      <c r="G305" s="18"/>
      <c r="H305" s="1"/>
      <c r="I305" s="1"/>
      <c r="J305" s="8"/>
      <c r="K305" s="8"/>
      <c r="L305" s="1"/>
      <c r="M305" s="1"/>
      <c r="N305" s="9"/>
      <c r="O305" s="10"/>
      <c r="P305" s="1"/>
      <c r="Q305" s="1"/>
      <c r="R305" s="1"/>
      <c r="S305" s="1"/>
      <c r="T305" s="1"/>
      <c r="U305" s="1"/>
    </row>
    <row r="306" spans="1:21" ht="15.75" customHeight="1">
      <c r="A306" s="2"/>
      <c r="B306" s="1"/>
      <c r="C306" s="1"/>
      <c r="D306" s="1"/>
      <c r="E306" s="1"/>
      <c r="F306" s="1"/>
      <c r="G306" s="18"/>
      <c r="H306" s="1"/>
      <c r="I306" s="1"/>
      <c r="J306" s="8"/>
      <c r="K306" s="8"/>
      <c r="L306" s="1"/>
      <c r="M306" s="1"/>
      <c r="N306" s="9"/>
      <c r="O306" s="10"/>
      <c r="P306" s="1"/>
      <c r="Q306" s="1"/>
      <c r="R306" s="1"/>
      <c r="S306" s="1"/>
      <c r="T306" s="1"/>
      <c r="U306" s="1"/>
    </row>
    <row r="307" spans="1:21" ht="15.75" customHeight="1">
      <c r="A307" s="2"/>
      <c r="B307" s="1"/>
      <c r="C307" s="1"/>
      <c r="D307" s="1"/>
      <c r="E307" s="1"/>
      <c r="F307" s="1"/>
      <c r="G307" s="18"/>
      <c r="H307" s="1"/>
      <c r="I307" s="1"/>
      <c r="J307" s="8"/>
      <c r="K307" s="8"/>
      <c r="L307" s="1"/>
      <c r="M307" s="1"/>
      <c r="N307" s="9"/>
      <c r="O307" s="10"/>
      <c r="P307" s="1"/>
      <c r="Q307" s="1"/>
      <c r="R307" s="1"/>
      <c r="S307" s="1"/>
      <c r="T307" s="1"/>
      <c r="U307" s="1"/>
    </row>
    <row r="308" spans="1:21" ht="15.75" customHeight="1">
      <c r="A308" s="2"/>
      <c r="B308" s="1"/>
      <c r="C308" s="1"/>
      <c r="D308" s="1"/>
      <c r="E308" s="1"/>
      <c r="F308" s="1"/>
      <c r="G308" s="18"/>
      <c r="H308" s="1"/>
      <c r="I308" s="1"/>
      <c r="J308" s="8"/>
      <c r="K308" s="8"/>
      <c r="L308" s="1"/>
      <c r="M308" s="1"/>
      <c r="N308" s="9"/>
      <c r="O308" s="10"/>
      <c r="P308" s="1"/>
      <c r="Q308" s="1"/>
      <c r="R308" s="1"/>
      <c r="S308" s="1"/>
      <c r="T308" s="1"/>
      <c r="U308" s="1"/>
    </row>
    <row r="309" spans="1:21" ht="15.75" customHeight="1">
      <c r="A309" s="2"/>
      <c r="B309" s="1"/>
      <c r="C309" s="1"/>
      <c r="D309" s="1"/>
      <c r="E309" s="1"/>
      <c r="F309" s="1"/>
      <c r="G309" s="18"/>
      <c r="H309" s="1"/>
      <c r="I309" s="1"/>
      <c r="J309" s="8"/>
      <c r="K309" s="8"/>
      <c r="L309" s="1"/>
      <c r="M309" s="1"/>
      <c r="N309" s="9"/>
      <c r="O309" s="10"/>
      <c r="P309" s="1"/>
      <c r="Q309" s="1"/>
      <c r="R309" s="1"/>
      <c r="S309" s="1"/>
      <c r="T309" s="1"/>
      <c r="U309" s="1"/>
    </row>
    <row r="310" spans="1:21" ht="15.75" customHeight="1">
      <c r="A310" s="2"/>
      <c r="B310" s="1"/>
      <c r="C310" s="1"/>
      <c r="D310" s="1"/>
      <c r="E310" s="1"/>
      <c r="F310" s="1"/>
      <c r="G310" s="18"/>
      <c r="H310" s="1"/>
      <c r="I310" s="1"/>
      <c r="J310" s="8"/>
      <c r="K310" s="8"/>
      <c r="L310" s="1"/>
      <c r="M310" s="1"/>
      <c r="N310" s="9"/>
      <c r="O310" s="10"/>
      <c r="P310" s="1"/>
      <c r="Q310" s="1"/>
      <c r="R310" s="1"/>
      <c r="S310" s="1"/>
      <c r="T310" s="1"/>
      <c r="U310" s="1"/>
    </row>
    <row r="311" spans="1:21" ht="15.75" customHeight="1">
      <c r="A311" s="2"/>
      <c r="B311" s="1"/>
      <c r="C311" s="1"/>
      <c r="D311" s="1"/>
      <c r="E311" s="1"/>
      <c r="F311" s="1"/>
      <c r="G311" s="18"/>
      <c r="H311" s="1"/>
      <c r="I311" s="1"/>
      <c r="J311" s="8"/>
      <c r="K311" s="8"/>
      <c r="L311" s="1"/>
      <c r="M311" s="1"/>
      <c r="N311" s="9"/>
      <c r="O311" s="10"/>
      <c r="P311" s="1"/>
      <c r="Q311" s="1"/>
      <c r="R311" s="1"/>
      <c r="S311" s="1"/>
      <c r="T311" s="1"/>
      <c r="U311" s="1"/>
    </row>
    <row r="312" spans="1:21" ht="15.75" customHeight="1">
      <c r="A312" s="2"/>
      <c r="B312" s="1"/>
      <c r="C312" s="1"/>
      <c r="D312" s="1"/>
      <c r="E312" s="1"/>
      <c r="F312" s="1"/>
      <c r="G312" s="18"/>
      <c r="H312" s="1"/>
      <c r="I312" s="1"/>
      <c r="J312" s="8"/>
      <c r="K312" s="8"/>
      <c r="L312" s="1"/>
      <c r="M312" s="1"/>
      <c r="N312" s="9"/>
      <c r="O312" s="10"/>
      <c r="P312" s="1"/>
      <c r="Q312" s="1"/>
      <c r="R312" s="1"/>
      <c r="S312" s="1"/>
      <c r="T312" s="1"/>
      <c r="U312" s="1"/>
    </row>
    <row r="313" spans="1:21" ht="15.75" customHeight="1">
      <c r="A313" s="2"/>
      <c r="B313" s="1"/>
      <c r="C313" s="1"/>
      <c r="D313" s="1"/>
      <c r="E313" s="1"/>
      <c r="F313" s="1"/>
      <c r="G313" s="18"/>
      <c r="H313" s="1"/>
      <c r="I313" s="1"/>
      <c r="J313" s="8"/>
      <c r="K313" s="8"/>
      <c r="L313" s="1"/>
      <c r="M313" s="1"/>
      <c r="N313" s="9"/>
      <c r="O313" s="10"/>
      <c r="P313" s="1"/>
      <c r="Q313" s="1"/>
      <c r="R313" s="1"/>
      <c r="S313" s="1"/>
      <c r="T313" s="1"/>
      <c r="U313" s="1"/>
    </row>
    <row r="314" spans="1:21" ht="15.75" customHeight="1">
      <c r="A314" s="2"/>
      <c r="B314" s="1"/>
      <c r="C314" s="1"/>
      <c r="D314" s="1"/>
      <c r="E314" s="1"/>
      <c r="F314" s="1"/>
      <c r="G314" s="18"/>
      <c r="H314" s="1"/>
      <c r="I314" s="1"/>
      <c r="J314" s="8"/>
      <c r="K314" s="8"/>
      <c r="L314" s="1"/>
      <c r="M314" s="1"/>
      <c r="N314" s="9"/>
      <c r="O314" s="10"/>
      <c r="P314" s="1"/>
      <c r="Q314" s="1"/>
      <c r="R314" s="1"/>
      <c r="S314" s="1"/>
      <c r="T314" s="1"/>
      <c r="U314" s="1"/>
    </row>
    <row r="315" spans="1:21" ht="15.75" customHeight="1">
      <c r="A315" s="2"/>
      <c r="B315" s="1"/>
      <c r="C315" s="1"/>
      <c r="D315" s="1"/>
      <c r="E315" s="1"/>
      <c r="F315" s="1"/>
      <c r="G315" s="18"/>
      <c r="H315" s="1"/>
      <c r="I315" s="1"/>
      <c r="J315" s="8"/>
      <c r="K315" s="8"/>
      <c r="L315" s="1"/>
      <c r="M315" s="1"/>
      <c r="N315" s="9"/>
      <c r="O315" s="10"/>
      <c r="P315" s="1"/>
      <c r="Q315" s="1"/>
      <c r="R315" s="1"/>
      <c r="S315" s="1"/>
      <c r="T315" s="1"/>
      <c r="U315" s="1"/>
    </row>
    <row r="316" spans="1:21" ht="15.75" customHeight="1">
      <c r="A316" s="2"/>
      <c r="B316" s="1"/>
      <c r="C316" s="1"/>
      <c r="D316" s="1"/>
      <c r="E316" s="1"/>
      <c r="F316" s="1"/>
      <c r="G316" s="18"/>
      <c r="H316" s="1"/>
      <c r="I316" s="1"/>
      <c r="J316" s="8"/>
      <c r="K316" s="8"/>
      <c r="L316" s="1"/>
      <c r="M316" s="1"/>
      <c r="N316" s="9"/>
      <c r="O316" s="10"/>
      <c r="P316" s="1"/>
      <c r="Q316" s="1"/>
      <c r="R316" s="1"/>
      <c r="S316" s="1"/>
      <c r="T316" s="1"/>
      <c r="U316" s="1"/>
    </row>
    <row r="317" spans="1:21" ht="15.75" customHeight="1">
      <c r="A317" s="2"/>
      <c r="B317" s="1"/>
      <c r="C317" s="1"/>
      <c r="D317" s="1"/>
      <c r="E317" s="1"/>
      <c r="F317" s="1"/>
      <c r="G317" s="18"/>
      <c r="H317" s="1"/>
      <c r="I317" s="1"/>
      <c r="J317" s="8"/>
      <c r="K317" s="8"/>
      <c r="L317" s="1"/>
      <c r="M317" s="1"/>
      <c r="N317" s="9"/>
      <c r="O317" s="10"/>
      <c r="P317" s="1"/>
      <c r="Q317" s="1"/>
      <c r="R317" s="1"/>
      <c r="S317" s="1"/>
      <c r="T317" s="1"/>
      <c r="U317" s="1"/>
    </row>
    <row r="318" spans="1:21" ht="15.75" customHeight="1">
      <c r="A318" s="2"/>
      <c r="B318" s="1"/>
      <c r="C318" s="1"/>
      <c r="D318" s="1"/>
      <c r="E318" s="1"/>
      <c r="F318" s="1"/>
      <c r="G318" s="18"/>
      <c r="H318" s="1"/>
      <c r="I318" s="1"/>
      <c r="J318" s="8"/>
      <c r="K318" s="8"/>
      <c r="L318" s="1"/>
      <c r="M318" s="1"/>
      <c r="N318" s="9"/>
      <c r="O318" s="10"/>
      <c r="P318" s="1"/>
      <c r="Q318" s="1"/>
      <c r="R318" s="1"/>
      <c r="S318" s="1"/>
      <c r="T318" s="1"/>
      <c r="U318" s="1"/>
    </row>
    <row r="319" spans="1:21" ht="15.75" customHeight="1">
      <c r="A319" s="2"/>
      <c r="B319" s="1"/>
      <c r="C319" s="1"/>
      <c r="D319" s="1"/>
      <c r="E319" s="1"/>
      <c r="F319" s="1"/>
      <c r="G319" s="18"/>
      <c r="H319" s="1"/>
      <c r="I319" s="1"/>
      <c r="J319" s="8"/>
      <c r="K319" s="8"/>
      <c r="L319" s="1"/>
      <c r="M319" s="1"/>
      <c r="N319" s="9"/>
      <c r="O319" s="10"/>
      <c r="P319" s="1"/>
      <c r="Q319" s="1"/>
      <c r="R319" s="1"/>
      <c r="S319" s="1"/>
      <c r="T319" s="1"/>
      <c r="U319" s="1"/>
    </row>
    <row r="320" spans="1:21" ht="15.75" customHeight="1">
      <c r="A320" s="2"/>
      <c r="B320" s="1"/>
      <c r="C320" s="1"/>
      <c r="D320" s="1"/>
      <c r="E320" s="1"/>
      <c r="F320" s="1"/>
      <c r="G320" s="18"/>
      <c r="H320" s="1"/>
      <c r="I320" s="1"/>
      <c r="J320" s="8"/>
      <c r="K320" s="8"/>
      <c r="L320" s="1"/>
      <c r="M320" s="1"/>
      <c r="N320" s="9"/>
      <c r="O320" s="10"/>
      <c r="P320" s="1"/>
      <c r="Q320" s="1"/>
      <c r="R320" s="1"/>
      <c r="S320" s="1"/>
      <c r="T320" s="1"/>
      <c r="U320" s="1"/>
    </row>
    <row r="321" spans="1:21" ht="15.75" customHeight="1">
      <c r="A321" s="2"/>
      <c r="B321" s="1"/>
      <c r="C321" s="1"/>
      <c r="D321" s="1"/>
      <c r="E321" s="1"/>
      <c r="F321" s="1"/>
      <c r="G321" s="18"/>
      <c r="H321" s="1"/>
      <c r="I321" s="1"/>
      <c r="J321" s="8"/>
      <c r="K321" s="8"/>
      <c r="L321" s="1"/>
      <c r="M321" s="1"/>
      <c r="N321" s="9"/>
      <c r="O321" s="10"/>
      <c r="P321" s="1"/>
      <c r="Q321" s="1"/>
      <c r="R321" s="1"/>
      <c r="S321" s="1"/>
      <c r="T321" s="1"/>
      <c r="U321" s="1"/>
    </row>
    <row r="322" spans="1:21" ht="15.75" customHeight="1">
      <c r="A322" s="2"/>
      <c r="B322" s="1"/>
      <c r="C322" s="1"/>
      <c r="D322" s="1"/>
      <c r="E322" s="1"/>
      <c r="F322" s="1"/>
      <c r="G322" s="18"/>
      <c r="H322" s="1"/>
      <c r="I322" s="1"/>
      <c r="J322" s="8"/>
      <c r="K322" s="8"/>
      <c r="L322" s="1"/>
      <c r="M322" s="1"/>
      <c r="N322" s="9"/>
      <c r="O322" s="10"/>
      <c r="P322" s="1"/>
      <c r="Q322" s="1"/>
      <c r="R322" s="1"/>
      <c r="S322" s="1"/>
      <c r="T322" s="1"/>
      <c r="U322" s="1"/>
    </row>
    <row r="323" spans="1:21" ht="15.75" customHeight="1">
      <c r="A323" s="2"/>
      <c r="B323" s="1"/>
      <c r="C323" s="1"/>
      <c r="D323" s="1"/>
      <c r="E323" s="1"/>
      <c r="F323" s="1"/>
      <c r="G323" s="18"/>
      <c r="H323" s="1"/>
      <c r="I323" s="1"/>
      <c r="J323" s="8"/>
      <c r="K323" s="8"/>
      <c r="L323" s="1"/>
      <c r="M323" s="1"/>
      <c r="N323" s="9"/>
      <c r="O323" s="10"/>
      <c r="P323" s="1"/>
      <c r="Q323" s="1"/>
      <c r="R323" s="1"/>
      <c r="S323" s="1"/>
      <c r="T323" s="1"/>
      <c r="U323" s="1"/>
    </row>
    <row r="324" spans="1:21" ht="15.75" customHeight="1">
      <c r="A324" s="2"/>
      <c r="B324" s="1"/>
      <c r="C324" s="1"/>
      <c r="D324" s="1"/>
      <c r="E324" s="1"/>
      <c r="F324" s="1"/>
      <c r="G324" s="18"/>
      <c r="H324" s="1"/>
      <c r="I324" s="1"/>
      <c r="J324" s="8"/>
      <c r="K324" s="8"/>
      <c r="L324" s="1"/>
      <c r="M324" s="1"/>
      <c r="N324" s="9"/>
      <c r="O324" s="10"/>
      <c r="P324" s="1"/>
      <c r="Q324" s="1"/>
      <c r="R324" s="1"/>
      <c r="S324" s="1"/>
      <c r="T324" s="1"/>
      <c r="U324" s="1"/>
    </row>
    <row r="325" spans="1:21" ht="15.75" customHeight="1">
      <c r="A325" s="2"/>
      <c r="B325" s="1"/>
      <c r="C325" s="1"/>
      <c r="D325" s="1"/>
      <c r="E325" s="1"/>
      <c r="F325" s="1"/>
      <c r="G325" s="18"/>
      <c r="H325" s="1"/>
      <c r="I325" s="1"/>
      <c r="J325" s="8"/>
      <c r="K325" s="8"/>
      <c r="L325" s="1"/>
      <c r="M325" s="1"/>
      <c r="N325" s="9"/>
      <c r="O325" s="10"/>
      <c r="P325" s="1"/>
      <c r="Q325" s="1"/>
      <c r="R325" s="1"/>
      <c r="S325" s="1"/>
      <c r="T325" s="1"/>
      <c r="U325" s="1"/>
    </row>
    <row r="326" spans="1:21" ht="15.75" customHeight="1">
      <c r="A326" s="2"/>
      <c r="B326" s="1"/>
      <c r="C326" s="1"/>
      <c r="D326" s="1"/>
      <c r="E326" s="1"/>
      <c r="F326" s="1"/>
      <c r="G326" s="18"/>
      <c r="H326" s="1"/>
      <c r="I326" s="1"/>
      <c r="J326" s="8"/>
      <c r="K326" s="8"/>
      <c r="L326" s="1"/>
      <c r="M326" s="1"/>
      <c r="N326" s="9"/>
      <c r="O326" s="10"/>
      <c r="P326" s="1"/>
      <c r="Q326" s="1"/>
      <c r="R326" s="1"/>
      <c r="S326" s="1"/>
      <c r="T326" s="1"/>
      <c r="U326" s="1"/>
    </row>
    <row r="327" spans="1:21" ht="15.75" customHeight="1">
      <c r="A327" s="2"/>
      <c r="B327" s="1"/>
      <c r="C327" s="1"/>
      <c r="D327" s="1"/>
      <c r="E327" s="1"/>
      <c r="F327" s="1"/>
      <c r="G327" s="18"/>
      <c r="H327" s="1"/>
      <c r="I327" s="1"/>
      <c r="J327" s="8"/>
      <c r="K327" s="8"/>
      <c r="L327" s="1"/>
      <c r="M327" s="1"/>
      <c r="N327" s="9"/>
      <c r="O327" s="10"/>
      <c r="P327" s="1"/>
      <c r="Q327" s="1"/>
      <c r="R327" s="1"/>
      <c r="S327" s="1"/>
      <c r="T327" s="1"/>
      <c r="U327" s="1"/>
    </row>
    <row r="328" spans="1:21" ht="15.75" customHeight="1">
      <c r="A328" s="2"/>
      <c r="B328" s="1"/>
      <c r="C328" s="1"/>
      <c r="D328" s="1"/>
      <c r="E328" s="1"/>
      <c r="F328" s="1"/>
      <c r="G328" s="18"/>
      <c r="H328" s="1"/>
      <c r="I328" s="1"/>
      <c r="J328" s="8"/>
      <c r="K328" s="8"/>
      <c r="L328" s="1"/>
      <c r="M328" s="1"/>
      <c r="N328" s="9"/>
      <c r="O328" s="10"/>
      <c r="P328" s="1"/>
      <c r="Q328" s="1"/>
      <c r="R328" s="1"/>
      <c r="S328" s="1"/>
      <c r="T328" s="1"/>
      <c r="U328" s="1"/>
    </row>
    <row r="329" spans="1:21" ht="15.75" customHeight="1">
      <c r="A329" s="2"/>
      <c r="B329" s="1"/>
      <c r="C329" s="1"/>
      <c r="D329" s="1"/>
      <c r="E329" s="1"/>
      <c r="F329" s="1"/>
      <c r="G329" s="18"/>
      <c r="H329" s="1"/>
      <c r="I329" s="1"/>
      <c r="J329" s="8"/>
      <c r="K329" s="8"/>
      <c r="L329" s="1"/>
      <c r="M329" s="1"/>
      <c r="N329" s="9"/>
      <c r="O329" s="10"/>
      <c r="P329" s="1"/>
      <c r="Q329" s="1"/>
      <c r="R329" s="1"/>
      <c r="S329" s="1"/>
      <c r="T329" s="1"/>
      <c r="U329" s="1"/>
    </row>
    <row r="330" spans="1:21" ht="15.75" customHeight="1">
      <c r="A330" s="2"/>
      <c r="B330" s="1"/>
      <c r="C330" s="1"/>
      <c r="D330" s="1"/>
      <c r="E330" s="1"/>
      <c r="F330" s="1"/>
      <c r="G330" s="18"/>
      <c r="H330" s="1"/>
      <c r="I330" s="1"/>
      <c r="J330" s="8"/>
      <c r="K330" s="8"/>
      <c r="L330" s="1"/>
      <c r="M330" s="1"/>
      <c r="N330" s="9"/>
      <c r="O330" s="10"/>
      <c r="P330" s="1"/>
      <c r="Q330" s="1"/>
      <c r="R330" s="1"/>
      <c r="S330" s="1"/>
      <c r="T330" s="1"/>
      <c r="U330" s="1"/>
    </row>
    <row r="331" spans="1:21" ht="15.75" customHeight="1">
      <c r="A331" s="2"/>
      <c r="B331" s="1"/>
      <c r="C331" s="1"/>
      <c r="D331" s="1"/>
      <c r="E331" s="1"/>
      <c r="F331" s="1"/>
      <c r="G331" s="18"/>
      <c r="H331" s="1"/>
      <c r="I331" s="1"/>
      <c r="J331" s="8"/>
      <c r="K331" s="8"/>
      <c r="L331" s="1"/>
      <c r="M331" s="1"/>
      <c r="N331" s="9"/>
      <c r="O331" s="10"/>
      <c r="P331" s="1"/>
      <c r="Q331" s="1"/>
      <c r="R331" s="1"/>
      <c r="S331" s="1"/>
      <c r="T331" s="1"/>
      <c r="U331" s="1"/>
    </row>
    <row r="332" spans="1:21" ht="15.75" customHeight="1">
      <c r="A332" s="2"/>
      <c r="B332" s="1"/>
      <c r="C332" s="1"/>
      <c r="D332" s="1"/>
      <c r="E332" s="1"/>
      <c r="F332" s="1"/>
      <c r="G332" s="18"/>
      <c r="H332" s="1"/>
      <c r="I332" s="1"/>
      <c r="J332" s="8"/>
      <c r="K332" s="8"/>
      <c r="L332" s="1"/>
      <c r="M332" s="1"/>
      <c r="N332" s="9"/>
      <c r="O332" s="10"/>
      <c r="P332" s="1"/>
      <c r="Q332" s="1"/>
      <c r="R332" s="1"/>
      <c r="S332" s="1"/>
      <c r="T332" s="1"/>
      <c r="U332" s="1"/>
    </row>
    <row r="333" spans="1:21" ht="15.75" customHeight="1">
      <c r="A333" s="2"/>
      <c r="B333" s="1"/>
      <c r="C333" s="1"/>
      <c r="D333" s="1"/>
      <c r="E333" s="1"/>
      <c r="F333" s="1"/>
      <c r="G333" s="18"/>
      <c r="H333" s="1"/>
      <c r="I333" s="1"/>
      <c r="J333" s="8"/>
      <c r="K333" s="8"/>
      <c r="L333" s="1"/>
      <c r="M333" s="1"/>
      <c r="N333" s="9"/>
      <c r="O333" s="10"/>
      <c r="P333" s="1"/>
      <c r="Q333" s="1"/>
      <c r="R333" s="1"/>
      <c r="S333" s="1"/>
      <c r="T333" s="1"/>
      <c r="U333" s="1"/>
    </row>
    <row r="334" spans="1:21" ht="15.75" customHeight="1">
      <c r="A334" s="2"/>
      <c r="B334" s="1"/>
      <c r="C334" s="1"/>
      <c r="D334" s="1"/>
      <c r="E334" s="1"/>
      <c r="F334" s="1"/>
      <c r="G334" s="18"/>
      <c r="H334" s="1"/>
      <c r="I334" s="1"/>
      <c r="J334" s="8"/>
      <c r="K334" s="8"/>
      <c r="L334" s="1"/>
      <c r="M334" s="1"/>
      <c r="N334" s="9"/>
      <c r="O334" s="10"/>
      <c r="P334" s="1"/>
      <c r="Q334" s="1"/>
      <c r="R334" s="1"/>
      <c r="S334" s="1"/>
      <c r="T334" s="1"/>
      <c r="U334" s="1"/>
    </row>
    <row r="335" spans="1:21" ht="15.75" customHeight="1">
      <c r="A335" s="2"/>
      <c r="B335" s="1"/>
      <c r="C335" s="1"/>
      <c r="D335" s="1"/>
      <c r="E335" s="1"/>
      <c r="F335" s="1"/>
      <c r="G335" s="18"/>
      <c r="H335" s="1"/>
      <c r="I335" s="1"/>
      <c r="J335" s="8"/>
      <c r="K335" s="8"/>
      <c r="L335" s="1"/>
      <c r="M335" s="1"/>
      <c r="N335" s="9"/>
      <c r="O335" s="10"/>
      <c r="P335" s="1"/>
      <c r="Q335" s="1"/>
      <c r="R335" s="1"/>
      <c r="S335" s="1"/>
      <c r="T335" s="1"/>
      <c r="U335" s="1"/>
    </row>
    <row r="336" spans="1:21" ht="15.75" customHeight="1">
      <c r="A336" s="2"/>
      <c r="B336" s="1"/>
      <c r="C336" s="1"/>
      <c r="D336" s="1"/>
      <c r="E336" s="1"/>
      <c r="F336" s="1"/>
      <c r="G336" s="18"/>
      <c r="H336" s="1"/>
      <c r="I336" s="1"/>
      <c r="J336" s="8"/>
      <c r="K336" s="8"/>
      <c r="L336" s="1"/>
      <c r="M336" s="1"/>
      <c r="N336" s="9"/>
      <c r="O336" s="10"/>
      <c r="P336" s="1"/>
      <c r="Q336" s="1"/>
      <c r="R336" s="1"/>
      <c r="S336" s="1"/>
      <c r="T336" s="1"/>
      <c r="U336" s="1"/>
    </row>
    <row r="337" spans="1:21" ht="15.75" customHeight="1">
      <c r="A337" s="2"/>
      <c r="B337" s="1"/>
      <c r="C337" s="1"/>
      <c r="D337" s="1"/>
      <c r="E337" s="1"/>
      <c r="F337" s="1"/>
      <c r="G337" s="18"/>
      <c r="H337" s="1"/>
      <c r="I337" s="1"/>
      <c r="J337" s="8"/>
      <c r="K337" s="8"/>
      <c r="L337" s="1"/>
      <c r="M337" s="1"/>
      <c r="N337" s="9"/>
      <c r="O337" s="10"/>
      <c r="P337" s="1"/>
      <c r="Q337" s="1"/>
      <c r="R337" s="1"/>
      <c r="S337" s="1"/>
      <c r="T337" s="1"/>
      <c r="U337" s="1"/>
    </row>
    <row r="338" spans="1:21" ht="15.75" customHeight="1">
      <c r="A338" s="2"/>
      <c r="B338" s="1"/>
      <c r="C338" s="1"/>
      <c r="D338" s="1"/>
      <c r="E338" s="1"/>
      <c r="F338" s="1"/>
      <c r="G338" s="18"/>
      <c r="H338" s="1"/>
      <c r="I338" s="1"/>
      <c r="J338" s="8"/>
      <c r="K338" s="8"/>
      <c r="L338" s="1"/>
      <c r="M338" s="1"/>
      <c r="N338" s="9"/>
      <c r="O338" s="10"/>
      <c r="P338" s="1"/>
      <c r="Q338" s="1"/>
      <c r="R338" s="1"/>
      <c r="S338" s="1"/>
      <c r="T338" s="1"/>
      <c r="U338" s="1"/>
    </row>
    <row r="339" spans="1:21" ht="15.75" customHeight="1">
      <c r="A339" s="2"/>
      <c r="B339" s="1"/>
      <c r="C339" s="1"/>
      <c r="D339" s="1"/>
      <c r="E339" s="1"/>
      <c r="F339" s="1"/>
      <c r="G339" s="18"/>
      <c r="H339" s="1"/>
      <c r="I339" s="1"/>
      <c r="J339" s="8"/>
      <c r="K339" s="8"/>
      <c r="L339" s="1"/>
      <c r="M339" s="1"/>
      <c r="N339" s="9"/>
      <c r="O339" s="10"/>
      <c r="P339" s="1"/>
      <c r="Q339" s="1"/>
      <c r="R339" s="1"/>
      <c r="S339" s="1"/>
      <c r="T339" s="1"/>
      <c r="U339" s="1"/>
    </row>
    <row r="340" spans="1:21" ht="15.75" customHeight="1">
      <c r="A340" s="2"/>
      <c r="B340" s="1"/>
      <c r="C340" s="1"/>
      <c r="D340" s="1"/>
      <c r="E340" s="1"/>
      <c r="F340" s="1"/>
      <c r="G340" s="18"/>
      <c r="H340" s="1"/>
      <c r="I340" s="1"/>
      <c r="J340" s="8"/>
      <c r="K340" s="8"/>
      <c r="L340" s="1"/>
      <c r="M340" s="1"/>
      <c r="N340" s="9"/>
      <c r="O340" s="10"/>
      <c r="P340" s="1"/>
      <c r="Q340" s="1"/>
      <c r="R340" s="1"/>
      <c r="S340" s="1"/>
      <c r="T340" s="1"/>
      <c r="U340" s="1"/>
    </row>
    <row r="341" spans="1:21" ht="15.75" customHeight="1">
      <c r="A341" s="2"/>
      <c r="B341" s="1"/>
      <c r="C341" s="1"/>
      <c r="D341" s="1"/>
      <c r="E341" s="1"/>
      <c r="F341" s="1"/>
      <c r="G341" s="18"/>
      <c r="H341" s="1"/>
      <c r="I341" s="1"/>
      <c r="J341" s="8"/>
      <c r="K341" s="8"/>
      <c r="L341" s="1"/>
      <c r="M341" s="1"/>
      <c r="N341" s="9"/>
      <c r="O341" s="10"/>
      <c r="P341" s="1"/>
      <c r="Q341" s="1"/>
      <c r="R341" s="1"/>
      <c r="S341" s="1"/>
      <c r="T341" s="1"/>
      <c r="U341" s="1"/>
    </row>
    <row r="342" spans="1:21" ht="15.75" customHeight="1">
      <c r="A342" s="2"/>
      <c r="B342" s="1"/>
      <c r="C342" s="1"/>
      <c r="D342" s="1"/>
      <c r="E342" s="1"/>
      <c r="F342" s="1"/>
      <c r="G342" s="18"/>
      <c r="H342" s="1"/>
      <c r="I342" s="1"/>
      <c r="J342" s="8"/>
      <c r="K342" s="8"/>
      <c r="L342" s="1"/>
      <c r="M342" s="1"/>
      <c r="N342" s="9"/>
      <c r="O342" s="10"/>
      <c r="P342" s="1"/>
      <c r="Q342" s="1"/>
      <c r="R342" s="1"/>
      <c r="S342" s="1"/>
      <c r="T342" s="1"/>
      <c r="U342" s="1"/>
    </row>
    <row r="343" spans="1:21" ht="15.75" customHeight="1">
      <c r="A343" s="2"/>
      <c r="B343" s="1"/>
      <c r="C343" s="1"/>
      <c r="D343" s="1"/>
      <c r="E343" s="1"/>
      <c r="F343" s="1"/>
      <c r="G343" s="18"/>
      <c r="H343" s="1"/>
      <c r="I343" s="1"/>
      <c r="J343" s="8"/>
      <c r="K343" s="8"/>
      <c r="L343" s="1"/>
      <c r="M343" s="1"/>
      <c r="N343" s="9"/>
      <c r="O343" s="10"/>
      <c r="P343" s="1"/>
      <c r="Q343" s="1"/>
      <c r="R343" s="1"/>
      <c r="S343" s="1"/>
      <c r="T343" s="1"/>
      <c r="U343" s="1"/>
    </row>
    <row r="344" spans="1:21" ht="15.75" customHeight="1">
      <c r="A344" s="2"/>
      <c r="B344" s="1"/>
      <c r="C344" s="1"/>
      <c r="D344" s="1"/>
      <c r="E344" s="1"/>
      <c r="F344" s="1"/>
      <c r="G344" s="18"/>
      <c r="H344" s="1"/>
      <c r="I344" s="1"/>
      <c r="J344" s="8"/>
      <c r="K344" s="8"/>
      <c r="L344" s="1"/>
      <c r="M344" s="1"/>
      <c r="N344" s="9"/>
      <c r="O344" s="10"/>
      <c r="P344" s="1"/>
      <c r="Q344" s="1"/>
      <c r="R344" s="1"/>
      <c r="S344" s="1"/>
      <c r="T344" s="1"/>
      <c r="U344" s="1"/>
    </row>
    <row r="345" spans="1:21" ht="15.75" customHeight="1">
      <c r="A345" s="2"/>
      <c r="B345" s="1"/>
      <c r="C345" s="1"/>
      <c r="D345" s="1"/>
      <c r="E345" s="1"/>
      <c r="F345" s="1"/>
      <c r="G345" s="18"/>
      <c r="H345" s="1"/>
      <c r="I345" s="1"/>
      <c r="J345" s="8"/>
      <c r="K345" s="8"/>
      <c r="L345" s="1"/>
      <c r="M345" s="1"/>
      <c r="N345" s="9"/>
      <c r="O345" s="10"/>
      <c r="P345" s="1"/>
      <c r="Q345" s="1"/>
      <c r="R345" s="1"/>
      <c r="S345" s="1"/>
      <c r="T345" s="1"/>
      <c r="U345" s="1"/>
    </row>
    <row r="346" spans="1:21" ht="15.75" customHeight="1">
      <c r="A346" s="2"/>
      <c r="B346" s="1"/>
      <c r="C346" s="1"/>
      <c r="D346" s="1"/>
      <c r="E346" s="1"/>
      <c r="F346" s="1"/>
      <c r="G346" s="18"/>
      <c r="H346" s="1"/>
      <c r="I346" s="1"/>
      <c r="J346" s="8"/>
      <c r="K346" s="8"/>
      <c r="L346" s="1"/>
      <c r="M346" s="1"/>
      <c r="N346" s="9"/>
      <c r="O346" s="10"/>
      <c r="P346" s="1"/>
      <c r="Q346" s="1"/>
      <c r="R346" s="1"/>
      <c r="S346" s="1"/>
      <c r="T346" s="1"/>
      <c r="U346" s="1"/>
    </row>
    <row r="347" spans="1:21" ht="15.75" customHeight="1">
      <c r="A347" s="2"/>
      <c r="B347" s="1"/>
      <c r="C347" s="1"/>
      <c r="D347" s="1"/>
      <c r="E347" s="1"/>
      <c r="F347" s="1"/>
      <c r="G347" s="18"/>
      <c r="H347" s="1"/>
      <c r="I347" s="1"/>
      <c r="J347" s="8"/>
      <c r="K347" s="8"/>
      <c r="L347" s="1"/>
      <c r="M347" s="1"/>
      <c r="N347" s="9"/>
      <c r="O347" s="10"/>
      <c r="P347" s="1"/>
      <c r="Q347" s="1"/>
      <c r="R347" s="1"/>
      <c r="S347" s="1"/>
      <c r="T347" s="1"/>
      <c r="U347" s="1"/>
    </row>
    <row r="348" spans="1:21" ht="15.75" customHeight="1">
      <c r="A348" s="2"/>
      <c r="B348" s="1"/>
      <c r="C348" s="1"/>
      <c r="D348" s="1"/>
      <c r="E348" s="1"/>
      <c r="F348" s="1"/>
      <c r="G348" s="18"/>
      <c r="H348" s="1"/>
      <c r="I348" s="1"/>
      <c r="J348" s="8"/>
      <c r="K348" s="8"/>
      <c r="L348" s="1"/>
      <c r="M348" s="1"/>
      <c r="N348" s="9"/>
      <c r="O348" s="10"/>
      <c r="P348" s="1"/>
      <c r="Q348" s="1"/>
      <c r="R348" s="1"/>
      <c r="S348" s="1"/>
      <c r="T348" s="1"/>
      <c r="U348" s="1"/>
    </row>
    <row r="349" spans="1:21" ht="15.75" customHeight="1">
      <c r="A349" s="2"/>
      <c r="B349" s="1"/>
      <c r="C349" s="1"/>
      <c r="D349" s="1"/>
      <c r="E349" s="1"/>
      <c r="F349" s="1"/>
      <c r="G349" s="18"/>
      <c r="H349" s="1"/>
      <c r="I349" s="1"/>
      <c r="J349" s="8"/>
      <c r="K349" s="8"/>
      <c r="L349" s="1"/>
      <c r="M349" s="1"/>
      <c r="N349" s="9"/>
      <c r="O349" s="10"/>
      <c r="P349" s="1"/>
      <c r="Q349" s="1"/>
      <c r="R349" s="1"/>
      <c r="S349" s="1"/>
      <c r="T349" s="1"/>
      <c r="U349" s="1"/>
    </row>
    <row r="350" spans="1:21" ht="15.75" customHeight="1">
      <c r="A350" s="2"/>
      <c r="B350" s="1"/>
      <c r="C350" s="1"/>
      <c r="D350" s="1"/>
      <c r="E350" s="1"/>
      <c r="F350" s="1"/>
      <c r="G350" s="18"/>
      <c r="H350" s="1"/>
      <c r="I350" s="1"/>
      <c r="J350" s="8"/>
      <c r="K350" s="8"/>
      <c r="L350" s="1"/>
      <c r="M350" s="1"/>
      <c r="N350" s="9"/>
      <c r="O350" s="10"/>
      <c r="P350" s="1"/>
      <c r="Q350" s="1"/>
      <c r="R350" s="1"/>
      <c r="S350" s="1"/>
      <c r="T350" s="1"/>
      <c r="U350" s="1"/>
    </row>
    <row r="351" spans="1:21" ht="15.75" customHeight="1">
      <c r="A351" s="2"/>
      <c r="B351" s="1"/>
      <c r="C351" s="1"/>
      <c r="D351" s="1"/>
      <c r="E351" s="1"/>
      <c r="F351" s="1"/>
      <c r="G351" s="18"/>
      <c r="H351" s="1"/>
      <c r="I351" s="1"/>
      <c r="J351" s="8"/>
      <c r="K351" s="8"/>
      <c r="L351" s="1"/>
      <c r="M351" s="1"/>
      <c r="N351" s="9"/>
      <c r="O351" s="10"/>
      <c r="P351" s="1"/>
      <c r="Q351" s="1"/>
      <c r="R351" s="1"/>
      <c r="S351" s="1"/>
      <c r="T351" s="1"/>
      <c r="U351" s="1"/>
    </row>
    <row r="352" spans="1:21" ht="15.75" customHeight="1">
      <c r="A352" s="2"/>
      <c r="B352" s="1"/>
      <c r="C352" s="1"/>
      <c r="D352" s="1"/>
      <c r="E352" s="1"/>
      <c r="F352" s="1"/>
      <c r="G352" s="18"/>
      <c r="H352" s="1"/>
      <c r="I352" s="1"/>
      <c r="J352" s="8"/>
      <c r="K352" s="8"/>
      <c r="L352" s="1"/>
      <c r="M352" s="1"/>
      <c r="N352" s="9"/>
      <c r="O352" s="10"/>
      <c r="P352" s="1"/>
      <c r="Q352" s="1"/>
      <c r="R352" s="1"/>
      <c r="S352" s="1"/>
      <c r="T352" s="1"/>
      <c r="U352" s="1"/>
    </row>
    <row r="353" spans="1:21" ht="15.75" customHeight="1">
      <c r="A353" s="2"/>
      <c r="B353" s="1"/>
      <c r="C353" s="1"/>
      <c r="D353" s="1"/>
      <c r="E353" s="1"/>
      <c r="F353" s="1"/>
      <c r="G353" s="18"/>
      <c r="H353" s="1"/>
      <c r="I353" s="1"/>
      <c r="J353" s="8"/>
      <c r="K353" s="8"/>
      <c r="L353" s="1"/>
      <c r="M353" s="1"/>
      <c r="N353" s="9"/>
      <c r="O353" s="10"/>
      <c r="P353" s="1"/>
      <c r="Q353" s="1"/>
      <c r="R353" s="1"/>
      <c r="S353" s="1"/>
      <c r="T353" s="1"/>
      <c r="U353" s="1"/>
    </row>
    <row r="354" spans="1:21" ht="15.75" customHeight="1">
      <c r="A354" s="2"/>
      <c r="B354" s="1"/>
      <c r="C354" s="1"/>
      <c r="D354" s="1"/>
      <c r="E354" s="1"/>
      <c r="F354" s="1"/>
      <c r="G354" s="18"/>
      <c r="H354" s="1"/>
      <c r="I354" s="1"/>
      <c r="J354" s="8"/>
      <c r="K354" s="8"/>
      <c r="L354" s="1"/>
      <c r="M354" s="1"/>
      <c r="N354" s="9"/>
      <c r="O354" s="10"/>
      <c r="P354" s="1"/>
      <c r="Q354" s="1"/>
      <c r="R354" s="1"/>
      <c r="S354" s="1"/>
      <c r="T354" s="1"/>
      <c r="U354" s="1"/>
    </row>
    <row r="355" spans="1:21" ht="15.75" customHeight="1">
      <c r="A355" s="2"/>
      <c r="B355" s="1"/>
      <c r="C355" s="1"/>
      <c r="D355" s="1"/>
      <c r="E355" s="1"/>
      <c r="F355" s="1"/>
      <c r="G355" s="18"/>
      <c r="H355" s="1"/>
      <c r="I355" s="1"/>
      <c r="J355" s="8"/>
      <c r="K355" s="8"/>
      <c r="L355" s="1"/>
      <c r="M355" s="1"/>
      <c r="N355" s="9"/>
      <c r="O355" s="10"/>
      <c r="P355" s="1"/>
      <c r="Q355" s="1"/>
      <c r="R355" s="1"/>
      <c r="S355" s="1"/>
      <c r="T355" s="1"/>
      <c r="U355" s="1"/>
    </row>
    <row r="356" spans="1:21" ht="15.75" customHeight="1">
      <c r="A356" s="2"/>
      <c r="B356" s="1"/>
      <c r="C356" s="1"/>
      <c r="D356" s="1"/>
      <c r="E356" s="1"/>
      <c r="F356" s="1"/>
      <c r="G356" s="18"/>
      <c r="H356" s="1"/>
      <c r="I356" s="1"/>
      <c r="J356" s="8"/>
      <c r="K356" s="8"/>
      <c r="L356" s="1"/>
      <c r="M356" s="1"/>
      <c r="N356" s="9"/>
      <c r="O356" s="10"/>
      <c r="P356" s="1"/>
      <c r="Q356" s="1"/>
      <c r="R356" s="1"/>
      <c r="S356" s="1"/>
      <c r="T356" s="1"/>
      <c r="U356" s="1"/>
    </row>
    <row r="357" spans="1:21" ht="15.75" customHeight="1">
      <c r="A357" s="2"/>
      <c r="B357" s="1"/>
      <c r="C357" s="1"/>
      <c r="D357" s="1"/>
      <c r="E357" s="1"/>
      <c r="F357" s="1"/>
      <c r="G357" s="18"/>
      <c r="H357" s="1"/>
      <c r="I357" s="1"/>
      <c r="J357" s="8"/>
      <c r="K357" s="8"/>
      <c r="L357" s="1"/>
      <c r="M357" s="1"/>
      <c r="N357" s="9"/>
      <c r="O357" s="10"/>
      <c r="P357" s="1"/>
      <c r="Q357" s="1"/>
      <c r="R357" s="1"/>
      <c r="S357" s="1"/>
      <c r="T357" s="1"/>
      <c r="U357" s="1"/>
    </row>
    <row r="358" spans="1:21" ht="15.75" customHeight="1">
      <c r="A358" s="2"/>
      <c r="B358" s="1"/>
      <c r="C358" s="1"/>
      <c r="D358" s="1"/>
      <c r="E358" s="1"/>
      <c r="F358" s="1"/>
      <c r="G358" s="18"/>
      <c r="H358" s="1"/>
      <c r="I358" s="1"/>
      <c r="J358" s="8"/>
      <c r="K358" s="8"/>
      <c r="L358" s="1"/>
      <c r="M358" s="1"/>
      <c r="N358" s="9"/>
      <c r="O358" s="10"/>
      <c r="P358" s="1"/>
      <c r="Q358" s="1"/>
      <c r="R358" s="1"/>
      <c r="S358" s="1"/>
      <c r="T358" s="1"/>
      <c r="U358" s="1"/>
    </row>
    <row r="359" spans="1:21" ht="15.75" customHeight="1">
      <c r="A359" s="2"/>
      <c r="B359" s="1"/>
      <c r="C359" s="1"/>
      <c r="D359" s="1"/>
      <c r="E359" s="1"/>
      <c r="F359" s="1"/>
      <c r="G359" s="18"/>
      <c r="H359" s="1"/>
      <c r="I359" s="1"/>
      <c r="J359" s="8"/>
      <c r="K359" s="8"/>
      <c r="L359" s="1"/>
      <c r="M359" s="1"/>
      <c r="N359" s="9"/>
      <c r="O359" s="10"/>
      <c r="P359" s="1"/>
      <c r="Q359" s="1"/>
      <c r="R359" s="1"/>
      <c r="S359" s="1"/>
      <c r="T359" s="1"/>
      <c r="U359" s="1"/>
    </row>
    <row r="360" spans="1:21" ht="15.75" customHeight="1">
      <c r="A360" s="2"/>
      <c r="B360" s="1"/>
      <c r="C360" s="1"/>
      <c r="D360" s="1"/>
      <c r="E360" s="1"/>
      <c r="F360" s="1"/>
      <c r="G360" s="18"/>
      <c r="H360" s="1"/>
      <c r="I360" s="1"/>
      <c r="J360" s="8"/>
      <c r="K360" s="8"/>
      <c r="L360" s="1"/>
      <c r="M360" s="1"/>
      <c r="N360" s="9"/>
      <c r="O360" s="10"/>
      <c r="P360" s="1"/>
      <c r="Q360" s="1"/>
      <c r="R360" s="1"/>
      <c r="S360" s="1"/>
      <c r="T360" s="1"/>
      <c r="U360" s="1"/>
    </row>
    <row r="361" spans="1:21" ht="15.75" customHeight="1">
      <c r="A361" s="2"/>
      <c r="B361" s="1"/>
      <c r="C361" s="1"/>
      <c r="D361" s="1"/>
      <c r="E361" s="1"/>
      <c r="F361" s="1"/>
      <c r="G361" s="18"/>
      <c r="H361" s="1"/>
      <c r="I361" s="1"/>
      <c r="J361" s="8"/>
      <c r="K361" s="8"/>
      <c r="L361" s="1"/>
      <c r="M361" s="1"/>
      <c r="N361" s="9"/>
      <c r="O361" s="10"/>
      <c r="P361" s="1"/>
      <c r="Q361" s="1"/>
      <c r="R361" s="1"/>
      <c r="S361" s="1"/>
      <c r="T361" s="1"/>
      <c r="U361" s="1"/>
    </row>
    <row r="362" spans="1:21" ht="15.75" customHeight="1">
      <c r="A362" s="2"/>
      <c r="B362" s="1"/>
      <c r="C362" s="1"/>
      <c r="D362" s="1"/>
      <c r="E362" s="1"/>
      <c r="F362" s="1"/>
      <c r="G362" s="18"/>
      <c r="H362" s="1"/>
      <c r="I362" s="1"/>
      <c r="J362" s="8"/>
      <c r="K362" s="8"/>
      <c r="L362" s="1"/>
      <c r="M362" s="1"/>
      <c r="N362" s="9"/>
      <c r="O362" s="10"/>
      <c r="P362" s="1"/>
      <c r="Q362" s="1"/>
      <c r="R362" s="1"/>
      <c r="S362" s="1"/>
      <c r="T362" s="1"/>
      <c r="U362" s="1"/>
    </row>
    <row r="363" spans="1:21" ht="15.75" customHeight="1">
      <c r="A363" s="2"/>
      <c r="B363" s="1"/>
      <c r="C363" s="1"/>
      <c r="D363" s="1"/>
      <c r="E363" s="1"/>
      <c r="F363" s="1"/>
      <c r="G363" s="18"/>
      <c r="H363" s="1"/>
      <c r="I363" s="1"/>
      <c r="J363" s="8"/>
      <c r="K363" s="8"/>
      <c r="L363" s="1"/>
      <c r="M363" s="1"/>
      <c r="N363" s="9"/>
      <c r="O363" s="10"/>
      <c r="P363" s="1"/>
      <c r="Q363" s="1"/>
      <c r="R363" s="1"/>
      <c r="S363" s="1"/>
      <c r="T363" s="1"/>
      <c r="U363" s="1"/>
    </row>
    <row r="364" spans="1:21" ht="15.75" customHeight="1">
      <c r="A364" s="2"/>
      <c r="B364" s="1"/>
      <c r="C364" s="1"/>
      <c r="D364" s="1"/>
      <c r="E364" s="1"/>
      <c r="F364" s="1"/>
      <c r="G364" s="18"/>
      <c r="H364" s="1"/>
      <c r="I364" s="1"/>
      <c r="J364" s="8"/>
      <c r="K364" s="8"/>
      <c r="L364" s="1"/>
      <c r="M364" s="1"/>
      <c r="N364" s="9"/>
      <c r="O364" s="10"/>
      <c r="P364" s="1"/>
      <c r="Q364" s="1"/>
      <c r="R364" s="1"/>
      <c r="S364" s="1"/>
      <c r="T364" s="1"/>
      <c r="U364" s="1"/>
    </row>
    <row r="365" spans="1:21" ht="15.75" customHeight="1">
      <c r="A365" s="2"/>
      <c r="B365" s="1"/>
      <c r="C365" s="1"/>
      <c r="D365" s="1"/>
      <c r="E365" s="1"/>
      <c r="F365" s="1"/>
      <c r="G365" s="18"/>
      <c r="H365" s="1"/>
      <c r="I365" s="1"/>
      <c r="J365" s="8"/>
      <c r="K365" s="8"/>
      <c r="L365" s="1"/>
      <c r="M365" s="1"/>
      <c r="N365" s="9"/>
      <c r="O365" s="10"/>
      <c r="P365" s="1"/>
      <c r="Q365" s="1"/>
      <c r="R365" s="1"/>
      <c r="S365" s="1"/>
      <c r="T365" s="1"/>
      <c r="U365" s="1"/>
    </row>
    <row r="366" spans="1:21" ht="15.75" customHeight="1">
      <c r="A366" s="2"/>
      <c r="B366" s="1"/>
      <c r="C366" s="1"/>
      <c r="D366" s="1"/>
      <c r="E366" s="1"/>
      <c r="F366" s="1"/>
      <c r="G366" s="18"/>
      <c r="H366" s="1"/>
      <c r="I366" s="1"/>
      <c r="J366" s="8"/>
      <c r="K366" s="8"/>
      <c r="L366" s="1"/>
      <c r="M366" s="1"/>
      <c r="N366" s="9"/>
      <c r="O366" s="10"/>
      <c r="P366" s="1"/>
      <c r="Q366" s="1"/>
      <c r="R366" s="1"/>
      <c r="S366" s="1"/>
      <c r="T366" s="1"/>
      <c r="U366" s="1"/>
    </row>
    <row r="367" spans="1:21" ht="15.75" customHeight="1">
      <c r="A367" s="2"/>
      <c r="B367" s="1"/>
      <c r="C367" s="1"/>
      <c r="D367" s="1"/>
      <c r="E367" s="1"/>
      <c r="F367" s="1"/>
      <c r="G367" s="18"/>
      <c r="H367" s="1"/>
      <c r="I367" s="1"/>
      <c r="J367" s="8"/>
      <c r="K367" s="8"/>
      <c r="L367" s="1"/>
      <c r="M367" s="1"/>
      <c r="N367" s="9"/>
      <c r="O367" s="10"/>
      <c r="P367" s="1"/>
      <c r="Q367" s="1"/>
      <c r="R367" s="1"/>
      <c r="S367" s="1"/>
      <c r="T367" s="1"/>
      <c r="U367" s="1"/>
    </row>
    <row r="368" spans="1:21" ht="15.75" customHeight="1">
      <c r="A368" s="2"/>
      <c r="B368" s="1"/>
      <c r="C368" s="1"/>
      <c r="D368" s="1"/>
      <c r="E368" s="1"/>
      <c r="F368" s="1"/>
      <c r="G368" s="18"/>
      <c r="H368" s="1"/>
      <c r="I368" s="1"/>
      <c r="J368" s="8"/>
      <c r="K368" s="8"/>
      <c r="L368" s="1"/>
      <c r="M368" s="1"/>
      <c r="N368" s="9"/>
      <c r="O368" s="10"/>
      <c r="P368" s="1"/>
      <c r="Q368" s="1"/>
      <c r="R368" s="1"/>
      <c r="S368" s="1"/>
      <c r="T368" s="1"/>
      <c r="U368" s="1"/>
    </row>
    <row r="369" spans="1:21" ht="15.75" customHeight="1">
      <c r="A369" s="2"/>
      <c r="B369" s="1"/>
      <c r="C369" s="1"/>
      <c r="D369" s="1"/>
      <c r="E369" s="1"/>
      <c r="F369" s="1"/>
      <c r="G369" s="18"/>
      <c r="H369" s="1"/>
      <c r="I369" s="1"/>
      <c r="J369" s="8"/>
      <c r="K369" s="8"/>
      <c r="L369" s="1"/>
      <c r="M369" s="1"/>
      <c r="N369" s="9"/>
      <c r="O369" s="10"/>
      <c r="P369" s="1"/>
      <c r="Q369" s="1"/>
      <c r="R369" s="1"/>
      <c r="S369" s="1"/>
      <c r="T369" s="1"/>
      <c r="U369" s="1"/>
    </row>
    <row r="370" spans="1:21" ht="15.75" customHeight="1">
      <c r="A370" s="2"/>
      <c r="B370" s="1"/>
      <c r="C370" s="1"/>
      <c r="D370" s="1"/>
      <c r="E370" s="1"/>
      <c r="F370" s="1"/>
      <c r="G370" s="18"/>
      <c r="H370" s="1"/>
      <c r="I370" s="1"/>
      <c r="J370" s="8"/>
      <c r="K370" s="8"/>
      <c r="L370" s="1"/>
      <c r="M370" s="1"/>
      <c r="N370" s="9"/>
      <c r="O370" s="10"/>
      <c r="P370" s="1"/>
      <c r="Q370" s="1"/>
      <c r="R370" s="1"/>
      <c r="S370" s="1"/>
      <c r="T370" s="1"/>
      <c r="U370" s="1"/>
    </row>
    <row r="371" spans="1:21" ht="15.75" customHeight="1">
      <c r="A371" s="2"/>
      <c r="B371" s="1"/>
      <c r="C371" s="1"/>
      <c r="D371" s="1"/>
      <c r="E371" s="1"/>
      <c r="F371" s="1"/>
      <c r="G371" s="18"/>
      <c r="H371" s="1"/>
      <c r="I371" s="1"/>
      <c r="J371" s="8"/>
      <c r="K371" s="8"/>
      <c r="L371" s="1"/>
      <c r="M371" s="1"/>
      <c r="N371" s="9"/>
      <c r="O371" s="10"/>
      <c r="P371" s="1"/>
      <c r="Q371" s="1"/>
      <c r="R371" s="1"/>
      <c r="S371" s="1"/>
      <c r="T371" s="1"/>
      <c r="U371" s="1"/>
    </row>
    <row r="372" spans="1:21" ht="15.75" customHeight="1">
      <c r="A372" s="2"/>
      <c r="B372" s="1"/>
      <c r="C372" s="1"/>
      <c r="D372" s="1"/>
      <c r="E372" s="1"/>
      <c r="F372" s="1"/>
      <c r="G372" s="18"/>
      <c r="H372" s="1"/>
      <c r="I372" s="1"/>
      <c r="J372" s="8"/>
      <c r="K372" s="8"/>
      <c r="L372" s="1"/>
      <c r="M372" s="1"/>
      <c r="N372" s="9"/>
      <c r="O372" s="10"/>
      <c r="P372" s="1"/>
      <c r="Q372" s="1"/>
      <c r="R372" s="1"/>
      <c r="S372" s="1"/>
      <c r="T372" s="1"/>
      <c r="U372" s="1"/>
    </row>
    <row r="373" spans="1:21" ht="15.75" customHeight="1">
      <c r="A373" s="2"/>
      <c r="B373" s="1"/>
      <c r="C373" s="1"/>
      <c r="D373" s="1"/>
      <c r="E373" s="1"/>
      <c r="F373" s="1"/>
      <c r="G373" s="18"/>
      <c r="H373" s="1"/>
      <c r="I373" s="1"/>
      <c r="J373" s="8"/>
      <c r="K373" s="8"/>
      <c r="L373" s="1"/>
      <c r="M373" s="1"/>
      <c r="N373" s="9"/>
      <c r="O373" s="10"/>
      <c r="P373" s="1"/>
      <c r="Q373" s="1"/>
      <c r="R373" s="1"/>
      <c r="S373" s="1"/>
      <c r="T373" s="1"/>
      <c r="U373" s="1"/>
    </row>
    <row r="374" spans="1:21" ht="15.75" customHeight="1">
      <c r="A374" s="2"/>
      <c r="B374" s="1"/>
      <c r="C374" s="1"/>
      <c r="D374" s="1"/>
      <c r="E374" s="1"/>
      <c r="F374" s="1"/>
      <c r="G374" s="18"/>
      <c r="H374" s="1"/>
      <c r="I374" s="1"/>
      <c r="J374" s="8"/>
      <c r="K374" s="8"/>
      <c r="L374" s="1"/>
      <c r="M374" s="1"/>
      <c r="N374" s="9"/>
      <c r="O374" s="10"/>
      <c r="P374" s="1"/>
      <c r="Q374" s="1"/>
      <c r="R374" s="1"/>
      <c r="S374" s="1"/>
      <c r="T374" s="1"/>
      <c r="U374" s="1"/>
    </row>
    <row r="375" spans="1:21" ht="15.75" customHeight="1">
      <c r="A375" s="2"/>
      <c r="B375" s="1"/>
      <c r="C375" s="1"/>
      <c r="D375" s="1"/>
      <c r="E375" s="1"/>
      <c r="F375" s="1"/>
      <c r="G375" s="18"/>
      <c r="H375" s="1"/>
      <c r="I375" s="1"/>
      <c r="J375" s="8"/>
      <c r="K375" s="8"/>
      <c r="L375" s="1"/>
      <c r="M375" s="1"/>
      <c r="N375" s="9"/>
      <c r="O375" s="10"/>
      <c r="P375" s="1"/>
      <c r="Q375" s="1"/>
      <c r="R375" s="1"/>
      <c r="S375" s="1"/>
      <c r="T375" s="1"/>
      <c r="U375" s="1"/>
    </row>
    <row r="376" spans="1:21" ht="15.75" customHeight="1">
      <c r="A376" s="2"/>
      <c r="B376" s="1"/>
      <c r="C376" s="1"/>
      <c r="D376" s="1"/>
      <c r="E376" s="1"/>
      <c r="F376" s="1"/>
      <c r="G376" s="18"/>
      <c r="H376" s="1"/>
      <c r="I376" s="1"/>
      <c r="J376" s="8"/>
      <c r="K376" s="8"/>
      <c r="L376" s="1"/>
      <c r="M376" s="1"/>
      <c r="N376" s="9"/>
      <c r="O376" s="10"/>
      <c r="P376" s="1"/>
      <c r="Q376" s="1"/>
      <c r="R376" s="1"/>
      <c r="S376" s="1"/>
      <c r="T376" s="1"/>
      <c r="U376" s="1"/>
    </row>
    <row r="377" spans="1:21" ht="15.75" customHeight="1">
      <c r="A377" s="2"/>
      <c r="B377" s="1"/>
      <c r="C377" s="1"/>
      <c r="D377" s="1"/>
      <c r="E377" s="1"/>
      <c r="F377" s="1"/>
      <c r="G377" s="18"/>
      <c r="H377" s="1"/>
      <c r="I377" s="1"/>
      <c r="J377" s="8"/>
      <c r="K377" s="8"/>
      <c r="L377" s="1"/>
      <c r="M377" s="1"/>
      <c r="N377" s="9"/>
      <c r="O377" s="10"/>
      <c r="P377" s="1"/>
      <c r="Q377" s="1"/>
      <c r="R377" s="1"/>
      <c r="S377" s="1"/>
      <c r="T377" s="1"/>
      <c r="U377" s="1"/>
    </row>
    <row r="378" spans="1:21" ht="15.75" customHeight="1">
      <c r="A378" s="2"/>
      <c r="B378" s="1"/>
      <c r="C378" s="1"/>
      <c r="D378" s="1"/>
      <c r="E378" s="1"/>
      <c r="F378" s="1"/>
      <c r="G378" s="18"/>
      <c r="H378" s="1"/>
      <c r="I378" s="1"/>
      <c r="J378" s="8"/>
      <c r="K378" s="8"/>
      <c r="L378" s="1"/>
      <c r="M378" s="1"/>
      <c r="N378" s="9"/>
      <c r="O378" s="10"/>
      <c r="P378" s="1"/>
      <c r="Q378" s="1"/>
      <c r="R378" s="1"/>
      <c r="S378" s="1"/>
      <c r="T378" s="1"/>
      <c r="U378" s="1"/>
    </row>
    <row r="379" spans="1:21" ht="15.75" customHeight="1">
      <c r="A379" s="2"/>
      <c r="B379" s="1"/>
      <c r="C379" s="1"/>
      <c r="D379" s="1"/>
      <c r="E379" s="1"/>
      <c r="F379" s="1"/>
      <c r="G379" s="18"/>
      <c r="H379" s="1"/>
      <c r="I379" s="1"/>
      <c r="J379" s="8"/>
      <c r="K379" s="8"/>
      <c r="L379" s="1"/>
      <c r="M379" s="1"/>
      <c r="N379" s="9"/>
      <c r="O379" s="10"/>
      <c r="P379" s="1"/>
      <c r="Q379" s="1"/>
      <c r="R379" s="1"/>
      <c r="S379" s="1"/>
      <c r="T379" s="1"/>
      <c r="U379" s="1"/>
    </row>
    <row r="380" spans="1:21" ht="15.75" customHeight="1">
      <c r="A380" s="2"/>
      <c r="B380" s="1"/>
      <c r="C380" s="1"/>
      <c r="D380" s="1"/>
      <c r="E380" s="1"/>
      <c r="F380" s="1"/>
      <c r="G380" s="18"/>
      <c r="H380" s="1"/>
      <c r="I380" s="1"/>
      <c r="J380" s="8"/>
      <c r="K380" s="8"/>
      <c r="L380" s="1"/>
      <c r="M380" s="1"/>
      <c r="N380" s="9"/>
      <c r="O380" s="10"/>
      <c r="P380" s="1"/>
      <c r="Q380" s="1"/>
      <c r="R380" s="1"/>
      <c r="S380" s="1"/>
      <c r="T380" s="1"/>
      <c r="U380" s="1"/>
    </row>
    <row r="381" spans="1:21" ht="15.75" customHeight="1">
      <c r="A381" s="2"/>
      <c r="B381" s="1"/>
      <c r="C381" s="1"/>
      <c r="D381" s="1"/>
      <c r="E381" s="1"/>
      <c r="F381" s="1"/>
      <c r="G381" s="18"/>
      <c r="H381" s="1"/>
      <c r="I381" s="1"/>
      <c r="J381" s="8"/>
      <c r="K381" s="8"/>
      <c r="L381" s="1"/>
      <c r="M381" s="1"/>
      <c r="N381" s="9"/>
      <c r="O381" s="10"/>
      <c r="P381" s="1"/>
      <c r="Q381" s="1"/>
      <c r="R381" s="1"/>
      <c r="S381" s="1"/>
      <c r="T381" s="1"/>
      <c r="U381" s="1"/>
    </row>
    <row r="382" spans="1:21" ht="15.75" customHeight="1">
      <c r="A382" s="2"/>
      <c r="B382" s="1"/>
      <c r="C382" s="1"/>
      <c r="D382" s="1"/>
      <c r="E382" s="1"/>
      <c r="F382" s="1"/>
      <c r="G382" s="18"/>
      <c r="H382" s="1"/>
      <c r="I382" s="1"/>
      <c r="J382" s="8"/>
      <c r="K382" s="8"/>
      <c r="L382" s="1"/>
      <c r="M382" s="1"/>
      <c r="N382" s="9"/>
      <c r="O382" s="10"/>
      <c r="P382" s="1"/>
      <c r="Q382" s="1"/>
      <c r="R382" s="1"/>
      <c r="S382" s="1"/>
      <c r="T382" s="1"/>
      <c r="U382" s="1"/>
    </row>
    <row r="383" spans="1:21" ht="15.75" customHeight="1">
      <c r="A383" s="2"/>
      <c r="B383" s="1"/>
      <c r="C383" s="1"/>
      <c r="D383" s="1"/>
      <c r="E383" s="1"/>
      <c r="F383" s="1"/>
      <c r="G383" s="18"/>
      <c r="H383" s="1"/>
      <c r="I383" s="1"/>
      <c r="J383" s="8"/>
      <c r="K383" s="8"/>
      <c r="L383" s="1"/>
      <c r="M383" s="1"/>
      <c r="N383" s="9"/>
      <c r="O383" s="10"/>
      <c r="P383" s="1"/>
      <c r="Q383" s="1"/>
      <c r="R383" s="1"/>
      <c r="S383" s="1"/>
      <c r="T383" s="1"/>
      <c r="U383" s="1"/>
    </row>
    <row r="384" spans="1:21" ht="15.75" customHeight="1">
      <c r="A384" s="2"/>
      <c r="B384" s="1"/>
      <c r="C384" s="1"/>
      <c r="D384" s="1"/>
      <c r="E384" s="1"/>
      <c r="F384" s="1"/>
      <c r="G384" s="18"/>
      <c r="H384" s="1"/>
      <c r="I384" s="1"/>
      <c r="J384" s="8"/>
      <c r="K384" s="8"/>
      <c r="L384" s="1"/>
      <c r="M384" s="1"/>
      <c r="N384" s="9"/>
      <c r="O384" s="10"/>
      <c r="P384" s="1"/>
      <c r="Q384" s="1"/>
      <c r="R384" s="1"/>
      <c r="S384" s="1"/>
      <c r="T384" s="1"/>
      <c r="U384" s="1"/>
    </row>
    <row r="385" spans="1:21" ht="15.75" customHeight="1">
      <c r="A385" s="2"/>
      <c r="B385" s="1"/>
      <c r="C385" s="1"/>
      <c r="D385" s="1"/>
      <c r="E385" s="1"/>
      <c r="F385" s="1"/>
      <c r="G385" s="18"/>
      <c r="H385" s="1"/>
      <c r="I385" s="1"/>
      <c r="J385" s="8"/>
      <c r="K385" s="8"/>
      <c r="L385" s="1"/>
      <c r="M385" s="1"/>
      <c r="N385" s="9"/>
      <c r="O385" s="10"/>
      <c r="P385" s="1"/>
      <c r="Q385" s="1"/>
      <c r="R385" s="1"/>
      <c r="S385" s="1"/>
      <c r="T385" s="1"/>
      <c r="U385" s="1"/>
    </row>
    <row r="386" spans="1:21" ht="15.75" customHeight="1">
      <c r="A386" s="2"/>
      <c r="B386" s="1"/>
      <c r="C386" s="1"/>
      <c r="D386" s="1"/>
      <c r="E386" s="1"/>
      <c r="F386" s="1"/>
      <c r="G386" s="18"/>
      <c r="H386" s="1"/>
      <c r="I386" s="1"/>
      <c r="J386" s="8"/>
      <c r="K386" s="8"/>
      <c r="L386" s="1"/>
      <c r="M386" s="1"/>
      <c r="N386" s="9"/>
      <c r="O386" s="10"/>
      <c r="P386" s="1"/>
      <c r="Q386" s="1"/>
      <c r="R386" s="1"/>
      <c r="S386" s="1"/>
      <c r="T386" s="1"/>
      <c r="U386" s="1"/>
    </row>
    <row r="387" spans="1:21" ht="15.75" customHeight="1">
      <c r="A387" s="2"/>
      <c r="B387" s="1"/>
      <c r="C387" s="1"/>
      <c r="D387" s="1"/>
      <c r="E387" s="1"/>
      <c r="F387" s="1"/>
      <c r="G387" s="18"/>
      <c r="H387" s="1"/>
      <c r="I387" s="1"/>
      <c r="J387" s="8"/>
      <c r="K387" s="8"/>
      <c r="L387" s="1"/>
      <c r="M387" s="1"/>
      <c r="N387" s="9"/>
      <c r="O387" s="10"/>
      <c r="P387" s="1"/>
      <c r="Q387" s="1"/>
      <c r="R387" s="1"/>
      <c r="S387" s="1"/>
      <c r="T387" s="1"/>
      <c r="U387" s="1"/>
    </row>
    <row r="388" spans="1:21" ht="15.75" customHeight="1">
      <c r="A388" s="2"/>
      <c r="B388" s="1"/>
      <c r="C388" s="1"/>
      <c r="D388" s="1"/>
      <c r="E388" s="1"/>
      <c r="F388" s="1"/>
      <c r="G388" s="18"/>
      <c r="H388" s="1"/>
      <c r="I388" s="1"/>
      <c r="J388" s="8"/>
      <c r="K388" s="8"/>
      <c r="L388" s="1"/>
      <c r="M388" s="1"/>
      <c r="N388" s="9"/>
      <c r="O388" s="10"/>
      <c r="P388" s="1"/>
      <c r="Q388" s="1"/>
      <c r="R388" s="1"/>
      <c r="S388" s="1"/>
      <c r="T388" s="1"/>
      <c r="U388" s="1"/>
    </row>
    <row r="389" spans="1:21" ht="15.75" customHeight="1">
      <c r="A389" s="2"/>
      <c r="B389" s="1"/>
      <c r="C389" s="1"/>
      <c r="D389" s="1"/>
      <c r="E389" s="1"/>
      <c r="F389" s="1"/>
      <c r="G389" s="18"/>
      <c r="H389" s="1"/>
      <c r="I389" s="1"/>
      <c r="J389" s="8"/>
      <c r="K389" s="8"/>
      <c r="L389" s="1"/>
      <c r="M389" s="1"/>
      <c r="N389" s="9"/>
      <c r="O389" s="10"/>
      <c r="P389" s="1"/>
      <c r="Q389" s="1"/>
      <c r="R389" s="1"/>
      <c r="S389" s="1"/>
      <c r="T389" s="1"/>
      <c r="U389" s="1"/>
    </row>
    <row r="390" spans="1:21" ht="15.75" customHeight="1">
      <c r="A390" s="2"/>
      <c r="B390" s="1"/>
      <c r="C390" s="1"/>
      <c r="D390" s="1"/>
      <c r="E390" s="1"/>
      <c r="F390" s="1"/>
      <c r="G390" s="18"/>
      <c r="H390" s="1"/>
      <c r="I390" s="1"/>
      <c r="J390" s="8"/>
      <c r="K390" s="8"/>
      <c r="L390" s="1"/>
      <c r="M390" s="1"/>
      <c r="N390" s="9"/>
      <c r="O390" s="10"/>
      <c r="P390" s="1"/>
      <c r="Q390" s="1"/>
      <c r="R390" s="1"/>
      <c r="S390" s="1"/>
      <c r="T390" s="1"/>
      <c r="U390" s="1"/>
    </row>
    <row r="391" spans="1:21" ht="15.75" customHeight="1">
      <c r="A391" s="2"/>
      <c r="B391" s="1"/>
      <c r="C391" s="1"/>
      <c r="D391" s="1"/>
      <c r="E391" s="1"/>
      <c r="F391" s="1"/>
      <c r="G391" s="18"/>
      <c r="H391" s="1"/>
      <c r="I391" s="1"/>
      <c r="J391" s="8"/>
      <c r="K391" s="8"/>
      <c r="L391" s="1"/>
      <c r="M391" s="1"/>
      <c r="N391" s="9"/>
      <c r="O391" s="10"/>
      <c r="P391" s="1"/>
      <c r="Q391" s="1"/>
      <c r="R391" s="1"/>
      <c r="S391" s="1"/>
      <c r="T391" s="1"/>
      <c r="U391" s="1"/>
    </row>
    <row r="392" spans="1:21" ht="15.75" customHeight="1">
      <c r="A392" s="2"/>
      <c r="B392" s="1"/>
      <c r="C392" s="1"/>
      <c r="D392" s="1"/>
      <c r="E392" s="1"/>
      <c r="F392" s="1"/>
      <c r="G392" s="18"/>
      <c r="H392" s="1"/>
      <c r="I392" s="1"/>
      <c r="J392" s="8"/>
      <c r="K392" s="8"/>
      <c r="L392" s="1"/>
      <c r="M392" s="1"/>
      <c r="N392" s="9"/>
      <c r="O392" s="10"/>
      <c r="P392" s="1"/>
      <c r="Q392" s="1"/>
      <c r="R392" s="1"/>
      <c r="S392" s="1"/>
      <c r="T392" s="1"/>
      <c r="U392" s="1"/>
    </row>
    <row r="393" spans="1:21" ht="15.75" customHeight="1">
      <c r="A393" s="2"/>
      <c r="B393" s="1"/>
      <c r="C393" s="1"/>
      <c r="D393" s="1"/>
      <c r="E393" s="1"/>
      <c r="F393" s="1"/>
      <c r="G393" s="18"/>
      <c r="H393" s="1"/>
      <c r="I393" s="1"/>
      <c r="J393" s="8"/>
      <c r="K393" s="8"/>
      <c r="L393" s="1"/>
      <c r="M393" s="1"/>
      <c r="N393" s="9"/>
      <c r="O393" s="10"/>
      <c r="P393" s="1"/>
      <c r="Q393" s="1"/>
      <c r="R393" s="1"/>
      <c r="S393" s="1"/>
      <c r="T393" s="1"/>
      <c r="U393" s="1"/>
    </row>
    <row r="394" spans="1:21" ht="15.75" customHeight="1">
      <c r="A394" s="91"/>
      <c r="O394" s="92"/>
    </row>
    <row r="395" spans="1:21" ht="15.75" customHeight="1">
      <c r="A395" s="91"/>
      <c r="O395" s="92"/>
    </row>
    <row r="396" spans="1:21" ht="15.75" customHeight="1">
      <c r="A396" s="91"/>
      <c r="O396" s="92"/>
    </row>
    <row r="397" spans="1:21" ht="15.75" customHeight="1">
      <c r="A397" s="91"/>
      <c r="O397" s="92"/>
    </row>
    <row r="398" spans="1:21" ht="15.75" customHeight="1">
      <c r="A398" s="91"/>
      <c r="O398" s="92"/>
    </row>
    <row r="399" spans="1:21" ht="15.75" customHeight="1">
      <c r="A399" s="91"/>
      <c r="O399" s="92"/>
    </row>
    <row r="400" spans="1:21" ht="15.75" customHeight="1">
      <c r="A400" s="91"/>
      <c r="O400" s="92"/>
    </row>
    <row r="401" spans="1:15" ht="15.75" customHeight="1">
      <c r="A401" s="91"/>
      <c r="O401" s="92"/>
    </row>
    <row r="402" spans="1:15" ht="15.75" customHeight="1">
      <c r="A402" s="91"/>
      <c r="O402" s="92"/>
    </row>
    <row r="403" spans="1:15" ht="15.75" customHeight="1">
      <c r="A403" s="91"/>
      <c r="O403" s="92"/>
    </row>
    <row r="404" spans="1:15" ht="15.75" customHeight="1">
      <c r="A404" s="91"/>
      <c r="O404" s="92"/>
    </row>
    <row r="405" spans="1:15" ht="15.75" customHeight="1">
      <c r="A405" s="91"/>
      <c r="O405" s="92"/>
    </row>
    <row r="406" spans="1:15" ht="15.75" customHeight="1">
      <c r="A406" s="91"/>
      <c r="O406" s="92"/>
    </row>
    <row r="407" spans="1:15" ht="15.75" customHeight="1">
      <c r="A407" s="91"/>
      <c r="O407" s="92"/>
    </row>
    <row r="408" spans="1:15" ht="15.75" customHeight="1">
      <c r="A408" s="91"/>
      <c r="O408" s="92"/>
    </row>
    <row r="409" spans="1:15" ht="15.75" customHeight="1">
      <c r="A409" s="91"/>
      <c r="O409" s="92"/>
    </row>
    <row r="410" spans="1:15" ht="15.75" customHeight="1">
      <c r="A410" s="91"/>
      <c r="O410" s="92"/>
    </row>
    <row r="411" spans="1:15" ht="15.75" customHeight="1">
      <c r="A411" s="91"/>
      <c r="O411" s="92"/>
    </row>
    <row r="412" spans="1:15" ht="15.75" customHeight="1">
      <c r="A412" s="91"/>
      <c r="O412" s="92"/>
    </row>
    <row r="413" spans="1:15" ht="15.75" customHeight="1">
      <c r="A413" s="91"/>
      <c r="O413" s="92"/>
    </row>
    <row r="414" spans="1:15" ht="15.75" customHeight="1">
      <c r="A414" s="91"/>
      <c r="O414" s="92"/>
    </row>
    <row r="415" spans="1:15" ht="15.75" customHeight="1">
      <c r="A415" s="91"/>
      <c r="O415" s="92"/>
    </row>
    <row r="416" spans="1:15" ht="15.75" customHeight="1">
      <c r="A416" s="91"/>
      <c r="O416" s="92"/>
    </row>
    <row r="417" spans="1:15" ht="15.75" customHeight="1">
      <c r="A417" s="91"/>
      <c r="O417" s="92"/>
    </row>
    <row r="418" spans="1:15" ht="15.75" customHeight="1">
      <c r="A418" s="91"/>
      <c r="O418" s="92"/>
    </row>
    <row r="419" spans="1:15" ht="15.75" customHeight="1">
      <c r="A419" s="91"/>
      <c r="O419" s="92"/>
    </row>
    <row r="420" spans="1:15" ht="15.75" customHeight="1">
      <c r="A420" s="91"/>
      <c r="O420" s="92"/>
    </row>
    <row r="421" spans="1:15" ht="15.75" customHeight="1">
      <c r="A421" s="91"/>
      <c r="O421" s="92"/>
    </row>
    <row r="422" spans="1:15" ht="15.75" customHeight="1">
      <c r="A422" s="91"/>
      <c r="O422" s="92"/>
    </row>
    <row r="423" spans="1:15" ht="15.75" customHeight="1">
      <c r="A423" s="91"/>
      <c r="O423" s="92"/>
    </row>
    <row r="424" spans="1:15" ht="15.75" customHeight="1">
      <c r="A424" s="91"/>
      <c r="O424" s="92"/>
    </row>
    <row r="425" spans="1:15" ht="15.75" customHeight="1">
      <c r="A425" s="91"/>
      <c r="O425" s="92"/>
    </row>
    <row r="426" spans="1:15" ht="15.75" customHeight="1">
      <c r="A426" s="91"/>
      <c r="O426" s="92"/>
    </row>
    <row r="427" spans="1:15" ht="15.75" customHeight="1">
      <c r="A427" s="91"/>
      <c r="O427" s="92"/>
    </row>
    <row r="428" spans="1:15" ht="15.75" customHeight="1">
      <c r="A428" s="91"/>
      <c r="O428" s="92"/>
    </row>
    <row r="429" spans="1:15" ht="15.75" customHeight="1">
      <c r="A429" s="91"/>
      <c r="O429" s="92"/>
    </row>
    <row r="430" spans="1:15" ht="15.75" customHeight="1">
      <c r="A430" s="91"/>
      <c r="O430" s="92"/>
    </row>
    <row r="431" spans="1:15" ht="15.75" customHeight="1">
      <c r="A431" s="91"/>
      <c r="O431" s="92"/>
    </row>
    <row r="432" spans="1:15" ht="15.75" customHeight="1">
      <c r="A432" s="91"/>
      <c r="O432" s="92"/>
    </row>
    <row r="433" spans="1:15" ht="15.75" customHeight="1">
      <c r="A433" s="91"/>
      <c r="O433" s="92"/>
    </row>
    <row r="434" spans="1:15" ht="15.75" customHeight="1">
      <c r="A434" s="91"/>
      <c r="O434" s="92"/>
    </row>
    <row r="435" spans="1:15" ht="15.75" customHeight="1">
      <c r="A435" s="91"/>
      <c r="O435" s="92"/>
    </row>
    <row r="436" spans="1:15" ht="15.75" customHeight="1">
      <c r="A436" s="91"/>
      <c r="O436" s="92"/>
    </row>
    <row r="437" spans="1:15" ht="15.75" customHeight="1">
      <c r="A437" s="91"/>
      <c r="O437" s="92"/>
    </row>
    <row r="438" spans="1:15" ht="15.75" customHeight="1">
      <c r="A438" s="91"/>
      <c r="O438" s="92"/>
    </row>
    <row r="439" spans="1:15" ht="15.75" customHeight="1">
      <c r="A439" s="91"/>
      <c r="O439" s="92"/>
    </row>
    <row r="440" spans="1:15" ht="15.75" customHeight="1">
      <c r="A440" s="91"/>
      <c r="O440" s="92"/>
    </row>
    <row r="441" spans="1:15" ht="15.75" customHeight="1">
      <c r="A441" s="91"/>
      <c r="O441" s="92"/>
    </row>
    <row r="442" spans="1:15" ht="15.75" customHeight="1">
      <c r="A442" s="91"/>
      <c r="O442" s="92"/>
    </row>
    <row r="443" spans="1:15" ht="15.75" customHeight="1">
      <c r="A443" s="91"/>
      <c r="O443" s="92"/>
    </row>
    <row r="444" spans="1:15" ht="15.75" customHeight="1">
      <c r="A444" s="91"/>
      <c r="O444" s="92"/>
    </row>
    <row r="445" spans="1:15" ht="15.75" customHeight="1">
      <c r="A445" s="91"/>
      <c r="O445" s="92"/>
    </row>
    <row r="446" spans="1:15" ht="15.75" customHeight="1">
      <c r="A446" s="91"/>
      <c r="O446" s="92"/>
    </row>
    <row r="447" spans="1:15" ht="15.75" customHeight="1">
      <c r="A447" s="91"/>
      <c r="O447" s="92"/>
    </row>
    <row r="448" spans="1:15" ht="15.75" customHeight="1">
      <c r="A448" s="91"/>
      <c r="O448" s="92"/>
    </row>
    <row r="449" spans="1:15" ht="15.75" customHeight="1">
      <c r="A449" s="91"/>
      <c r="O449" s="92"/>
    </row>
    <row r="450" spans="1:15" ht="15.75" customHeight="1">
      <c r="A450" s="91"/>
      <c r="O450" s="92"/>
    </row>
    <row r="451" spans="1:15" ht="15.75" customHeight="1">
      <c r="A451" s="91"/>
      <c r="O451" s="92"/>
    </row>
    <row r="452" spans="1:15" ht="15.75" customHeight="1">
      <c r="A452" s="91"/>
      <c r="O452" s="92"/>
    </row>
    <row r="453" spans="1:15" ht="15.75" customHeight="1">
      <c r="A453" s="91"/>
      <c r="O453" s="92"/>
    </row>
    <row r="454" spans="1:15" ht="15.75" customHeight="1">
      <c r="A454" s="91"/>
      <c r="O454" s="92"/>
    </row>
    <row r="455" spans="1:15" ht="15.75" customHeight="1">
      <c r="A455" s="91"/>
      <c r="O455" s="92"/>
    </row>
    <row r="456" spans="1:15" ht="15.75" customHeight="1">
      <c r="A456" s="91"/>
      <c r="O456" s="92"/>
    </row>
    <row r="457" spans="1:15" ht="15.75" customHeight="1">
      <c r="A457" s="91"/>
      <c r="O457" s="92"/>
    </row>
    <row r="458" spans="1:15" ht="15.75" customHeight="1">
      <c r="A458" s="91"/>
      <c r="O458" s="92"/>
    </row>
    <row r="459" spans="1:15" ht="15.75" customHeight="1">
      <c r="A459" s="91"/>
      <c r="O459" s="92"/>
    </row>
    <row r="460" spans="1:15" ht="15.75" customHeight="1">
      <c r="A460" s="91"/>
      <c r="O460" s="92"/>
    </row>
    <row r="461" spans="1:15" ht="15.75" customHeight="1">
      <c r="A461" s="91"/>
      <c r="O461" s="92"/>
    </row>
    <row r="462" spans="1:15" ht="15.75" customHeight="1">
      <c r="A462" s="91"/>
      <c r="O462" s="92"/>
    </row>
    <row r="463" spans="1:15" ht="15.75" customHeight="1">
      <c r="A463" s="91"/>
      <c r="O463" s="92"/>
    </row>
    <row r="464" spans="1:15" ht="15.75" customHeight="1">
      <c r="A464" s="91"/>
      <c r="O464" s="92"/>
    </row>
    <row r="465" spans="1:15" ht="15.75" customHeight="1">
      <c r="A465" s="91"/>
      <c r="O465" s="92"/>
    </row>
    <row r="466" spans="1:15" ht="15.75" customHeight="1">
      <c r="A466" s="91"/>
      <c r="O466" s="92"/>
    </row>
    <row r="467" spans="1:15" ht="15.75" customHeight="1">
      <c r="A467" s="91"/>
      <c r="O467" s="92"/>
    </row>
    <row r="468" spans="1:15" ht="15.75" customHeight="1">
      <c r="A468" s="91"/>
      <c r="O468" s="92"/>
    </row>
    <row r="469" spans="1:15" ht="15.75" customHeight="1">
      <c r="A469" s="91"/>
      <c r="O469" s="92"/>
    </row>
    <row r="470" spans="1:15" ht="15.75" customHeight="1">
      <c r="A470" s="91"/>
      <c r="O470" s="92"/>
    </row>
    <row r="471" spans="1:15" ht="15.75" customHeight="1">
      <c r="A471" s="91"/>
      <c r="O471" s="92"/>
    </row>
    <row r="472" spans="1:15" ht="15.75" customHeight="1">
      <c r="A472" s="91"/>
      <c r="O472" s="92"/>
    </row>
    <row r="473" spans="1:15" ht="15.75" customHeight="1">
      <c r="A473" s="91"/>
      <c r="O473" s="92"/>
    </row>
    <row r="474" spans="1:15" ht="15.75" customHeight="1">
      <c r="A474" s="91"/>
      <c r="O474" s="92"/>
    </row>
    <row r="475" spans="1:15" ht="15.75" customHeight="1">
      <c r="A475" s="91"/>
      <c r="O475" s="92"/>
    </row>
    <row r="476" spans="1:15" ht="15.75" customHeight="1">
      <c r="A476" s="91"/>
      <c r="O476" s="92"/>
    </row>
    <row r="477" spans="1:15" ht="15.75" customHeight="1">
      <c r="A477" s="91"/>
      <c r="O477" s="92"/>
    </row>
    <row r="478" spans="1:15" ht="15.75" customHeight="1">
      <c r="A478" s="91"/>
      <c r="O478" s="92"/>
    </row>
    <row r="479" spans="1:15" ht="15.75" customHeight="1">
      <c r="A479" s="91"/>
      <c r="O479" s="92"/>
    </row>
    <row r="480" spans="1:15" ht="15.75" customHeight="1">
      <c r="A480" s="91"/>
      <c r="O480" s="92"/>
    </row>
    <row r="481" spans="1:15" ht="15.75" customHeight="1">
      <c r="A481" s="91"/>
      <c r="O481" s="92"/>
    </row>
    <row r="482" spans="1:15" ht="15.75" customHeight="1">
      <c r="A482" s="91"/>
      <c r="O482" s="92"/>
    </row>
    <row r="483" spans="1:15" ht="15.75" customHeight="1">
      <c r="A483" s="91"/>
      <c r="O483" s="92"/>
    </row>
    <row r="484" spans="1:15" ht="15.75" customHeight="1">
      <c r="A484" s="91"/>
      <c r="O484" s="92"/>
    </row>
    <row r="485" spans="1:15" ht="15.75" customHeight="1">
      <c r="A485" s="91"/>
      <c r="O485" s="92"/>
    </row>
    <row r="486" spans="1:15" ht="15.75" customHeight="1">
      <c r="A486" s="91"/>
      <c r="O486" s="92"/>
    </row>
    <row r="487" spans="1:15" ht="15.75" customHeight="1">
      <c r="A487" s="91"/>
      <c r="O487" s="92"/>
    </row>
    <row r="488" spans="1:15" ht="15.75" customHeight="1">
      <c r="A488" s="91"/>
      <c r="O488" s="92"/>
    </row>
    <row r="489" spans="1:15" ht="15.75" customHeight="1">
      <c r="A489" s="91"/>
      <c r="O489" s="92"/>
    </row>
    <row r="490" spans="1:15" ht="15.75" customHeight="1">
      <c r="A490" s="91"/>
      <c r="O490" s="92"/>
    </row>
    <row r="491" spans="1:15" ht="15.75" customHeight="1">
      <c r="A491" s="91"/>
      <c r="O491" s="92"/>
    </row>
    <row r="492" spans="1:15" ht="15.75" customHeight="1">
      <c r="A492" s="91"/>
      <c r="O492" s="92"/>
    </row>
    <row r="493" spans="1:15" ht="15.75" customHeight="1">
      <c r="A493" s="91"/>
      <c r="O493" s="92"/>
    </row>
    <row r="494" spans="1:15" ht="15.75" customHeight="1">
      <c r="A494" s="91"/>
      <c r="O494" s="92"/>
    </row>
    <row r="495" spans="1:15" ht="15.75" customHeight="1">
      <c r="A495" s="91"/>
      <c r="O495" s="92"/>
    </row>
    <row r="496" spans="1:15" ht="15.75" customHeight="1">
      <c r="A496" s="91"/>
      <c r="O496" s="92"/>
    </row>
    <row r="497" spans="1:15" ht="15.75" customHeight="1">
      <c r="A497" s="91"/>
      <c r="O497" s="92"/>
    </row>
    <row r="498" spans="1:15" ht="15.75" customHeight="1">
      <c r="A498" s="91"/>
      <c r="O498" s="92"/>
    </row>
    <row r="499" spans="1:15" ht="15.75" customHeight="1">
      <c r="A499" s="91"/>
      <c r="O499" s="92"/>
    </row>
    <row r="500" spans="1:15" ht="15.75" customHeight="1">
      <c r="A500" s="91"/>
      <c r="O500" s="92"/>
    </row>
    <row r="501" spans="1:15" ht="15.75" customHeight="1">
      <c r="A501" s="91"/>
      <c r="O501" s="92"/>
    </row>
    <row r="502" spans="1:15" ht="15.75" customHeight="1">
      <c r="A502" s="91"/>
      <c r="O502" s="92"/>
    </row>
    <row r="503" spans="1:15" ht="15.75" customHeight="1">
      <c r="A503" s="91"/>
      <c r="O503" s="92"/>
    </row>
    <row r="504" spans="1:15" ht="15.75" customHeight="1">
      <c r="A504" s="91"/>
      <c r="O504" s="92"/>
    </row>
    <row r="505" spans="1:15" ht="15.75" customHeight="1">
      <c r="A505" s="91"/>
      <c r="O505" s="92"/>
    </row>
    <row r="506" spans="1:15" ht="15.75" customHeight="1">
      <c r="A506" s="91"/>
      <c r="O506" s="92"/>
    </row>
    <row r="507" spans="1:15" ht="15.75" customHeight="1">
      <c r="A507" s="91"/>
      <c r="O507" s="92"/>
    </row>
    <row r="508" spans="1:15" ht="15.75" customHeight="1">
      <c r="A508" s="91"/>
      <c r="O508" s="92"/>
    </row>
    <row r="509" spans="1:15" ht="15.75" customHeight="1">
      <c r="A509" s="91"/>
      <c r="O509" s="92"/>
    </row>
    <row r="510" spans="1:15" ht="15.75" customHeight="1">
      <c r="A510" s="91"/>
      <c r="O510" s="92"/>
    </row>
    <row r="511" spans="1:15" ht="15.75" customHeight="1">
      <c r="A511" s="91"/>
      <c r="O511" s="92"/>
    </row>
    <row r="512" spans="1:15" ht="15.75" customHeight="1">
      <c r="A512" s="91"/>
      <c r="O512" s="92"/>
    </row>
    <row r="513" spans="1:15" ht="15.75" customHeight="1">
      <c r="A513" s="91"/>
      <c r="O513" s="92"/>
    </row>
    <row r="514" spans="1:15" ht="15.75" customHeight="1">
      <c r="A514" s="91"/>
      <c r="O514" s="92"/>
    </row>
    <row r="515" spans="1:15" ht="15.75" customHeight="1">
      <c r="A515" s="91"/>
      <c r="O515" s="92"/>
    </row>
    <row r="516" spans="1:15" ht="15.75" customHeight="1">
      <c r="A516" s="91"/>
      <c r="O516" s="92"/>
    </row>
    <row r="517" spans="1:15" ht="15.75" customHeight="1">
      <c r="A517" s="91"/>
      <c r="O517" s="92"/>
    </row>
    <row r="518" spans="1:15" ht="15.75" customHeight="1">
      <c r="A518" s="91"/>
      <c r="O518" s="92"/>
    </row>
    <row r="519" spans="1:15" ht="15.75" customHeight="1">
      <c r="A519" s="91"/>
      <c r="O519" s="92"/>
    </row>
    <row r="520" spans="1:15" ht="15.75" customHeight="1">
      <c r="A520" s="91"/>
      <c r="O520" s="92"/>
    </row>
    <row r="521" spans="1:15" ht="15.75" customHeight="1">
      <c r="A521" s="91"/>
      <c r="O521" s="92"/>
    </row>
    <row r="522" spans="1:15" ht="15.75" customHeight="1">
      <c r="A522" s="91"/>
      <c r="O522" s="92"/>
    </row>
    <row r="523" spans="1:15" ht="15.75" customHeight="1">
      <c r="A523" s="91"/>
      <c r="O523" s="92"/>
    </row>
    <row r="524" spans="1:15" ht="15.75" customHeight="1">
      <c r="A524" s="91"/>
      <c r="O524" s="92"/>
    </row>
    <row r="525" spans="1:15" ht="15.75" customHeight="1">
      <c r="A525" s="91"/>
      <c r="O525" s="92"/>
    </row>
    <row r="526" spans="1:15" ht="15.75" customHeight="1">
      <c r="A526" s="91"/>
      <c r="O526" s="92"/>
    </row>
    <row r="527" spans="1:15" ht="15.75" customHeight="1">
      <c r="A527" s="91"/>
      <c r="O527" s="92"/>
    </row>
    <row r="528" spans="1:15" ht="15.75" customHeight="1">
      <c r="A528" s="91"/>
      <c r="O528" s="92"/>
    </row>
    <row r="529" spans="1:15" ht="15.75" customHeight="1">
      <c r="A529" s="91"/>
      <c r="O529" s="92"/>
    </row>
    <row r="530" spans="1:15" ht="15.75" customHeight="1">
      <c r="A530" s="91"/>
      <c r="O530" s="92"/>
    </row>
    <row r="531" spans="1:15" ht="15.75" customHeight="1">
      <c r="A531" s="91"/>
      <c r="O531" s="92"/>
    </row>
    <row r="532" spans="1:15" ht="15.75" customHeight="1">
      <c r="A532" s="91"/>
      <c r="O532" s="92"/>
    </row>
    <row r="533" spans="1:15" ht="15.75" customHeight="1">
      <c r="A533" s="91"/>
      <c r="O533" s="92"/>
    </row>
    <row r="534" spans="1:15" ht="15.75" customHeight="1">
      <c r="A534" s="91"/>
      <c r="O534" s="92"/>
    </row>
    <row r="535" spans="1:15" ht="15.75" customHeight="1">
      <c r="A535" s="91"/>
      <c r="O535" s="92"/>
    </row>
    <row r="536" spans="1:15" ht="15.75" customHeight="1">
      <c r="A536" s="91"/>
      <c r="O536" s="92"/>
    </row>
    <row r="537" spans="1:15" ht="15.75" customHeight="1">
      <c r="A537" s="91"/>
      <c r="O537" s="92"/>
    </row>
    <row r="538" spans="1:15" ht="15.75" customHeight="1">
      <c r="A538" s="91"/>
      <c r="O538" s="92"/>
    </row>
    <row r="539" spans="1:15" ht="15.75" customHeight="1">
      <c r="A539" s="91"/>
      <c r="O539" s="92"/>
    </row>
    <row r="540" spans="1:15" ht="15.75" customHeight="1">
      <c r="A540" s="91"/>
      <c r="O540" s="92"/>
    </row>
    <row r="541" spans="1:15" ht="15.75" customHeight="1">
      <c r="A541" s="91"/>
      <c r="O541" s="92"/>
    </row>
    <row r="542" spans="1:15" ht="15.75" customHeight="1">
      <c r="A542" s="91"/>
      <c r="O542" s="92"/>
    </row>
    <row r="543" spans="1:15" ht="15.75" customHeight="1">
      <c r="A543" s="91"/>
      <c r="O543" s="92"/>
    </row>
    <row r="544" spans="1:15" ht="15.75" customHeight="1">
      <c r="A544" s="91"/>
      <c r="O544" s="92"/>
    </row>
    <row r="545" spans="1:15" ht="15.75" customHeight="1">
      <c r="A545" s="91"/>
      <c r="O545" s="92"/>
    </row>
    <row r="546" spans="1:15" ht="15.75" customHeight="1">
      <c r="A546" s="91"/>
      <c r="O546" s="92"/>
    </row>
    <row r="547" spans="1:15" ht="15.75" customHeight="1">
      <c r="A547" s="91"/>
      <c r="O547" s="92"/>
    </row>
    <row r="548" spans="1:15" ht="15.75" customHeight="1">
      <c r="A548" s="91"/>
      <c r="O548" s="92"/>
    </row>
    <row r="549" spans="1:15" ht="15.75" customHeight="1">
      <c r="A549" s="91"/>
      <c r="O549" s="92"/>
    </row>
    <row r="550" spans="1:15" ht="15.75" customHeight="1">
      <c r="A550" s="91"/>
      <c r="O550" s="92"/>
    </row>
    <row r="551" spans="1:15" ht="15.75" customHeight="1">
      <c r="A551" s="91"/>
      <c r="O551" s="92"/>
    </row>
    <row r="552" spans="1:15" ht="15.75" customHeight="1">
      <c r="A552" s="91"/>
      <c r="O552" s="92"/>
    </row>
    <row r="553" spans="1:15" ht="15.75" customHeight="1">
      <c r="A553" s="91"/>
      <c r="O553" s="92"/>
    </row>
    <row r="554" spans="1:15" ht="15.75" customHeight="1">
      <c r="A554" s="91"/>
      <c r="O554" s="92"/>
    </row>
    <row r="555" spans="1:15" ht="15.75" customHeight="1">
      <c r="A555" s="91"/>
      <c r="O555" s="92"/>
    </row>
    <row r="556" spans="1:15" ht="15.75" customHeight="1">
      <c r="A556" s="91"/>
      <c r="O556" s="92"/>
    </row>
    <row r="557" spans="1:15" ht="15.75" customHeight="1">
      <c r="A557" s="91"/>
      <c r="O557" s="92"/>
    </row>
    <row r="558" spans="1:15" ht="15.75" customHeight="1">
      <c r="A558" s="91"/>
      <c r="O558" s="92"/>
    </row>
    <row r="559" spans="1:15" ht="15.75" customHeight="1">
      <c r="A559" s="91"/>
      <c r="O559" s="92"/>
    </row>
    <row r="560" spans="1:15" ht="15.75" customHeight="1">
      <c r="A560" s="91"/>
      <c r="O560" s="92"/>
    </row>
    <row r="561" spans="1:15" ht="15.75" customHeight="1">
      <c r="A561" s="91"/>
      <c r="O561" s="92"/>
    </row>
    <row r="562" spans="1:15" ht="15.75" customHeight="1">
      <c r="A562" s="91"/>
      <c r="O562" s="92"/>
    </row>
    <row r="563" spans="1:15" ht="15.75" customHeight="1">
      <c r="A563" s="91"/>
      <c r="O563" s="92"/>
    </row>
    <row r="564" spans="1:15" ht="15.75" customHeight="1">
      <c r="A564" s="91"/>
      <c r="O564" s="92"/>
    </row>
    <row r="565" spans="1:15" ht="15.75" customHeight="1">
      <c r="A565" s="91"/>
      <c r="O565" s="92"/>
    </row>
    <row r="566" spans="1:15" ht="15.75" customHeight="1">
      <c r="A566" s="91"/>
      <c r="O566" s="92"/>
    </row>
    <row r="567" spans="1:15" ht="15.75" customHeight="1">
      <c r="A567" s="91"/>
      <c r="O567" s="92"/>
    </row>
    <row r="568" spans="1:15" ht="15.75" customHeight="1">
      <c r="A568" s="91"/>
      <c r="O568" s="92"/>
    </row>
    <row r="569" spans="1:15" ht="15.75" customHeight="1">
      <c r="A569" s="91"/>
      <c r="O569" s="92"/>
    </row>
    <row r="570" spans="1:15" ht="15.75" customHeight="1">
      <c r="A570" s="91"/>
      <c r="O570" s="92"/>
    </row>
    <row r="571" spans="1:15" ht="15.75" customHeight="1">
      <c r="A571" s="91"/>
      <c r="O571" s="92"/>
    </row>
    <row r="572" spans="1:15" ht="15.75" customHeight="1">
      <c r="A572" s="91"/>
      <c r="O572" s="92"/>
    </row>
    <row r="573" spans="1:15" ht="15.75" customHeight="1">
      <c r="A573" s="91"/>
      <c r="O573" s="92"/>
    </row>
    <row r="574" spans="1:15" ht="15.75" customHeight="1">
      <c r="A574" s="91"/>
      <c r="O574" s="92"/>
    </row>
    <row r="575" spans="1:15" ht="15.75" customHeight="1">
      <c r="A575" s="91"/>
      <c r="O575" s="92"/>
    </row>
    <row r="576" spans="1:15" ht="15.75" customHeight="1">
      <c r="A576" s="91"/>
      <c r="O576" s="92"/>
    </row>
    <row r="577" spans="1:15" ht="15.75" customHeight="1">
      <c r="A577" s="91"/>
      <c r="O577" s="92"/>
    </row>
    <row r="578" spans="1:15" ht="15.75" customHeight="1">
      <c r="A578" s="91"/>
      <c r="O578" s="92"/>
    </row>
    <row r="579" spans="1:15" ht="15.75" customHeight="1">
      <c r="A579" s="91"/>
      <c r="O579" s="92"/>
    </row>
    <row r="580" spans="1:15" ht="15.75" customHeight="1">
      <c r="A580" s="91"/>
      <c r="O580" s="92"/>
    </row>
    <row r="581" spans="1:15" ht="15.75" customHeight="1">
      <c r="A581" s="91"/>
      <c r="O581" s="92"/>
    </row>
    <row r="582" spans="1:15" ht="15.75" customHeight="1">
      <c r="A582" s="91"/>
      <c r="O582" s="92"/>
    </row>
    <row r="583" spans="1:15" ht="15.75" customHeight="1">
      <c r="A583" s="91"/>
      <c r="O583" s="92"/>
    </row>
    <row r="584" spans="1:15" ht="15.75" customHeight="1">
      <c r="A584" s="91"/>
      <c r="O584" s="92"/>
    </row>
    <row r="585" spans="1:15" ht="15.75" customHeight="1">
      <c r="A585" s="91"/>
      <c r="O585" s="92"/>
    </row>
    <row r="586" spans="1:15" ht="15.75" customHeight="1">
      <c r="A586" s="91"/>
      <c r="O586" s="92"/>
    </row>
    <row r="587" spans="1:15" ht="15.75" customHeight="1">
      <c r="A587" s="91"/>
      <c r="O587" s="92"/>
    </row>
    <row r="588" spans="1:15" ht="15.75" customHeight="1">
      <c r="A588" s="91"/>
      <c r="O588" s="92"/>
    </row>
    <row r="589" spans="1:15" ht="15.75" customHeight="1">
      <c r="A589" s="91"/>
      <c r="O589" s="92"/>
    </row>
    <row r="590" spans="1:15" ht="15.75" customHeight="1">
      <c r="A590" s="91"/>
      <c r="O590" s="92"/>
    </row>
    <row r="591" spans="1:15" ht="15.75" customHeight="1">
      <c r="A591" s="91"/>
      <c r="O591" s="92"/>
    </row>
    <row r="592" spans="1:15" ht="15.75" customHeight="1">
      <c r="A592" s="91"/>
      <c r="O592" s="92"/>
    </row>
    <row r="593" spans="1:15" ht="15.75" customHeight="1">
      <c r="A593" s="91"/>
      <c r="O593" s="92"/>
    </row>
    <row r="594" spans="1:15" ht="15.75" customHeight="1">
      <c r="A594" s="91"/>
      <c r="O594" s="92"/>
    </row>
    <row r="595" spans="1:15" ht="15.75" customHeight="1">
      <c r="A595" s="91"/>
      <c r="O595" s="92"/>
    </row>
    <row r="596" spans="1:15" ht="15.75" customHeight="1">
      <c r="A596" s="91"/>
      <c r="O596" s="92"/>
    </row>
    <row r="597" spans="1:15" ht="15.75" customHeight="1">
      <c r="A597" s="91"/>
      <c r="O597" s="92"/>
    </row>
    <row r="598" spans="1:15" ht="15.75" customHeight="1">
      <c r="A598" s="91"/>
      <c r="O598" s="92"/>
    </row>
    <row r="599" spans="1:15" ht="15.75" customHeight="1">
      <c r="A599" s="91"/>
      <c r="O599" s="92"/>
    </row>
    <row r="600" spans="1:15" ht="15.75" customHeight="1">
      <c r="A600" s="91"/>
      <c r="O600" s="92"/>
    </row>
    <row r="601" spans="1:15" ht="15.75" customHeight="1">
      <c r="A601" s="91"/>
      <c r="O601" s="92"/>
    </row>
    <row r="602" spans="1:15" ht="15.75" customHeight="1">
      <c r="A602" s="91"/>
      <c r="O602" s="92"/>
    </row>
    <row r="603" spans="1:15" ht="15.75" customHeight="1">
      <c r="A603" s="91"/>
      <c r="O603" s="92"/>
    </row>
    <row r="604" spans="1:15" ht="15.75" customHeight="1">
      <c r="A604" s="91"/>
      <c r="O604" s="92"/>
    </row>
    <row r="605" spans="1:15" ht="15.75" customHeight="1">
      <c r="A605" s="91"/>
      <c r="O605" s="92"/>
    </row>
    <row r="606" spans="1:15" ht="15.75" customHeight="1">
      <c r="A606" s="91"/>
      <c r="O606" s="92"/>
    </row>
    <row r="607" spans="1:15" ht="15.75" customHeight="1">
      <c r="A607" s="91"/>
      <c r="O607" s="92"/>
    </row>
    <row r="608" spans="1:15" ht="15.75" customHeight="1">
      <c r="A608" s="91"/>
      <c r="O608" s="92"/>
    </row>
    <row r="609" spans="1:15" ht="15.75" customHeight="1">
      <c r="A609" s="91"/>
      <c r="O609" s="92"/>
    </row>
    <row r="610" spans="1:15" ht="15.75" customHeight="1">
      <c r="A610" s="91"/>
      <c r="O610" s="92"/>
    </row>
    <row r="611" spans="1:15" ht="15.75" customHeight="1">
      <c r="A611" s="91"/>
      <c r="O611" s="92"/>
    </row>
    <row r="612" spans="1:15" ht="15.75" customHeight="1">
      <c r="A612" s="91"/>
      <c r="O612" s="92"/>
    </row>
    <row r="613" spans="1:15" ht="15.75" customHeight="1">
      <c r="A613" s="91"/>
      <c r="O613" s="92"/>
    </row>
    <row r="614" spans="1:15" ht="15.75" customHeight="1">
      <c r="A614" s="91"/>
      <c r="O614" s="92"/>
    </row>
    <row r="615" spans="1:15" ht="15.75" customHeight="1">
      <c r="A615" s="91"/>
      <c r="O615" s="92"/>
    </row>
    <row r="616" spans="1:15" ht="15.75" customHeight="1">
      <c r="A616" s="91"/>
      <c r="O616" s="92"/>
    </row>
    <row r="617" spans="1:15" ht="15.75" customHeight="1">
      <c r="A617" s="91"/>
      <c r="O617" s="92"/>
    </row>
    <row r="618" spans="1:15" ht="15.75" customHeight="1">
      <c r="A618" s="91"/>
      <c r="O618" s="92"/>
    </row>
    <row r="619" spans="1:15" ht="15.75" customHeight="1">
      <c r="A619" s="91"/>
      <c r="O619" s="92"/>
    </row>
    <row r="620" spans="1:15" ht="15.75" customHeight="1">
      <c r="A620" s="91"/>
      <c r="O620" s="92"/>
    </row>
    <row r="621" spans="1:15" ht="15.75" customHeight="1">
      <c r="A621" s="91"/>
      <c r="O621" s="92"/>
    </row>
    <row r="622" spans="1:15" ht="15.75" customHeight="1">
      <c r="A622" s="91"/>
      <c r="O622" s="92"/>
    </row>
    <row r="623" spans="1:15" ht="15.75" customHeight="1">
      <c r="A623" s="91"/>
      <c r="O623" s="92"/>
    </row>
    <row r="624" spans="1:15" ht="15.75" customHeight="1">
      <c r="A624" s="91"/>
      <c r="O624" s="92"/>
    </row>
    <row r="625" spans="1:15" ht="15.75" customHeight="1">
      <c r="A625" s="91"/>
      <c r="O625" s="92"/>
    </row>
    <row r="626" spans="1:15" ht="15.75" customHeight="1">
      <c r="A626" s="91"/>
      <c r="O626" s="92"/>
    </row>
    <row r="627" spans="1:15" ht="15.75" customHeight="1">
      <c r="A627" s="91"/>
      <c r="O627" s="92"/>
    </row>
    <row r="628" spans="1:15" ht="15.75" customHeight="1">
      <c r="A628" s="91"/>
      <c r="O628" s="92"/>
    </row>
    <row r="629" spans="1:15" ht="15.75" customHeight="1">
      <c r="A629" s="91"/>
      <c r="O629" s="92"/>
    </row>
    <row r="630" spans="1:15" ht="15.75" customHeight="1">
      <c r="A630" s="91"/>
      <c r="O630" s="92"/>
    </row>
    <row r="631" spans="1:15" ht="15.75" customHeight="1">
      <c r="A631" s="91"/>
      <c r="O631" s="92"/>
    </row>
    <row r="632" spans="1:15" ht="15.75" customHeight="1">
      <c r="A632" s="91"/>
      <c r="O632" s="92"/>
    </row>
    <row r="633" spans="1:15" ht="15.75" customHeight="1">
      <c r="A633" s="91"/>
      <c r="O633" s="92"/>
    </row>
    <row r="634" spans="1:15" ht="15.75" customHeight="1">
      <c r="A634" s="91"/>
      <c r="O634" s="92"/>
    </row>
    <row r="635" spans="1:15" ht="15.75" customHeight="1">
      <c r="A635" s="91"/>
      <c r="O635" s="92"/>
    </row>
    <row r="636" spans="1:15" ht="15.75" customHeight="1">
      <c r="A636" s="91"/>
      <c r="O636" s="92"/>
    </row>
    <row r="637" spans="1:15" ht="15.75" customHeight="1">
      <c r="A637" s="91"/>
      <c r="O637" s="92"/>
    </row>
    <row r="638" spans="1:15" ht="15.75" customHeight="1">
      <c r="A638" s="91"/>
      <c r="O638" s="92"/>
    </row>
    <row r="639" spans="1:15" ht="15.75" customHeight="1">
      <c r="A639" s="91"/>
      <c r="O639" s="92"/>
    </row>
    <row r="640" spans="1:15" ht="15.75" customHeight="1">
      <c r="A640" s="91"/>
      <c r="O640" s="92"/>
    </row>
    <row r="641" spans="1:15" ht="15.75" customHeight="1">
      <c r="A641" s="91"/>
      <c r="O641" s="92"/>
    </row>
    <row r="642" spans="1:15" ht="15.75" customHeight="1">
      <c r="A642" s="91"/>
      <c r="O642" s="92"/>
    </row>
    <row r="643" spans="1:15" ht="15.75" customHeight="1">
      <c r="A643" s="91"/>
      <c r="O643" s="92"/>
    </row>
    <row r="644" spans="1:15" ht="15.75" customHeight="1">
      <c r="A644" s="91"/>
      <c r="O644" s="92"/>
    </row>
    <row r="645" spans="1:15" ht="15.75" customHeight="1">
      <c r="A645" s="91"/>
      <c r="O645" s="92"/>
    </row>
    <row r="646" spans="1:15" ht="15.75" customHeight="1">
      <c r="A646" s="91"/>
      <c r="O646" s="92"/>
    </row>
    <row r="647" spans="1:15" ht="15.75" customHeight="1">
      <c r="A647" s="91"/>
      <c r="O647" s="92"/>
    </row>
    <row r="648" spans="1:15" ht="15.75" customHeight="1">
      <c r="A648" s="91"/>
      <c r="O648" s="92"/>
    </row>
    <row r="649" spans="1:15" ht="15.75" customHeight="1">
      <c r="A649" s="91"/>
      <c r="O649" s="92"/>
    </row>
    <row r="650" spans="1:15" ht="15.75" customHeight="1">
      <c r="A650" s="91"/>
      <c r="O650" s="92"/>
    </row>
    <row r="651" spans="1:15" ht="15.75" customHeight="1">
      <c r="A651" s="91"/>
      <c r="O651" s="92"/>
    </row>
    <row r="652" spans="1:15" ht="15.75" customHeight="1">
      <c r="A652" s="91"/>
      <c r="O652" s="92"/>
    </row>
    <row r="653" spans="1:15" ht="15.75" customHeight="1">
      <c r="A653" s="91"/>
      <c r="O653" s="92"/>
    </row>
    <row r="654" spans="1:15" ht="15.75" customHeight="1">
      <c r="A654" s="91"/>
      <c r="O654" s="92"/>
    </row>
    <row r="655" spans="1:15" ht="15.75" customHeight="1">
      <c r="A655" s="91"/>
      <c r="O655" s="92"/>
    </row>
    <row r="656" spans="1:15" ht="15.75" customHeight="1">
      <c r="A656" s="91"/>
      <c r="O656" s="92"/>
    </row>
    <row r="657" spans="1:15" ht="15.75" customHeight="1">
      <c r="A657" s="91"/>
      <c r="O657" s="92"/>
    </row>
    <row r="658" spans="1:15" ht="15.75" customHeight="1">
      <c r="A658" s="91"/>
      <c r="O658" s="92"/>
    </row>
    <row r="659" spans="1:15" ht="15.75" customHeight="1">
      <c r="A659" s="91"/>
      <c r="O659" s="92"/>
    </row>
    <row r="660" spans="1:15" ht="15.75" customHeight="1">
      <c r="A660" s="91"/>
      <c r="O660" s="92"/>
    </row>
    <row r="661" spans="1:15" ht="15.75" customHeight="1">
      <c r="A661" s="91"/>
      <c r="O661" s="92"/>
    </row>
    <row r="662" spans="1:15" ht="15.75" customHeight="1">
      <c r="A662" s="91"/>
      <c r="O662" s="92"/>
    </row>
    <row r="663" spans="1:15" ht="15.75" customHeight="1">
      <c r="A663" s="91"/>
      <c r="O663" s="92"/>
    </row>
    <row r="664" spans="1:15" ht="15.75" customHeight="1">
      <c r="A664" s="91"/>
      <c r="O664" s="92"/>
    </row>
    <row r="665" spans="1:15" ht="15.75" customHeight="1">
      <c r="A665" s="91"/>
      <c r="O665" s="92"/>
    </row>
    <row r="666" spans="1:15" ht="15.75" customHeight="1">
      <c r="A666" s="91"/>
      <c r="O666" s="92"/>
    </row>
    <row r="667" spans="1:15" ht="15.75" customHeight="1">
      <c r="A667" s="91"/>
      <c r="O667" s="92"/>
    </row>
    <row r="668" spans="1:15" ht="15.75" customHeight="1">
      <c r="A668" s="91"/>
      <c r="O668" s="92"/>
    </row>
    <row r="669" spans="1:15" ht="15.75" customHeight="1">
      <c r="A669" s="91"/>
      <c r="O669" s="92"/>
    </row>
    <row r="670" spans="1:15" ht="15.75" customHeight="1">
      <c r="A670" s="91"/>
      <c r="O670" s="92"/>
    </row>
    <row r="671" spans="1:15" ht="15.75" customHeight="1">
      <c r="A671" s="91"/>
      <c r="O671" s="92"/>
    </row>
    <row r="672" spans="1:15" ht="15.75" customHeight="1">
      <c r="A672" s="91"/>
      <c r="O672" s="92"/>
    </row>
    <row r="673" spans="1:15" ht="15.75" customHeight="1">
      <c r="A673" s="91"/>
      <c r="O673" s="92"/>
    </row>
    <row r="674" spans="1:15" ht="15.75" customHeight="1">
      <c r="A674" s="91"/>
      <c r="O674" s="92"/>
    </row>
    <row r="675" spans="1:15" ht="15.75" customHeight="1">
      <c r="A675" s="91"/>
      <c r="O675" s="92"/>
    </row>
    <row r="676" spans="1:15" ht="15.75" customHeight="1">
      <c r="A676" s="91"/>
      <c r="O676" s="92"/>
    </row>
    <row r="677" spans="1:15" ht="15.75" customHeight="1">
      <c r="A677" s="91"/>
      <c r="O677" s="92"/>
    </row>
    <row r="678" spans="1:15" ht="15.75" customHeight="1">
      <c r="A678" s="91"/>
      <c r="O678" s="92"/>
    </row>
    <row r="679" spans="1:15" ht="15.75" customHeight="1">
      <c r="A679" s="91"/>
      <c r="O679" s="92"/>
    </row>
    <row r="680" spans="1:15" ht="15.75" customHeight="1">
      <c r="A680" s="91"/>
      <c r="O680" s="92"/>
    </row>
    <row r="681" spans="1:15" ht="15.75" customHeight="1">
      <c r="A681" s="91"/>
      <c r="O681" s="92"/>
    </row>
    <row r="682" spans="1:15" ht="15.75" customHeight="1">
      <c r="A682" s="91"/>
      <c r="O682" s="92"/>
    </row>
    <row r="683" spans="1:15" ht="15.75" customHeight="1">
      <c r="A683" s="91"/>
      <c r="O683" s="92"/>
    </row>
    <row r="684" spans="1:15" ht="15.75" customHeight="1">
      <c r="A684" s="91"/>
      <c r="O684" s="92"/>
    </row>
    <row r="685" spans="1:15" ht="15.75" customHeight="1">
      <c r="A685" s="91"/>
      <c r="O685" s="92"/>
    </row>
    <row r="686" spans="1:15" ht="15.75" customHeight="1">
      <c r="A686" s="91"/>
      <c r="O686" s="92"/>
    </row>
    <row r="687" spans="1:15" ht="15.75" customHeight="1">
      <c r="A687" s="91"/>
      <c r="O687" s="92"/>
    </row>
    <row r="688" spans="1:15" ht="15.75" customHeight="1">
      <c r="A688" s="91"/>
      <c r="O688" s="92"/>
    </row>
    <row r="689" spans="1:15" ht="15.75" customHeight="1">
      <c r="A689" s="91"/>
      <c r="O689" s="92"/>
    </row>
    <row r="690" spans="1:15" ht="15.75" customHeight="1">
      <c r="A690" s="91"/>
      <c r="O690" s="92"/>
    </row>
    <row r="691" spans="1:15" ht="15.75" customHeight="1">
      <c r="A691" s="91"/>
      <c r="O691" s="92"/>
    </row>
    <row r="692" spans="1:15" ht="15.75" customHeight="1">
      <c r="A692" s="91"/>
      <c r="O692" s="92"/>
    </row>
    <row r="693" spans="1:15" ht="15.75" customHeight="1">
      <c r="A693" s="91"/>
      <c r="O693" s="92"/>
    </row>
    <row r="694" spans="1:15" ht="15.75" customHeight="1">
      <c r="A694" s="91"/>
      <c r="O694" s="92"/>
    </row>
    <row r="695" spans="1:15" ht="15.75" customHeight="1">
      <c r="A695" s="91"/>
      <c r="O695" s="92"/>
    </row>
    <row r="696" spans="1:15" ht="15.75" customHeight="1">
      <c r="A696" s="91"/>
      <c r="O696" s="92"/>
    </row>
    <row r="697" spans="1:15" ht="15.75" customHeight="1">
      <c r="A697" s="91"/>
      <c r="O697" s="92"/>
    </row>
    <row r="698" spans="1:15" ht="15.75" customHeight="1">
      <c r="A698" s="91"/>
      <c r="O698" s="92"/>
    </row>
    <row r="699" spans="1:15" ht="15.75" customHeight="1">
      <c r="A699" s="91"/>
      <c r="O699" s="92"/>
    </row>
    <row r="700" spans="1:15" ht="15.75" customHeight="1">
      <c r="A700" s="91"/>
      <c r="O700" s="92"/>
    </row>
    <row r="701" spans="1:15" ht="15.75" customHeight="1">
      <c r="A701" s="91"/>
      <c r="O701" s="92"/>
    </row>
    <row r="702" spans="1:15" ht="15.75" customHeight="1">
      <c r="A702" s="91"/>
      <c r="O702" s="92"/>
    </row>
    <row r="703" spans="1:15" ht="15.75" customHeight="1">
      <c r="A703" s="91"/>
      <c r="O703" s="92"/>
    </row>
    <row r="704" spans="1:15" ht="15.75" customHeight="1">
      <c r="A704" s="91"/>
      <c r="O704" s="92"/>
    </row>
    <row r="705" spans="1:15" ht="15.75" customHeight="1">
      <c r="A705" s="91"/>
      <c r="O705" s="92"/>
    </row>
    <row r="706" spans="1:15" ht="15.75" customHeight="1">
      <c r="A706" s="91"/>
      <c r="O706" s="92"/>
    </row>
    <row r="707" spans="1:15" ht="15.75" customHeight="1">
      <c r="A707" s="91"/>
      <c r="O707" s="92"/>
    </row>
    <row r="708" spans="1:15" ht="15.75" customHeight="1">
      <c r="A708" s="91"/>
      <c r="O708" s="92"/>
    </row>
    <row r="709" spans="1:15" ht="15.75" customHeight="1">
      <c r="A709" s="91"/>
      <c r="O709" s="92"/>
    </row>
    <row r="710" spans="1:15" ht="15.75" customHeight="1">
      <c r="A710" s="91"/>
      <c r="O710" s="92"/>
    </row>
    <row r="711" spans="1:15" ht="15.75" customHeight="1">
      <c r="A711" s="91"/>
      <c r="O711" s="92"/>
    </row>
    <row r="712" spans="1:15" ht="15.75" customHeight="1">
      <c r="A712" s="91"/>
      <c r="O712" s="92"/>
    </row>
    <row r="713" spans="1:15" ht="15.75" customHeight="1">
      <c r="A713" s="91"/>
      <c r="O713" s="92"/>
    </row>
    <row r="714" spans="1:15" ht="15.75" customHeight="1">
      <c r="A714" s="91"/>
      <c r="O714" s="92"/>
    </row>
    <row r="715" spans="1:15" ht="15.75" customHeight="1">
      <c r="A715" s="91"/>
      <c r="O715" s="92"/>
    </row>
    <row r="716" spans="1:15" ht="15.75" customHeight="1">
      <c r="A716" s="91"/>
      <c r="O716" s="92"/>
    </row>
    <row r="717" spans="1:15" ht="15.75" customHeight="1">
      <c r="A717" s="91"/>
      <c r="O717" s="92"/>
    </row>
    <row r="718" spans="1:15" ht="15.75" customHeight="1">
      <c r="A718" s="91"/>
      <c r="O718" s="92"/>
    </row>
    <row r="719" spans="1:15" ht="15.75" customHeight="1">
      <c r="A719" s="91"/>
      <c r="O719" s="92"/>
    </row>
    <row r="720" spans="1:15" ht="15.75" customHeight="1">
      <c r="A720" s="91"/>
      <c r="O720" s="92"/>
    </row>
    <row r="721" spans="1:15" ht="15.75" customHeight="1">
      <c r="A721" s="91"/>
      <c r="O721" s="92"/>
    </row>
    <row r="722" spans="1:15" ht="15.75" customHeight="1">
      <c r="A722" s="91"/>
      <c r="O722" s="92"/>
    </row>
    <row r="723" spans="1:15" ht="15.75" customHeight="1">
      <c r="A723" s="91"/>
      <c r="O723" s="92"/>
    </row>
    <row r="724" spans="1:15" ht="15.75" customHeight="1">
      <c r="A724" s="91"/>
      <c r="O724" s="92"/>
    </row>
    <row r="725" spans="1:15" ht="15.75" customHeight="1">
      <c r="A725" s="91"/>
      <c r="O725" s="92"/>
    </row>
    <row r="726" spans="1:15" ht="15.75" customHeight="1">
      <c r="A726" s="91"/>
      <c r="O726" s="92"/>
    </row>
    <row r="727" spans="1:15" ht="15.75" customHeight="1">
      <c r="A727" s="91"/>
      <c r="O727" s="92"/>
    </row>
    <row r="728" spans="1:15" ht="15.75" customHeight="1">
      <c r="A728" s="91"/>
      <c r="O728" s="92"/>
    </row>
    <row r="729" spans="1:15" ht="15.75" customHeight="1">
      <c r="A729" s="91"/>
      <c r="O729" s="92"/>
    </row>
    <row r="730" spans="1:15" ht="15.75" customHeight="1">
      <c r="A730" s="91"/>
      <c r="O730" s="92"/>
    </row>
    <row r="731" spans="1:15" ht="15.75" customHeight="1">
      <c r="A731" s="91"/>
      <c r="O731" s="92"/>
    </row>
    <row r="732" spans="1:15" ht="15.75" customHeight="1">
      <c r="A732" s="91"/>
      <c r="O732" s="92"/>
    </row>
    <row r="733" spans="1:15" ht="15.75" customHeight="1">
      <c r="A733" s="91"/>
      <c r="O733" s="92"/>
    </row>
    <row r="734" spans="1:15" ht="15.75" customHeight="1">
      <c r="A734" s="91"/>
      <c r="O734" s="92"/>
    </row>
    <row r="735" spans="1:15" ht="15.75" customHeight="1">
      <c r="A735" s="91"/>
      <c r="O735" s="92"/>
    </row>
    <row r="736" spans="1:15" ht="15.75" customHeight="1">
      <c r="A736" s="91"/>
      <c r="O736" s="92"/>
    </row>
    <row r="737" spans="1:15" ht="15.75" customHeight="1">
      <c r="A737" s="91"/>
      <c r="O737" s="92"/>
    </row>
    <row r="738" spans="1:15" ht="15.75" customHeight="1">
      <c r="A738" s="91"/>
      <c r="O738" s="92"/>
    </row>
    <row r="739" spans="1:15" ht="15.75" customHeight="1">
      <c r="A739" s="91"/>
      <c r="O739" s="92"/>
    </row>
    <row r="740" spans="1:15" ht="15.75" customHeight="1">
      <c r="A740" s="91"/>
      <c r="O740" s="92"/>
    </row>
    <row r="741" spans="1:15" ht="15.75" customHeight="1">
      <c r="A741" s="91"/>
      <c r="O741" s="92"/>
    </row>
    <row r="742" spans="1:15" ht="15.75" customHeight="1">
      <c r="A742" s="91"/>
      <c r="O742" s="92"/>
    </row>
    <row r="743" spans="1:15" ht="15.75" customHeight="1">
      <c r="A743" s="91"/>
      <c r="O743" s="92"/>
    </row>
    <row r="744" spans="1:15" ht="15.75" customHeight="1">
      <c r="A744" s="91"/>
      <c r="O744" s="92"/>
    </row>
    <row r="745" spans="1:15" ht="15.75" customHeight="1">
      <c r="A745" s="91"/>
      <c r="O745" s="92"/>
    </row>
    <row r="746" spans="1:15" ht="15.75" customHeight="1">
      <c r="A746" s="91"/>
      <c r="O746" s="92"/>
    </row>
    <row r="747" spans="1:15" ht="15.75" customHeight="1">
      <c r="A747" s="91"/>
      <c r="O747" s="92"/>
    </row>
    <row r="748" spans="1:15" ht="15.75" customHeight="1">
      <c r="A748" s="91"/>
      <c r="O748" s="92"/>
    </row>
    <row r="749" spans="1:15" ht="15.75" customHeight="1">
      <c r="A749" s="91"/>
      <c r="O749" s="92"/>
    </row>
    <row r="750" spans="1:15" ht="15.75" customHeight="1">
      <c r="A750" s="91"/>
      <c r="O750" s="92"/>
    </row>
    <row r="751" spans="1:15" ht="15.75" customHeight="1">
      <c r="A751" s="91"/>
      <c r="O751" s="92"/>
    </row>
    <row r="752" spans="1:15" ht="15.75" customHeight="1">
      <c r="A752" s="91"/>
      <c r="O752" s="92"/>
    </row>
    <row r="753" spans="1:15" ht="15.75" customHeight="1">
      <c r="A753" s="91"/>
      <c r="O753" s="92"/>
    </row>
    <row r="754" spans="1:15" ht="15.75" customHeight="1">
      <c r="A754" s="91"/>
      <c r="O754" s="92"/>
    </row>
    <row r="755" spans="1:15" ht="15.75" customHeight="1">
      <c r="A755" s="91"/>
      <c r="O755" s="92"/>
    </row>
    <row r="756" spans="1:15" ht="15.75" customHeight="1">
      <c r="A756" s="91"/>
      <c r="O756" s="92"/>
    </row>
    <row r="757" spans="1:15" ht="15.75" customHeight="1">
      <c r="A757" s="91"/>
      <c r="O757" s="92"/>
    </row>
    <row r="758" spans="1:15" ht="15.75" customHeight="1">
      <c r="A758" s="91"/>
      <c r="O758" s="92"/>
    </row>
    <row r="759" spans="1:15" ht="15.75" customHeight="1">
      <c r="A759" s="91"/>
      <c r="O759" s="92"/>
    </row>
    <row r="760" spans="1:15" ht="15.75" customHeight="1">
      <c r="A760" s="91"/>
      <c r="O760" s="92"/>
    </row>
    <row r="761" spans="1:15" ht="15.75" customHeight="1">
      <c r="A761" s="91"/>
      <c r="O761" s="92"/>
    </row>
    <row r="762" spans="1:15" ht="15.75" customHeight="1">
      <c r="A762" s="91"/>
      <c r="O762" s="92"/>
    </row>
    <row r="763" spans="1:15" ht="15.75" customHeight="1">
      <c r="A763" s="91"/>
      <c r="O763" s="92"/>
    </row>
    <row r="764" spans="1:15" ht="15.75" customHeight="1">
      <c r="A764" s="91"/>
      <c r="O764" s="92"/>
    </row>
    <row r="765" spans="1:15" ht="15.75" customHeight="1">
      <c r="A765" s="91"/>
      <c r="O765" s="92"/>
    </row>
    <row r="766" spans="1:15" ht="15.75" customHeight="1">
      <c r="A766" s="91"/>
      <c r="O766" s="92"/>
    </row>
    <row r="767" spans="1:15" ht="15.75" customHeight="1">
      <c r="A767" s="91"/>
      <c r="O767" s="92"/>
    </row>
    <row r="768" spans="1:15" ht="15.75" customHeight="1">
      <c r="A768" s="91"/>
      <c r="O768" s="92"/>
    </row>
    <row r="769" spans="1:15" ht="15.75" customHeight="1">
      <c r="A769" s="91"/>
      <c r="O769" s="92"/>
    </row>
    <row r="770" spans="1:15" ht="15.75" customHeight="1">
      <c r="A770" s="91"/>
      <c r="O770" s="92"/>
    </row>
    <row r="771" spans="1:15" ht="15.75" customHeight="1">
      <c r="A771" s="91"/>
      <c r="O771" s="92"/>
    </row>
    <row r="772" spans="1:15" ht="15.75" customHeight="1">
      <c r="A772" s="91"/>
      <c r="O772" s="92"/>
    </row>
    <row r="773" spans="1:15" ht="15.75" customHeight="1">
      <c r="A773" s="91"/>
      <c r="O773" s="92"/>
    </row>
    <row r="774" spans="1:15" ht="15.75" customHeight="1">
      <c r="A774" s="91"/>
      <c r="O774" s="92"/>
    </row>
    <row r="775" spans="1:15" ht="15.75" customHeight="1">
      <c r="A775" s="91"/>
      <c r="O775" s="92"/>
    </row>
    <row r="776" spans="1:15" ht="15.75" customHeight="1">
      <c r="A776" s="91"/>
      <c r="O776" s="92"/>
    </row>
    <row r="777" spans="1:15" ht="15.75" customHeight="1">
      <c r="A777" s="91"/>
      <c r="O777" s="92"/>
    </row>
    <row r="778" spans="1:15" ht="15.75" customHeight="1">
      <c r="A778" s="91"/>
      <c r="O778" s="92"/>
    </row>
    <row r="779" spans="1:15" ht="15.75" customHeight="1">
      <c r="A779" s="91"/>
      <c r="O779" s="92"/>
    </row>
    <row r="780" spans="1:15" ht="15.75" customHeight="1">
      <c r="A780" s="91"/>
      <c r="O780" s="92"/>
    </row>
    <row r="781" spans="1:15" ht="15.75" customHeight="1">
      <c r="A781" s="91"/>
      <c r="O781" s="92"/>
    </row>
    <row r="782" spans="1:15" ht="15.75" customHeight="1">
      <c r="A782" s="91"/>
      <c r="O782" s="92"/>
    </row>
    <row r="783" spans="1:15" ht="15.75" customHeight="1">
      <c r="A783" s="91"/>
      <c r="O783" s="92"/>
    </row>
    <row r="784" spans="1:15" ht="15.75" customHeight="1">
      <c r="A784" s="91"/>
      <c r="O784" s="92"/>
    </row>
    <row r="785" spans="1:15" ht="15.75" customHeight="1">
      <c r="A785" s="91"/>
      <c r="O785" s="92"/>
    </row>
    <row r="786" spans="1:15" ht="15.75" customHeight="1">
      <c r="A786" s="91"/>
      <c r="O786" s="92"/>
    </row>
    <row r="787" spans="1:15" ht="15.75" customHeight="1">
      <c r="A787" s="91"/>
      <c r="O787" s="92"/>
    </row>
    <row r="788" spans="1:15" ht="15.75" customHeight="1">
      <c r="A788" s="91"/>
      <c r="O788" s="92"/>
    </row>
    <row r="789" spans="1:15" ht="15.75" customHeight="1">
      <c r="A789" s="91"/>
      <c r="O789" s="92"/>
    </row>
    <row r="790" spans="1:15" ht="15.75" customHeight="1">
      <c r="A790" s="91"/>
      <c r="O790" s="92"/>
    </row>
    <row r="791" spans="1:15" ht="15.75" customHeight="1">
      <c r="A791" s="91"/>
      <c r="O791" s="92"/>
    </row>
    <row r="792" spans="1:15" ht="15.75" customHeight="1">
      <c r="A792" s="91"/>
      <c r="O792" s="92"/>
    </row>
    <row r="793" spans="1:15" ht="15.75" customHeight="1">
      <c r="A793" s="91"/>
      <c r="O793" s="92"/>
    </row>
    <row r="794" spans="1:15" ht="15.75" customHeight="1">
      <c r="A794" s="91"/>
      <c r="O794" s="92"/>
    </row>
    <row r="795" spans="1:15" ht="15.75" customHeight="1">
      <c r="A795" s="91"/>
      <c r="O795" s="92"/>
    </row>
    <row r="796" spans="1:15" ht="15.75" customHeight="1">
      <c r="A796" s="91"/>
      <c r="O796" s="92"/>
    </row>
    <row r="797" spans="1:15" ht="15.75" customHeight="1">
      <c r="A797" s="91"/>
      <c r="O797" s="92"/>
    </row>
    <row r="798" spans="1:15" ht="15.75" customHeight="1">
      <c r="A798" s="91"/>
      <c r="O798" s="92"/>
    </row>
    <row r="799" spans="1:15" ht="15.75" customHeight="1">
      <c r="A799" s="91"/>
      <c r="O799" s="92"/>
    </row>
    <row r="800" spans="1:15" ht="15.75" customHeight="1">
      <c r="A800" s="91"/>
      <c r="O800" s="92"/>
    </row>
    <row r="801" spans="1:15" ht="15.75" customHeight="1">
      <c r="A801" s="91"/>
      <c r="O801" s="92"/>
    </row>
    <row r="802" spans="1:15" ht="15.75" customHeight="1">
      <c r="A802" s="91"/>
      <c r="O802" s="92"/>
    </row>
    <row r="803" spans="1:15" ht="15.75" customHeight="1">
      <c r="A803" s="91"/>
      <c r="O803" s="92"/>
    </row>
    <row r="804" spans="1:15" ht="15.75" customHeight="1">
      <c r="A804" s="91"/>
      <c r="O804" s="92"/>
    </row>
    <row r="805" spans="1:15" ht="15.75" customHeight="1">
      <c r="A805" s="91"/>
      <c r="O805" s="92"/>
    </row>
    <row r="806" spans="1:15" ht="15.75" customHeight="1">
      <c r="A806" s="91"/>
      <c r="O806" s="92"/>
    </row>
    <row r="807" spans="1:15" ht="15.75" customHeight="1">
      <c r="A807" s="91"/>
      <c r="O807" s="92"/>
    </row>
    <row r="808" spans="1:15" ht="15.75" customHeight="1">
      <c r="A808" s="91"/>
      <c r="O808" s="92"/>
    </row>
    <row r="809" spans="1:15" ht="15.75" customHeight="1">
      <c r="A809" s="91"/>
      <c r="O809" s="92"/>
    </row>
    <row r="810" spans="1:15" ht="15.75" customHeight="1">
      <c r="A810" s="91"/>
      <c r="O810" s="92"/>
    </row>
    <row r="811" spans="1:15" ht="15.75" customHeight="1">
      <c r="A811" s="91"/>
      <c r="O811" s="92"/>
    </row>
    <row r="812" spans="1:15" ht="15.75" customHeight="1">
      <c r="A812" s="91"/>
      <c r="O812" s="92"/>
    </row>
    <row r="813" spans="1:15" ht="15.75" customHeight="1">
      <c r="A813" s="91"/>
      <c r="O813" s="92"/>
    </row>
    <row r="814" spans="1:15" ht="15.75" customHeight="1">
      <c r="A814" s="91"/>
      <c r="O814" s="92"/>
    </row>
    <row r="815" spans="1:15" ht="15.75" customHeight="1">
      <c r="A815" s="91"/>
      <c r="O815" s="92"/>
    </row>
    <row r="816" spans="1:15" ht="15.75" customHeight="1">
      <c r="A816" s="91"/>
      <c r="O816" s="92"/>
    </row>
    <row r="817" spans="1:15" ht="15.75" customHeight="1">
      <c r="A817" s="91"/>
      <c r="O817" s="92"/>
    </row>
    <row r="818" spans="1:15" ht="15.75" customHeight="1">
      <c r="A818" s="91"/>
      <c r="O818" s="92"/>
    </row>
    <row r="819" spans="1:15" ht="15.75" customHeight="1">
      <c r="A819" s="91"/>
      <c r="O819" s="92"/>
    </row>
    <row r="820" spans="1:15" ht="15.75" customHeight="1">
      <c r="A820" s="91"/>
      <c r="O820" s="92"/>
    </row>
    <row r="821" spans="1:15" ht="15.75" customHeight="1">
      <c r="A821" s="91"/>
      <c r="O821" s="92"/>
    </row>
    <row r="822" spans="1:15" ht="15.75" customHeight="1">
      <c r="A822" s="91"/>
      <c r="O822" s="92"/>
    </row>
    <row r="823" spans="1:15" ht="15.75" customHeight="1">
      <c r="A823" s="91"/>
      <c r="O823" s="92"/>
    </row>
    <row r="824" spans="1:15" ht="15.75" customHeight="1">
      <c r="A824" s="91"/>
      <c r="O824" s="92"/>
    </row>
    <row r="825" spans="1:15" ht="15.75" customHeight="1">
      <c r="A825" s="91"/>
      <c r="O825" s="92"/>
    </row>
    <row r="826" spans="1:15" ht="15.75" customHeight="1">
      <c r="A826" s="91"/>
      <c r="O826" s="92"/>
    </row>
    <row r="827" spans="1:15" ht="15.75" customHeight="1">
      <c r="A827" s="91"/>
      <c r="O827" s="92"/>
    </row>
    <row r="828" spans="1:15" ht="15.75" customHeight="1">
      <c r="A828" s="91"/>
      <c r="O828" s="92"/>
    </row>
    <row r="829" spans="1:15" ht="15.75" customHeight="1">
      <c r="A829" s="91"/>
      <c r="O829" s="92"/>
    </row>
    <row r="830" spans="1:15" ht="15.75" customHeight="1">
      <c r="A830" s="91"/>
      <c r="O830" s="92"/>
    </row>
    <row r="831" spans="1:15" ht="15.75" customHeight="1">
      <c r="A831" s="91"/>
      <c r="O831" s="92"/>
    </row>
    <row r="832" spans="1:15" ht="15.75" customHeight="1">
      <c r="A832" s="91"/>
      <c r="O832" s="92"/>
    </row>
    <row r="833" spans="1:15" ht="15.75" customHeight="1">
      <c r="A833" s="91"/>
      <c r="O833" s="92"/>
    </row>
    <row r="834" spans="1:15" ht="15.75" customHeight="1">
      <c r="A834" s="91"/>
      <c r="O834" s="92"/>
    </row>
    <row r="835" spans="1:15" ht="15.75" customHeight="1">
      <c r="A835" s="91"/>
      <c r="O835" s="92"/>
    </row>
    <row r="836" spans="1:15" ht="15.75" customHeight="1">
      <c r="A836" s="91"/>
      <c r="O836" s="92"/>
    </row>
    <row r="837" spans="1:15" ht="15.75" customHeight="1">
      <c r="A837" s="91"/>
      <c r="O837" s="92"/>
    </row>
    <row r="838" spans="1:15" ht="15.75" customHeight="1">
      <c r="A838" s="91"/>
      <c r="O838" s="92"/>
    </row>
    <row r="839" spans="1:15" ht="15.75" customHeight="1">
      <c r="A839" s="91"/>
      <c r="O839" s="92"/>
    </row>
    <row r="840" spans="1:15" ht="15.75" customHeight="1">
      <c r="A840" s="91"/>
      <c r="O840" s="92"/>
    </row>
    <row r="841" spans="1:15" ht="15.75" customHeight="1">
      <c r="A841" s="91"/>
      <c r="O841" s="92"/>
    </row>
    <row r="842" spans="1:15" ht="15.75" customHeight="1">
      <c r="A842" s="91"/>
      <c r="O842" s="92"/>
    </row>
    <row r="843" spans="1:15" ht="15.75" customHeight="1">
      <c r="A843" s="91"/>
      <c r="O843" s="92"/>
    </row>
    <row r="844" spans="1:15" ht="15.75" customHeight="1">
      <c r="A844" s="91"/>
      <c r="O844" s="92"/>
    </row>
    <row r="845" spans="1:15" ht="15.75" customHeight="1">
      <c r="A845" s="91"/>
      <c r="O845" s="92"/>
    </row>
    <row r="846" spans="1:15" ht="15.75" customHeight="1">
      <c r="A846" s="91"/>
      <c r="O846" s="92"/>
    </row>
    <row r="847" spans="1:15" ht="15.75" customHeight="1">
      <c r="A847" s="91"/>
      <c r="O847" s="92"/>
    </row>
    <row r="848" spans="1:15" ht="15.75" customHeight="1">
      <c r="A848" s="91"/>
      <c r="O848" s="92"/>
    </row>
    <row r="849" spans="1:15" ht="15.75" customHeight="1">
      <c r="A849" s="91"/>
      <c r="O849" s="92"/>
    </row>
    <row r="850" spans="1:15" ht="15.75" customHeight="1">
      <c r="A850" s="91"/>
      <c r="O850" s="92"/>
    </row>
    <row r="851" spans="1:15" ht="15.75" customHeight="1">
      <c r="A851" s="91"/>
      <c r="O851" s="92"/>
    </row>
    <row r="852" spans="1:15" ht="15.75" customHeight="1">
      <c r="A852" s="91"/>
      <c r="O852" s="92"/>
    </row>
    <row r="853" spans="1:15" ht="15.75" customHeight="1">
      <c r="A853" s="91"/>
      <c r="O853" s="92"/>
    </row>
    <row r="854" spans="1:15" ht="15.75" customHeight="1">
      <c r="A854" s="91"/>
      <c r="O854" s="92"/>
    </row>
    <row r="855" spans="1:15" ht="15.75" customHeight="1">
      <c r="A855" s="91"/>
      <c r="O855" s="92"/>
    </row>
    <row r="856" spans="1:15" ht="15.75" customHeight="1">
      <c r="A856" s="91"/>
      <c r="O856" s="92"/>
    </row>
    <row r="857" spans="1:15" ht="15.75" customHeight="1">
      <c r="A857" s="91"/>
      <c r="O857" s="92"/>
    </row>
    <row r="858" spans="1:15" ht="15.75" customHeight="1">
      <c r="A858" s="91"/>
      <c r="O858" s="92"/>
    </row>
    <row r="859" spans="1:15" ht="15.75" customHeight="1">
      <c r="A859" s="91"/>
      <c r="O859" s="92"/>
    </row>
    <row r="860" spans="1:15" ht="15.75" customHeight="1">
      <c r="A860" s="91"/>
      <c r="O860" s="92"/>
    </row>
    <row r="861" spans="1:15" ht="15.75" customHeight="1">
      <c r="A861" s="91"/>
      <c r="O861" s="92"/>
    </row>
    <row r="862" spans="1:15" ht="15.75" customHeight="1">
      <c r="A862" s="91"/>
      <c r="O862" s="92"/>
    </row>
    <row r="863" spans="1:15" ht="15.75" customHeight="1">
      <c r="A863" s="91"/>
      <c r="O863" s="92"/>
    </row>
    <row r="864" spans="1:15" ht="15.75" customHeight="1">
      <c r="A864" s="91"/>
      <c r="O864" s="92"/>
    </row>
    <row r="865" spans="1:15" ht="15.75" customHeight="1">
      <c r="A865" s="91"/>
      <c r="O865" s="92"/>
    </row>
    <row r="866" spans="1:15" ht="15.75" customHeight="1">
      <c r="A866" s="91"/>
      <c r="O866" s="92"/>
    </row>
    <row r="867" spans="1:15" ht="15.75" customHeight="1">
      <c r="A867" s="91"/>
      <c r="O867" s="92"/>
    </row>
    <row r="868" spans="1:15" ht="15.75" customHeight="1">
      <c r="A868" s="91"/>
      <c r="O868" s="92"/>
    </row>
    <row r="869" spans="1:15" ht="15.75" customHeight="1">
      <c r="A869" s="91"/>
      <c r="O869" s="92"/>
    </row>
    <row r="870" spans="1:15" ht="15.75" customHeight="1">
      <c r="A870" s="91"/>
      <c r="O870" s="92"/>
    </row>
    <row r="871" spans="1:15" ht="15.75" customHeight="1">
      <c r="A871" s="91"/>
      <c r="O871" s="92"/>
    </row>
    <row r="872" spans="1:15" ht="15.75" customHeight="1">
      <c r="A872" s="91"/>
      <c r="O872" s="92"/>
    </row>
    <row r="873" spans="1:15" ht="15.75" customHeight="1">
      <c r="A873" s="91"/>
      <c r="O873" s="92"/>
    </row>
    <row r="874" spans="1:15" ht="15.75" customHeight="1">
      <c r="A874" s="91"/>
      <c r="O874" s="92"/>
    </row>
    <row r="875" spans="1:15" ht="15.75" customHeight="1">
      <c r="A875" s="91"/>
      <c r="O875" s="92"/>
    </row>
    <row r="876" spans="1:15" ht="15.75" customHeight="1">
      <c r="A876" s="91"/>
      <c r="O876" s="92"/>
    </row>
    <row r="877" spans="1:15" ht="15.75" customHeight="1">
      <c r="A877" s="91"/>
      <c r="O877" s="92"/>
    </row>
    <row r="878" spans="1:15" ht="15.75" customHeight="1">
      <c r="A878" s="91"/>
      <c r="O878" s="92"/>
    </row>
    <row r="879" spans="1:15" ht="15.75" customHeight="1">
      <c r="A879" s="91"/>
      <c r="O879" s="92"/>
    </row>
    <row r="880" spans="1:15" ht="15.75" customHeight="1">
      <c r="A880" s="91"/>
      <c r="O880" s="92"/>
    </row>
    <row r="881" spans="1:15" ht="15.75" customHeight="1">
      <c r="A881" s="91"/>
      <c r="O881" s="92"/>
    </row>
    <row r="882" spans="1:15" ht="15.75" customHeight="1">
      <c r="A882" s="91"/>
      <c r="O882" s="92"/>
    </row>
    <row r="883" spans="1:15" ht="15.75" customHeight="1">
      <c r="A883" s="91"/>
      <c r="O883" s="92"/>
    </row>
    <row r="884" spans="1:15" ht="15.75" customHeight="1">
      <c r="A884" s="91"/>
      <c r="O884" s="92"/>
    </row>
    <row r="885" spans="1:15" ht="15.75" customHeight="1">
      <c r="A885" s="91"/>
      <c r="O885" s="92"/>
    </row>
    <row r="886" spans="1:15" ht="15.75" customHeight="1">
      <c r="A886" s="91"/>
      <c r="O886" s="92"/>
    </row>
    <row r="887" spans="1:15" ht="15.75" customHeight="1">
      <c r="A887" s="91"/>
      <c r="O887" s="92"/>
    </row>
    <row r="888" spans="1:15" ht="15.75" customHeight="1">
      <c r="A888" s="91"/>
      <c r="O888" s="92"/>
    </row>
    <row r="889" spans="1:15" ht="15.75" customHeight="1">
      <c r="A889" s="91"/>
      <c r="O889" s="92"/>
    </row>
    <row r="890" spans="1:15" ht="15.75" customHeight="1">
      <c r="A890" s="91"/>
      <c r="O890" s="92"/>
    </row>
    <row r="891" spans="1:15" ht="15.75" customHeight="1">
      <c r="A891" s="91"/>
      <c r="O891" s="92"/>
    </row>
    <row r="892" spans="1:15" ht="15.75" customHeight="1">
      <c r="A892" s="91"/>
      <c r="O892" s="92"/>
    </row>
    <row r="893" spans="1:15" ht="15.75" customHeight="1">
      <c r="A893" s="91"/>
      <c r="O893" s="92"/>
    </row>
    <row r="894" spans="1:15" ht="15.75" customHeight="1">
      <c r="A894" s="91"/>
      <c r="O894" s="92"/>
    </row>
    <row r="895" spans="1:15" ht="15.75" customHeight="1">
      <c r="A895" s="91"/>
      <c r="O895" s="92"/>
    </row>
    <row r="896" spans="1:15" ht="15.75" customHeight="1">
      <c r="A896" s="91"/>
      <c r="O896" s="92"/>
    </row>
    <row r="897" spans="1:15" ht="15.75" customHeight="1">
      <c r="A897" s="91"/>
      <c r="O897" s="92"/>
    </row>
    <row r="898" spans="1:15" ht="15.75" customHeight="1">
      <c r="A898" s="91"/>
      <c r="O898" s="92"/>
    </row>
    <row r="899" spans="1:15" ht="15.75" customHeight="1">
      <c r="A899" s="91"/>
      <c r="O899" s="92"/>
    </row>
    <row r="900" spans="1:15" ht="15.75" customHeight="1">
      <c r="A900" s="91"/>
      <c r="O900" s="92"/>
    </row>
    <row r="901" spans="1:15" ht="15.75" customHeight="1">
      <c r="A901" s="91"/>
      <c r="O901" s="92"/>
    </row>
    <row r="902" spans="1:15" ht="15.75" customHeight="1">
      <c r="A902" s="91"/>
      <c r="O902" s="92"/>
    </row>
    <row r="903" spans="1:15" ht="15.75" customHeight="1">
      <c r="A903" s="91"/>
      <c r="O903" s="92"/>
    </row>
    <row r="904" spans="1:15" ht="15.75" customHeight="1">
      <c r="A904" s="91"/>
      <c r="O904" s="92"/>
    </row>
    <row r="905" spans="1:15" ht="15.75" customHeight="1">
      <c r="A905" s="91"/>
      <c r="O905" s="92"/>
    </row>
    <row r="906" spans="1:15" ht="15.75" customHeight="1">
      <c r="A906" s="91"/>
      <c r="O906" s="92"/>
    </row>
    <row r="907" spans="1:15" ht="15.75" customHeight="1">
      <c r="A907" s="91"/>
      <c r="O907" s="92"/>
    </row>
    <row r="908" spans="1:15" ht="15.75" customHeight="1">
      <c r="A908" s="91"/>
      <c r="O908" s="92"/>
    </row>
    <row r="909" spans="1:15" ht="15.75" customHeight="1">
      <c r="A909" s="91"/>
      <c r="O909" s="92"/>
    </row>
    <row r="910" spans="1:15" ht="15.75" customHeight="1">
      <c r="A910" s="91"/>
      <c r="O910" s="92"/>
    </row>
    <row r="911" spans="1:15" ht="15.75" customHeight="1">
      <c r="A911" s="91"/>
      <c r="O911" s="92"/>
    </row>
    <row r="912" spans="1:15" ht="15.75" customHeight="1">
      <c r="A912" s="91"/>
      <c r="O912" s="92"/>
    </row>
    <row r="913" spans="1:15" ht="15.75" customHeight="1">
      <c r="A913" s="91"/>
      <c r="O913" s="92"/>
    </row>
    <row r="914" spans="1:15" ht="15.75" customHeight="1">
      <c r="A914" s="91"/>
      <c r="O914" s="92"/>
    </row>
    <row r="915" spans="1:15" ht="15.75" customHeight="1">
      <c r="A915" s="91"/>
      <c r="O915" s="92"/>
    </row>
    <row r="916" spans="1:15" ht="15.75" customHeight="1">
      <c r="A916" s="91"/>
      <c r="O916" s="92"/>
    </row>
    <row r="917" spans="1:15" ht="15.75" customHeight="1">
      <c r="A917" s="91"/>
      <c r="O917" s="92"/>
    </row>
    <row r="918" spans="1:15" ht="15.75" customHeight="1">
      <c r="A918" s="91"/>
      <c r="O918" s="92"/>
    </row>
    <row r="919" spans="1:15" ht="15.75" customHeight="1">
      <c r="A919" s="91"/>
      <c r="O919" s="92"/>
    </row>
    <row r="920" spans="1:15" ht="15.75" customHeight="1">
      <c r="A920" s="91"/>
      <c r="O920" s="92"/>
    </row>
    <row r="921" spans="1:15" ht="15.75" customHeight="1">
      <c r="A921" s="91"/>
      <c r="O921" s="92"/>
    </row>
    <row r="922" spans="1:15" ht="15.75" customHeight="1">
      <c r="A922" s="91"/>
      <c r="O922" s="92"/>
    </row>
    <row r="923" spans="1:15" ht="15.75" customHeight="1">
      <c r="A923" s="91"/>
      <c r="O923" s="92"/>
    </row>
    <row r="924" spans="1:15" ht="15.75" customHeight="1">
      <c r="A924" s="91"/>
      <c r="O924" s="92"/>
    </row>
    <row r="925" spans="1:15" ht="15.75" customHeight="1">
      <c r="A925" s="91"/>
      <c r="O925" s="92"/>
    </row>
    <row r="926" spans="1:15" ht="15.75" customHeight="1">
      <c r="A926" s="91"/>
      <c r="O926" s="92"/>
    </row>
    <row r="927" spans="1:15" ht="15.75" customHeight="1">
      <c r="A927" s="91"/>
      <c r="O927" s="92"/>
    </row>
    <row r="928" spans="1:15" ht="15.75" customHeight="1">
      <c r="A928" s="91"/>
      <c r="O928" s="92"/>
    </row>
    <row r="929" spans="1:15" ht="15.75" customHeight="1">
      <c r="A929" s="91"/>
      <c r="O929" s="92"/>
    </row>
    <row r="930" spans="1:15" ht="15.75" customHeight="1">
      <c r="A930" s="91"/>
      <c r="O930" s="92"/>
    </row>
    <row r="931" spans="1:15" ht="15.75" customHeight="1">
      <c r="A931" s="91"/>
      <c r="O931" s="92"/>
    </row>
    <row r="932" spans="1:15" ht="15.75" customHeight="1">
      <c r="A932" s="91"/>
      <c r="O932" s="92"/>
    </row>
    <row r="933" spans="1:15" ht="15.75" customHeight="1">
      <c r="A933" s="91"/>
      <c r="O933" s="92"/>
    </row>
    <row r="934" spans="1:15" ht="15.75" customHeight="1">
      <c r="A934" s="91"/>
      <c r="O934" s="92"/>
    </row>
    <row r="935" spans="1:15" ht="15.75" customHeight="1">
      <c r="A935" s="91"/>
      <c r="O935" s="92"/>
    </row>
    <row r="936" spans="1:15" ht="15.75" customHeight="1">
      <c r="A936" s="91"/>
      <c r="O936" s="92"/>
    </row>
    <row r="937" spans="1:15" ht="15.75" customHeight="1">
      <c r="A937" s="91"/>
      <c r="O937" s="92"/>
    </row>
    <row r="938" spans="1:15" ht="15.75" customHeight="1">
      <c r="A938" s="91"/>
      <c r="O938" s="92"/>
    </row>
    <row r="939" spans="1:15" ht="15.75" customHeight="1">
      <c r="A939" s="91"/>
      <c r="O939" s="92"/>
    </row>
    <row r="940" spans="1:15" ht="15.75" customHeight="1">
      <c r="A940" s="91"/>
      <c r="O940" s="92"/>
    </row>
    <row r="941" spans="1:15" ht="15.75" customHeight="1">
      <c r="A941" s="91"/>
      <c r="O941" s="92"/>
    </row>
    <row r="942" spans="1:15" ht="15.75" customHeight="1">
      <c r="A942" s="91"/>
      <c r="O942" s="92"/>
    </row>
    <row r="943" spans="1:15" ht="15.75" customHeight="1">
      <c r="A943" s="91"/>
      <c r="O943" s="92"/>
    </row>
    <row r="944" spans="1:15" ht="15.75" customHeight="1">
      <c r="A944" s="91"/>
      <c r="O944" s="92"/>
    </row>
    <row r="945" spans="1:15" ht="15.75" customHeight="1">
      <c r="A945" s="91"/>
      <c r="O945" s="92"/>
    </row>
    <row r="946" spans="1:15" ht="15.75" customHeight="1">
      <c r="A946" s="91"/>
      <c r="O946" s="92"/>
    </row>
    <row r="947" spans="1:15" ht="15.75" customHeight="1">
      <c r="A947" s="91"/>
      <c r="O947" s="92"/>
    </row>
    <row r="948" spans="1:15" ht="15.75" customHeight="1">
      <c r="A948" s="91"/>
      <c r="O948" s="92"/>
    </row>
    <row r="949" spans="1:15" ht="15.75" customHeight="1">
      <c r="A949" s="91"/>
      <c r="O949" s="92"/>
    </row>
    <row r="950" spans="1:15" ht="15.75" customHeight="1">
      <c r="A950" s="91"/>
      <c r="O950" s="92"/>
    </row>
    <row r="951" spans="1:15" ht="15.75" customHeight="1">
      <c r="A951" s="91"/>
      <c r="O951" s="92"/>
    </row>
    <row r="952" spans="1:15" ht="15.75" customHeight="1">
      <c r="A952" s="91"/>
      <c r="O952" s="92"/>
    </row>
    <row r="953" spans="1:15" ht="15.75" customHeight="1">
      <c r="A953" s="91"/>
      <c r="O953" s="92"/>
    </row>
    <row r="954" spans="1:15" ht="15.75" customHeight="1">
      <c r="A954" s="91"/>
      <c r="O954" s="92"/>
    </row>
    <row r="955" spans="1:15" ht="15.75" customHeight="1">
      <c r="A955" s="91"/>
      <c r="O955" s="92"/>
    </row>
    <row r="956" spans="1:15" ht="15.75" customHeight="1">
      <c r="A956" s="91"/>
      <c r="O956" s="92"/>
    </row>
    <row r="957" spans="1:15" ht="15.75" customHeight="1">
      <c r="A957" s="91"/>
      <c r="O957" s="92"/>
    </row>
    <row r="958" spans="1:15" ht="15.75" customHeight="1">
      <c r="A958" s="91"/>
      <c r="O958" s="92"/>
    </row>
    <row r="959" spans="1:15" ht="15.75" customHeight="1">
      <c r="A959" s="91"/>
      <c r="O959" s="92"/>
    </row>
    <row r="960" spans="1:15" ht="15.75" customHeight="1">
      <c r="A960" s="91"/>
      <c r="O960" s="92"/>
    </row>
    <row r="961" spans="1:15" ht="15.75" customHeight="1">
      <c r="A961" s="91"/>
      <c r="O961" s="92"/>
    </row>
    <row r="962" spans="1:15" ht="15.75" customHeight="1">
      <c r="A962" s="91"/>
      <c r="O962" s="92"/>
    </row>
    <row r="963" spans="1:15" ht="15.75" customHeight="1">
      <c r="A963" s="91"/>
      <c r="O963" s="92"/>
    </row>
    <row r="964" spans="1:15" ht="15.75" customHeight="1">
      <c r="A964" s="91"/>
      <c r="O964" s="92"/>
    </row>
    <row r="965" spans="1:15" ht="15.75" customHeight="1">
      <c r="A965" s="91"/>
      <c r="O965" s="92"/>
    </row>
    <row r="966" spans="1:15" ht="15.75" customHeight="1">
      <c r="A966" s="91"/>
      <c r="O966" s="92"/>
    </row>
    <row r="967" spans="1:15" ht="15.75" customHeight="1">
      <c r="A967" s="91"/>
      <c r="O967" s="92"/>
    </row>
    <row r="968" spans="1:15" ht="15.75" customHeight="1">
      <c r="A968" s="91"/>
      <c r="O968" s="92"/>
    </row>
    <row r="969" spans="1:15" ht="15.75" customHeight="1">
      <c r="A969" s="91"/>
      <c r="O969" s="92"/>
    </row>
    <row r="970" spans="1:15" ht="15.75" customHeight="1">
      <c r="A970" s="91"/>
      <c r="O970" s="92"/>
    </row>
    <row r="971" spans="1:15" ht="15.75" customHeight="1">
      <c r="A971" s="91"/>
      <c r="O971" s="92"/>
    </row>
    <row r="972" spans="1:15" ht="15.75" customHeight="1">
      <c r="A972" s="91"/>
      <c r="O972" s="92"/>
    </row>
    <row r="973" spans="1:15" ht="15.75" customHeight="1">
      <c r="A973" s="91"/>
      <c r="O973" s="92"/>
    </row>
    <row r="974" spans="1:15" ht="15.75" customHeight="1">
      <c r="A974" s="91"/>
      <c r="O974" s="92"/>
    </row>
    <row r="975" spans="1:15" ht="15.75" customHeight="1">
      <c r="A975" s="91"/>
      <c r="O975" s="92"/>
    </row>
    <row r="976" spans="1:15" ht="15.75" customHeight="1">
      <c r="A976" s="91"/>
      <c r="O976" s="92"/>
    </row>
    <row r="977" spans="1:15" ht="15.75" customHeight="1">
      <c r="A977" s="91"/>
      <c r="O977" s="92"/>
    </row>
    <row r="978" spans="1:15" ht="15.75" customHeight="1">
      <c r="A978" s="91"/>
      <c r="O978" s="92"/>
    </row>
    <row r="979" spans="1:15" ht="15.75" customHeight="1">
      <c r="A979" s="91"/>
      <c r="O979" s="92"/>
    </row>
    <row r="980" spans="1:15" ht="15.75" customHeight="1">
      <c r="A980" s="91"/>
      <c r="O980" s="92"/>
    </row>
    <row r="981" spans="1:15" ht="15.75" customHeight="1">
      <c r="A981" s="91"/>
      <c r="O981" s="92"/>
    </row>
    <row r="982" spans="1:15" ht="15.75" customHeight="1">
      <c r="A982" s="91"/>
      <c r="O982" s="92"/>
    </row>
    <row r="983" spans="1:15" ht="15.75" customHeight="1">
      <c r="A983" s="91"/>
      <c r="O983" s="92"/>
    </row>
    <row r="984" spans="1:15" ht="15.75" customHeight="1">
      <c r="A984" s="91"/>
      <c r="O984" s="92"/>
    </row>
    <row r="985" spans="1:15" ht="15.75" customHeight="1">
      <c r="A985" s="91"/>
      <c r="O985" s="92"/>
    </row>
    <row r="986" spans="1:15" ht="15.75" customHeight="1">
      <c r="A986" s="91"/>
      <c r="O986" s="92"/>
    </row>
    <row r="987" spans="1:15" ht="15.75" customHeight="1">
      <c r="A987" s="91"/>
      <c r="O987" s="92"/>
    </row>
    <row r="988" spans="1:15" ht="15.75" customHeight="1">
      <c r="A988" s="91"/>
      <c r="O988" s="92"/>
    </row>
    <row r="989" spans="1:15" ht="15.75" customHeight="1">
      <c r="A989" s="91"/>
      <c r="O989" s="92"/>
    </row>
    <row r="990" spans="1:15" ht="15.75" customHeight="1">
      <c r="A990" s="91"/>
      <c r="O990" s="92"/>
    </row>
    <row r="991" spans="1:15" ht="15.75" customHeight="1">
      <c r="A991" s="91"/>
      <c r="O991" s="92"/>
    </row>
    <row r="992" spans="1:15" ht="15.75" customHeight="1">
      <c r="A992" s="91"/>
      <c r="O992" s="92"/>
    </row>
    <row r="993" spans="1:15" ht="15.75" customHeight="1">
      <c r="A993" s="91"/>
      <c r="O993" s="92"/>
    </row>
    <row r="994" spans="1:15" ht="15.75" customHeight="1">
      <c r="A994" s="91"/>
      <c r="O994" s="92"/>
    </row>
    <row r="995" spans="1:15" ht="15.75" customHeight="1">
      <c r="A995" s="91"/>
      <c r="O995" s="92"/>
    </row>
    <row r="996" spans="1:15" ht="15.75" customHeight="1">
      <c r="A996" s="91"/>
      <c r="O996" s="92"/>
    </row>
    <row r="997" spans="1:15" ht="15.75" customHeight="1">
      <c r="A997" s="91"/>
      <c r="O997" s="92"/>
    </row>
    <row r="998" spans="1:15" ht="15.75" customHeight="1">
      <c r="A998" s="91"/>
      <c r="O998" s="92"/>
    </row>
    <row r="999" spans="1:15" ht="15.75" customHeight="1">
      <c r="A999" s="91"/>
      <c r="O999" s="92"/>
    </row>
  </sheetData>
  <customSheetViews>
    <customSheetView guid="{B27C7FFC-97C5-4667-ACD6-B05987D28B49}" filter="1" showAutoFilter="1">
      <pageMargins left="0.7" right="0.7" top="0.75" bottom="0.75" header="0.3" footer="0.3"/>
      <autoFilter ref="A9:Z193" xr:uid="{98EDD430-98C7-CD47-AB69-F43C97F77D8F}">
        <filterColumn colId="19">
          <filters blank="1"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ADDEB23E-DB36-4807-A89B-0D9099286A16}" filter="1" showAutoFilter="1">
      <pageMargins left="0.7" right="0.7" top="0.75" bottom="0.75" header="0.3" footer="0.3"/>
      <autoFilter ref="A9:Z199" xr:uid="{98B0418F-3E9A-E54D-9177-25FF42DDA105}">
        <filterColumn colId="6">
          <filters>
            <filter val="80x60x15 Baza (rengi teyit edilicek)"/>
            <filter val="İsimlik Personel İsimliği (4 Kasiyer-3Müşteri Hizmetleri-2Teslimat Uzmanı)"/>
            <filter val="Kablo Kanalı 5x10  1 Metre"/>
            <filter val="Kartvizit - Tayfun Oktay"/>
            <filter val="Kg Etiketi Sticker 14x14cm"/>
            <filter val="Kurumsal Defter"/>
            <filter val="Logolu Karton Bardak (Özellikle Koli Üzerine Mahir Aldemir Dikkatine Yazılacak)"/>
            <filter val="Logolu Koli Bandı"/>
            <filter val="Paket Lastiği"/>
            <filter val="Plastik Bardak"/>
            <filter val="Plastik Bardak Koli"/>
            <filter val="Plastik Cırt Kelepçe Beyaz 30cm"/>
            <filter val="Plastik Cırt Kelepçe Siyah 30cm"/>
            <filter val="Pleksi A4 Mıknatıslı"/>
            <filter val="Pleksi Kulaklık Askılığı"/>
            <filter val="Pleksi Mıknatıslı Fotoğraf 10x15"/>
            <filter val="Pleksi Teşhir Kutusu"/>
            <filter val="Reyon Bariyeri 100cm"/>
            <filter val="Strech film"/>
            <filter val="Sürgülü kilitli Kulakiçi Kulaklık Standı 100 cm"/>
            <filter val="Termal Etiket 40x20 1000 Sarım"/>
            <filter val="TV Güvenlik Teli"/>
            <filter val="Weiland Düz Kablo 2 Metre"/>
            <filter val="Weiland Düz Kablo 3 Metre"/>
          </filters>
        </filterColumn>
      </autoFilter>
    </customSheetView>
    <customSheetView guid="{9ADA2EDB-7AFD-44B0-9D9F-59CB6B5BA861}" filter="1" showAutoFilter="1">
      <pageMargins left="0.7" right="0.7" top="0.75" bottom="0.75" header="0.3" footer="0.3"/>
      <autoFilter ref="A9:Z193" xr:uid="{1FF505D8-3D2A-6B4E-A579-AC638F1F9DD1}">
        <filterColumn colId="19">
          <filters blank="1"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3"/>
            <filter val="RM02024000000004"/>
          </filters>
        </filterColumn>
      </autoFilter>
    </customSheetView>
    <customSheetView guid="{C001D0BF-773D-48AF-8B1B-6C89B000FA58}" filter="1" showAutoFilter="1">
      <pageMargins left="0.7" right="0.7" top="0.75" bottom="0.75" header="0.3" footer="0.3"/>
      <autoFilter ref="A9:Z199" xr:uid="{8C49B289-0084-3742-9F04-70EFCA335CB6}">
        <filterColumn colId="6">
          <filters>
            <filter val="80x60x15 Baza (rengi teyit edilicek)"/>
            <filter val="İsimlik Personel İsimliği (4 Kasiyer-3Müşteri Hizmetleri-2Teslimat Uzmanı)"/>
            <filter val="Kablo Kanalı 5x10  1 Metre"/>
            <filter val="Kartvizit - Tayfun Oktay"/>
            <filter val="Kg Etiketi Sticker 14x14cm"/>
            <filter val="Logolu Karton Bardak (Özellikle Koli Üzerine Mahir Aldemir Dikkatine Yazılacak)"/>
            <filter val="Logolu Koli Bandı"/>
            <filter val="Numberlink 1-50"/>
            <filter val="Paket Lastiği"/>
            <filter val="Plastik Bardak"/>
            <filter val="Plastik Bardak Koli"/>
            <filter val="Plastik Cırt Kelepçe Beyaz 30cm"/>
            <filter val="Plastik Cırt Kelepçe Siyah 30cm"/>
            <filter val="Pleksi A4 Mıknatıslı"/>
            <filter val="Pleksi Kulaklık Askılığı"/>
            <filter val="Pleksi Mıknatıslı Fotoğraf 10x15"/>
            <filter val="Pleksi Teşhir Kutusu"/>
            <filter val="Reyon Bariyeri 100cm"/>
            <filter val="Strech film"/>
            <filter val="Sürgülü kilitli Kulakiçi Kulaklık Standı 100 cm"/>
            <filter val="Termal Etiket 40x20 1000 Sarım"/>
            <filter val="TV Güvenlik Teli"/>
            <filter val="Weiland Düz Kablo 2 Metre"/>
            <filter val="Weiland Düz Kablo 3 Metre"/>
          </filters>
        </filterColumn>
      </autoFilter>
    </customSheetView>
    <customSheetView guid="{80969A39-7711-4B04-A97F-757E47D9C537}" filter="1" showAutoFilter="1">
      <pageMargins left="0.7" right="0.7" top="0.75" bottom="0.75" header="0.3" footer="0.3"/>
      <autoFilter ref="A9:Z199" xr:uid="{4A04421D-7BDC-584A-92C2-FF4DA3E50191}">
        <filterColumn colId="6">
          <filters>
            <filter val="80x60x15 Baza (rengi teyit edilicek)"/>
            <filter val="Enerji Etiketi Kanguru Cep"/>
            <filter val="İsimlik Personel İsimliği (4 Kasiyer-3Müşteri Hizmetleri-2Teslimat Uzmanı)"/>
            <filter val="Kablo Kanalı 5x10  1 Metre"/>
            <filter val="Kartvizit - Tayfun Oktay"/>
            <filter val="Kg Etiketi Sticker 14x14cm"/>
            <filter val="Logolu Karton Bardak (Özellikle Koli Üzerine Mahir Aldemir Dikkatine Yazılacak)"/>
            <filter val="Logolu Koli Bandı"/>
            <filter val="Paket Lastiği"/>
            <filter val="Plastik Bardak"/>
            <filter val="Plastik Bardak Koli"/>
            <filter val="Plastik Cırt Kelepçe Beyaz 30cm"/>
            <filter val="Plastik Cırt Kelepçe Siyah 30cm"/>
            <filter val="Pleksi A4 Mıknatıslı"/>
            <filter val="Pleksi Kulaklık Askılığı"/>
            <filter val="Pleksi Mıknatıslı Fotoğraf 10x15"/>
            <filter val="Pleksi Teşhir Kutusu"/>
            <filter val="Pos Cihazı Rulosu 56x16"/>
            <filter val="Reyon Bariyeri 100cm"/>
            <filter val="Strech film"/>
            <filter val="Sürgülü kilitli Kulakiçi Kulaklık Standı 100 cm"/>
            <filter val="Termal Etiket 40x20 1000 Sarım"/>
            <filter val="TV Güvenlik Teli"/>
            <filter val="Weiland Düz Kablo 2 Metre"/>
            <filter val="Weiland Düz Kablo 3 Metre"/>
            <filter val="Yazar Kasa Rulosu 80x30"/>
          </filters>
        </filterColumn>
      </autoFilter>
    </customSheetView>
    <customSheetView guid="{45DD3965-6A36-4C34-A9FC-BB77A7D9D8C7}" filter="1" showAutoFilter="1">
      <pageMargins left="0.7" right="0.7" top="0.75" bottom="0.75" header="0.3" footer="0.3"/>
      <autoFilter ref="A9:Z199" xr:uid="{8425D9C0-7F62-054E-B926-F5652903E7A7}">
        <filterColumn colId="20">
          <filters blank="1">
            <filter val="1,000.00 TL"/>
            <filter val="1,020.00 TL"/>
            <filter val="1,080.00 TL"/>
            <filter val="1,120.00 TL"/>
            <filter val="1,150.00 TL"/>
            <filter val="1,160.00 TL"/>
            <filter val="1,200.00 TL"/>
            <filter val="1,208.00 TL"/>
            <filter val="1,250.00 TL"/>
            <filter val="1,260.00 TL"/>
            <filter val="1,380.00 TL"/>
            <filter val="1,400.00 TL"/>
            <filter val="1,500.00 TL"/>
            <filter val="1,600.00 TL"/>
            <filter val="1,638.00 TL"/>
            <filter val="1,689.10 TL"/>
            <filter val="1,725.00 TL"/>
            <filter val="1,725.14 TL"/>
            <filter val="1,750.00 TL"/>
            <filter val="1,764.00 TL"/>
            <filter val="1,765.00 TL"/>
            <filter val="1,800.00 TL"/>
            <filter val="1,840.00 TL"/>
            <filter val="1,916.40 TL"/>
            <filter val="1,925.00 TL"/>
            <filter val="11,475.00 TL"/>
            <filter val="12,000.00 TL"/>
            <filter val="13,800.00 TL"/>
            <filter val="14,000.00 TL"/>
            <filter val="150.00 TL"/>
            <filter val="160.00 TL"/>
            <filter val="2,300.00 TL"/>
            <filter val="2,400.00 TL"/>
            <filter val="2,500.00 TL"/>
            <filter val="2,550.00 TL"/>
            <filter val="2,587.71 TL"/>
            <filter val="2,750.00 TL"/>
            <filter val="2,874.60 TL"/>
            <filter val="200.00 TL"/>
            <filter val="250.00 TL"/>
            <filter val="280.00 TL"/>
            <filter val="287.24 TL"/>
            <filter val="3,000.00 TL"/>
            <filter val="3,060.00 TL"/>
            <filter val="3,100.00 TL"/>
            <filter val="3,276.00 TL"/>
            <filter val="3,300.00 TL"/>
            <filter val="3,528.00 TL"/>
            <filter val="3,600.00 TL"/>
            <filter val="3,750.00 TL"/>
            <filter val="3,832.80 TL"/>
            <filter val="3,850.00 TL"/>
            <filter val="3,965.00 TL"/>
            <filter val="300.00 TL"/>
            <filter val="302.00 TL"/>
            <filter val="350.00 TL"/>
            <filter val="390.00 TL"/>
            <filter val="4,000.00 TL"/>
            <filter val="4,600.00 TL"/>
            <filter val="4,900.00 TL"/>
            <filter val="400.00 TL"/>
            <filter val="450.00 TL"/>
            <filter val="480.00 TL"/>
            <filter val="5,500.00 TL"/>
            <filter val="5,749.20 TL"/>
            <filter val="555.00 TL"/>
            <filter val="580.00 TL"/>
            <filter val="6,900.00 TL"/>
            <filter val="600.00 TL"/>
            <filter val="620.00 TL"/>
            <filter val="65.00 TL"/>
            <filter val="650.00 TL"/>
            <filter val="660.00 TL"/>
            <filter val="675.00 TL"/>
            <filter val="684.00 TL"/>
            <filter val="70.00 TL"/>
            <filter val="720.00 TL"/>
            <filter val="750.00 TL"/>
            <filter val="780.00 TL"/>
            <filter val="800.00 TL"/>
            <filter val="856.00 TL"/>
            <filter val="9,000.00 TL"/>
            <filter val="9,300.00 TL"/>
            <filter val="930.00 TL"/>
            <filter val="950.00 TL"/>
            <filter val="958.20 TL"/>
            <filter val="975.00 TL"/>
          </filters>
        </filterColumn>
      </autoFilter>
    </customSheetView>
    <customSheetView guid="{86FE429F-8E61-4DC8-A433-B13AE04B64E6}" filter="1" showAutoFilter="1">
      <pageMargins left="0.7" right="0.7" top="0.75" bottom="0.75" header="0.3" footer="0.3"/>
      <autoFilter ref="A9:Z193" xr:uid="{77E0AE90-676D-4C48-BFB0-1311619BD7E7}">
        <filterColumn colId="15">
          <filters>
            <filter val="TRUE"/>
            <filter val="FALSE"/>
          </filters>
        </filterColumn>
        <filterColumn colId="19">
          <filters blank="1"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8DF69057-10E2-434E-9A26-117BB354D6B5}" filter="1" showAutoFilter="1">
      <pageMargins left="0.7" right="0.7" top="0.75" bottom="0.75" header="0.3" footer="0.3"/>
      <autoFilter ref="A9:Z199" xr:uid="{82C990C3-C395-DB42-9880-377E019C328D}">
        <filterColumn colId="15">
          <filters blank="1">
            <filter val="FALSE"/>
            <filter val="TRUE"/>
          </filters>
        </filterColumn>
        <filterColumn colId="19">
          <filters blank="1">
            <filter val="RE02024000000075"/>
            <filter val="RE02024000000076"/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2A629D90-DF55-42DE-9FE5-BBC34C3FB857}" filter="1" showAutoFilter="1">
      <pageMargins left="0.7" right="0.7" top="0.75" bottom="0.75" header="0.3" footer="0.3"/>
      <autoFilter ref="A9:Z193" xr:uid="{AE93965D-4036-AA44-BF87-98F30772B2EC}">
        <filterColumn colId="6">
          <filters>
            <filter val="80x60x15 Baza (rengi teyit edilicek)"/>
            <filter val="İsimlik Personel İsimliği (4 Kasiyer-3Müşteri Hizmetleri-2Teslimat Uzmanı)"/>
            <filter val="Logolu Koli Bandı"/>
            <filter val="Logolu Koli Bantı"/>
            <filter val="Plastik Bardak"/>
            <filter val="Pleksi A4 Mıknatıslı"/>
            <filter val="Strech film"/>
            <filter val="Sürgülü kilitli Kulakiçi Kulaklık Standı 100 cm"/>
            <filter val="Weiland Düz Kablo 2 Metre"/>
            <filter val="Weiland Düz Kablo 3 Metre"/>
          </filters>
        </filterColumn>
      </autoFilter>
    </customSheetView>
    <customSheetView guid="{E1D3DF5B-EEE5-4541-9EE8-3CF33782D022}" filter="1" showAutoFilter="1">
      <pageMargins left="0.7" right="0.7" top="0.75" bottom="0.75" header="0.3" footer="0.3"/>
      <autoFilter ref="A9:Z199" xr:uid="{FA13853B-FCF4-AC40-8BFE-4F8A138968B0}">
        <filterColumn colId="6">
          <filters>
            <filter val="80x60x15 Baza (rengi teyit edilicek)"/>
            <filter val="İsimlik Personel İsimliği (4 Kasiyer-3Müşteri Hizmetleri-2Teslimat Uzmanı)"/>
            <filter val="Kablo Kanalı 5x10  1 Metre"/>
            <filter val="Kartvizit"/>
            <filter val="Kartvizit - Tayfun Oktay"/>
            <filter val="Kg Etiketi Sticker 14x14cm"/>
            <filter val="Logolu Karton Bardak (Özellikle Koli Üzerine Mahir Aldemir Dikkatine Yazılacak)"/>
            <filter val="Logolu Koli Bandı"/>
            <filter val="Paket Lastiği"/>
            <filter val="Plastik Bardak"/>
            <filter val="Plastik Bardak Koli"/>
            <filter val="Plastik Cırt Kelepçe Beyaz 30cm"/>
            <filter val="Plastik Cırt Kelepçe Siyah 30cm"/>
            <filter val="Pleksi A4 Mıknatıslı"/>
            <filter val="Pleksi Kulaklık Askılığı"/>
            <filter val="Pleksi Mıknatıslı Fotoğraf 10x15"/>
            <filter val="Pleksi Teşhir Kutusu"/>
            <filter val="Reyon Bariyeri 100cm"/>
            <filter val="Strech film"/>
            <filter val="Sürgülü kilitli Kulakiçi Kulaklık Standı 100 cm"/>
            <filter val="Termal Etiket 40x20 1000 Sarım"/>
            <filter val="TV Güvenlik Teli"/>
            <filter val="Weiland Düz Kablo 2 Metre"/>
            <filter val="Weiland Düz Kablo 3 Metre"/>
          </filters>
        </filterColumn>
      </autoFilter>
    </customSheetView>
    <customSheetView guid="{C13C60AA-B3BC-4446-AA19-480F740F36DD}" filter="1" showAutoFilter="1">
      <pageMargins left="0.7" right="0.7" top="0.75" bottom="0.75" header="0.3" footer="0.3"/>
      <autoFilter ref="A9:Z199" xr:uid="{C6477B82-1D50-684E-80C1-CCF830E29982}">
        <filterColumn colId="6">
          <filters>
            <filter val="80x60x15 Baza (rengi teyit edilicek)"/>
            <filter val="İsimlik Personel İsimliği (4 Kasiyer-3Müşteri Hizmetleri-2Teslimat Uzmanı)"/>
            <filter val="Kablo Kanalı 5x10  1 Metre"/>
            <filter val="Kartvizit - Tayfun Oktay"/>
            <filter val="Kg Etiketi Sticker 14x14cm"/>
            <filter val="Logolu Karton Bardak (Özellikle Koli Üzerine Mahir Aldemir Dikkatine Yazılacak)"/>
            <filter val="Logolu Koli Bandı"/>
            <filter val="Paket Lastiği"/>
            <filter val="Plastik Bardak"/>
            <filter val="Plastik Bardak Koli"/>
            <filter val="Plastik Cırt Kelepçe Beyaz 30cm"/>
            <filter val="Plastik Cırt Kelepçe Siyah 30cm"/>
            <filter val="Pleksi A4 Mıknatıslı"/>
            <filter val="Pleksi Kulaklık Askılığı"/>
            <filter val="Pleksi Mıknatıslı Fotoğraf 10x15"/>
            <filter val="Pleksi Teşhir Kutusu"/>
            <filter val="Reyon Bariyeri 100cm"/>
            <filter val="Strech Film"/>
            <filter val="Sürgülü kilitli Kulakiçi Kulaklık Standı 100 cm"/>
            <filter val="Termal Etiket 40x20 1000 Sarım"/>
            <filter val="TV Güvenlik Teli"/>
            <filter val="Weiland Düz Kablo 2 Metre"/>
            <filter val="Weiland Düz Kablo 3 Metre"/>
          </filters>
        </filterColumn>
      </autoFilter>
    </customSheetView>
    <customSheetView guid="{B16C0C81-5C81-4689-AD36-9DAE16331E67}" filter="1" showAutoFilter="1">
      <pageMargins left="0.7" right="0.7" top="0.75" bottom="0.75" header="0.3" footer="0.3"/>
      <autoFilter ref="A9:Z193" xr:uid="{7889B28C-8DF2-BA40-A04E-8E29DC4CD502}">
        <filterColumn colId="20">
          <filters blank="1">
            <filter val="1,000.00 TL"/>
            <filter val="1,020.00 TL"/>
            <filter val="1,080.00 TL"/>
            <filter val="1,120.00 TL"/>
            <filter val="1,150.00 TL"/>
            <filter val="1,160.00 TL"/>
            <filter val="1,200.00 TL"/>
            <filter val="1,208.00 TL"/>
            <filter val="1,250.00 TL"/>
            <filter val="1,260.00 TL"/>
            <filter val="1,380.00 TL"/>
            <filter val="1,400.00 TL"/>
            <filter val="1,500.00 TL"/>
            <filter val="1,600.00 TL"/>
            <filter val="1,638.00 TL"/>
            <filter val="1,689.10 TL"/>
            <filter val="1,725.00 TL"/>
            <filter val="1,725.14 TL"/>
            <filter val="1,750.00 TL"/>
            <filter val="1,764.00 TL"/>
            <filter val="1,765.00 TL"/>
            <filter val="1,800.00 TL"/>
            <filter val="1,840.00 TL"/>
            <filter val="1,916.40 TL"/>
            <filter val="1,925.00 TL"/>
            <filter val="11,475.00 TL"/>
            <filter val="12,000.00 TL"/>
            <filter val="13,800.00 TL"/>
            <filter val="14,000.00 TL"/>
            <filter val="150.00 TL"/>
            <filter val="160.00 TL"/>
            <filter val="2,300.00 TL"/>
            <filter val="2,400.00 TL"/>
            <filter val="2,500.00 TL"/>
            <filter val="2,550.00 TL"/>
            <filter val="2,587.71 TL"/>
            <filter val="2,750.00 TL"/>
            <filter val="2,874.60 TL"/>
            <filter val="200.00 TL"/>
            <filter val="250.00 TL"/>
            <filter val="280.00 TL"/>
            <filter val="287.24 TL"/>
            <filter val="3,000.00 TL"/>
            <filter val="3,060.00 TL"/>
            <filter val="3,100.00 TL"/>
            <filter val="3,276.00 TL"/>
            <filter val="3,300.00 TL"/>
            <filter val="3,528.00 TL"/>
            <filter val="3,600.00 TL"/>
            <filter val="3,750.00 TL"/>
            <filter val="3,832.80 TL"/>
            <filter val="3,850.00 TL"/>
            <filter val="3,965.00 TL"/>
            <filter val="300.00 TL"/>
            <filter val="302.00 TL"/>
            <filter val="350.00 TL"/>
            <filter val="390.00 TL"/>
            <filter val="4,000.00 TL"/>
            <filter val="4,600.00 TL"/>
            <filter val="4,900.00 TL"/>
            <filter val="400.00 TL"/>
            <filter val="450.00 TL"/>
            <filter val="480.00 TL"/>
            <filter val="5,500.00 TL"/>
            <filter val="5,749.20 TL"/>
            <filter val="555.00 TL"/>
            <filter val="580.00 TL"/>
            <filter val="6,900.00 TL"/>
            <filter val="600.00 TL"/>
            <filter val="620.00 TL"/>
            <filter val="65.00 TL"/>
            <filter val="650.00 TL"/>
            <filter val="660.00 TL"/>
            <filter val="675.00 TL"/>
            <filter val="684.00 TL"/>
            <filter val="70.00 TL"/>
            <filter val="720.00 TL"/>
            <filter val="750.00 TL"/>
            <filter val="780.00 TL"/>
            <filter val="800.00 TL"/>
            <filter val="856.00 TL"/>
            <filter val="9,000.00 TL"/>
            <filter val="9,300.00 TL"/>
            <filter val="930.00 TL"/>
            <filter val="950.00 TL"/>
            <filter val="958.20 TL"/>
            <filter val="975.00 TL"/>
          </filters>
        </filterColumn>
      </autoFilter>
    </customSheetView>
    <customSheetView guid="{F86C0712-89BA-473B-A384-E1088865C57F}" filter="1" showAutoFilter="1">
      <pageMargins left="0.7" right="0.7" top="0.75" bottom="0.75" header="0.3" footer="0.3"/>
      <autoFilter ref="A9:Z199" xr:uid="{6C04245C-390B-254E-A823-BBF400A92F1C}">
        <filterColumn colId="15">
          <filters blank="1">
            <filter val="FALSE"/>
            <filter val="TRUE"/>
          </filters>
        </filterColumn>
        <filterColumn colId="19">
          <filters blank="1"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83452753-A2E5-4895-AC39-2857EB4185A4}" filter="1" showAutoFilter="1">
      <pageMargins left="0.7" right="0.7" top="0.75" bottom="0.75" header="0.3" footer="0.3"/>
      <autoFilter ref="A9:Z199" xr:uid="{BD38AABD-079C-8740-A760-06380748FFD5}">
        <filterColumn colId="20">
          <filters blank="1">
            <filter val="1,000.00 TL"/>
            <filter val="1,020.00 TL"/>
            <filter val="1,080.00 TL"/>
            <filter val="1,120.00 TL"/>
            <filter val="1,150.00 TL"/>
            <filter val="1,160.00 TL"/>
            <filter val="1,200.00 TL"/>
            <filter val="1,208.00 TL"/>
            <filter val="1,250.00 TL"/>
            <filter val="1,260.00 TL"/>
            <filter val="1,380.00 TL"/>
            <filter val="1,400.00 TL"/>
            <filter val="1,500.00 TL"/>
            <filter val="1,600.00 TL"/>
            <filter val="1,638.00 TL"/>
            <filter val="1,689.10 TL"/>
            <filter val="1,725.00 TL"/>
            <filter val="1,725.14 TL"/>
            <filter val="1,750.00 TL"/>
            <filter val="1,764.00 TL"/>
            <filter val="1,765.00 TL"/>
            <filter val="1,800.00 TL"/>
            <filter val="1,840.00 TL"/>
            <filter val="1,916.40 TL"/>
            <filter val="1,925.00 TL"/>
            <filter val="11,475.00 TL"/>
            <filter val="12,000.00 TL"/>
            <filter val="13,800.00 TL"/>
            <filter val="14,000.00 TL"/>
            <filter val="150.00 TL"/>
            <filter val="160.00 TL"/>
            <filter val="2,300.00 TL"/>
            <filter val="2,400.00 TL"/>
            <filter val="2,500.00 TL"/>
            <filter val="2,550.00 TL"/>
            <filter val="2,587.71 TL"/>
            <filter val="2,750.00 TL"/>
            <filter val="2,874.60 TL"/>
            <filter val="200.00 TL"/>
            <filter val="250.00 TL"/>
            <filter val="280.00 TL"/>
            <filter val="287.24 TL"/>
            <filter val="3,000.00 TL"/>
            <filter val="3,060.00 TL"/>
            <filter val="3,100.00 TL"/>
            <filter val="3,276.00 TL"/>
            <filter val="3,300.00 TL"/>
            <filter val="3,528.00 TL"/>
            <filter val="3,600.00 TL"/>
            <filter val="3,750.00 TL"/>
            <filter val="3,832.80 TL"/>
            <filter val="3,850.00 TL"/>
            <filter val="3,965.00 TL"/>
            <filter val="300.00 TL"/>
            <filter val="302.00 TL"/>
            <filter val="350.00 TL"/>
            <filter val="390.00 TL"/>
            <filter val="4,000.00 TL"/>
            <filter val="4,600.00 TL"/>
            <filter val="4,900.00 TL"/>
            <filter val="400.00 TL"/>
            <filter val="450.00 TL"/>
            <filter val="480.00 TL"/>
            <filter val="5,500.00 TL"/>
            <filter val="5,749.20 TL"/>
            <filter val="555.00 TL"/>
            <filter val="580.00 TL"/>
            <filter val="6,900.00 TL"/>
            <filter val="600.00 TL"/>
            <filter val="620.00 TL"/>
            <filter val="65.00 TL"/>
            <filter val="650.00 TL"/>
            <filter val="660.00 TL"/>
            <filter val="675.00 TL"/>
            <filter val="684.00 TL"/>
            <filter val="70.00 TL"/>
            <filter val="720.00 TL"/>
            <filter val="750.00 TL"/>
            <filter val="780.00 TL"/>
            <filter val="800.00 TL"/>
            <filter val="856.00 TL"/>
            <filter val="9,000.00 TL"/>
            <filter val="9,300.00 TL"/>
            <filter val="930.00 TL"/>
            <filter val="950.00 TL"/>
            <filter val="958.20 TL"/>
            <filter val="975.00 TL"/>
          </filters>
        </filterColumn>
      </autoFilter>
    </customSheetView>
    <customSheetView guid="{AB3EE88F-CAD3-4D5E-B2FF-371DDEE3ECEF}" filter="1" showAutoFilter="1">
      <pageMargins left="0.7" right="0.7" top="0.75" bottom="0.75" header="0.3" footer="0.3"/>
      <autoFilter ref="C7:X199" xr:uid="{E5A6A68C-79AB-9A4C-835D-926A69BEC364}"/>
    </customSheetView>
    <customSheetView guid="{65C673E0-AE30-4C3F-B678-27F9F5878965}" filter="1" showAutoFilter="1">
      <pageMargins left="0.7" right="0.7" top="0.75" bottom="0.75" header="0.3" footer="0.3"/>
      <autoFilter ref="A9:Z199" xr:uid="{DAC2FC09-0F10-A745-BA49-9EED9C3E907B}">
        <filterColumn colId="15">
          <filters blank="1">
            <filter val="FALSE"/>
            <filter val="TRUE"/>
          </filters>
        </filterColumn>
        <filterColumn colId="19">
          <filters blank="1">
            <filter val="RE02024000000055"/>
            <filter val="RE02024000000056"/>
            <filter val="RE02024000000058"/>
            <filter val="RE02024000000059"/>
            <filter val="RE02024000000060"/>
            <filter val="RE02024000000061"/>
            <filter val="RE02024000000062"/>
            <filter val="RE02024000000063"/>
            <filter val="RE02024000000066"/>
            <filter val="RE02024000000067"/>
            <filter val="RE02024000000068"/>
            <filter val="RE02024000000069"/>
            <filter val="RE02024000000070"/>
            <filter val="RE02024000000071"/>
            <filter val="RE02024000000072"/>
            <filter val="RE02024000000073"/>
            <filter val="RE02024000000074"/>
            <filter val="RE02024000000075"/>
            <filter val="RE02024000000076"/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4E6C842E-1AE5-4266-A760-0DBC8ED32795}" filter="1" showAutoFilter="1">
      <pageMargins left="0.7" right="0.7" top="0.75" bottom="0.75" header="0.3" footer="0.3"/>
      <autoFilter ref="A9:Z199" xr:uid="{A9E695D0-BD61-6D4B-B82C-02C3B460123B}">
        <filterColumn colId="6">
          <filters>
            <filter val="80x60x15 Baza (rengi teyit edilicek)"/>
            <filter val="İsimlik Personel İsimliği (4 Kasiyer-3Müşteri Hizmetleri-2Teslimat Uzmanı)"/>
            <filter val="Kablo Kanalı 5x10  1 Metre"/>
            <filter val="Kartvizit - Tayfun Oktay"/>
            <filter val="Kaşe İsim Kaşesi"/>
            <filter val="Kaşe İsim Kaşesi  (Kemal Kaplan-Tuğba Karadaş)"/>
            <filter val="Kaşe Yuvarlak İsim KAşesi- Eda Çevik-Hanife Yalçın"/>
            <filter val="Kaşe-İsim Kaşesi  - Sefa Yılmaz-"/>
            <filter val="Kaşe-Mal Giriş-Mal Çıkış"/>
            <filter val="Kg Etiketi Sticker 14x14cm"/>
            <filter val="Logolu Karton Bardak (Özellikle Koli Üzerine Mahir Aldemir Dikkatine Yazılacak)"/>
            <filter val="Logolu Koli Bandı"/>
            <filter val="Paket Lastiği"/>
            <filter val="Plastik Bardak"/>
            <filter val="Plastik Bardak Koli"/>
            <filter val="Plastik Cırt Kelepçe Beyaz 30cm"/>
            <filter val="Plastik Cırt Kelepçe Siyah 30cm"/>
            <filter val="Pleksi A4 Mıknatıslı"/>
            <filter val="Pleksi Kulaklık Askılığı"/>
            <filter val="Pleksi Mıknatıslı Fotoğraf 10x15"/>
            <filter val="Pleksi Teşhir Kutusu"/>
            <filter val="Reyon Bariyeri 100cm"/>
            <filter val="Strech film"/>
            <filter val="Sürgülü kilitli Kulakiçi Kulaklık Standı 100 cm"/>
            <filter val="Termal Etiket 40x20 1000 Sarım"/>
            <filter val="TV Güvenlik Teli"/>
            <filter val="Weiland Düz Kablo 2 Metre"/>
            <filter val="Weiland Düz Kablo 3 Metre"/>
          </filters>
        </filterColumn>
      </autoFilter>
    </customSheetView>
    <customSheetView guid="{1690381E-EDBA-489A-8E58-BB03EED6A56A}" filter="1" showAutoFilter="1">
      <pageMargins left="0.7" right="0.7" top="0.75" bottom="0.75" header="0.3" footer="0.3"/>
      <autoFilter ref="A9:Z199" xr:uid="{0559A9FA-4DDB-AB46-A742-79FE635BD1F5}">
        <filterColumn colId="15">
          <filters blank="1">
            <filter val="FALSE"/>
            <filter val="TRUE"/>
          </filters>
        </filterColumn>
        <filterColumn colId="19">
          <filters blank="1">
            <filter val="RE02024000000071"/>
            <filter val="RE02024000000072"/>
            <filter val="RE02024000000073"/>
            <filter val="RE02024000000074"/>
            <filter val="RE02024000000075"/>
            <filter val="RE02024000000076"/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76FE80B7-048A-4848-BCC4-616193A540D1}" filter="1" showAutoFilter="1">
      <pageMargins left="0.7" right="0.7" top="0.75" bottom="0.75" header="0.3" footer="0.3"/>
      <autoFilter ref="A9:Z199" xr:uid="{C3C9F6FE-7468-0743-8C64-96939982216C}">
        <filterColumn colId="15">
          <filters blank="1">
            <filter val="FALSE"/>
            <filter val="TRUE"/>
          </filters>
        </filterColumn>
        <filterColumn colId="19">
          <filters blank="1">
            <filter val="RE02024000000019"/>
            <filter val="RE02024000000020"/>
            <filter val="RE02024000000021"/>
            <filter val="RE02024000000024"/>
            <filter val="RE02024000000025"/>
            <filter val="RE02024000000026"/>
            <filter val="RE02024000000028"/>
            <filter val="RE02024000000029"/>
            <filter val="RE02024000000030"/>
            <filter val="RE02024000000031"/>
            <filter val="RE02024000000032"/>
            <filter val="RE02024000000033"/>
            <filter val="RE02024000000034"/>
            <filter val="RE02024000000035"/>
            <filter val="RE02024000000036"/>
            <filter val="RE02024000000037"/>
            <filter val="RE02024000000038"/>
            <filter val="RE02024000000039"/>
            <filter val="RE02024000000040"/>
            <filter val="RE02024000000041"/>
            <filter val="RE02024000000042"/>
            <filter val="RE02024000000043"/>
            <filter val="RE02024000000044"/>
            <filter val="RE02024000000045"/>
            <filter val="RE02024000000046"/>
            <filter val="RE02024000000049"/>
            <filter val="RE02024000000050"/>
            <filter val="RE02024000000051"/>
            <filter val="RE02024000000053"/>
            <filter val="RE02024000000054"/>
            <filter val="RE02024000000055"/>
            <filter val="RE02024000000056"/>
            <filter val="RE02024000000058"/>
            <filter val="RE02024000000059"/>
            <filter val="RE02024000000060"/>
            <filter val="RE02024000000061"/>
            <filter val="RE02024000000062"/>
            <filter val="RE02024000000063"/>
            <filter val="RE02024000000066"/>
            <filter val="RE02024000000067"/>
            <filter val="RE02024000000068"/>
            <filter val="RE02024000000069"/>
            <filter val="RE02024000000070"/>
            <filter val="RE02024000000071"/>
            <filter val="RE02024000000072"/>
            <filter val="RE02024000000073"/>
            <filter val="RE02024000000074"/>
            <filter val="RE02024000000075"/>
            <filter val="RE02024000000076"/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0B0580CB-5201-44AB-95E0-AAB9E5DAEEB3}" filter="1" showAutoFilter="1">
      <pageMargins left="0.7" right="0.7" top="0.75" bottom="0.75" header="0.3" footer="0.3"/>
      <autoFilter ref="A9:Z199" xr:uid="{EA0DA50D-8AEA-7748-A5FF-83E8A3F0525C}">
        <filterColumn colId="20">
          <filters blank="1">
            <filter val="1,000.00 TL"/>
            <filter val="1,020.00 TL"/>
            <filter val="1,080.00 TL"/>
            <filter val="1,120.00 TL"/>
            <filter val="1,150.00 TL"/>
            <filter val="1,160.00 TL"/>
            <filter val="1,200.00 TL"/>
            <filter val="1,208.00 TL"/>
            <filter val="1,250.00 TL"/>
            <filter val="1,260.00 TL"/>
            <filter val="1,380.00 TL"/>
            <filter val="1,400.00 TL"/>
            <filter val="1,500.00 TL"/>
            <filter val="1,600.00 TL"/>
            <filter val="1,638.00 TL"/>
            <filter val="1,689.10 TL"/>
            <filter val="1,725.00 TL"/>
            <filter val="1,725.14 TL"/>
            <filter val="1,750.00 TL"/>
            <filter val="1,764.00 TL"/>
            <filter val="1,765.00 TL"/>
            <filter val="1,800.00 TL"/>
            <filter val="1,840.00 TL"/>
            <filter val="1,916.40 TL"/>
            <filter val="1,925.00 TL"/>
            <filter val="11,475.00 TL"/>
            <filter val="12,000.00 TL"/>
            <filter val="13,800.00 TL"/>
            <filter val="14,000.00 TL"/>
            <filter val="150.00 TL"/>
            <filter val="160.00 TL"/>
            <filter val="2,300.00 TL"/>
            <filter val="2,400.00 TL"/>
            <filter val="2,500.00 TL"/>
            <filter val="2,550.00 TL"/>
            <filter val="2,587.71 TL"/>
            <filter val="2,750.00 TL"/>
            <filter val="2,874.60 TL"/>
            <filter val="200.00 TL"/>
            <filter val="250.00 TL"/>
            <filter val="280.00 TL"/>
            <filter val="287.24 TL"/>
            <filter val="3,000.00 TL"/>
            <filter val="3,060.00 TL"/>
            <filter val="3,100.00 TL"/>
            <filter val="3,276.00 TL"/>
            <filter val="3,300.00 TL"/>
            <filter val="3,528.00 TL"/>
            <filter val="3,600.00 TL"/>
            <filter val="3,750.00 TL"/>
            <filter val="3,832.80 TL"/>
            <filter val="3,850.00 TL"/>
            <filter val="3,965.00 TL"/>
            <filter val="300.00 TL"/>
            <filter val="302.00 TL"/>
            <filter val="350.00 TL"/>
            <filter val="390.00 TL"/>
            <filter val="4,000.00 TL"/>
            <filter val="4,600.00 TL"/>
            <filter val="4,900.00 TL"/>
            <filter val="400.00 TL"/>
            <filter val="450.00 TL"/>
            <filter val="480.00 TL"/>
            <filter val="5,500.00 TL"/>
            <filter val="5,749.20 TL"/>
            <filter val="555.00 TL"/>
            <filter val="580.00 TL"/>
            <filter val="6,900.00 TL"/>
            <filter val="600.00 TL"/>
            <filter val="620.00 TL"/>
            <filter val="65.00 TL"/>
            <filter val="650.00 TL"/>
            <filter val="660.00 TL"/>
            <filter val="675.00 TL"/>
            <filter val="684.00 TL"/>
            <filter val="70.00 TL"/>
            <filter val="720.00 TL"/>
            <filter val="750.00 TL"/>
            <filter val="780.00 TL"/>
            <filter val="800.00 TL"/>
            <filter val="856.00 TL"/>
            <filter val="9,000.00 TL"/>
            <filter val="9,300.00 TL"/>
            <filter val="930.00 TL"/>
            <filter val="950.00 TL"/>
            <filter val="958.20 TL"/>
            <filter val="975.00 TL"/>
          </filters>
        </filterColumn>
      </autoFilter>
    </customSheetView>
    <customSheetView guid="{33795E09-EF38-4617-B78D-EEB628861E32}" filter="1" showAutoFilter="1">
      <pageMargins left="0.7" right="0.7" top="0.75" bottom="0.75" header="0.3" footer="0.3"/>
      <autoFilter ref="A9:Z193" xr:uid="{F11A30A7-F169-0946-AA72-A0225D189DEE}">
        <filterColumn colId="15">
          <filters>
            <filter val="TRUE"/>
            <filter val="FALSE"/>
          </filters>
        </filterColumn>
        <filterColumn colId="19">
          <filters blank="1"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DB57DBB9-B5E7-4A59-84CA-95C2D93DEADE}" filter="1" showAutoFilter="1">
      <pageMargins left="0.7" right="0.7" top="0.75" bottom="0.75" header="0.3" footer="0.3"/>
      <autoFilter ref="A9:Z193" xr:uid="{0C06C40B-0894-0E46-8F94-0B05235BD875}">
        <filterColumn colId="15">
          <filters>
            <filter val="TRUE"/>
            <filter val="FALSE"/>
          </filters>
        </filterColumn>
        <filterColumn colId="19">
          <filters blank="1"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A36A2149-2DF3-489A-A1FC-4611D7C761EC}" filter="1" showAutoFilter="1">
      <pageMargins left="0.7" right="0.7" top="0.75" bottom="0.75" header="0.3" footer="0.3"/>
      <autoFilter ref="A9:Z199" xr:uid="{5C810C80-7208-4944-AE69-948165C44D79}">
        <filterColumn colId="15">
          <filters blank="1">
            <filter val="FALSE"/>
            <filter val="TRUE"/>
          </filters>
        </filterColumn>
        <filterColumn colId="19">
          <filters blank="1"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1B6A235E-C50E-41E4-AD09-55C78D2BFD3B}" filter="1" showAutoFilter="1">
      <pageMargins left="0.7" right="0.7" top="0.75" bottom="0.75" header="0.3" footer="0.3"/>
      <autoFilter ref="A9:Z199" xr:uid="{19267779-83B3-6A43-8071-345B883CA126}">
        <filterColumn colId="19">
          <filters blank="1">
            <filter val="RE02024000000058"/>
            <filter val="RE02024000000059"/>
            <filter val="RE02024000000060"/>
            <filter val="RE02024000000061"/>
            <filter val="RE02024000000062"/>
            <filter val="RE02024000000063"/>
            <filter val="RE02024000000066"/>
            <filter val="RE02024000000067"/>
            <filter val="RE02024000000068"/>
            <filter val="RE02024000000069"/>
            <filter val="RE02024000000070"/>
            <filter val="RE02024000000071"/>
            <filter val="RE02024000000072"/>
            <filter val="RE02024000000073"/>
            <filter val="RE02024000000074"/>
            <filter val="RE02024000000075"/>
            <filter val="RE02024000000076"/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FA039B71-8583-434B-AF5C-F7A0DD0543E2}" filter="1" showAutoFilter="1">
      <pageMargins left="0.7" right="0.7" top="0.75" bottom="0.75" header="0.3" footer="0.3"/>
      <autoFilter ref="A9:Z193" xr:uid="{C3B6D74B-3461-A64B-9902-44F9C2118D18}">
        <filterColumn colId="20">
          <filters blank="1">
            <filter val="1,000.00 TL"/>
            <filter val="1,020.00 TL"/>
            <filter val="1,080.00 TL"/>
            <filter val="1,120.00 TL"/>
            <filter val="1,150.00 TL"/>
            <filter val="1,160.00 TL"/>
            <filter val="1,200.00 TL"/>
            <filter val="1,208.00 TL"/>
            <filter val="1,250.00 TL"/>
            <filter val="1,260.00 TL"/>
            <filter val="1,380.00 TL"/>
            <filter val="1,400.00 TL"/>
            <filter val="1,500.00 TL"/>
            <filter val="1,600.00 TL"/>
            <filter val="1,638.00 TL"/>
            <filter val="1,689.10 TL"/>
            <filter val="1,725.00 TL"/>
            <filter val="1,725.14 TL"/>
            <filter val="1,750.00 TL"/>
            <filter val="1,764.00 TL"/>
            <filter val="1,765.00 TL"/>
            <filter val="1,800.00 TL"/>
            <filter val="1,840.00 TL"/>
            <filter val="1,916.40 TL"/>
            <filter val="1,925.00 TL"/>
            <filter val="11,475.00 TL"/>
            <filter val="12,000.00 TL"/>
            <filter val="13,800.00 TL"/>
            <filter val="14,000.00 TL"/>
            <filter val="150.00 TL"/>
            <filter val="160.00 TL"/>
            <filter val="2,300.00 TL"/>
            <filter val="2,400.00 TL"/>
            <filter val="2,500.00 TL"/>
            <filter val="2,550.00 TL"/>
            <filter val="2,587.71 TL"/>
            <filter val="2,750.00 TL"/>
            <filter val="2,874.60 TL"/>
            <filter val="200.00 TL"/>
            <filter val="250.00 TL"/>
            <filter val="280.00 TL"/>
            <filter val="287.24 TL"/>
            <filter val="3,000.00 TL"/>
            <filter val="3,060.00 TL"/>
            <filter val="3,100.00 TL"/>
            <filter val="3,276.00 TL"/>
            <filter val="3,300.00 TL"/>
            <filter val="3,528.00 TL"/>
            <filter val="3,600.00 TL"/>
            <filter val="3,750.00 TL"/>
            <filter val="3,832.80 TL"/>
            <filter val="3,850.00 TL"/>
            <filter val="3,965.00 TL"/>
            <filter val="300.00 TL"/>
            <filter val="302.00 TL"/>
            <filter val="350.00 TL"/>
            <filter val="390.00 TL"/>
            <filter val="4,000.00 TL"/>
            <filter val="4,600.00 TL"/>
            <filter val="4,900.00 TL"/>
            <filter val="400.00 TL"/>
            <filter val="450.00 TL"/>
            <filter val="480.00 TL"/>
            <filter val="5,500.00 TL"/>
            <filter val="5,749.20 TL"/>
            <filter val="555.00 TL"/>
            <filter val="580.00 TL"/>
            <filter val="6,900.00 TL"/>
            <filter val="600.00 TL"/>
            <filter val="620.00 TL"/>
            <filter val="65.00 TL"/>
            <filter val="650.00 TL"/>
            <filter val="660.00 TL"/>
            <filter val="675.00 TL"/>
            <filter val="684.00 TL"/>
            <filter val="70.00 TL"/>
            <filter val="720.00 TL"/>
            <filter val="750.00 TL"/>
            <filter val="780.00 TL"/>
            <filter val="800.00 TL"/>
            <filter val="856.00 TL"/>
            <filter val="9,000.00 TL"/>
            <filter val="9,300.00 TL"/>
            <filter val="930.00 TL"/>
            <filter val="950.00 TL"/>
            <filter val="958.20 TL"/>
            <filter val="975.00 TL"/>
          </filters>
        </filterColumn>
      </autoFilter>
    </customSheetView>
    <customSheetView guid="{E661CD77-B31F-4C3C-8CD5-3A6BB7A3C70D}" filter="1" showAutoFilter="1">
      <pageMargins left="0.7" right="0.7" top="0.75" bottom="0.75" header="0.3" footer="0.3"/>
      <autoFilter ref="A9:Z199" xr:uid="{3E9533D4-FC94-0744-9E32-B2C1724AD332}">
        <filterColumn colId="15">
          <filters blank="1">
            <filter val="FALSE"/>
            <filter val="TRUE"/>
          </filters>
        </filterColumn>
        <filterColumn colId="19">
          <filters blank="1">
            <filter val="RE02024000000028"/>
            <filter val="RE02024000000029"/>
            <filter val="RE02024000000030"/>
            <filter val="RE02024000000031"/>
            <filter val="RE02024000000032"/>
            <filter val="RE02024000000033"/>
            <filter val="RE02024000000034"/>
            <filter val="RE02024000000035"/>
            <filter val="RE02024000000036"/>
            <filter val="RE02024000000037"/>
            <filter val="RE02024000000038"/>
            <filter val="RE02024000000039"/>
            <filter val="RE02024000000040"/>
            <filter val="RE02024000000041"/>
            <filter val="RE02024000000042"/>
            <filter val="RE02024000000043"/>
            <filter val="RE02024000000044"/>
            <filter val="RE02024000000045"/>
            <filter val="RE02024000000046"/>
            <filter val="RE02024000000049"/>
            <filter val="RE02024000000050"/>
            <filter val="RE02024000000051"/>
            <filter val="RE02024000000053"/>
            <filter val="RE02024000000054"/>
            <filter val="RE02024000000055"/>
            <filter val="RE02024000000056"/>
            <filter val="RE02024000000058"/>
            <filter val="RE02024000000059"/>
            <filter val="RE02024000000060"/>
            <filter val="RE02024000000061"/>
            <filter val="RE02024000000062"/>
            <filter val="RE02024000000063"/>
            <filter val="RE02024000000066"/>
            <filter val="RE02024000000067"/>
            <filter val="RE02024000000068"/>
            <filter val="RE02024000000069"/>
            <filter val="RE02024000000070"/>
            <filter val="RE02024000000071"/>
            <filter val="RE02024000000072"/>
            <filter val="RE02024000000073"/>
            <filter val="RE02024000000074"/>
            <filter val="RE02024000000075"/>
            <filter val="RE02024000000076"/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2F330B0C-BB40-4D95-9FAB-EBC1E02E543B}" filter="1" showAutoFilter="1">
      <pageMargins left="0.7" right="0.7" top="0.75" bottom="0.75" header="0.3" footer="0.3"/>
      <autoFilter ref="A9:Z193" xr:uid="{CD157431-C2A5-074C-A1D2-312BF1F89BF0}">
        <filterColumn colId="15">
          <filters>
            <filter val="TRUE"/>
            <filter val="FALSE"/>
          </filters>
        </filterColumn>
        <filterColumn colId="19">
          <filters blank="1"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3"/>
            <filter val="RM02024000000004"/>
          </filters>
        </filterColumn>
      </autoFilter>
    </customSheetView>
    <customSheetView guid="{0C67F4AD-E116-40FF-973D-584D89EF9B9A}" filter="1" showAutoFilter="1">
      <pageMargins left="0.7" right="0.7" top="0.75" bottom="0.75" header="0.3" footer="0.3"/>
      <autoFilter ref="A9:Z199" xr:uid="{F74BA698-A598-3547-8BEB-1AA665FF09DD}">
        <filterColumn colId="20">
          <filters blank="1">
            <filter val="1,000.00 TL"/>
            <filter val="1,020.00 TL"/>
            <filter val="1,080.00 TL"/>
            <filter val="1,120.00 TL"/>
            <filter val="1,150.00 TL"/>
            <filter val="1,160.00 TL"/>
            <filter val="1,200.00 TL"/>
            <filter val="1,208.00 TL"/>
            <filter val="1,250.00 TL"/>
            <filter val="1,260.00 TL"/>
            <filter val="1,380.00 TL"/>
            <filter val="1,400.00 TL"/>
            <filter val="1,500.00 TL"/>
            <filter val="1,600.00 TL"/>
            <filter val="1,638.00 TL"/>
            <filter val="1,689.10 TL"/>
            <filter val="1,725.00 TL"/>
            <filter val="1,725.14 TL"/>
            <filter val="1,750.00 TL"/>
            <filter val="1,764.00 TL"/>
            <filter val="1,765.00 TL"/>
            <filter val="1,800.00 TL"/>
            <filter val="1,840.00 TL"/>
            <filter val="1,916.40 TL"/>
            <filter val="1,925.00 TL"/>
            <filter val="11,475.00 TL"/>
            <filter val="12,000.00 TL"/>
            <filter val="13,800.00 TL"/>
            <filter val="14,000.00 TL"/>
            <filter val="150.00 TL"/>
            <filter val="160.00 TL"/>
            <filter val="2,300.00 TL"/>
            <filter val="2,400.00 TL"/>
            <filter val="2,500.00 TL"/>
            <filter val="2,550.00 TL"/>
            <filter val="2,587.71 TL"/>
            <filter val="2,750.00 TL"/>
            <filter val="2,874.60 TL"/>
            <filter val="200.00 TL"/>
            <filter val="250.00 TL"/>
            <filter val="280.00 TL"/>
            <filter val="287.24 TL"/>
            <filter val="3,000.00 TL"/>
            <filter val="3,060.00 TL"/>
            <filter val="3,100.00 TL"/>
            <filter val="3,276.00 TL"/>
            <filter val="3,300.00 TL"/>
            <filter val="3,528.00 TL"/>
            <filter val="3,600.00 TL"/>
            <filter val="3,750.00 TL"/>
            <filter val="3,832.80 TL"/>
            <filter val="3,850.00 TL"/>
            <filter val="3,965.00 TL"/>
            <filter val="300.00 TL"/>
            <filter val="302.00 TL"/>
            <filter val="350.00 TL"/>
            <filter val="390.00 TL"/>
            <filter val="4,000.00 TL"/>
            <filter val="4,600.00 TL"/>
            <filter val="4,900.00 TL"/>
            <filter val="400.00 TL"/>
            <filter val="450.00 TL"/>
            <filter val="480.00 TL"/>
            <filter val="5,500.00 TL"/>
            <filter val="5,749.20 TL"/>
            <filter val="555.00 TL"/>
            <filter val="580.00 TL"/>
            <filter val="6,900.00 TL"/>
            <filter val="600.00 TL"/>
            <filter val="620.00 TL"/>
            <filter val="65.00 TL"/>
            <filter val="650.00 TL"/>
            <filter val="660.00 TL"/>
            <filter val="675.00 TL"/>
            <filter val="684.00 TL"/>
            <filter val="70.00 TL"/>
            <filter val="720.00 TL"/>
            <filter val="750.00 TL"/>
            <filter val="780.00 TL"/>
            <filter val="800.00 TL"/>
            <filter val="856.00 TL"/>
            <filter val="9,000.00 TL"/>
            <filter val="9,300.00 TL"/>
            <filter val="930.00 TL"/>
            <filter val="950.00 TL"/>
            <filter val="958.20 TL"/>
            <filter val="975.00 TL"/>
          </filters>
        </filterColumn>
      </autoFilter>
    </customSheetView>
    <customSheetView guid="{7F26427E-2CC3-4738-8D6F-9D9F2F09086A}" filter="1" showAutoFilter="1">
      <pageMargins left="0.7" right="0.7" top="0.75" bottom="0.75" header="0.3" footer="0.3"/>
      <autoFilter ref="A9:Z193" xr:uid="{32E2CAA7-2A22-C440-9418-010B496596F1}">
        <filterColumn colId="20">
          <filters blank="1">
            <filter val="1,000.00 TL"/>
            <filter val="1,020.00 TL"/>
            <filter val="1,080.00 TL"/>
            <filter val="1,120.00 TL"/>
            <filter val="1,150.00 TL"/>
            <filter val="1,160.00 TL"/>
            <filter val="1,200.00 TL"/>
            <filter val="1,208.00 TL"/>
            <filter val="1,250.00 TL"/>
            <filter val="1,260.00 TL"/>
            <filter val="1,380.00 TL"/>
            <filter val="1,400.00 TL"/>
            <filter val="1,500.00 TL"/>
            <filter val="1,600.00 TL"/>
            <filter val="1,638.00 TL"/>
            <filter val="1,689.10 TL"/>
            <filter val="1,725.00 TL"/>
            <filter val="1,725.14 TL"/>
            <filter val="1,750.00 TL"/>
            <filter val="1,764.00 TL"/>
            <filter val="1,765.00 TL"/>
            <filter val="1,800.00 TL"/>
            <filter val="1,840.00 TL"/>
            <filter val="1,916.40 TL"/>
            <filter val="1,925.00 TL"/>
            <filter val="11,475.00 TL"/>
            <filter val="12,000.00 TL"/>
            <filter val="13,800.00 TL"/>
            <filter val="14,000.00 TL"/>
            <filter val="150.00 TL"/>
            <filter val="160.00 TL"/>
            <filter val="2,300.00 TL"/>
            <filter val="2,400.00 TL"/>
            <filter val="2,500.00 TL"/>
            <filter val="2,550.00 TL"/>
            <filter val="2,587.71 TL"/>
            <filter val="2,750.00 TL"/>
            <filter val="2,874.60 TL"/>
            <filter val="200.00 TL"/>
            <filter val="250.00 TL"/>
            <filter val="280.00 TL"/>
            <filter val="287.24 TL"/>
            <filter val="3,000.00 TL"/>
            <filter val="3,060.00 TL"/>
            <filter val="3,100.00 TL"/>
            <filter val="3,276.00 TL"/>
            <filter val="3,300.00 TL"/>
            <filter val="3,528.00 TL"/>
            <filter val="3,600.00 TL"/>
            <filter val="3,750.00 TL"/>
            <filter val="3,832.80 TL"/>
            <filter val="3,850.00 TL"/>
            <filter val="3,965.00 TL"/>
            <filter val="300.00 TL"/>
            <filter val="302.00 TL"/>
            <filter val="350.00 TL"/>
            <filter val="390.00 TL"/>
            <filter val="4,000.00 TL"/>
            <filter val="4,600.00 TL"/>
            <filter val="4,900.00 TL"/>
            <filter val="400.00 TL"/>
            <filter val="450.00 TL"/>
            <filter val="480.00 TL"/>
            <filter val="5,500.00 TL"/>
            <filter val="5,749.20 TL"/>
            <filter val="555.00 TL"/>
            <filter val="580.00 TL"/>
            <filter val="6,900.00 TL"/>
            <filter val="600.00 TL"/>
            <filter val="620.00 TL"/>
            <filter val="65.00 TL"/>
            <filter val="650.00 TL"/>
            <filter val="660.00 TL"/>
            <filter val="675.00 TL"/>
            <filter val="684.00 TL"/>
            <filter val="70.00 TL"/>
            <filter val="720.00 TL"/>
            <filter val="750.00 TL"/>
            <filter val="780.00 TL"/>
            <filter val="800.00 TL"/>
            <filter val="856.00 TL"/>
            <filter val="9,000.00 TL"/>
            <filter val="9,300.00 TL"/>
            <filter val="930.00 TL"/>
            <filter val="950.00 TL"/>
            <filter val="958.20 TL"/>
            <filter val="975.00 TL"/>
          </filters>
        </filterColumn>
      </autoFilter>
    </customSheetView>
    <customSheetView guid="{FE3E62DE-4CB7-4BB9-873B-C0E5A641A3C7}" filter="1" showAutoFilter="1">
      <pageMargins left="0.7" right="0.7" top="0.75" bottom="0.75" header="0.3" footer="0.3"/>
      <autoFilter ref="A9:Z199" xr:uid="{F9E9E1AA-BB5C-AD4D-8894-947D81157F43}">
        <filterColumn colId="6">
          <filters>
            <filter val="80x60x15 Baza (rengi teyit edilicek)"/>
            <filter val="Enerji Etiketi Kanguru Cep"/>
            <filter val="İsimlik Personel İsimliği (4 Kasiyer-3Müşteri Hizmetleri-2Teslimat Uzmanı)"/>
            <filter val="Kablo Kanalı 5x10  1 Metre"/>
            <filter val="Kartvizit - Tayfun Oktay"/>
            <filter val="Kg Etiketi Sticker 14x14cm"/>
            <filter val="Logolu Karton Bardak (Özellikle Koli Üzerine Mahir Aldemir Dikkatine Yazılacak)"/>
            <filter val="Logolu Koli Bandı"/>
            <filter val="Paket Lastiği"/>
            <filter val="Plastik Bardak"/>
            <filter val="Plastik Bardak Koli"/>
            <filter val="Plastik Cırt Kelepçe Beyaz 30cm"/>
            <filter val="Plastik Cırt Kelepçe Siyah 30cm"/>
            <filter val="Pleksi A4 Mıknatıslı"/>
            <filter val="Pleksi Kulaklık Askılığı"/>
            <filter val="Pleksi Mıknatıslı Fotoğraf 10x15"/>
            <filter val="Pleksi Teşhir Kutusu"/>
            <filter val="Reyon Bariyeri 100cm"/>
            <filter val="Strech film"/>
            <filter val="Sürgülü kilitli Kulakiçi Kulaklık Standı 100 cm"/>
            <filter val="Termal Etiket 40x20 1000 Sarım"/>
            <filter val="TV Güvenlik Teli"/>
            <filter val="Weiland Düz Kablo 2 Metre"/>
            <filter val="Weiland Düz Kablo 3 Metre"/>
          </filters>
        </filterColumn>
      </autoFilter>
    </customSheetView>
    <customSheetView guid="{C050A20F-9133-4310-B977-731B60776A95}" filter="1" showAutoFilter="1">
      <pageMargins left="0.7" right="0.7" top="0.75" bottom="0.75" header="0.3" footer="0.3"/>
      <autoFilter ref="A9:Z199" xr:uid="{0CA211A2-EE68-1446-AB1F-F223757EC033}">
        <filterColumn colId="20">
          <filters>
            <filter val="1,000.00 TL"/>
            <filter val="1,020.00 TL"/>
            <filter val="1,080.00 TL"/>
            <filter val="1,120.00 TL"/>
            <filter val="1,150.00 TL"/>
            <filter val="1,160.00 TL"/>
            <filter val="1,200.00 TL"/>
            <filter val="1,208.00 TL"/>
            <filter val="1,250.00 TL"/>
            <filter val="1,260.00 TL"/>
            <filter val="1,380.00 TL"/>
            <filter val="1,400.00 TL"/>
            <filter val="1,500.00 TL"/>
            <filter val="1,600.00 TL"/>
            <filter val="1,638.00 TL"/>
            <filter val="1,689.10 TL"/>
            <filter val="1,725.00 TL"/>
            <filter val="1,725.14 TL"/>
            <filter val="1,750.00 TL"/>
            <filter val="1,764.00 TL"/>
            <filter val="1,765.00 TL"/>
            <filter val="1,800.00 TL"/>
            <filter val="1,840.00 TL"/>
            <filter val="1,916.40 TL"/>
            <filter val="1,925.00 TL"/>
            <filter val="11,475.00 TL"/>
            <filter val="12,000.00 TL"/>
            <filter val="13,800.00 TL"/>
            <filter val="14,000.00 TL"/>
            <filter val="150.00 TL"/>
            <filter val="160.00 TL"/>
            <filter val="2,300.00 TL"/>
            <filter val="2,400.00 TL"/>
            <filter val="2,500.00 TL"/>
            <filter val="2,550.00 TL"/>
            <filter val="2,587.71 TL"/>
            <filter val="2,750.00 TL"/>
            <filter val="2,874.60 TL"/>
            <filter val="200.00 TL"/>
            <filter val="250.00 TL"/>
            <filter val="280.00 TL"/>
            <filter val="287.24 TL"/>
            <filter val="3,000.00 TL"/>
            <filter val="3,060.00 TL"/>
            <filter val="3,100.00 TL"/>
            <filter val="3,276.00 TL"/>
            <filter val="3,300.00 TL"/>
            <filter val="3,528.00 TL"/>
            <filter val="3,600.00 TL"/>
            <filter val="3,750.00 TL"/>
            <filter val="3,832.80 TL"/>
            <filter val="3,850.00 TL"/>
            <filter val="3,965.00 TL"/>
            <filter val="300.00 TL"/>
            <filter val="302.00 TL"/>
            <filter val="350.00 TL"/>
            <filter val="390.00 TL"/>
            <filter val="4,000.00 TL"/>
            <filter val="4,600.00 TL"/>
            <filter val="4,900.00 TL"/>
            <filter val="400.00 TL"/>
            <filter val="450.00 TL"/>
            <filter val="480.00 TL"/>
            <filter val="5,500.00 TL"/>
            <filter val="5,749.20 TL"/>
            <filter val="555.00 TL"/>
            <filter val="580.00 TL"/>
            <filter val="6,900.00 TL"/>
            <filter val="600.00 TL"/>
            <filter val="620.00 TL"/>
            <filter val="65.00 TL"/>
            <filter val="650.00 TL"/>
            <filter val="660.00 TL"/>
            <filter val="675.00 TL"/>
            <filter val="684.00 TL"/>
            <filter val="70.00 TL"/>
            <filter val="720.00 TL"/>
            <filter val="750.00 TL"/>
            <filter val="780.00 TL"/>
            <filter val="800.00 TL"/>
            <filter val="856.00 TL"/>
            <filter val="9,000.00 TL"/>
            <filter val="9,300.00 TL"/>
            <filter val="930.00 TL"/>
            <filter val="950.00 TL"/>
            <filter val="958.20 TL"/>
            <filter val="975.00 TL"/>
          </filters>
        </filterColumn>
      </autoFilter>
    </customSheetView>
    <customSheetView guid="{A9E68A40-045E-4079-81E3-E0D0F4B43B67}" filter="1" showAutoFilter="1">
      <pageMargins left="0.7" right="0.7" top="0.75" bottom="0.75" header="0.3" footer="0.3"/>
      <autoFilter ref="A9:Z193" xr:uid="{066B9AE3-283C-E044-8221-0DBCF59E2ACA}">
        <filterColumn colId="15">
          <filters>
            <filter val="TRUE"/>
            <filter val="FALSE"/>
          </filters>
        </filterColumn>
        <filterColumn colId="19">
          <filters blank="1"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3"/>
            <filter val="RM02024000000004"/>
          </filters>
        </filterColumn>
      </autoFilter>
    </customSheetView>
    <customSheetView guid="{2A32A583-5FFF-4329-A9AB-FB460B8875F5}" filter="1" showAutoFilter="1">
      <pageMargins left="0.7" right="0.7" top="0.75" bottom="0.75" header="0.3" footer="0.3"/>
      <autoFilter ref="A9:Z199" xr:uid="{E11931A6-A7DB-234F-B009-3760D1822B78}">
        <filterColumn colId="15">
          <filters blank="1">
            <filter val="FALSE"/>
            <filter val="TRUE"/>
          </filters>
        </filterColumn>
        <filterColumn colId="19">
          <filters blank="1">
            <filter val="RE02024000000025"/>
            <filter val="RE02024000000026"/>
            <filter val="RE02024000000028"/>
            <filter val="RE02024000000029"/>
            <filter val="RE02024000000030"/>
            <filter val="RE02024000000031"/>
            <filter val="RE02024000000032"/>
            <filter val="RE02024000000033"/>
            <filter val="RE02024000000034"/>
            <filter val="RE02024000000035"/>
            <filter val="RE02024000000036"/>
            <filter val="RE02024000000037"/>
            <filter val="RE02024000000038"/>
            <filter val="RE02024000000039"/>
            <filter val="RE02024000000040"/>
            <filter val="RE02024000000041"/>
            <filter val="RE02024000000042"/>
            <filter val="RE02024000000043"/>
            <filter val="RE02024000000044"/>
            <filter val="RE02024000000045"/>
            <filter val="RE02024000000046"/>
            <filter val="RE02024000000049"/>
            <filter val="RE02024000000050"/>
            <filter val="RE02024000000051"/>
            <filter val="RE02024000000053"/>
            <filter val="RE02024000000054"/>
            <filter val="RE02024000000055"/>
            <filter val="RE02024000000056"/>
            <filter val="RE02024000000058"/>
            <filter val="RE02024000000059"/>
            <filter val="RE02024000000060"/>
            <filter val="RE02024000000061"/>
            <filter val="RE02024000000062"/>
            <filter val="RE02024000000063"/>
            <filter val="RE02024000000066"/>
            <filter val="RE02024000000067"/>
            <filter val="RE02024000000068"/>
            <filter val="RE02024000000069"/>
            <filter val="RE02024000000070"/>
            <filter val="RE02024000000071"/>
            <filter val="RE02024000000072"/>
            <filter val="RE02024000000073"/>
            <filter val="RE02024000000074"/>
            <filter val="RE02024000000075"/>
            <filter val="RE02024000000076"/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CEF88DD0-1604-4B95-9A0A-613F636F67B5}" filter="1" showAutoFilter="1">
      <pageMargins left="0.7" right="0.7" top="0.75" bottom="0.75" header="0.3" footer="0.3"/>
      <autoFilter ref="A9:Z199" xr:uid="{9401ECCC-FCF1-0E47-9D3D-7A5FF218E528}">
        <filterColumn colId="6">
          <filters>
            <filter val="80x60x15 Baza (rengi teyit edilicek)"/>
            <filter val="İsimlik Mediamarkt - 2 Teslimat Uzmanı - 4 Satış Takım Lideri"/>
            <filter val="İsimlik Mediamarkt - 4 Müşteri Hizmetleri - 8 Kasiyer"/>
            <filter val="İsimlik Personel İsimliği (4 Kasiyer-3Müşteri Hizmetleri-2Teslimat Uzmanı)"/>
            <filter val="Kablo Kanalı 5x10  1 Metre"/>
            <filter val="Kartvizit - Tayfun Oktay"/>
            <filter val="Kg Etiketi Sticker 14x14cm"/>
            <filter val="Logolu Karton Bardak (Özellikle Koli Üzerine Mahir Aldemir Dikkatine Yazılacak)"/>
            <filter val="Logolu Koli Bandı"/>
            <filter val="Paket Lastiği"/>
            <filter val="Plastik Bardak"/>
            <filter val="Plastik Bardak Koli"/>
            <filter val="Plastik Cırt Kelepçe Beyaz 30cm"/>
            <filter val="Plastik Cırt Kelepçe Siyah 30cm"/>
            <filter val="Pleksi A4 Mıknatıslı"/>
            <filter val="Pleksi Kulaklık Askılığı"/>
            <filter val="Pleksi Mıknatıslı Fotoğraf 10x15"/>
            <filter val="Pleksi Teşhir Kutusu"/>
            <filter val="Reyon Bariyeri 100cm"/>
            <filter val="Strech film"/>
            <filter val="Sürgülü kilitli Kulakiçi Kulaklık Standı 100 cm"/>
            <filter val="Termal Etiket 40x20 1000 Sarım"/>
            <filter val="TV Güvenlik Teli"/>
            <filter val="Weiland Düz Kablo 2 Metre"/>
            <filter val="Weiland Düz Kablo 3 Metre"/>
          </filters>
        </filterColumn>
      </autoFilter>
    </customSheetView>
    <customSheetView guid="{87A433BC-F3FD-4BA7-BD7F-4194C598DDE6}" filter="1" showAutoFilter="1">
      <pageMargins left="0.7" right="0.7" top="0.75" bottom="0.75" header="0.3" footer="0.3"/>
      <autoFilter ref="A9:Z199" xr:uid="{E66CA822-494A-E243-B907-74766C8957F4}">
        <filterColumn colId="6">
          <filters>
            <filter val="80x60x15 Baza (rengi teyit edilicek)"/>
            <filter val="Enerji Etiketi Kanguru Cep"/>
            <filter val="İsimlik Personel İsimliği (4 Kasiyer-3Müşteri Hizmetleri-2Teslimat Uzmanı)"/>
            <filter val="Kablo Kanalı 5x10  1 Metre"/>
            <filter val="Kargo Cebi"/>
            <filter val="Kartvizit - Tayfun Oktay"/>
            <filter val="Kg Etiketi Sticker 14x14cm"/>
            <filter val="Logolu Karton Bardak (Özellikle Koli Üzerine Mahir Aldemir Dikkatine Yazılacak)"/>
            <filter val="Logolu Koli Bandı"/>
            <filter val="Paket Lastiği"/>
            <filter val="Plastik Bardak"/>
            <filter val="Plastik Bardak Koli"/>
            <filter val="Plastik Cırt Kelepçe Beyaz 30cm"/>
            <filter val="Plastik Cırt Kelepçe Siyah 30cm"/>
            <filter val="Pleksi A4 Mıknatıslı"/>
            <filter val="Pleksi Kulaklık Askılığı"/>
            <filter val="Pleksi Mıknatıslı Fotoğraf 10x15"/>
            <filter val="Pleksi Teşhir Kutusu"/>
            <filter val="Reyon Bariyeri 100cm"/>
            <filter val="Strech film"/>
            <filter val="Sürgülü kilitli Kulakiçi Kulaklık Standı 100 cm"/>
            <filter val="Termal Etiket 40x20 1000 Sarım"/>
            <filter val="TV Güvenlik Teli"/>
            <filter val="Weiland Düz Kablo 2 Metre"/>
            <filter val="Weiland Düz Kablo 3 Metre"/>
          </filters>
        </filterColumn>
      </autoFilter>
    </customSheetView>
    <customSheetView guid="{3468AD09-8B5E-4744-B88A-12C4F47AC98C}" filter="1" showAutoFilter="1">
      <pageMargins left="0.7" right="0.7" top="0.75" bottom="0.75" header="0.3" footer="0.3"/>
      <autoFilter ref="A9:Z199" xr:uid="{8E4C4604-E6B0-BA4D-94E1-40DD653BFEA9}">
        <filterColumn colId="15">
          <filters blank="1">
            <filter val="FALSE"/>
            <filter val="TRUE"/>
          </filters>
        </filterColumn>
        <filterColumn colId="19">
          <filters blank="1">
            <filter val="RE02024000000025"/>
            <filter val="RE02024000000026"/>
            <filter val="RE02024000000028"/>
            <filter val="RE02024000000029"/>
            <filter val="RE02024000000030"/>
            <filter val="RE02024000000031"/>
            <filter val="RE02024000000032"/>
            <filter val="RE02024000000033"/>
            <filter val="RE02024000000034"/>
            <filter val="RE02024000000035"/>
            <filter val="RE02024000000036"/>
            <filter val="RE02024000000037"/>
            <filter val="RE02024000000038"/>
            <filter val="RE02024000000039"/>
            <filter val="RE02024000000040"/>
            <filter val="RE02024000000041"/>
            <filter val="RE02024000000042"/>
            <filter val="RE02024000000043"/>
            <filter val="RE02024000000044"/>
            <filter val="RE02024000000045"/>
            <filter val="RE02024000000046"/>
            <filter val="RE02024000000049"/>
            <filter val="RE02024000000050"/>
            <filter val="RE02024000000051"/>
            <filter val="RE02024000000053"/>
            <filter val="RE02024000000054"/>
            <filter val="RE02024000000055"/>
            <filter val="RE02024000000056"/>
            <filter val="RE02024000000058"/>
            <filter val="RE02024000000059"/>
            <filter val="RE02024000000060"/>
            <filter val="RE02024000000061"/>
            <filter val="RE02024000000062"/>
            <filter val="RE02024000000063"/>
            <filter val="RE02024000000066"/>
            <filter val="RE02024000000067"/>
            <filter val="RE02024000000068"/>
            <filter val="RE02024000000069"/>
            <filter val="RE02024000000070"/>
            <filter val="RE02024000000071"/>
            <filter val="RE02024000000072"/>
            <filter val="RE02024000000073"/>
            <filter val="RE02024000000074"/>
            <filter val="RE02024000000075"/>
            <filter val="RE02024000000076"/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139BD26D-4FE1-4361-9793-2F125181BAFF}" filter="1" showAutoFilter="1">
      <pageMargins left="0.7" right="0.7" top="0.75" bottom="0.75" header="0.3" footer="0.3"/>
      <autoFilter ref="A9:Z199" xr:uid="{88FB1505-07D4-414A-8F73-CE2A9E05F4E8}">
        <filterColumn colId="15">
          <filters blank="1">
            <filter val="FALSE"/>
            <filter val="TRUE"/>
          </filters>
        </filterColumn>
        <filterColumn colId="19">
          <filters blank="1">
            <filter val="RE02024000000058"/>
            <filter val="RE02024000000059"/>
            <filter val="RE02024000000060"/>
            <filter val="RE02024000000061"/>
            <filter val="RE02024000000062"/>
            <filter val="RE02024000000063"/>
            <filter val="RE02024000000066"/>
            <filter val="RE02024000000067"/>
            <filter val="RE02024000000068"/>
            <filter val="RE02024000000069"/>
            <filter val="RE02024000000070"/>
            <filter val="RE02024000000071"/>
            <filter val="RE02024000000072"/>
            <filter val="RE02024000000073"/>
            <filter val="RE02024000000074"/>
            <filter val="RE02024000000075"/>
            <filter val="RE02024000000076"/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4FB5B25D-07EC-4AD4-89DF-44489CD85001}" filter="1" showAutoFilter="1">
      <pageMargins left="0.7" right="0.7" top="0.75" bottom="0.75" header="0.3" footer="0.3"/>
      <autoFilter ref="A9:Z199" xr:uid="{886250DA-064B-DF4F-AF01-656914AC1C4D}">
        <filterColumn colId="15">
          <filters blank="1">
            <filter val="FALSE"/>
            <filter val="TRUE"/>
          </filters>
        </filterColumn>
        <filterColumn colId="19">
          <filters blank="1">
            <filter val="RE02024000000040"/>
            <filter val="RE02024000000041"/>
            <filter val="RE02024000000042"/>
            <filter val="RE02024000000043"/>
            <filter val="RE02024000000044"/>
            <filter val="RE02024000000045"/>
            <filter val="RE02024000000046"/>
            <filter val="RE02024000000049"/>
            <filter val="RE02024000000050"/>
            <filter val="RE02024000000051"/>
            <filter val="RE02024000000053"/>
            <filter val="RE02024000000054"/>
            <filter val="RE02024000000055"/>
            <filter val="RE02024000000056"/>
            <filter val="RE02024000000058"/>
            <filter val="RE02024000000059"/>
            <filter val="RE02024000000060"/>
            <filter val="RE02024000000061"/>
            <filter val="RE02024000000062"/>
            <filter val="RE02024000000063"/>
            <filter val="RE02024000000066"/>
            <filter val="RE02024000000067"/>
            <filter val="RE02024000000068"/>
            <filter val="RE02024000000069"/>
            <filter val="RE02024000000070"/>
            <filter val="RE02024000000071"/>
            <filter val="RE02024000000072"/>
            <filter val="RE02024000000073"/>
            <filter val="RE02024000000074"/>
            <filter val="RE02024000000075"/>
            <filter val="RE02024000000076"/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35D94E68-361A-447A-93C5-620C1CE60B05}" filter="1" showAutoFilter="1">
      <pageMargins left="0.7" right="0.7" top="0.75" bottom="0.75" header="0.3" footer="0.3"/>
      <autoFilter ref="A9:Z193" xr:uid="{08FE9B6F-8C92-3240-A365-D05C393F1F44}">
        <filterColumn colId="20">
          <filters blank="1">
            <filter val="1,000.00 TL"/>
            <filter val="1,020.00 TL"/>
            <filter val="1,080.00 TL"/>
            <filter val="1,120.00 TL"/>
            <filter val="1,150.00 TL"/>
            <filter val="1,160.00 TL"/>
            <filter val="1,200.00 TL"/>
            <filter val="1,208.00 TL"/>
            <filter val="1,250.00 TL"/>
            <filter val="1,260.00 TL"/>
            <filter val="1,380.00 TL"/>
            <filter val="1,400.00 TL"/>
            <filter val="1,500.00 TL"/>
            <filter val="1,600.00 TL"/>
            <filter val="1,638.00 TL"/>
            <filter val="1,689.10 TL"/>
            <filter val="1,725.00 TL"/>
            <filter val="1,725.14 TL"/>
            <filter val="1,750.00 TL"/>
            <filter val="1,764.00 TL"/>
            <filter val="1,765.00 TL"/>
            <filter val="1,800.00 TL"/>
            <filter val="1,840.00 TL"/>
            <filter val="1,916.40 TL"/>
            <filter val="1,925.00 TL"/>
            <filter val="11,475.00 TL"/>
            <filter val="12,000.00 TL"/>
            <filter val="13,800.00 TL"/>
            <filter val="14,000.00 TL"/>
            <filter val="150.00 TL"/>
            <filter val="160.00 TL"/>
            <filter val="2,300.00 TL"/>
            <filter val="2,400.00 TL"/>
            <filter val="2,500.00 TL"/>
            <filter val="2,550.00 TL"/>
            <filter val="2,587.71 TL"/>
            <filter val="2,750.00 TL"/>
            <filter val="2,874.60 TL"/>
            <filter val="200.00 TL"/>
            <filter val="250.00 TL"/>
            <filter val="280.00 TL"/>
            <filter val="287.24 TL"/>
            <filter val="3,000.00 TL"/>
            <filter val="3,060.00 TL"/>
            <filter val="3,100.00 TL"/>
            <filter val="3,276.00 TL"/>
            <filter val="3,300.00 TL"/>
            <filter val="3,528.00 TL"/>
            <filter val="3,600.00 TL"/>
            <filter val="3,750.00 TL"/>
            <filter val="3,832.80 TL"/>
            <filter val="3,850.00 TL"/>
            <filter val="3,965.00 TL"/>
            <filter val="300.00 TL"/>
            <filter val="302.00 TL"/>
            <filter val="350.00 TL"/>
            <filter val="390.00 TL"/>
            <filter val="4,000.00 TL"/>
            <filter val="4,600.00 TL"/>
            <filter val="4,900.00 TL"/>
            <filter val="400.00 TL"/>
            <filter val="450.00 TL"/>
            <filter val="480.00 TL"/>
            <filter val="5,500.00 TL"/>
            <filter val="5,749.20 TL"/>
            <filter val="555.00 TL"/>
            <filter val="580.00 TL"/>
            <filter val="6,900.00 TL"/>
            <filter val="600.00 TL"/>
            <filter val="620.00 TL"/>
            <filter val="65.00 TL"/>
            <filter val="650.00 TL"/>
            <filter val="660.00 TL"/>
            <filter val="675.00 TL"/>
            <filter val="684.00 TL"/>
            <filter val="70.00 TL"/>
            <filter val="720.00 TL"/>
            <filter val="750.00 TL"/>
            <filter val="780.00 TL"/>
            <filter val="800.00 TL"/>
            <filter val="856.00 TL"/>
            <filter val="9,000.00 TL"/>
            <filter val="9,300.00 TL"/>
            <filter val="930.00 TL"/>
            <filter val="950.00 TL"/>
            <filter val="958.20 TL"/>
            <filter val="975.00 TL"/>
          </filters>
        </filterColumn>
      </autoFilter>
    </customSheetView>
    <customSheetView guid="{88809CA9-5E40-46D7-B1E4-FD64890E3C54}" filter="1" showAutoFilter="1">
      <pageMargins left="0.7" right="0.7" top="0.75" bottom="0.75" header="0.3" footer="0.3"/>
      <autoFilter ref="A9:Z199" xr:uid="{4CE5D7B7-7056-F246-9CC0-1DF2D5D9267F}">
        <filterColumn colId="15">
          <filters blank="1">
            <filter val="FALSE"/>
            <filter val="TRUE"/>
          </filters>
        </filterColumn>
        <filterColumn colId="19">
          <filters blank="1">
            <filter val="RE02024000000024"/>
            <filter val="RE02024000000025"/>
            <filter val="RE02024000000026"/>
            <filter val="RE02024000000028"/>
            <filter val="RE02024000000029"/>
            <filter val="RE02024000000030"/>
            <filter val="RE02024000000031"/>
            <filter val="RE02024000000032"/>
            <filter val="RE02024000000033"/>
            <filter val="RE02024000000034"/>
            <filter val="RE02024000000035"/>
            <filter val="RE02024000000036"/>
            <filter val="RE02024000000037"/>
            <filter val="RE02024000000038"/>
            <filter val="RE02024000000039"/>
            <filter val="RE02024000000040"/>
            <filter val="RE02024000000041"/>
            <filter val="RE02024000000042"/>
            <filter val="RE02024000000043"/>
            <filter val="RE02024000000044"/>
            <filter val="RE02024000000045"/>
            <filter val="RE02024000000046"/>
            <filter val="RE02024000000049"/>
            <filter val="RE02024000000050"/>
            <filter val="RE02024000000051"/>
            <filter val="RE02024000000053"/>
            <filter val="RE02024000000054"/>
            <filter val="RE02024000000055"/>
            <filter val="RE02024000000056"/>
            <filter val="RE02024000000058"/>
            <filter val="RE02024000000059"/>
            <filter val="RE02024000000060"/>
            <filter val="RE02024000000061"/>
            <filter val="RE02024000000062"/>
            <filter val="RE02024000000063"/>
            <filter val="RE02024000000066"/>
            <filter val="RE02024000000067"/>
            <filter val="RE02024000000068"/>
            <filter val="RE02024000000069"/>
            <filter val="RE02024000000070"/>
            <filter val="RE02024000000071"/>
            <filter val="RE02024000000072"/>
            <filter val="RE02024000000073"/>
            <filter val="RE02024000000074"/>
            <filter val="RE02024000000075"/>
            <filter val="RE02024000000076"/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825CFE42-E38F-4327-A52B-EA014762B8A6}" filter="1" showAutoFilter="1">
      <pageMargins left="0.7" right="0.7" top="0.75" bottom="0.75" header="0.3" footer="0.3"/>
      <autoFilter ref="A9:Z199" xr:uid="{8FDB65F0-5B50-C54A-928C-B9BD17F065F4}">
        <filterColumn colId="6">
          <filters>
            <filter val="80x60x15 Baza (rengi teyit edilicek)"/>
            <filter val="İsimlik Personel İsimliği (4 Kasiyer-3Müşteri Hizmetleri-2Teslimat Uzmanı)"/>
            <filter val="Kablo Kanalı 5x10  1 Metre"/>
            <filter val="Kartvizit - Tayfun Oktay"/>
            <filter val="Kg Etiketi Sticker 14x14cm"/>
            <filter val="Logolu Karton Bardak (Özellikle Koli Üzerine Mahir Aldemir Dikkatine Yazılacak)"/>
            <filter val="Logolu Koli Bandı"/>
            <filter val="Logolu Koli Bantı"/>
            <filter val="Paket Lastiği"/>
            <filter val="Plastik Bardak"/>
            <filter val="Plastik Bardak Koli"/>
            <filter val="Plastik Cırt Kelepçe Beyaz 30cm"/>
            <filter val="Plastik Cırt Kelepçe Siyah 30cm"/>
            <filter val="Pleksi A4 Mıknatıslı"/>
            <filter val="Pleksi Kulaklık Askılığı"/>
            <filter val="Pleksi Mıknatıslı Fotoğraf 10x15"/>
            <filter val="Pleksi Teşhir Kutusu"/>
            <filter val="Reyon Bariyeri 100cm"/>
            <filter val="Strech film"/>
            <filter val="Sürgülü kilitli Kulakiçi Kulaklık Standı 100 cm"/>
            <filter val="Termal Etiket 40x20 1000 Sarım"/>
            <filter val="TV Güvenlik Teli"/>
            <filter val="Weiland Düz Kablo 2 Metre"/>
            <filter val="Weiland Düz Kablo 3 Metre"/>
          </filters>
        </filterColumn>
      </autoFilter>
    </customSheetView>
    <customSheetView guid="{E6449D9D-6C38-411F-8A7E-4B5317648CE0}" filter="1" showAutoFilter="1">
      <pageMargins left="0.7" right="0.7" top="0.75" bottom="0.75" header="0.3" footer="0.3"/>
      <autoFilter ref="A9:Z199" xr:uid="{C5A221D6-4801-5141-BD5D-3523406FAD5A}">
        <filterColumn colId="20">
          <filters blank="1">
            <filter val="1,000.00 TL"/>
            <filter val="1,020.00 TL"/>
            <filter val="1,080.00 TL"/>
            <filter val="1,120.00 TL"/>
            <filter val="1,150.00 TL"/>
            <filter val="1,160.00 TL"/>
            <filter val="1,200.00 TL"/>
            <filter val="1,208.00 TL"/>
            <filter val="1,250.00 TL"/>
            <filter val="1,260.00 TL"/>
            <filter val="1,380.00 TL"/>
            <filter val="1,400.00 TL"/>
            <filter val="1,500.00 TL"/>
            <filter val="1,600.00 TL"/>
            <filter val="1,638.00 TL"/>
            <filter val="1,689.10 TL"/>
            <filter val="1,725.00 TL"/>
            <filter val="1,725.14 TL"/>
            <filter val="1,750.00 TL"/>
            <filter val="1,764.00 TL"/>
            <filter val="1,765.00 TL"/>
            <filter val="1,800.00 TL"/>
            <filter val="1,840.00 TL"/>
            <filter val="1,916.40 TL"/>
            <filter val="1,925.00 TL"/>
            <filter val="11,475.00 TL"/>
            <filter val="12,000.00 TL"/>
            <filter val="13,800.00 TL"/>
            <filter val="14,000.00 TL"/>
            <filter val="150.00 TL"/>
            <filter val="160.00 TL"/>
            <filter val="2,300.00 TL"/>
            <filter val="2,400.00 TL"/>
            <filter val="2,500.00 TL"/>
            <filter val="2,550.00 TL"/>
            <filter val="2,587.71 TL"/>
            <filter val="2,750.00 TL"/>
            <filter val="2,874.60 TL"/>
            <filter val="200.00 TL"/>
            <filter val="250.00 TL"/>
            <filter val="280.00 TL"/>
            <filter val="287.24 TL"/>
            <filter val="3,000.00 TL"/>
            <filter val="3,060.00 TL"/>
            <filter val="3,100.00 TL"/>
            <filter val="3,276.00 TL"/>
            <filter val="3,300.00 TL"/>
            <filter val="3,528.00 TL"/>
            <filter val="3,600.00 TL"/>
            <filter val="3,750.00 TL"/>
            <filter val="3,832.80 TL"/>
            <filter val="3,850.00 TL"/>
            <filter val="3,965.00 TL"/>
            <filter val="300.00 TL"/>
            <filter val="302.00 TL"/>
            <filter val="350.00 TL"/>
            <filter val="390.00 TL"/>
            <filter val="4,000.00 TL"/>
            <filter val="4,600.00 TL"/>
            <filter val="4,900.00 TL"/>
            <filter val="400.00 TL"/>
            <filter val="450.00 TL"/>
            <filter val="480.00 TL"/>
            <filter val="5,500.00 TL"/>
            <filter val="5,749.20 TL"/>
            <filter val="555.00 TL"/>
            <filter val="580.00 TL"/>
            <filter val="6,900.00 TL"/>
            <filter val="600.00 TL"/>
            <filter val="620.00 TL"/>
            <filter val="65.00 TL"/>
            <filter val="650.00 TL"/>
            <filter val="660.00 TL"/>
            <filter val="675.00 TL"/>
            <filter val="684.00 TL"/>
            <filter val="70.00 TL"/>
            <filter val="720.00 TL"/>
            <filter val="750.00 TL"/>
            <filter val="780.00 TL"/>
            <filter val="800.00 TL"/>
            <filter val="856.00 TL"/>
            <filter val="9,000.00 TL"/>
            <filter val="9,300.00 TL"/>
            <filter val="930.00 TL"/>
            <filter val="950.00 TL"/>
            <filter val="958.20 TL"/>
            <filter val="975.00 TL"/>
          </filters>
        </filterColumn>
      </autoFilter>
    </customSheetView>
    <customSheetView guid="{40633660-D14D-4507-8AAB-2F75448D5D64}" filter="1" showAutoFilter="1">
      <pageMargins left="0.7" right="0.7" top="0.75" bottom="0.75" header="0.3" footer="0.3"/>
      <autoFilter ref="A9:Z199" xr:uid="{A47743D2-CF6F-9F4A-BC50-AC03D262A346}">
        <filterColumn colId="4">
          <filters>
            <filter val="Ataşehir Optimum"/>
            <filter val="bavaria"/>
            <filter val="Brandium"/>
            <filter val="Hilltown"/>
            <filter val="Kepez-Kipa"/>
            <filter val="Kızılay"/>
            <filter val="Kulecity"/>
            <filter val="Maltepe Piazza"/>
            <filter val="MarkAntalya"/>
            <filter val="Marmarapark"/>
            <filter val="Metromall"/>
            <filter val="Nevçarşı"/>
            <filter val="Torium"/>
            <filter val="Vega"/>
          </filters>
        </filterColumn>
      </autoFilter>
    </customSheetView>
    <customSheetView guid="{0A9FF2CA-86CF-426B-92D4-4C55EEEA773B}" filter="1" showAutoFilter="1">
      <pageMargins left="0.7" right="0.7" top="0.75" bottom="0.75" header="0.3" footer="0.3"/>
      <autoFilter ref="A9:Z199" xr:uid="{3F78415D-112F-A348-86C2-1DBE88460A2B}">
        <filterColumn colId="20">
          <filters blank="1">
            <filter val="1,000.00 TL"/>
            <filter val="1,020.00 TL"/>
            <filter val="1,080.00 TL"/>
            <filter val="1,120.00 TL"/>
            <filter val="1,150.00 TL"/>
            <filter val="1,160.00 TL"/>
            <filter val="1,200.00 TL"/>
            <filter val="1,208.00 TL"/>
            <filter val="1,250.00 TL"/>
            <filter val="1,260.00 TL"/>
            <filter val="1,380.00 TL"/>
            <filter val="1,400.00 TL"/>
            <filter val="1,500.00 TL"/>
            <filter val="1,600.00 TL"/>
            <filter val="1,638.00 TL"/>
            <filter val="1,689.10 TL"/>
            <filter val="1,725.00 TL"/>
            <filter val="1,725.14 TL"/>
            <filter val="1,750.00 TL"/>
            <filter val="1,764.00 TL"/>
            <filter val="1,765.00 TL"/>
            <filter val="1,800.00 TL"/>
            <filter val="1,840.00 TL"/>
            <filter val="1,916.40 TL"/>
            <filter val="1,925.00 TL"/>
            <filter val="11,475.00 TL"/>
            <filter val="12,000.00 TL"/>
            <filter val="13,800.00 TL"/>
            <filter val="14,000.00 TL"/>
            <filter val="150.00 TL"/>
            <filter val="160.00 TL"/>
            <filter val="2,300.00 TL"/>
            <filter val="2,400.00 TL"/>
            <filter val="2,500.00 TL"/>
            <filter val="2,550.00 TL"/>
            <filter val="2,587.71 TL"/>
            <filter val="2,750.00 TL"/>
            <filter val="2,874.60 TL"/>
            <filter val="200.00 TL"/>
            <filter val="250.00 TL"/>
            <filter val="280.00 TL"/>
            <filter val="287.24 TL"/>
            <filter val="3,000.00 TL"/>
            <filter val="3,060.00 TL"/>
            <filter val="3,100.00 TL"/>
            <filter val="3,276.00 TL"/>
            <filter val="3,300.00 TL"/>
            <filter val="3,528.00 TL"/>
            <filter val="3,600.00 TL"/>
            <filter val="3,750.00 TL"/>
            <filter val="3,832.80 TL"/>
            <filter val="3,850.00 TL"/>
            <filter val="3,965.00 TL"/>
            <filter val="300.00 TL"/>
            <filter val="302.00 TL"/>
            <filter val="350.00 TL"/>
            <filter val="390.00 TL"/>
            <filter val="4,000.00 TL"/>
            <filter val="4,600.00 TL"/>
            <filter val="4,900.00 TL"/>
            <filter val="400.00 TL"/>
            <filter val="450.00 TL"/>
            <filter val="480.00 TL"/>
            <filter val="5,500.00 TL"/>
            <filter val="5,749.20 TL"/>
            <filter val="555.00 TL"/>
            <filter val="580.00 TL"/>
            <filter val="6,900.00 TL"/>
            <filter val="600.00 TL"/>
            <filter val="620.00 TL"/>
            <filter val="65.00 TL"/>
            <filter val="650.00 TL"/>
            <filter val="660.00 TL"/>
            <filter val="675.00 TL"/>
            <filter val="684.00 TL"/>
            <filter val="70.00 TL"/>
            <filter val="720.00 TL"/>
            <filter val="750.00 TL"/>
            <filter val="780.00 TL"/>
            <filter val="800.00 TL"/>
            <filter val="856.00 TL"/>
            <filter val="9,000.00 TL"/>
            <filter val="9,300.00 TL"/>
            <filter val="930.00 TL"/>
            <filter val="950.00 TL"/>
            <filter val="958.20 TL"/>
            <filter val="975.00 TL"/>
          </filters>
        </filterColumn>
      </autoFilter>
    </customSheetView>
    <customSheetView guid="{CB82114B-CA35-4C6F-AC7B-23D8D17266C7}" filter="1" showAutoFilter="1">
      <pageMargins left="0.7" right="0.7" top="0.75" bottom="0.75" header="0.3" footer="0.3"/>
      <autoFilter ref="A9:Z193" xr:uid="{0A0AB62C-DD6C-0C41-809A-4EF7FFF416F8}">
        <filterColumn colId="15">
          <filters>
            <filter val="TRUE"/>
            <filter val="FALSE"/>
          </filters>
        </filterColumn>
        <filterColumn colId="19">
          <filters blank="1"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</filters>
        </filterColumn>
      </autoFilter>
    </customSheetView>
    <customSheetView guid="{E16DDF1D-967D-4E29-861E-E839B69883ED}" filter="1" showAutoFilter="1">
      <pageMargins left="0.7" right="0.7" top="0.75" bottom="0.75" header="0.3" footer="0.3"/>
      <autoFilter ref="A9:Z193" xr:uid="{2757C03A-AE0D-EE4F-A984-F8F37F45D57C}">
        <filterColumn colId="20">
          <filters blank="1">
            <filter val="1,000.00 TL"/>
            <filter val="1,020.00 TL"/>
            <filter val="1,080.00 TL"/>
            <filter val="1,120.00 TL"/>
            <filter val="1,150.00 TL"/>
            <filter val="1,160.00 TL"/>
            <filter val="1,200.00 TL"/>
            <filter val="1,208.00 TL"/>
            <filter val="1,250.00 TL"/>
            <filter val="1,260.00 TL"/>
            <filter val="1,380.00 TL"/>
            <filter val="1,400.00 TL"/>
            <filter val="1,500.00 TL"/>
            <filter val="1,600.00 TL"/>
            <filter val="1,638.00 TL"/>
            <filter val="1,689.10 TL"/>
            <filter val="1,725.00 TL"/>
            <filter val="1,725.14 TL"/>
            <filter val="1,750.00 TL"/>
            <filter val="1,764.00 TL"/>
            <filter val="1,765.00 TL"/>
            <filter val="1,800.00 TL"/>
            <filter val="1,840.00 TL"/>
            <filter val="1,916.40 TL"/>
            <filter val="1,925.00 TL"/>
            <filter val="11,475.00 TL"/>
            <filter val="12,000.00 TL"/>
            <filter val="13,800.00 TL"/>
            <filter val="14,000.00 TL"/>
            <filter val="150.00 TL"/>
            <filter val="160.00 TL"/>
            <filter val="2,300.00 TL"/>
            <filter val="2,400.00 TL"/>
            <filter val="2,500.00 TL"/>
            <filter val="2,550.00 TL"/>
            <filter val="2,587.71 TL"/>
            <filter val="2,750.00 TL"/>
            <filter val="2,874.60 TL"/>
            <filter val="200.00 TL"/>
            <filter val="250.00 TL"/>
            <filter val="280.00 TL"/>
            <filter val="287.24 TL"/>
            <filter val="3,000.00 TL"/>
            <filter val="3,060.00 TL"/>
            <filter val="3,100.00 TL"/>
            <filter val="3,276.00 TL"/>
            <filter val="3,300.00 TL"/>
            <filter val="3,528.00 TL"/>
            <filter val="3,600.00 TL"/>
            <filter val="3,750.00 TL"/>
            <filter val="3,832.80 TL"/>
            <filter val="3,850.00 TL"/>
            <filter val="3,965.00 TL"/>
            <filter val="300.00 TL"/>
            <filter val="302.00 TL"/>
            <filter val="350.00 TL"/>
            <filter val="390.00 TL"/>
            <filter val="4,000.00 TL"/>
            <filter val="4,600.00 TL"/>
            <filter val="4,900.00 TL"/>
            <filter val="400.00 TL"/>
            <filter val="450.00 TL"/>
            <filter val="480.00 TL"/>
            <filter val="5,500.00 TL"/>
            <filter val="5,749.20 TL"/>
            <filter val="555.00 TL"/>
            <filter val="580.00 TL"/>
            <filter val="6,900.00 TL"/>
            <filter val="600.00 TL"/>
            <filter val="620.00 TL"/>
            <filter val="65.00 TL"/>
            <filter val="650.00 TL"/>
            <filter val="660.00 TL"/>
            <filter val="675.00 TL"/>
            <filter val="684.00 TL"/>
            <filter val="70.00 TL"/>
            <filter val="720.00 TL"/>
            <filter val="750.00 TL"/>
            <filter val="780.00 TL"/>
            <filter val="800.00 TL"/>
            <filter val="856.00 TL"/>
            <filter val="9,000.00 TL"/>
            <filter val="9,300.00 TL"/>
            <filter val="930.00 TL"/>
            <filter val="950.00 TL"/>
            <filter val="958.20 TL"/>
            <filter val="975.00 TL"/>
          </filters>
        </filterColumn>
      </autoFilter>
    </customSheetView>
    <customSheetView guid="{A3D0C1B3-1214-411E-8919-2C9FA68EBA0B}" filter="1" showAutoFilter="1">
      <pageMargins left="0.7" right="0.7" top="0.75" bottom="0.75" header="0.3" footer="0.3"/>
      <autoFilter ref="A9:Z193" xr:uid="{70A1481C-7831-A344-AF42-B746AF78E810}">
        <filterColumn colId="6">
          <filters>
            <filter val="Reyon Bariyeri 100cm"/>
            <filter val="Reyon Bariyeri 125cm"/>
            <filter val="Strech film"/>
            <filter val="Sürgülü kilitli Kulakiçi Kulaklık Standı 100 cm"/>
          </filters>
        </filterColumn>
      </autoFilter>
    </customSheetView>
    <customSheetView guid="{A88120E2-7AF7-4F3D-82AF-D97CC58D97AE}" filter="1" showAutoFilter="1">
      <pageMargins left="0.7" right="0.7" top="0.75" bottom="0.75" header="0.3" footer="0.3"/>
      <autoFilter ref="A9:Z199" xr:uid="{0ED72F3F-FF22-7747-81EA-3A6C78D9F78F}">
        <filterColumn colId="3">
          <filters>
            <filter val="Afyon"/>
            <filter val="Çanakkale"/>
            <filter val="Diyarbakır"/>
            <filter val="Esjişehir"/>
            <filter val="Eskişehir"/>
            <filter val="İstanbul"/>
            <filter val="Konya"/>
            <filter val="Sakarya"/>
            <filter val="Tekirdağ"/>
          </filters>
        </filterColumn>
      </autoFilter>
    </customSheetView>
    <customSheetView guid="{2207CBB1-B653-4DCA-B373-BDA845BB1154}" filter="1" showAutoFilter="1">
      <pageMargins left="0.7" right="0.7" top="0.75" bottom="0.75" header="0.3" footer="0.3"/>
      <autoFilter ref="A9:Z199" xr:uid="{E18EE6E7-2901-B24C-BB13-2256FD353342}">
        <filterColumn colId="19">
          <filters blank="1">
            <filter val="RE02024000000075"/>
            <filter val="RE02024000000076"/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35CA1A2D-FFBE-4615-96BB-101481E767E8}" filter="1" showAutoFilter="1">
      <pageMargins left="0.7" right="0.7" top="0.75" bottom="0.75" header="0.3" footer="0.3"/>
      <autoFilter ref="A9:Z199" xr:uid="{DA58B37C-042E-4C41-9B57-88F2EBFBEB1C}">
        <filterColumn colId="19">
          <filters blank="1">
            <filter val="RE02024000000066"/>
            <filter val="RE02024000000067"/>
            <filter val="RE02024000000068"/>
            <filter val="RE02024000000069"/>
            <filter val="RE02024000000070"/>
            <filter val="RE02024000000071"/>
            <filter val="RE02024000000072"/>
            <filter val="RE02024000000073"/>
            <filter val="RE02024000000074"/>
            <filter val="RE02024000000075"/>
            <filter val="RE02024000000076"/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27F7A4B9-CEF3-48FF-B387-0C81D33048BC}" filter="1" showAutoFilter="1">
      <pageMargins left="0.7" right="0.7" top="0.75" bottom="0.75" header="0.3" footer="0.3"/>
      <autoFilter ref="A9:Z199" xr:uid="{098A69F2-CEA7-5348-AAF3-2CBD75CB2670}">
        <filterColumn colId="6">
          <filters>
            <filter val="80x60x15 Baza (rengi teyit edilicek)"/>
            <filter val="İsimlik Personel İsimliği (4 Kasiyer-3Müşteri Hizmetleri-2Teslimat Uzmanı)"/>
            <filter val="Kablo Kanalı 5x10  1 Metre"/>
            <filter val="Kartvizit - Tayfun Oktay"/>
            <filter val="Kg Etiketi Sticker 14x14cm"/>
            <filter val="Logolu Karton Bardak (Özellikle Koli Üzerine Mahir Aldemir Dikkatine Yazılacak)"/>
            <filter val="Logolu Koli Bandı"/>
            <filter val="Paket Lastiği"/>
            <filter val="Plastik Bardak"/>
            <filter val="Plastik Bardak Koli"/>
            <filter val="Plastik Cırt Kelepçe Beyaz 30cm"/>
            <filter val="Plastik Cırt Kelepçe Siyah 30cm"/>
            <filter val="Pleksi A4 Mıknatıslı"/>
            <filter val="Pleksi Kulaklık Askılığı"/>
            <filter val="Pleksi Mıknatıslı Fotoğraf 10x15"/>
            <filter val="Pleksi Teşhir Kutusu"/>
            <filter val="Reyon Bariyeri 100cm"/>
            <filter val="Strech film"/>
            <filter val="Sürgülü kilitli Kulakiçi Kulaklık Standı 100 cm"/>
            <filter val="Termal Etiket 100x100"/>
            <filter val="Termal Etiket 40x20 1000 Sarım"/>
            <filter val="TV Güvenlik Teli"/>
            <filter val="Weiland Düz Kablo 2 Metre"/>
            <filter val="Weiland Düz Kablo 3 Metre"/>
          </filters>
        </filterColumn>
      </autoFilter>
    </customSheetView>
    <customSheetView guid="{94D2D6FF-EAA2-40FA-89DA-C0792B4DEC2F}" filter="1" showAutoFilter="1">
      <pageMargins left="0.7" right="0.7" top="0.75" bottom="0.75" header="0.3" footer="0.3"/>
      <autoFilter ref="A9:Z199" xr:uid="{191A0A39-D76D-6B49-8A26-8503D17B4F52}">
        <filterColumn colId="15">
          <filters blank="1">
            <filter val="FALSE"/>
            <filter val="TRUE"/>
          </filters>
        </filterColumn>
        <filterColumn colId="19">
          <filters blank="1">
            <filter val="RE02024000000028"/>
            <filter val="RE02024000000029"/>
            <filter val="RE02024000000030"/>
            <filter val="RE02024000000031"/>
            <filter val="RE02024000000032"/>
            <filter val="RE02024000000033"/>
            <filter val="RE02024000000034"/>
            <filter val="RE02024000000035"/>
            <filter val="RE02024000000036"/>
            <filter val="RE02024000000037"/>
            <filter val="RE02024000000038"/>
            <filter val="RE02024000000039"/>
            <filter val="RE02024000000040"/>
            <filter val="RE02024000000041"/>
            <filter val="RE02024000000042"/>
            <filter val="RE02024000000043"/>
            <filter val="RE02024000000044"/>
            <filter val="RE02024000000045"/>
            <filter val="RE02024000000046"/>
            <filter val="RE02024000000049"/>
            <filter val="RE02024000000050"/>
            <filter val="RE02024000000051"/>
            <filter val="RE02024000000053"/>
            <filter val="RE02024000000054"/>
            <filter val="RE02024000000055"/>
            <filter val="RE02024000000056"/>
            <filter val="RE02024000000058"/>
            <filter val="RE02024000000059"/>
            <filter val="RE02024000000060"/>
            <filter val="RE02024000000061"/>
            <filter val="RE02024000000062"/>
            <filter val="RE02024000000063"/>
            <filter val="RE02024000000066"/>
            <filter val="RE02024000000067"/>
            <filter val="RE02024000000068"/>
            <filter val="RE02024000000069"/>
            <filter val="RE02024000000070"/>
            <filter val="RE02024000000071"/>
            <filter val="RE02024000000072"/>
            <filter val="RE02024000000073"/>
            <filter val="RE02024000000074"/>
            <filter val="RE02024000000075"/>
            <filter val="RE02024000000076"/>
            <filter val="RE02024000000077"/>
            <filter val="RE02024000000078"/>
            <filter val="RE02024000000080"/>
            <filter val="RE02024000000081"/>
            <filter val="RE02024000000082"/>
            <filter val="RE02024000000083"/>
            <filter val="RE02024000000084"/>
            <filter val="RE02024000000087"/>
            <filter val="RE02024000000088"/>
            <filter val="RE02024000000089"/>
            <filter val="RE02024000000090"/>
            <filter val="RE02024000000091"/>
            <filter val="RE02024000000092"/>
            <filter val="RE02024000000093"/>
            <filter val="RE02024000000094"/>
            <filter val="RE02024000000095"/>
            <filter val="RE02024000000096"/>
            <filter val="RE02024000000097"/>
            <filter val="RE02024000000098"/>
            <filter val="RE02024000000099"/>
            <filter val="RE02024000000100"/>
            <filter val="RE02024000000101"/>
            <filter val="RE02024000000102"/>
            <filter val="RE02024000000103"/>
            <filter val="RE02024000000104"/>
            <filter val="RE02024000000105"/>
            <filter val="RE02024000000106"/>
            <filter val="RE02024000000107"/>
            <filter val="RE02024000000108"/>
            <filter val="RE02024000000109"/>
            <filter val="RE02024000000110"/>
            <filter val="RE02024000000111"/>
            <filter val="RE02024000000112"/>
            <filter val="RE02024000000113"/>
            <filter val="RE02024000000114"/>
            <filter val="RE02024000000115"/>
            <filter val="RE02024000000116"/>
            <filter val="RE02024000000117"/>
            <filter val="RE02024000000119"/>
            <filter val="RE02024000000120"/>
            <filter val="RE02024000000121"/>
            <filter val="RE02024000000122"/>
            <filter val="RE02024000000123"/>
            <filter val="RE02024000000126"/>
            <filter val="RE02024000000127"/>
            <filter val="RE02024000000128"/>
            <filter val="RE02024000000129"/>
            <filter val="RE02024000000130"/>
            <filter val="RE02024000000135"/>
            <filter val="RE02024000000136"/>
            <filter val="RE02024000000137"/>
            <filter val="RE02024000000138"/>
            <filter val="RE02024000000139"/>
            <filter val="RE02024000000140"/>
            <filter val="RE02024000000141"/>
            <filter val="RE02024000000142"/>
            <filter val="RE02024000000143"/>
            <filter val="RE02024000000165"/>
            <filter val="RE02024000000199"/>
            <filter val="RE02024000000210"/>
            <filter val="RM02024000000002"/>
            <filter val="RM02024000000003"/>
            <filter val="RM02024000000004"/>
          </filters>
        </filterColumn>
      </autoFilter>
    </customSheetView>
    <customSheetView guid="{1CBC6901-7D50-44EB-AA0D-4607E4ED539B}" filter="1" showAutoFilter="1">
      <pageMargins left="0.7" right="0.7" top="0.75" bottom="0.75" header="0.3" footer="0.3"/>
      <autoFilter ref="A9:Z199" xr:uid="{C9EE0733-FC3E-7A40-AFBC-42443EC4D2AB}">
        <filterColumn colId="6">
          <filters>
            <filter val="80x60x15 Baza (rengi teyit edilicek)"/>
            <filter val="Enerji Etiketi Kanguru Cep"/>
            <filter val="İsimlik Personel İsimliği (4 Kasiyer-3Müşteri Hizmetleri-2Teslimat Uzmanı)"/>
            <filter val="Kablo Kanalı 5x10  1 Metre"/>
            <filter val="Kartvizit - Tayfun Oktay"/>
            <filter val="Kg Etiketi Sticker 14x14cm"/>
            <filter val="Logolu Karton Bardak (Özellikle Koli Üzerine Mahir Aldemir Dikkatine Yazılacak)"/>
            <filter val="Logolu Koli Bandı"/>
            <filter val="Paket Lastiği"/>
            <filter val="Patago Tutucu"/>
            <filter val="Plastik Bardak"/>
            <filter val="Plastik Bardak Koli"/>
            <filter val="Plastik Cırt Kelepçe Beyaz 30cm"/>
            <filter val="Plastik Cırt Kelepçe Siyah 30cm"/>
            <filter val="Pleksi A4 Mıknatıslı"/>
            <filter val="Pleksi Kulaklık Askılığı"/>
            <filter val="Pleksi Mıknatıslı Fotoğraf 10x15"/>
            <filter val="Pleksi Teşhir Kutusu"/>
            <filter val="Reyon Bariyeri 100cm"/>
            <filter val="Strech film"/>
            <filter val="Sürgülü kilitli Kulakiçi Kulaklık Standı 100 cm"/>
            <filter val="Termal Etiket 40x20 1000 Sarım"/>
            <filter val="TV Güvenlik Teli"/>
            <filter val="Weiland Düz Kablo 2 Metre"/>
            <filter val="Weiland Düz Kablo 3 Metre"/>
          </filters>
        </filterColumn>
      </autoFilter>
    </customSheetView>
    <customSheetView guid="{9DA415C6-D16E-4ADE-8A63-89A6B22E7D22}" filter="1" showAutoFilter="1">
      <pageMargins left="0.7" right="0.7" top="0.75" bottom="0.75" header="0.3" footer="0.3"/>
      <autoFilter ref="A9:Z199" xr:uid="{E1DD6266-B157-554B-8E00-5DC7BDB2D380}">
        <filterColumn colId="6">
          <filters>
            <filter val="80x60x15 Baza (rengi teyit edilicek)"/>
            <filter val="İsimlik Personel İsimliği (4 Kasiyer-3Müşteri Hizmetleri-2Teslimat Uzmanı)"/>
            <filter val="Kablo Kanalı 5x10  1 Metre"/>
            <filter val="Kartvizit - Tayfun Oktay"/>
            <filter val="Kg Etiketi Sticker 14x14cm"/>
            <filter val="Logolu Karton Bardak"/>
            <filter val="Logolu Karton Bardak (Özellikle Koli Üzerine Mahir Aldemir Dikkatine Yazılacak)"/>
            <filter val="Logolu Koli Bandı"/>
            <filter val="Paket Lastiği"/>
            <filter val="Plastik Bardak"/>
            <filter val="Plastik Bardak Koli"/>
            <filter val="Plastik Cırt Kelepçe Beyaz 30cm"/>
            <filter val="Plastik Cırt Kelepçe Siyah 30cm"/>
            <filter val="Pleksi A4 Mıknatıslı"/>
            <filter val="Pleksi Kulaklık Askılığı"/>
            <filter val="Pleksi Mıknatıslı Fotoğraf 10x15"/>
            <filter val="Pleksi Teşhir Kutusu"/>
            <filter val="Reyon Bariyeri 100cm"/>
            <filter val="Strech film"/>
            <filter val="Sürgülü kilitli Kulakiçi Kulaklık Standı 100 cm"/>
            <filter val="Termal Etiket 40x20 1000 Sarım"/>
            <filter val="TV Güvenlik Teli"/>
            <filter val="Weiland Düz Kablo 2 Metre"/>
            <filter val="Weiland Düz Kablo 3 Metre"/>
          </filters>
        </filterColumn>
      </autoFilter>
    </customSheetView>
    <customSheetView guid="{7590A8FA-0E93-447D-94B9-753650E86DD0}" filter="1" showAutoFilter="1">
      <pageMargins left="0.7" right="0.7" top="0.75" bottom="0.75" header="0.3" footer="0.3"/>
      <autoFilter ref="A9:Z199" xr:uid="{DD0374C9-4D3D-264E-97CE-992716FED270}">
        <filterColumn colId="6">
          <filters>
            <filter val="80x60x15 Baza (rengi teyit edilicek)"/>
            <filter val="Enerji Etiketi Kanguru Cep"/>
            <filter val="İsimlik Personel İsimliği (4 Kasiyer-3Müşteri Hizmetleri-2Teslimat Uzmanı)"/>
            <filter val="Kablo Kanalı 5x10  1 Metre"/>
            <filter val="Kağıt Alarm Etiketi"/>
            <filter val="Kartvizit - Tayfun Oktay"/>
            <filter val="Kg Etiketi Sticker 14x14cm"/>
            <filter val="Logolu Karton Bardak (Özellikle Koli Üzerine Mahir Aldemir Dikkatine Yazılacak)"/>
            <filter val="Logolu Koli Bandı"/>
            <filter val="Paket Lastiği"/>
            <filter val="Plastik Bardak"/>
            <filter val="Plastik Bardak Koli"/>
            <filter val="Plastik Cırt Kelepçe Beyaz 30cm"/>
            <filter val="Plastik Cırt Kelepçe Siyah 30cm"/>
            <filter val="Pleksi A4 Mıknatıslı"/>
            <filter val="Pleksi Kulaklık Askılığı"/>
            <filter val="Pleksi Mıknatıslı Fotoğraf 10x15"/>
            <filter val="Pleksi Teşhir Kutusu"/>
            <filter val="Reyon Bariyeri 100cm"/>
            <filter val="Strech film"/>
            <filter val="Sürgülü kilitli Kulakiçi Kulaklık Standı 100 cm"/>
            <filter val="Termal Etiket 40x20 1000 Sarım"/>
            <filter val="TV Güvenlik Teli"/>
            <filter val="Weiland Düz Kablo 2 Metre"/>
            <filter val="Weiland Düz Kablo 3 Metre"/>
          </filters>
        </filterColumn>
      </autoFilter>
    </customSheetView>
    <customSheetView guid="{9E93544A-5152-4ABF-B1AB-D7952726683C}" filter="1" showAutoFilter="1">
      <pageMargins left="0.7" right="0.7" top="0.75" bottom="0.75" header="0.3" footer="0.3"/>
      <autoFilter ref="A9:Z193" xr:uid="{6BBE37BB-5D9E-ED40-80C4-DE87BD69A6DA}">
        <filterColumn colId="20">
          <filters blank="1">
            <filter val="1,000.00 TL"/>
            <filter val="1,020.00 TL"/>
            <filter val="1,080.00 TL"/>
            <filter val="1,120.00 TL"/>
            <filter val="1,150.00 TL"/>
            <filter val="1,160.00 TL"/>
            <filter val="1,200.00 TL"/>
            <filter val="1,208.00 TL"/>
            <filter val="1,250.00 TL"/>
            <filter val="1,260.00 TL"/>
            <filter val="1,380.00 TL"/>
            <filter val="1,400.00 TL"/>
            <filter val="1,500.00 TL"/>
            <filter val="1,600.00 TL"/>
            <filter val="1,638.00 TL"/>
            <filter val="1,689.10 TL"/>
            <filter val="1,725.00 TL"/>
            <filter val="1,725.14 TL"/>
            <filter val="1,750.00 TL"/>
            <filter val="1,764.00 TL"/>
            <filter val="1,765.00 TL"/>
            <filter val="1,800.00 TL"/>
            <filter val="1,840.00 TL"/>
            <filter val="1,916.40 TL"/>
            <filter val="1,925.00 TL"/>
            <filter val="11,475.00 TL"/>
            <filter val="12,000.00 TL"/>
            <filter val="13,800.00 TL"/>
            <filter val="14,000.00 TL"/>
            <filter val="150.00 TL"/>
            <filter val="160.00 TL"/>
            <filter val="2,300.00 TL"/>
            <filter val="2,400.00 TL"/>
            <filter val="2,500.00 TL"/>
            <filter val="2,550.00 TL"/>
            <filter val="2,587.71 TL"/>
            <filter val="2,750.00 TL"/>
            <filter val="2,874.60 TL"/>
            <filter val="200.00 TL"/>
            <filter val="250.00 TL"/>
            <filter val="280.00 TL"/>
            <filter val="287.24 TL"/>
            <filter val="3,000.00 TL"/>
            <filter val="3,060.00 TL"/>
            <filter val="3,100.00 TL"/>
            <filter val="3,276.00 TL"/>
            <filter val="3,300.00 TL"/>
            <filter val="3,528.00 TL"/>
            <filter val="3,600.00 TL"/>
            <filter val="3,750.00 TL"/>
            <filter val="3,832.80 TL"/>
            <filter val="3,850.00 TL"/>
            <filter val="3,965.00 TL"/>
            <filter val="300.00 TL"/>
            <filter val="302.00 TL"/>
            <filter val="350.00 TL"/>
            <filter val="390.00 TL"/>
            <filter val="4,000.00 TL"/>
            <filter val="4,600.00 TL"/>
            <filter val="4,900.00 TL"/>
            <filter val="400.00 TL"/>
            <filter val="450.00 TL"/>
            <filter val="480.00 TL"/>
            <filter val="5,500.00 TL"/>
            <filter val="5,749.20 TL"/>
            <filter val="555.00 TL"/>
            <filter val="580.00 TL"/>
            <filter val="6,900.00 TL"/>
            <filter val="600.00 TL"/>
            <filter val="620.00 TL"/>
            <filter val="65.00 TL"/>
            <filter val="650.00 TL"/>
            <filter val="660.00 TL"/>
            <filter val="675.00 TL"/>
            <filter val="684.00 TL"/>
            <filter val="70.00 TL"/>
            <filter val="720.00 TL"/>
            <filter val="750.00 TL"/>
            <filter val="780.00 TL"/>
            <filter val="800.00 TL"/>
            <filter val="856.00 TL"/>
            <filter val="9,000.00 TL"/>
            <filter val="9,300.00 TL"/>
            <filter val="930.00 TL"/>
            <filter val="950.00 TL"/>
            <filter val="958.20 TL"/>
            <filter val="975.00 TL"/>
          </filters>
        </filterColumn>
      </autoFilter>
    </customSheetView>
  </customSheetViews>
  <mergeCells count="7">
    <mergeCell ref="U8:V8"/>
    <mergeCell ref="W8:X8"/>
    <mergeCell ref="A1:T1"/>
    <mergeCell ref="L8:M8"/>
    <mergeCell ref="N8:O8"/>
    <mergeCell ref="P8:Q8"/>
    <mergeCell ref="S8:T8"/>
  </mergeCells>
  <conditionalFormatting sqref="E2 E7:E8 B8:D8 F8 H8:I8 K8:W8">
    <cfRule type="notContainsBlanks" dxfId="24" priority="1">
      <formula>LEN(TRIM(E2))&gt;0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3"/>
  <sheetViews>
    <sheetView topLeftCell="H60" workbookViewId="0">
      <selection activeCell="T88" sqref="T88"/>
    </sheetView>
  </sheetViews>
  <sheetFormatPr baseColWidth="10" defaultColWidth="14.5" defaultRowHeight="15" customHeight="1"/>
  <cols>
    <col min="1" max="1" width="4.5" customWidth="1"/>
    <col min="2" max="2" width="11.83203125" hidden="1" customWidth="1"/>
    <col min="3" max="3" width="16" customWidth="1"/>
    <col min="4" max="4" width="16.5" customWidth="1"/>
    <col min="5" max="6" width="19.5" customWidth="1"/>
    <col min="7" max="7" width="59.5" customWidth="1"/>
    <col min="8" max="8" width="10.83203125" customWidth="1"/>
    <col min="9" max="9" width="7.5" customWidth="1"/>
    <col min="10" max="10" width="10.33203125" customWidth="1"/>
    <col min="11" max="11" width="11.5" customWidth="1"/>
    <col min="12" max="12" width="7" customWidth="1"/>
    <col min="13" max="13" width="12.5" customWidth="1"/>
    <col min="14" max="14" width="5.33203125" customWidth="1"/>
    <col min="15" max="15" width="4.6640625" customWidth="1"/>
    <col min="16" max="16" width="5.5" customWidth="1"/>
    <col min="17" max="17" width="16.6640625" customWidth="1"/>
    <col min="18" max="18" width="17.83203125" customWidth="1"/>
    <col min="19" max="19" width="5" customWidth="1"/>
    <col min="20" max="20" width="51.1640625" customWidth="1"/>
  </cols>
  <sheetData>
    <row r="1" spans="1:24" ht="72" customHeight="1">
      <c r="A1" s="534"/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28"/>
      <c r="U1" s="1"/>
    </row>
    <row r="2" spans="1:24" ht="16">
      <c r="A2" s="1"/>
      <c r="B2" s="3"/>
      <c r="C2" s="93" t="s">
        <v>1</v>
      </c>
      <c r="D2" s="14">
        <v>600000</v>
      </c>
      <c r="E2" s="6">
        <f>D3/D2</f>
        <v>0.82024166666666665</v>
      </c>
      <c r="F2" s="1"/>
      <c r="G2" s="7">
        <v>45322</v>
      </c>
      <c r="H2" s="1"/>
      <c r="I2" s="1"/>
      <c r="J2" s="8"/>
      <c r="K2" s="8"/>
      <c r="L2" s="1"/>
      <c r="M2" s="1"/>
      <c r="N2" s="9"/>
      <c r="O2" s="10"/>
      <c r="P2" s="1"/>
      <c r="Q2" s="1"/>
      <c r="R2" s="1"/>
      <c r="S2" s="1"/>
      <c r="T2" s="1"/>
      <c r="U2" s="1"/>
    </row>
    <row r="3" spans="1:24" ht="16">
      <c r="A3" s="1"/>
      <c r="B3" s="11"/>
      <c r="C3" s="94" t="s">
        <v>2</v>
      </c>
      <c r="D3" s="14">
        <f>SUM(K10:K186)</f>
        <v>492145</v>
      </c>
      <c r="E3" s="14" t="s">
        <v>3</v>
      </c>
      <c r="F3" s="1"/>
      <c r="G3" s="1"/>
      <c r="H3" s="1"/>
      <c r="I3" s="1"/>
      <c r="J3" s="8"/>
      <c r="K3" s="8"/>
      <c r="L3" s="1"/>
      <c r="M3" s="1"/>
      <c r="N3" s="9"/>
      <c r="O3" s="10"/>
      <c r="P3" s="1"/>
      <c r="Q3" s="1"/>
      <c r="R3" s="1"/>
      <c r="S3" s="1"/>
      <c r="T3" s="1"/>
      <c r="U3" s="1"/>
    </row>
    <row r="4" spans="1:24" ht="16">
      <c r="A4" s="1"/>
      <c r="B4" s="1"/>
      <c r="C4" s="95" t="s">
        <v>4</v>
      </c>
      <c r="D4" s="17">
        <f ca="1">(D5-TODAY())</f>
        <v>-675</v>
      </c>
      <c r="E4" s="17" t="s">
        <v>5</v>
      </c>
      <c r="F4" s="1"/>
      <c r="G4" s="18"/>
      <c r="H4" s="1"/>
      <c r="I4" s="1"/>
      <c r="J4" s="8"/>
      <c r="K4" s="8"/>
      <c r="L4" s="1"/>
      <c r="M4" s="1"/>
      <c r="N4" s="9"/>
      <c r="O4" s="10"/>
      <c r="P4" s="1"/>
      <c r="Q4" s="1"/>
      <c r="R4" s="1"/>
      <c r="S4" s="1"/>
      <c r="T4" s="1"/>
      <c r="U4" s="1"/>
    </row>
    <row r="5" spans="1:24" ht="16">
      <c r="A5" s="1"/>
      <c r="B5" s="1"/>
      <c r="C5" s="96" t="s">
        <v>6</v>
      </c>
      <c r="D5" s="97">
        <v>45351</v>
      </c>
      <c r="E5" s="21"/>
      <c r="F5" s="1"/>
      <c r="G5" s="18"/>
      <c r="H5" s="1"/>
      <c r="I5" s="1"/>
      <c r="J5" s="8"/>
      <c r="K5" s="8"/>
      <c r="L5" s="1"/>
      <c r="M5" s="1"/>
      <c r="N5" s="9"/>
      <c r="O5" s="10"/>
      <c r="P5" s="1"/>
      <c r="Q5" s="1"/>
      <c r="R5" s="1"/>
      <c r="S5" s="1"/>
      <c r="T5" s="1"/>
      <c r="U5" s="1"/>
    </row>
    <row r="6" spans="1:24" ht="22">
      <c r="A6" s="1"/>
      <c r="B6" s="22" t="s">
        <v>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  <c r="P6" s="23"/>
      <c r="Q6" s="25"/>
      <c r="R6" s="26"/>
      <c r="S6" s="26"/>
      <c r="T6" s="27"/>
      <c r="U6" s="1"/>
    </row>
    <row r="7" spans="1:24" ht="16">
      <c r="A7" s="1"/>
      <c r="B7" s="28"/>
      <c r="C7" s="29" t="s">
        <v>8</v>
      </c>
      <c r="D7" s="30">
        <v>6130636884</v>
      </c>
      <c r="E7" s="31"/>
      <c r="F7" s="1"/>
      <c r="G7" s="18"/>
      <c r="H7" s="1"/>
      <c r="I7" s="1"/>
      <c r="J7" s="8"/>
      <c r="K7" s="8"/>
      <c r="L7" s="1"/>
      <c r="M7" s="1"/>
      <c r="N7" s="9"/>
      <c r="O7" s="10"/>
      <c r="P7" s="1"/>
      <c r="Q7" s="1"/>
      <c r="R7" s="1"/>
      <c r="S7" s="1"/>
      <c r="T7" s="1"/>
      <c r="U7" s="1"/>
    </row>
    <row r="8" spans="1:24" ht="24" customHeight="1">
      <c r="A8" s="1"/>
      <c r="B8" s="32"/>
      <c r="C8" s="31"/>
      <c r="D8" s="33"/>
      <c r="E8" s="31" t="s">
        <v>9</v>
      </c>
      <c r="F8" s="31"/>
      <c r="G8" s="18"/>
      <c r="H8" s="31"/>
      <c r="I8" s="31"/>
      <c r="J8" s="34"/>
      <c r="K8" s="31"/>
      <c r="L8" s="531" t="s">
        <v>10</v>
      </c>
      <c r="M8" s="528"/>
      <c r="N8" s="532" t="s">
        <v>11</v>
      </c>
      <c r="O8" s="528"/>
      <c r="P8" s="533" t="s">
        <v>12</v>
      </c>
      <c r="Q8" s="528"/>
      <c r="R8" s="35" t="s">
        <v>13</v>
      </c>
      <c r="S8" s="527" t="s">
        <v>14</v>
      </c>
      <c r="T8" s="528"/>
      <c r="U8" s="527" t="s">
        <v>15</v>
      </c>
      <c r="V8" s="528"/>
      <c r="W8" s="527" t="s">
        <v>16</v>
      </c>
      <c r="X8" s="528"/>
    </row>
    <row r="9" spans="1:24" ht="15.75" customHeight="1">
      <c r="A9" s="98"/>
      <c r="B9" s="99"/>
      <c r="C9" s="38" t="s">
        <v>18</v>
      </c>
      <c r="D9" s="38" t="s">
        <v>19</v>
      </c>
      <c r="E9" s="38" t="s">
        <v>20</v>
      </c>
      <c r="F9" s="38" t="s">
        <v>21</v>
      </c>
      <c r="G9" s="39" t="s">
        <v>2018</v>
      </c>
      <c r="H9" s="38" t="s">
        <v>22</v>
      </c>
      <c r="I9" s="38"/>
      <c r="J9" s="40"/>
      <c r="K9" s="41" t="s">
        <v>23</v>
      </c>
      <c r="L9" s="42"/>
      <c r="M9" s="43"/>
      <c r="N9" s="43"/>
      <c r="O9" s="44"/>
      <c r="P9" s="45"/>
      <c r="Q9" s="46"/>
      <c r="R9" s="46"/>
      <c r="S9" s="47" t="b">
        <v>0</v>
      </c>
      <c r="T9" s="48"/>
      <c r="U9" s="100" t="s">
        <v>24</v>
      </c>
      <c r="V9" s="100" t="s">
        <v>25</v>
      </c>
      <c r="W9" s="49"/>
      <c r="X9" s="49"/>
    </row>
    <row r="10" spans="1:24" ht="15.75" customHeight="1">
      <c r="A10" s="1"/>
      <c r="B10" s="32"/>
      <c r="C10" s="82">
        <v>45323</v>
      </c>
      <c r="D10" s="53" t="s">
        <v>51</v>
      </c>
      <c r="E10" s="53" t="s">
        <v>137</v>
      </c>
      <c r="F10" s="53" t="s">
        <v>138</v>
      </c>
      <c r="G10" s="53" t="s">
        <v>49</v>
      </c>
      <c r="H10" s="53" t="s">
        <v>30</v>
      </c>
      <c r="I10" s="53">
        <v>4</v>
      </c>
      <c r="J10" s="54">
        <v>695</v>
      </c>
      <c r="K10" s="54">
        <f t="shared" ref="K10:K11" si="0">J10:J11*I10</f>
        <v>2780</v>
      </c>
      <c r="L10" s="55" t="b">
        <v>1</v>
      </c>
      <c r="M10" s="56">
        <v>10220240915</v>
      </c>
      <c r="N10" s="57" t="b">
        <v>1</v>
      </c>
      <c r="O10" s="58" t="s">
        <v>31</v>
      </c>
      <c r="P10" s="59" t="b">
        <v>1</v>
      </c>
      <c r="Q10" s="60"/>
      <c r="R10" s="60"/>
      <c r="S10" s="47" t="b">
        <v>1</v>
      </c>
      <c r="T10" s="61" t="s">
        <v>368</v>
      </c>
      <c r="U10" s="54">
        <f>4000*0.465</f>
        <v>1860</v>
      </c>
      <c r="V10" s="54">
        <f t="shared" ref="V10:V193" si="1">K10-U10</f>
        <v>920</v>
      </c>
      <c r="W10" s="49"/>
      <c r="X10" s="49"/>
    </row>
    <row r="11" spans="1:24" ht="15.75" customHeight="1">
      <c r="A11" s="1"/>
      <c r="B11" s="32"/>
      <c r="C11" s="82">
        <v>45323</v>
      </c>
      <c r="D11" s="53" t="s">
        <v>55</v>
      </c>
      <c r="E11" s="53" t="s">
        <v>56</v>
      </c>
      <c r="F11" s="53" t="s">
        <v>57</v>
      </c>
      <c r="G11" s="53" t="s">
        <v>199</v>
      </c>
      <c r="H11" s="53" t="s">
        <v>30</v>
      </c>
      <c r="I11" s="53">
        <v>30</v>
      </c>
      <c r="J11" s="54">
        <v>42.5</v>
      </c>
      <c r="K11" s="54">
        <f t="shared" si="0"/>
        <v>1275</v>
      </c>
      <c r="L11" s="55" t="b">
        <v>1</v>
      </c>
      <c r="M11" s="56">
        <v>10220241222</v>
      </c>
      <c r="N11" s="57" t="b">
        <v>1</v>
      </c>
      <c r="O11" s="63"/>
      <c r="P11" s="59" t="b">
        <v>1</v>
      </c>
      <c r="Q11" s="60"/>
      <c r="R11" s="60"/>
      <c r="S11" s="47" t="b">
        <v>1</v>
      </c>
      <c r="T11" s="61" t="s">
        <v>369</v>
      </c>
      <c r="U11" s="54">
        <f>18*30</f>
        <v>540</v>
      </c>
      <c r="V11" s="54">
        <f t="shared" si="1"/>
        <v>735</v>
      </c>
      <c r="W11" s="49"/>
      <c r="X11" s="49"/>
    </row>
    <row r="12" spans="1:24" ht="15.75" customHeight="1">
      <c r="A12" s="1"/>
      <c r="B12" s="32"/>
      <c r="C12" s="52">
        <v>45323</v>
      </c>
      <c r="D12" s="53" t="s">
        <v>104</v>
      </c>
      <c r="E12" s="53" t="s">
        <v>122</v>
      </c>
      <c r="F12" s="53" t="s">
        <v>370</v>
      </c>
      <c r="G12" s="53" t="s">
        <v>229</v>
      </c>
      <c r="H12" s="53" t="s">
        <v>30</v>
      </c>
      <c r="I12" s="53">
        <v>3</v>
      </c>
      <c r="J12" s="54">
        <v>535</v>
      </c>
      <c r="K12" s="54">
        <f t="shared" ref="K12:K13" si="2">J12*I12</f>
        <v>1605</v>
      </c>
      <c r="L12" s="55" t="b">
        <v>1</v>
      </c>
      <c r="M12" s="56">
        <v>10220241349</v>
      </c>
      <c r="N12" s="57" t="b">
        <v>1</v>
      </c>
      <c r="O12" s="58" t="s">
        <v>31</v>
      </c>
      <c r="P12" s="59" t="b">
        <v>1</v>
      </c>
      <c r="Q12" s="60"/>
      <c r="R12" s="60"/>
      <c r="S12" s="47" t="b">
        <v>1</v>
      </c>
      <c r="T12" s="61" t="s">
        <v>371</v>
      </c>
      <c r="U12" s="54">
        <v>1200</v>
      </c>
      <c r="V12" s="54">
        <f t="shared" si="1"/>
        <v>405</v>
      </c>
      <c r="W12" s="49"/>
      <c r="X12" s="49"/>
    </row>
    <row r="13" spans="1:24" ht="15.75" customHeight="1">
      <c r="A13" s="1"/>
      <c r="B13" s="32"/>
      <c r="C13" s="82">
        <v>45323</v>
      </c>
      <c r="D13" s="53" t="s">
        <v>51</v>
      </c>
      <c r="E13" s="53" t="s">
        <v>372</v>
      </c>
      <c r="F13" s="53" t="s">
        <v>373</v>
      </c>
      <c r="G13" s="53" t="s">
        <v>374</v>
      </c>
      <c r="H13" s="53" t="s">
        <v>30</v>
      </c>
      <c r="I13" s="53">
        <v>20</v>
      </c>
      <c r="J13" s="54">
        <v>19.75</v>
      </c>
      <c r="K13" s="54">
        <f t="shared" si="2"/>
        <v>395</v>
      </c>
      <c r="L13" s="55" t="b">
        <v>1</v>
      </c>
      <c r="M13" s="56">
        <v>1020241821</v>
      </c>
      <c r="N13" s="57" t="b">
        <v>1</v>
      </c>
      <c r="O13" s="63" t="s">
        <v>31</v>
      </c>
      <c r="P13" s="59" t="b">
        <v>1</v>
      </c>
      <c r="Q13" s="60"/>
      <c r="R13" s="60"/>
      <c r="S13" s="47" t="b">
        <v>1</v>
      </c>
      <c r="T13" s="61" t="s">
        <v>375</v>
      </c>
      <c r="U13" s="54">
        <f>20*7</f>
        <v>140</v>
      </c>
      <c r="V13" s="54">
        <f t="shared" si="1"/>
        <v>255</v>
      </c>
      <c r="W13" s="49"/>
      <c r="X13" s="49"/>
    </row>
    <row r="14" spans="1:24" ht="15.75" customHeight="1">
      <c r="A14" s="1"/>
      <c r="B14" s="32"/>
      <c r="C14" s="82">
        <v>45323</v>
      </c>
      <c r="D14" s="66" t="s">
        <v>51</v>
      </c>
      <c r="E14" s="67" t="s">
        <v>372</v>
      </c>
      <c r="F14" s="67" t="s">
        <v>373</v>
      </c>
      <c r="G14" s="67" t="s">
        <v>376</v>
      </c>
      <c r="H14" s="67" t="s">
        <v>30</v>
      </c>
      <c r="I14" s="67">
        <v>4</v>
      </c>
      <c r="J14" s="68">
        <v>500</v>
      </c>
      <c r="K14" s="54">
        <f t="shared" ref="K14:K25" si="3">J14:J15*I14</f>
        <v>2000</v>
      </c>
      <c r="L14" s="55" t="b">
        <v>1</v>
      </c>
      <c r="M14" s="56">
        <v>10220241822</v>
      </c>
      <c r="N14" s="57" t="b">
        <v>1</v>
      </c>
      <c r="O14" s="58" t="s">
        <v>31</v>
      </c>
      <c r="P14" s="59" t="b">
        <v>1</v>
      </c>
      <c r="Q14" s="60"/>
      <c r="R14" s="60"/>
      <c r="S14" s="47" t="b">
        <v>1</v>
      </c>
      <c r="T14" s="61" t="s">
        <v>377</v>
      </c>
      <c r="U14" s="54">
        <v>640</v>
      </c>
      <c r="V14" s="54">
        <f t="shared" si="1"/>
        <v>1360</v>
      </c>
      <c r="W14" s="49"/>
      <c r="X14" s="49"/>
    </row>
    <row r="15" spans="1:24" ht="15.75" customHeight="1">
      <c r="A15" s="1"/>
      <c r="B15" s="32"/>
      <c r="C15" s="82">
        <v>45323</v>
      </c>
      <c r="D15" s="66" t="s">
        <v>51</v>
      </c>
      <c r="E15" s="67" t="s">
        <v>372</v>
      </c>
      <c r="F15" s="67" t="s">
        <v>373</v>
      </c>
      <c r="G15" s="67" t="s">
        <v>378</v>
      </c>
      <c r="H15" s="69" t="s">
        <v>30</v>
      </c>
      <c r="I15" s="69">
        <v>10</v>
      </c>
      <c r="J15" s="70">
        <v>250</v>
      </c>
      <c r="K15" s="54">
        <f t="shared" si="3"/>
        <v>2500</v>
      </c>
      <c r="L15" s="55" t="b">
        <v>1</v>
      </c>
      <c r="M15" s="56">
        <v>10220241822</v>
      </c>
      <c r="N15" s="57" t="b">
        <v>1</v>
      </c>
      <c r="O15" s="63" t="s">
        <v>31</v>
      </c>
      <c r="P15" s="59" t="b">
        <v>1</v>
      </c>
      <c r="Q15" s="60"/>
      <c r="R15" s="60"/>
      <c r="S15" s="47" t="b">
        <v>1</v>
      </c>
      <c r="T15" s="61" t="s">
        <v>377</v>
      </c>
      <c r="U15" s="54">
        <v>1600</v>
      </c>
      <c r="V15" s="54">
        <f t="shared" si="1"/>
        <v>900</v>
      </c>
      <c r="W15" s="49"/>
      <c r="X15" s="49"/>
    </row>
    <row r="16" spans="1:24" ht="15.75" customHeight="1">
      <c r="A16" s="1"/>
      <c r="B16" s="32"/>
      <c r="C16" s="82">
        <v>45323</v>
      </c>
      <c r="D16" s="66" t="s">
        <v>51</v>
      </c>
      <c r="E16" s="67" t="s">
        <v>137</v>
      </c>
      <c r="F16" s="67" t="s">
        <v>138</v>
      </c>
      <c r="G16" s="67" t="s">
        <v>379</v>
      </c>
      <c r="H16" s="69" t="s">
        <v>30</v>
      </c>
      <c r="I16" s="69">
        <v>1</v>
      </c>
      <c r="J16" s="70">
        <v>3400</v>
      </c>
      <c r="K16" s="54">
        <f t="shared" si="3"/>
        <v>3400</v>
      </c>
      <c r="L16" s="55" t="b">
        <v>1</v>
      </c>
      <c r="M16" s="56">
        <v>10220241920</v>
      </c>
      <c r="N16" s="57" t="b">
        <v>1</v>
      </c>
      <c r="O16" s="58" t="s">
        <v>39</v>
      </c>
      <c r="P16" s="59" t="b">
        <v>1</v>
      </c>
      <c r="Q16" s="60" t="s">
        <v>380</v>
      </c>
      <c r="R16" s="60"/>
      <c r="S16" s="47" t="b">
        <v>1</v>
      </c>
      <c r="T16" s="61" t="s">
        <v>381</v>
      </c>
      <c r="U16" s="54">
        <v>2400</v>
      </c>
      <c r="V16" s="54">
        <f t="shared" si="1"/>
        <v>1000</v>
      </c>
      <c r="W16" s="49"/>
      <c r="X16" s="49"/>
    </row>
    <row r="17" spans="1:24" ht="15.75" customHeight="1">
      <c r="A17" s="1"/>
      <c r="B17" s="32"/>
      <c r="C17" s="82">
        <v>45323</v>
      </c>
      <c r="D17" s="53" t="s">
        <v>51</v>
      </c>
      <c r="E17" s="53" t="s">
        <v>137</v>
      </c>
      <c r="F17" s="53" t="s">
        <v>138</v>
      </c>
      <c r="G17" s="53" t="s">
        <v>382</v>
      </c>
      <c r="H17" s="53" t="s">
        <v>30</v>
      </c>
      <c r="I17" s="53">
        <v>3</v>
      </c>
      <c r="J17" s="54">
        <v>1400</v>
      </c>
      <c r="K17" s="54">
        <f t="shared" si="3"/>
        <v>4200</v>
      </c>
      <c r="L17" s="55" t="b">
        <v>1</v>
      </c>
      <c r="M17" s="56">
        <v>10220241920</v>
      </c>
      <c r="N17" s="57" t="b">
        <v>1</v>
      </c>
      <c r="O17" s="58" t="s">
        <v>39</v>
      </c>
      <c r="P17" s="59" t="b">
        <v>1</v>
      </c>
      <c r="Q17" s="60" t="s">
        <v>383</v>
      </c>
      <c r="R17" s="60"/>
      <c r="S17" s="47" t="b">
        <v>1</v>
      </c>
      <c r="T17" s="61" t="s">
        <v>381</v>
      </c>
      <c r="U17" s="54">
        <v>1000</v>
      </c>
      <c r="V17" s="54">
        <f t="shared" si="1"/>
        <v>3200</v>
      </c>
      <c r="W17" s="49"/>
      <c r="X17" s="49"/>
    </row>
    <row r="18" spans="1:24" ht="15.75" customHeight="1">
      <c r="A18" s="1"/>
      <c r="B18" s="32"/>
      <c r="C18" s="82">
        <v>45323</v>
      </c>
      <c r="D18" s="53" t="s">
        <v>51</v>
      </c>
      <c r="E18" s="53" t="s">
        <v>372</v>
      </c>
      <c r="F18" s="53" t="s">
        <v>373</v>
      </c>
      <c r="G18" s="53" t="s">
        <v>379</v>
      </c>
      <c r="H18" s="53" t="s">
        <v>30</v>
      </c>
      <c r="I18" s="53">
        <v>1</v>
      </c>
      <c r="J18" s="54">
        <v>3400</v>
      </c>
      <c r="K18" s="54">
        <f t="shared" si="3"/>
        <v>3400</v>
      </c>
      <c r="L18" s="55" t="b">
        <v>1</v>
      </c>
      <c r="M18" s="56">
        <v>10220241920</v>
      </c>
      <c r="N18" s="57" t="b">
        <v>1</v>
      </c>
      <c r="O18" s="58" t="s">
        <v>39</v>
      </c>
      <c r="P18" s="59" t="b">
        <v>1</v>
      </c>
      <c r="Q18" s="60" t="s">
        <v>380</v>
      </c>
      <c r="R18" s="60"/>
      <c r="S18" s="47" t="b">
        <v>1</v>
      </c>
      <c r="T18" s="61" t="s">
        <v>384</v>
      </c>
      <c r="U18" s="54">
        <v>2400</v>
      </c>
      <c r="V18" s="54">
        <f t="shared" si="1"/>
        <v>1000</v>
      </c>
      <c r="W18" s="49"/>
      <c r="X18" s="49"/>
    </row>
    <row r="19" spans="1:24" ht="15.75" customHeight="1">
      <c r="A19" s="1"/>
      <c r="B19" s="32"/>
      <c r="C19" s="82">
        <v>45323</v>
      </c>
      <c r="D19" s="53" t="s">
        <v>51</v>
      </c>
      <c r="E19" s="53" t="s">
        <v>372</v>
      </c>
      <c r="F19" s="53" t="s">
        <v>373</v>
      </c>
      <c r="G19" s="53" t="s">
        <v>382</v>
      </c>
      <c r="H19" s="53" t="s">
        <v>30</v>
      </c>
      <c r="I19" s="53">
        <v>1</v>
      </c>
      <c r="J19" s="54">
        <v>1400</v>
      </c>
      <c r="K19" s="54">
        <f t="shared" si="3"/>
        <v>1400</v>
      </c>
      <c r="L19" s="55" t="b">
        <v>1</v>
      </c>
      <c r="M19" s="56">
        <v>10220241920</v>
      </c>
      <c r="N19" s="57" t="b">
        <v>1</v>
      </c>
      <c r="O19" s="63" t="s">
        <v>39</v>
      </c>
      <c r="P19" s="59" t="b">
        <v>1</v>
      </c>
      <c r="Q19" s="60" t="s">
        <v>383</v>
      </c>
      <c r="R19" s="60"/>
      <c r="S19" s="47" t="b">
        <v>1</v>
      </c>
      <c r="T19" s="61" t="s">
        <v>384</v>
      </c>
      <c r="U19" s="54">
        <v>1000</v>
      </c>
      <c r="V19" s="54">
        <f t="shared" si="1"/>
        <v>400</v>
      </c>
      <c r="W19" s="49"/>
      <c r="X19" s="49"/>
    </row>
    <row r="20" spans="1:24" ht="15.75" customHeight="1">
      <c r="A20" s="1"/>
      <c r="B20" s="32"/>
      <c r="C20" s="71" t="s">
        <v>385</v>
      </c>
      <c r="D20" s="53" t="s">
        <v>26</v>
      </c>
      <c r="E20" s="53" t="s">
        <v>386</v>
      </c>
      <c r="F20" s="53" t="s">
        <v>387</v>
      </c>
      <c r="G20" s="53" t="s">
        <v>49</v>
      </c>
      <c r="H20" s="53" t="s">
        <v>30</v>
      </c>
      <c r="I20" s="53">
        <v>5</v>
      </c>
      <c r="J20" s="54">
        <v>695</v>
      </c>
      <c r="K20" s="54">
        <f t="shared" si="3"/>
        <v>3475</v>
      </c>
      <c r="L20" s="55" t="b">
        <v>1</v>
      </c>
      <c r="M20" s="56">
        <v>20220240954</v>
      </c>
      <c r="N20" s="57" t="b">
        <v>1</v>
      </c>
      <c r="O20" s="63" t="s">
        <v>31</v>
      </c>
      <c r="P20" s="59" t="b">
        <v>1</v>
      </c>
      <c r="Q20" s="60"/>
      <c r="R20" s="60"/>
      <c r="S20" s="47" t="b">
        <v>1</v>
      </c>
      <c r="T20" s="61" t="s">
        <v>388</v>
      </c>
      <c r="U20" s="54">
        <f>5000*0.46</f>
        <v>2300</v>
      </c>
      <c r="V20" s="54">
        <f t="shared" si="1"/>
        <v>1175</v>
      </c>
      <c r="W20" s="49"/>
      <c r="X20" s="49"/>
    </row>
    <row r="21" spans="1:24" ht="15.75" customHeight="1">
      <c r="A21" s="1"/>
      <c r="B21" s="32"/>
      <c r="C21" s="71" t="s">
        <v>385</v>
      </c>
      <c r="D21" s="53" t="s">
        <v>51</v>
      </c>
      <c r="E21" s="53" t="s">
        <v>137</v>
      </c>
      <c r="F21" s="53" t="s">
        <v>138</v>
      </c>
      <c r="G21" s="53" t="s">
        <v>389</v>
      </c>
      <c r="H21" s="53" t="s">
        <v>30</v>
      </c>
      <c r="I21" s="53">
        <v>45</v>
      </c>
      <c r="J21" s="54">
        <v>35</v>
      </c>
      <c r="K21" s="54">
        <f t="shared" si="3"/>
        <v>1575</v>
      </c>
      <c r="L21" s="55" t="b">
        <v>1</v>
      </c>
      <c r="M21" s="56">
        <v>20220241332</v>
      </c>
      <c r="N21" s="57" t="b">
        <v>1</v>
      </c>
      <c r="O21" s="58" t="s">
        <v>39</v>
      </c>
      <c r="P21" s="59" t="b">
        <v>1</v>
      </c>
      <c r="Q21" s="60" t="s">
        <v>390</v>
      </c>
      <c r="R21" s="60"/>
      <c r="S21" s="47" t="b">
        <v>1</v>
      </c>
      <c r="T21" s="61" t="s">
        <v>381</v>
      </c>
      <c r="U21" s="54">
        <f>45*25</f>
        <v>1125</v>
      </c>
      <c r="V21" s="54">
        <f t="shared" si="1"/>
        <v>450</v>
      </c>
      <c r="W21" s="49"/>
      <c r="X21" s="49"/>
    </row>
    <row r="22" spans="1:24" ht="15.75" customHeight="1">
      <c r="A22" s="1"/>
      <c r="B22" s="32"/>
      <c r="C22" s="71" t="s">
        <v>385</v>
      </c>
      <c r="D22" s="53" t="s">
        <v>51</v>
      </c>
      <c r="E22" s="53" t="s">
        <v>66</v>
      </c>
      <c r="F22" s="53" t="s">
        <v>67</v>
      </c>
      <c r="G22" s="53" t="s">
        <v>391</v>
      </c>
      <c r="H22" s="53" t="s">
        <v>30</v>
      </c>
      <c r="I22" s="53">
        <v>15</v>
      </c>
      <c r="J22" s="54">
        <v>65</v>
      </c>
      <c r="K22" s="54">
        <f t="shared" si="3"/>
        <v>975</v>
      </c>
      <c r="L22" s="55" t="b">
        <v>1</v>
      </c>
      <c r="M22" s="56">
        <v>20220241443</v>
      </c>
      <c r="N22" s="57" t="b">
        <v>1</v>
      </c>
      <c r="O22" s="58"/>
      <c r="P22" s="59" t="b">
        <v>1</v>
      </c>
      <c r="Q22" s="60"/>
      <c r="R22" s="60"/>
      <c r="S22" s="47" t="b">
        <v>1</v>
      </c>
      <c r="T22" s="61" t="s">
        <v>392</v>
      </c>
      <c r="U22" s="54">
        <f>15*40</f>
        <v>600</v>
      </c>
      <c r="V22" s="54">
        <f t="shared" si="1"/>
        <v>375</v>
      </c>
      <c r="W22" s="49"/>
      <c r="X22" s="49"/>
    </row>
    <row r="23" spans="1:24" ht="13.5" customHeight="1">
      <c r="A23" s="1"/>
      <c r="B23" s="32"/>
      <c r="C23" s="71" t="s">
        <v>385</v>
      </c>
      <c r="D23" s="53" t="s">
        <v>51</v>
      </c>
      <c r="E23" s="53" t="s">
        <v>61</v>
      </c>
      <c r="F23" s="53" t="s">
        <v>393</v>
      </c>
      <c r="G23" s="53" t="s">
        <v>379</v>
      </c>
      <c r="H23" s="53" t="s">
        <v>30</v>
      </c>
      <c r="I23" s="53">
        <v>1</v>
      </c>
      <c r="J23" s="54">
        <v>3400</v>
      </c>
      <c r="K23" s="54">
        <f t="shared" si="3"/>
        <v>3400</v>
      </c>
      <c r="L23" s="55" t="b">
        <v>1</v>
      </c>
      <c r="M23" s="56">
        <v>20220241452</v>
      </c>
      <c r="N23" s="57" t="b">
        <v>1</v>
      </c>
      <c r="O23" s="58" t="s">
        <v>39</v>
      </c>
      <c r="P23" s="59" t="b">
        <v>1</v>
      </c>
      <c r="Q23" s="60" t="s">
        <v>380</v>
      </c>
      <c r="R23" s="60"/>
      <c r="S23" s="47" t="b">
        <v>1</v>
      </c>
      <c r="T23" s="61" t="s">
        <v>394</v>
      </c>
      <c r="U23" s="54">
        <v>2400</v>
      </c>
      <c r="V23" s="54">
        <f t="shared" si="1"/>
        <v>1000</v>
      </c>
      <c r="W23" s="49"/>
      <c r="X23" s="49"/>
    </row>
    <row r="24" spans="1:24" ht="15.75" customHeight="1">
      <c r="A24" s="1"/>
      <c r="B24" s="32"/>
      <c r="C24" s="71" t="s">
        <v>385</v>
      </c>
      <c r="D24" s="53" t="s">
        <v>51</v>
      </c>
      <c r="E24" s="53" t="s">
        <v>61</v>
      </c>
      <c r="F24" s="53" t="s">
        <v>393</v>
      </c>
      <c r="G24" s="53" t="s">
        <v>382</v>
      </c>
      <c r="H24" s="53" t="s">
        <v>30</v>
      </c>
      <c r="I24" s="53">
        <v>4</v>
      </c>
      <c r="J24" s="54">
        <v>1400</v>
      </c>
      <c r="K24" s="54">
        <f t="shared" si="3"/>
        <v>5600</v>
      </c>
      <c r="L24" s="55" t="b">
        <v>1</v>
      </c>
      <c r="M24" s="56">
        <v>20220241451</v>
      </c>
      <c r="N24" s="57" t="b">
        <v>1</v>
      </c>
      <c r="O24" s="58" t="s">
        <v>39</v>
      </c>
      <c r="P24" s="59" t="b">
        <v>1</v>
      </c>
      <c r="Q24" s="60" t="s">
        <v>383</v>
      </c>
      <c r="R24" s="60"/>
      <c r="S24" s="47" t="b">
        <v>1</v>
      </c>
      <c r="T24" s="61" t="s">
        <v>394</v>
      </c>
      <c r="U24" s="54">
        <f t="shared" ref="U24:U25" si="4">4*1000</f>
        <v>4000</v>
      </c>
      <c r="V24" s="54">
        <f t="shared" si="1"/>
        <v>1600</v>
      </c>
      <c r="W24" s="49"/>
      <c r="X24" s="49"/>
    </row>
    <row r="25" spans="1:24" ht="15.75" customHeight="1">
      <c r="A25" s="1"/>
      <c r="B25" s="32"/>
      <c r="C25" s="71" t="s">
        <v>385</v>
      </c>
      <c r="D25" s="53" t="s">
        <v>51</v>
      </c>
      <c r="E25" s="53" t="s">
        <v>201</v>
      </c>
      <c r="F25" s="53" t="s">
        <v>395</v>
      </c>
      <c r="G25" s="53" t="s">
        <v>382</v>
      </c>
      <c r="H25" s="53" t="s">
        <v>30</v>
      </c>
      <c r="I25" s="53">
        <v>4</v>
      </c>
      <c r="J25" s="54">
        <v>1400</v>
      </c>
      <c r="K25" s="54">
        <f t="shared" si="3"/>
        <v>5600</v>
      </c>
      <c r="L25" s="55" t="b">
        <v>1</v>
      </c>
      <c r="M25" s="56">
        <v>20220241509</v>
      </c>
      <c r="N25" s="57" t="b">
        <v>1</v>
      </c>
      <c r="O25" s="58" t="s">
        <v>39</v>
      </c>
      <c r="P25" s="59" t="b">
        <v>1</v>
      </c>
      <c r="Q25" s="60" t="s">
        <v>383</v>
      </c>
      <c r="R25" s="60"/>
      <c r="S25" s="47" t="b">
        <v>1</v>
      </c>
      <c r="T25" s="61" t="s">
        <v>396</v>
      </c>
      <c r="U25" s="54">
        <f t="shared" si="4"/>
        <v>4000</v>
      </c>
      <c r="V25" s="54">
        <f t="shared" si="1"/>
        <v>1600</v>
      </c>
      <c r="W25" s="49"/>
      <c r="X25" s="49"/>
    </row>
    <row r="26" spans="1:24" ht="15.75" customHeight="1">
      <c r="A26" s="1"/>
      <c r="B26" s="32"/>
      <c r="C26" s="71" t="s">
        <v>385</v>
      </c>
      <c r="D26" s="53" t="s">
        <v>51</v>
      </c>
      <c r="E26" s="53" t="s">
        <v>201</v>
      </c>
      <c r="F26" s="53" t="s">
        <v>395</v>
      </c>
      <c r="G26" s="53" t="s">
        <v>389</v>
      </c>
      <c r="H26" s="53" t="s">
        <v>30</v>
      </c>
      <c r="I26" s="53">
        <v>85</v>
      </c>
      <c r="J26" s="54">
        <v>35</v>
      </c>
      <c r="K26" s="54">
        <f>J26*I26</f>
        <v>2975</v>
      </c>
      <c r="L26" s="55" t="b">
        <v>1</v>
      </c>
      <c r="M26" s="56">
        <v>20220241510</v>
      </c>
      <c r="N26" s="57" t="b">
        <v>1</v>
      </c>
      <c r="O26" s="58" t="s">
        <v>39</v>
      </c>
      <c r="P26" s="59" t="b">
        <v>1</v>
      </c>
      <c r="Q26" s="60" t="s">
        <v>390</v>
      </c>
      <c r="R26" s="60"/>
      <c r="S26" s="47" t="b">
        <v>1</v>
      </c>
      <c r="T26" s="61" t="s">
        <v>396</v>
      </c>
      <c r="U26" s="54">
        <f>85*25</f>
        <v>2125</v>
      </c>
      <c r="V26" s="54">
        <f t="shared" si="1"/>
        <v>850</v>
      </c>
      <c r="W26" s="49"/>
      <c r="X26" s="49"/>
    </row>
    <row r="27" spans="1:24" ht="15.75" customHeight="1">
      <c r="A27" s="1"/>
      <c r="B27" s="32"/>
      <c r="C27" s="71" t="s">
        <v>385</v>
      </c>
      <c r="D27" s="53" t="s">
        <v>397</v>
      </c>
      <c r="E27" s="53" t="s">
        <v>61</v>
      </c>
      <c r="F27" s="53" t="s">
        <v>398</v>
      </c>
      <c r="G27" s="53" t="s">
        <v>399</v>
      </c>
      <c r="H27" s="53" t="s">
        <v>30</v>
      </c>
      <c r="I27" s="53">
        <v>5</v>
      </c>
      <c r="J27" s="54">
        <v>600</v>
      </c>
      <c r="K27" s="54">
        <f t="shared" ref="K27:K37" si="5">J27:J28*I27</f>
        <v>3000</v>
      </c>
      <c r="L27" s="55" t="b">
        <v>1</v>
      </c>
      <c r="M27" s="56">
        <v>20220241610</v>
      </c>
      <c r="N27" s="57" t="b">
        <v>1</v>
      </c>
      <c r="O27" s="58"/>
      <c r="P27" s="59" t="b">
        <v>1</v>
      </c>
      <c r="Q27" s="60"/>
      <c r="R27" s="60"/>
      <c r="S27" s="47" t="b">
        <v>1</v>
      </c>
      <c r="T27" s="61" t="s">
        <v>400</v>
      </c>
      <c r="U27" s="54">
        <f>350*5</f>
        <v>1750</v>
      </c>
      <c r="V27" s="54">
        <f t="shared" si="1"/>
        <v>1250</v>
      </c>
      <c r="W27" s="49"/>
      <c r="X27" s="49"/>
    </row>
    <row r="28" spans="1:24" ht="15.75" customHeight="1">
      <c r="A28" s="1"/>
      <c r="B28" s="32"/>
      <c r="C28" s="71" t="s">
        <v>385</v>
      </c>
      <c r="D28" s="53" t="s">
        <v>51</v>
      </c>
      <c r="E28" s="53" t="s">
        <v>372</v>
      </c>
      <c r="F28" s="53" t="s">
        <v>373</v>
      </c>
      <c r="G28" s="53" t="s">
        <v>401</v>
      </c>
      <c r="H28" s="53" t="s">
        <v>30</v>
      </c>
      <c r="I28" s="53">
        <v>1</v>
      </c>
      <c r="J28" s="54">
        <v>2650</v>
      </c>
      <c r="K28" s="54">
        <f t="shared" si="5"/>
        <v>2650</v>
      </c>
      <c r="L28" s="55" t="b">
        <v>1</v>
      </c>
      <c r="M28" s="56">
        <v>20220241943</v>
      </c>
      <c r="N28" s="57" t="b">
        <v>1</v>
      </c>
      <c r="O28" s="58" t="s">
        <v>31</v>
      </c>
      <c r="P28" s="59" t="b">
        <v>1</v>
      </c>
      <c r="Q28" s="60"/>
      <c r="R28" s="60"/>
      <c r="S28" s="47" t="b">
        <v>1</v>
      </c>
      <c r="T28" s="61" t="s">
        <v>402</v>
      </c>
      <c r="U28" s="54">
        <v>1850</v>
      </c>
      <c r="V28" s="54">
        <f t="shared" si="1"/>
        <v>800</v>
      </c>
      <c r="W28" s="49"/>
      <c r="X28" s="49"/>
    </row>
    <row r="29" spans="1:24" ht="15.75" customHeight="1">
      <c r="A29" s="1"/>
      <c r="B29" s="32"/>
      <c r="C29" s="71" t="s">
        <v>403</v>
      </c>
      <c r="D29" s="53" t="s">
        <v>51</v>
      </c>
      <c r="E29" s="53" t="s">
        <v>61</v>
      </c>
      <c r="F29" s="53" t="s">
        <v>393</v>
      </c>
      <c r="G29" s="53" t="s">
        <v>389</v>
      </c>
      <c r="H29" s="53" t="s">
        <v>30</v>
      </c>
      <c r="I29" s="53">
        <v>55</v>
      </c>
      <c r="J29" s="54">
        <v>35</v>
      </c>
      <c r="K29" s="54">
        <f t="shared" si="5"/>
        <v>1925</v>
      </c>
      <c r="L29" s="55" t="b">
        <v>1</v>
      </c>
      <c r="M29" s="56">
        <v>30220241028</v>
      </c>
      <c r="N29" s="57" t="b">
        <v>1</v>
      </c>
      <c r="O29" s="58" t="s">
        <v>39</v>
      </c>
      <c r="P29" s="59" t="b">
        <v>1</v>
      </c>
      <c r="Q29" s="60" t="s">
        <v>390</v>
      </c>
      <c r="R29" s="60"/>
      <c r="S29" s="47" t="b">
        <v>1</v>
      </c>
      <c r="T29" s="61" t="s">
        <v>404</v>
      </c>
      <c r="U29" s="54">
        <f>55*25</f>
        <v>1375</v>
      </c>
      <c r="V29" s="54">
        <f t="shared" si="1"/>
        <v>550</v>
      </c>
      <c r="W29" s="49"/>
      <c r="X29" s="49"/>
    </row>
    <row r="30" spans="1:24" ht="15.75" customHeight="1">
      <c r="A30" s="1"/>
      <c r="B30" s="32"/>
      <c r="C30" s="71" t="s">
        <v>405</v>
      </c>
      <c r="D30" s="53" t="s">
        <v>104</v>
      </c>
      <c r="E30" s="53" t="s">
        <v>406</v>
      </c>
      <c r="F30" s="66" t="s">
        <v>407</v>
      </c>
      <c r="G30" s="67" t="s">
        <v>408</v>
      </c>
      <c r="H30" s="67" t="s">
        <v>30</v>
      </c>
      <c r="I30" s="67">
        <v>1</v>
      </c>
      <c r="J30" s="68">
        <v>408</v>
      </c>
      <c r="K30" s="68">
        <f t="shared" si="5"/>
        <v>408</v>
      </c>
      <c r="L30" s="55" t="b">
        <v>1</v>
      </c>
      <c r="M30" s="56">
        <v>50220240924</v>
      </c>
      <c r="N30" s="57" t="b">
        <v>1</v>
      </c>
      <c r="O30" s="58" t="s">
        <v>31</v>
      </c>
      <c r="P30" s="59" t="b">
        <v>1</v>
      </c>
      <c r="Q30" s="60"/>
      <c r="R30" s="60"/>
      <c r="S30" s="47" t="b">
        <v>1</v>
      </c>
      <c r="T30" s="61" t="s">
        <v>409</v>
      </c>
      <c r="U30" s="54">
        <f t="shared" ref="U30:U38" si="6">K30/1.6</f>
        <v>255</v>
      </c>
      <c r="V30" s="54">
        <f t="shared" si="1"/>
        <v>153</v>
      </c>
      <c r="W30" s="49"/>
      <c r="X30" s="49"/>
    </row>
    <row r="31" spans="1:24" ht="15.75" customHeight="1">
      <c r="A31" s="1"/>
      <c r="B31" s="32"/>
      <c r="C31" s="71" t="s">
        <v>405</v>
      </c>
      <c r="D31" s="53" t="s">
        <v>104</v>
      </c>
      <c r="E31" s="53" t="s">
        <v>406</v>
      </c>
      <c r="F31" s="66" t="s">
        <v>407</v>
      </c>
      <c r="G31" s="69" t="s">
        <v>410</v>
      </c>
      <c r="H31" s="69" t="s">
        <v>30</v>
      </c>
      <c r="I31" s="69">
        <v>6</v>
      </c>
      <c r="J31" s="70">
        <v>208</v>
      </c>
      <c r="K31" s="70">
        <f t="shared" si="5"/>
        <v>1248</v>
      </c>
      <c r="L31" s="55" t="b">
        <v>1</v>
      </c>
      <c r="M31" s="56">
        <v>50220240924</v>
      </c>
      <c r="N31" s="57" t="b">
        <v>1</v>
      </c>
      <c r="O31" s="58" t="s">
        <v>31</v>
      </c>
      <c r="P31" s="59" t="b">
        <v>1</v>
      </c>
      <c r="Q31" s="60"/>
      <c r="R31" s="60"/>
      <c r="S31" s="47" t="b">
        <v>1</v>
      </c>
      <c r="T31" s="61" t="s">
        <v>409</v>
      </c>
      <c r="U31" s="54">
        <f t="shared" si="6"/>
        <v>780</v>
      </c>
      <c r="V31" s="54">
        <f t="shared" si="1"/>
        <v>468</v>
      </c>
      <c r="W31" s="49"/>
      <c r="X31" s="49"/>
    </row>
    <row r="32" spans="1:24" ht="15.75" customHeight="1">
      <c r="A32" s="1"/>
      <c r="B32" s="32"/>
      <c r="C32" s="71" t="s">
        <v>405</v>
      </c>
      <c r="D32" s="53" t="s">
        <v>104</v>
      </c>
      <c r="E32" s="53" t="s">
        <v>406</v>
      </c>
      <c r="F32" s="66" t="s">
        <v>407</v>
      </c>
      <c r="G32" s="69" t="s">
        <v>411</v>
      </c>
      <c r="H32" s="69" t="s">
        <v>30</v>
      </c>
      <c r="I32" s="69">
        <v>2</v>
      </c>
      <c r="J32" s="70">
        <v>224</v>
      </c>
      <c r="K32" s="70">
        <f t="shared" si="5"/>
        <v>448</v>
      </c>
      <c r="L32" s="55" t="b">
        <v>1</v>
      </c>
      <c r="M32" s="56">
        <v>50220240924</v>
      </c>
      <c r="N32" s="57" t="b">
        <v>1</v>
      </c>
      <c r="O32" s="58" t="s">
        <v>31</v>
      </c>
      <c r="P32" s="59" t="b">
        <v>1</v>
      </c>
      <c r="Q32" s="60"/>
      <c r="R32" s="60"/>
      <c r="S32" s="47" t="b">
        <v>1</v>
      </c>
      <c r="T32" s="61" t="s">
        <v>409</v>
      </c>
      <c r="U32" s="54">
        <f t="shared" si="6"/>
        <v>280</v>
      </c>
      <c r="V32" s="54">
        <f t="shared" si="1"/>
        <v>168</v>
      </c>
      <c r="W32" s="49"/>
      <c r="X32" s="49"/>
    </row>
    <row r="33" spans="1:24" ht="15.75" customHeight="1">
      <c r="A33" s="1"/>
      <c r="B33" s="32"/>
      <c r="C33" s="71" t="s">
        <v>405</v>
      </c>
      <c r="D33" s="53" t="s">
        <v>104</v>
      </c>
      <c r="E33" s="53" t="s">
        <v>406</v>
      </c>
      <c r="F33" s="66" t="s">
        <v>407</v>
      </c>
      <c r="G33" s="69" t="s">
        <v>412</v>
      </c>
      <c r="H33" s="69" t="s">
        <v>30</v>
      </c>
      <c r="I33" s="69">
        <v>1</v>
      </c>
      <c r="J33" s="70">
        <v>1280</v>
      </c>
      <c r="K33" s="70">
        <f t="shared" si="5"/>
        <v>1280</v>
      </c>
      <c r="L33" s="55" t="b">
        <v>1</v>
      </c>
      <c r="M33" s="56">
        <v>50220240924</v>
      </c>
      <c r="N33" s="57" t="b">
        <v>1</v>
      </c>
      <c r="O33" s="58" t="s">
        <v>31</v>
      </c>
      <c r="P33" s="59" t="b">
        <v>1</v>
      </c>
      <c r="Q33" s="60"/>
      <c r="R33" s="60"/>
      <c r="S33" s="47" t="b">
        <v>1</v>
      </c>
      <c r="T33" s="61" t="s">
        <v>409</v>
      </c>
      <c r="U33" s="54">
        <f t="shared" si="6"/>
        <v>800</v>
      </c>
      <c r="V33" s="54">
        <f t="shared" si="1"/>
        <v>480</v>
      </c>
      <c r="W33" s="49"/>
      <c r="X33" s="49"/>
    </row>
    <row r="34" spans="1:24" ht="15.75" customHeight="1">
      <c r="A34" s="1"/>
      <c r="B34" s="32"/>
      <c r="C34" s="71" t="s">
        <v>405</v>
      </c>
      <c r="D34" s="53" t="s">
        <v>104</v>
      </c>
      <c r="E34" s="53" t="s">
        <v>406</v>
      </c>
      <c r="F34" s="66" t="s">
        <v>407</v>
      </c>
      <c r="G34" s="69" t="s">
        <v>413</v>
      </c>
      <c r="H34" s="69" t="s">
        <v>30</v>
      </c>
      <c r="I34" s="69">
        <v>4</v>
      </c>
      <c r="J34" s="70">
        <v>302</v>
      </c>
      <c r="K34" s="70">
        <f t="shared" si="5"/>
        <v>1208</v>
      </c>
      <c r="L34" s="55" t="b">
        <v>1</v>
      </c>
      <c r="M34" s="56">
        <v>50220240924</v>
      </c>
      <c r="N34" s="57" t="b">
        <v>1</v>
      </c>
      <c r="O34" s="58" t="s">
        <v>31</v>
      </c>
      <c r="P34" s="59" t="b">
        <v>1</v>
      </c>
      <c r="Q34" s="60"/>
      <c r="R34" s="60"/>
      <c r="S34" s="47" t="b">
        <v>1</v>
      </c>
      <c r="T34" s="61" t="s">
        <v>409</v>
      </c>
      <c r="U34" s="54">
        <f t="shared" si="6"/>
        <v>755</v>
      </c>
      <c r="V34" s="54">
        <f t="shared" si="1"/>
        <v>453</v>
      </c>
      <c r="W34" s="49"/>
      <c r="X34" s="49"/>
    </row>
    <row r="35" spans="1:24" ht="15.75" customHeight="1">
      <c r="A35" s="1"/>
      <c r="B35" s="32"/>
      <c r="C35" s="71" t="s">
        <v>405</v>
      </c>
      <c r="D35" s="53" t="s">
        <v>104</v>
      </c>
      <c r="E35" s="53" t="s">
        <v>406</v>
      </c>
      <c r="F35" s="66" t="s">
        <v>407</v>
      </c>
      <c r="G35" s="69" t="s">
        <v>414</v>
      </c>
      <c r="H35" s="69" t="s">
        <v>30</v>
      </c>
      <c r="I35" s="69">
        <v>1</v>
      </c>
      <c r="J35" s="70">
        <v>152</v>
      </c>
      <c r="K35" s="70">
        <f t="shared" si="5"/>
        <v>152</v>
      </c>
      <c r="L35" s="55" t="b">
        <v>1</v>
      </c>
      <c r="M35" s="56">
        <v>50220240924</v>
      </c>
      <c r="N35" s="57" t="b">
        <v>1</v>
      </c>
      <c r="O35" s="58" t="s">
        <v>31</v>
      </c>
      <c r="P35" s="59" t="b">
        <v>1</v>
      </c>
      <c r="Q35" s="60"/>
      <c r="R35" s="60"/>
      <c r="S35" s="47" t="b">
        <v>1</v>
      </c>
      <c r="T35" s="61" t="s">
        <v>409</v>
      </c>
      <c r="U35" s="54">
        <f t="shared" si="6"/>
        <v>95</v>
      </c>
      <c r="V35" s="54">
        <f t="shared" si="1"/>
        <v>57</v>
      </c>
      <c r="W35" s="49"/>
      <c r="X35" s="49"/>
    </row>
    <row r="36" spans="1:24" ht="15.75" customHeight="1">
      <c r="A36" s="1"/>
      <c r="B36" s="32"/>
      <c r="C36" s="71" t="s">
        <v>405</v>
      </c>
      <c r="D36" s="53" t="s">
        <v>104</v>
      </c>
      <c r="E36" s="53" t="s">
        <v>406</v>
      </c>
      <c r="F36" s="66" t="s">
        <v>407</v>
      </c>
      <c r="G36" s="69" t="s">
        <v>415</v>
      </c>
      <c r="H36" s="69" t="s">
        <v>30</v>
      </c>
      <c r="I36" s="69">
        <v>1</v>
      </c>
      <c r="J36" s="70">
        <v>261</v>
      </c>
      <c r="K36" s="70">
        <f t="shared" si="5"/>
        <v>261</v>
      </c>
      <c r="L36" s="55" t="b">
        <v>1</v>
      </c>
      <c r="M36" s="56">
        <v>50220240924</v>
      </c>
      <c r="N36" s="57" t="b">
        <v>1</v>
      </c>
      <c r="O36" s="58" t="s">
        <v>31</v>
      </c>
      <c r="P36" s="59" t="b">
        <v>1</v>
      </c>
      <c r="Q36" s="60"/>
      <c r="R36" s="60"/>
      <c r="S36" s="47" t="b">
        <v>1</v>
      </c>
      <c r="T36" s="61" t="s">
        <v>409</v>
      </c>
      <c r="U36" s="54">
        <f t="shared" si="6"/>
        <v>163.125</v>
      </c>
      <c r="V36" s="54">
        <f t="shared" si="1"/>
        <v>97.875</v>
      </c>
      <c r="W36" s="49"/>
      <c r="X36" s="49"/>
    </row>
    <row r="37" spans="1:24" ht="15.75" customHeight="1">
      <c r="A37" s="1"/>
      <c r="B37" s="32"/>
      <c r="C37" s="71" t="s">
        <v>405</v>
      </c>
      <c r="D37" s="53" t="s">
        <v>104</v>
      </c>
      <c r="E37" s="53" t="s">
        <v>406</v>
      </c>
      <c r="F37" s="66" t="s">
        <v>407</v>
      </c>
      <c r="G37" s="69" t="s">
        <v>416</v>
      </c>
      <c r="H37" s="69" t="s">
        <v>30</v>
      </c>
      <c r="I37" s="69">
        <v>6</v>
      </c>
      <c r="J37" s="70">
        <v>25</v>
      </c>
      <c r="K37" s="70">
        <f t="shared" si="5"/>
        <v>150</v>
      </c>
      <c r="L37" s="55" t="b">
        <v>1</v>
      </c>
      <c r="M37" s="56">
        <v>50220240924</v>
      </c>
      <c r="N37" s="57" t="b">
        <v>1</v>
      </c>
      <c r="O37" s="58" t="s">
        <v>31</v>
      </c>
      <c r="P37" s="59" t="b">
        <v>1</v>
      </c>
      <c r="Q37" s="60"/>
      <c r="R37" s="60"/>
      <c r="S37" s="47" t="b">
        <v>1</v>
      </c>
      <c r="T37" s="61" t="s">
        <v>409</v>
      </c>
      <c r="U37" s="54">
        <f t="shared" si="6"/>
        <v>93.75</v>
      </c>
      <c r="V37" s="54">
        <f t="shared" si="1"/>
        <v>56.25</v>
      </c>
      <c r="W37" s="49"/>
      <c r="X37" s="49"/>
    </row>
    <row r="38" spans="1:24" ht="15.75" customHeight="1">
      <c r="A38" s="1"/>
      <c r="B38" s="32"/>
      <c r="C38" s="71" t="s">
        <v>405</v>
      </c>
      <c r="D38" s="53" t="s">
        <v>104</v>
      </c>
      <c r="E38" s="53" t="s">
        <v>406</v>
      </c>
      <c r="F38" s="66" t="s">
        <v>407</v>
      </c>
      <c r="G38" s="69" t="s">
        <v>417</v>
      </c>
      <c r="H38" s="69" t="s">
        <v>30</v>
      </c>
      <c r="I38" s="69">
        <v>1</v>
      </c>
      <c r="J38" s="70">
        <v>960</v>
      </c>
      <c r="K38" s="70">
        <f>J38*I38</f>
        <v>960</v>
      </c>
      <c r="L38" s="55" t="b">
        <v>1</v>
      </c>
      <c r="M38" s="56">
        <v>50220240924</v>
      </c>
      <c r="N38" s="57" t="b">
        <v>1</v>
      </c>
      <c r="O38" s="58" t="s">
        <v>31</v>
      </c>
      <c r="P38" s="59" t="b">
        <v>1</v>
      </c>
      <c r="Q38" s="60"/>
      <c r="R38" s="60"/>
      <c r="S38" s="47" t="b">
        <v>1</v>
      </c>
      <c r="T38" s="61" t="s">
        <v>409</v>
      </c>
      <c r="U38" s="54">
        <f t="shared" si="6"/>
        <v>600</v>
      </c>
      <c r="V38" s="54">
        <f t="shared" si="1"/>
        <v>360</v>
      </c>
      <c r="W38" s="49"/>
      <c r="X38" s="49"/>
    </row>
    <row r="39" spans="1:24" ht="15.75" customHeight="1">
      <c r="A39" s="1"/>
      <c r="B39" s="32"/>
      <c r="C39" s="71" t="s">
        <v>405</v>
      </c>
      <c r="D39" s="53" t="s">
        <v>418</v>
      </c>
      <c r="E39" s="53" t="s">
        <v>419</v>
      </c>
      <c r="F39" s="53" t="s">
        <v>420</v>
      </c>
      <c r="G39" s="66" t="s">
        <v>278</v>
      </c>
      <c r="H39" s="53" t="s">
        <v>30</v>
      </c>
      <c r="I39" s="74">
        <v>10</v>
      </c>
      <c r="J39" s="73">
        <v>165</v>
      </c>
      <c r="K39" s="54">
        <f t="shared" ref="K39:K100" si="7">J39:J40*I39</f>
        <v>1650</v>
      </c>
      <c r="L39" s="55" t="b">
        <v>1</v>
      </c>
      <c r="M39" s="56">
        <v>50120240926</v>
      </c>
      <c r="N39" s="57" t="b">
        <v>1</v>
      </c>
      <c r="O39" s="63"/>
      <c r="P39" s="59" t="b">
        <v>1</v>
      </c>
      <c r="Q39" s="60"/>
      <c r="R39" s="60"/>
      <c r="S39" s="47" t="b">
        <v>1</v>
      </c>
      <c r="T39" s="61" t="s">
        <v>421</v>
      </c>
      <c r="U39" s="54">
        <f>10*83</f>
        <v>830</v>
      </c>
      <c r="V39" s="54">
        <f t="shared" si="1"/>
        <v>820</v>
      </c>
      <c r="W39" s="49"/>
      <c r="X39" s="49"/>
    </row>
    <row r="40" spans="1:24" ht="15.75" customHeight="1">
      <c r="A40" s="1"/>
      <c r="B40" s="32"/>
      <c r="C40" s="71" t="s">
        <v>405</v>
      </c>
      <c r="D40" s="53" t="s">
        <v>418</v>
      </c>
      <c r="E40" s="53" t="s">
        <v>419</v>
      </c>
      <c r="F40" s="53" t="s">
        <v>420</v>
      </c>
      <c r="G40" s="66" t="s">
        <v>422</v>
      </c>
      <c r="H40" s="53" t="s">
        <v>30</v>
      </c>
      <c r="I40" s="74">
        <v>10</v>
      </c>
      <c r="J40" s="73">
        <v>70</v>
      </c>
      <c r="K40" s="54">
        <f t="shared" si="7"/>
        <v>700</v>
      </c>
      <c r="L40" s="55" t="b">
        <v>1</v>
      </c>
      <c r="M40" s="56">
        <v>50120240926</v>
      </c>
      <c r="N40" s="57" t="b">
        <v>1</v>
      </c>
      <c r="O40" s="58"/>
      <c r="P40" s="59" t="b">
        <v>1</v>
      </c>
      <c r="Q40" s="60"/>
      <c r="R40" s="60"/>
      <c r="S40" s="47" t="b">
        <v>1</v>
      </c>
      <c r="T40" s="61" t="s">
        <v>421</v>
      </c>
      <c r="U40" s="54">
        <f>10*25</f>
        <v>250</v>
      </c>
      <c r="V40" s="54">
        <f t="shared" si="1"/>
        <v>450</v>
      </c>
      <c r="W40" s="49"/>
      <c r="X40" s="49"/>
    </row>
    <row r="41" spans="1:24" ht="15.75" customHeight="1">
      <c r="A41" s="1"/>
      <c r="B41" s="32"/>
      <c r="C41" s="71" t="s">
        <v>405</v>
      </c>
      <c r="D41" s="53" t="s">
        <v>418</v>
      </c>
      <c r="E41" s="53" t="s">
        <v>419</v>
      </c>
      <c r="F41" s="53" t="s">
        <v>420</v>
      </c>
      <c r="G41" s="66" t="s">
        <v>83</v>
      </c>
      <c r="H41" s="66" t="s">
        <v>30</v>
      </c>
      <c r="I41" s="66">
        <v>1000</v>
      </c>
      <c r="J41" s="75">
        <v>1.5</v>
      </c>
      <c r="K41" s="54">
        <f t="shared" si="7"/>
        <v>1500</v>
      </c>
      <c r="L41" s="55" t="b">
        <v>1</v>
      </c>
      <c r="M41" s="56">
        <v>50120240926</v>
      </c>
      <c r="N41" s="57" t="b">
        <v>1</v>
      </c>
      <c r="O41" s="58"/>
      <c r="P41" s="59" t="b">
        <v>1</v>
      </c>
      <c r="Q41" s="60"/>
      <c r="R41" s="60"/>
      <c r="S41" s="47" t="b">
        <v>1</v>
      </c>
      <c r="T41" s="61" t="s">
        <v>421</v>
      </c>
      <c r="U41" s="54">
        <f>1000*0.95</f>
        <v>950</v>
      </c>
      <c r="V41" s="54">
        <f t="shared" si="1"/>
        <v>550</v>
      </c>
      <c r="W41" s="49"/>
      <c r="X41" s="49"/>
    </row>
    <row r="42" spans="1:24" ht="15.75" customHeight="1">
      <c r="A42" s="1"/>
      <c r="B42" s="32"/>
      <c r="C42" s="71" t="s">
        <v>405</v>
      </c>
      <c r="D42" s="53" t="s">
        <v>418</v>
      </c>
      <c r="E42" s="53" t="s">
        <v>419</v>
      </c>
      <c r="F42" s="53" t="s">
        <v>420</v>
      </c>
      <c r="G42" s="66" t="s">
        <v>49</v>
      </c>
      <c r="H42" s="66" t="s">
        <v>30</v>
      </c>
      <c r="I42" s="66">
        <v>10</v>
      </c>
      <c r="J42" s="75">
        <v>695</v>
      </c>
      <c r="K42" s="54">
        <f t="shared" si="7"/>
        <v>6950</v>
      </c>
      <c r="L42" s="55" t="b">
        <v>1</v>
      </c>
      <c r="M42" s="56">
        <v>50120240926</v>
      </c>
      <c r="N42" s="57" t="b">
        <v>1</v>
      </c>
      <c r="O42" s="58" t="s">
        <v>31</v>
      </c>
      <c r="P42" s="59" t="b">
        <v>1</v>
      </c>
      <c r="Q42" s="60"/>
      <c r="R42" s="60"/>
      <c r="S42" s="47" t="b">
        <v>1</v>
      </c>
      <c r="T42" s="61" t="s">
        <v>423</v>
      </c>
      <c r="U42" s="54">
        <f>10000*0.46</f>
        <v>4600</v>
      </c>
      <c r="V42" s="54">
        <f t="shared" si="1"/>
        <v>2350</v>
      </c>
      <c r="W42" s="49"/>
      <c r="X42" s="49"/>
    </row>
    <row r="43" spans="1:24" ht="15.75" customHeight="1">
      <c r="A43" s="1"/>
      <c r="B43" s="32"/>
      <c r="C43" s="71" t="s">
        <v>405</v>
      </c>
      <c r="D43" s="53" t="s">
        <v>418</v>
      </c>
      <c r="E43" s="53" t="s">
        <v>419</v>
      </c>
      <c r="F43" s="53" t="s">
        <v>420</v>
      </c>
      <c r="G43" s="66" t="s">
        <v>424</v>
      </c>
      <c r="H43" s="66" t="s">
        <v>30</v>
      </c>
      <c r="I43" s="66">
        <v>100</v>
      </c>
      <c r="J43" s="75">
        <v>1.75</v>
      </c>
      <c r="K43" s="54">
        <f t="shared" si="7"/>
        <v>175</v>
      </c>
      <c r="L43" s="55" t="b">
        <v>1</v>
      </c>
      <c r="M43" s="56">
        <v>50120240926</v>
      </c>
      <c r="N43" s="57" t="b">
        <v>1</v>
      </c>
      <c r="O43" s="58"/>
      <c r="P43" s="59" t="b">
        <v>1</v>
      </c>
      <c r="Q43" s="60"/>
      <c r="R43" s="60"/>
      <c r="S43" s="47" t="b">
        <v>1</v>
      </c>
      <c r="T43" s="61" t="s">
        <v>421</v>
      </c>
      <c r="U43" s="54">
        <f>100*0.75</f>
        <v>75</v>
      </c>
      <c r="V43" s="54">
        <f t="shared" si="1"/>
        <v>100</v>
      </c>
      <c r="W43" s="49"/>
      <c r="X43" s="49"/>
    </row>
    <row r="44" spans="1:24" ht="15.75" customHeight="1">
      <c r="A44" s="1"/>
      <c r="B44" s="32"/>
      <c r="C44" s="71" t="s">
        <v>405</v>
      </c>
      <c r="D44" s="53" t="s">
        <v>418</v>
      </c>
      <c r="E44" s="53" t="s">
        <v>419</v>
      </c>
      <c r="F44" s="53" t="s">
        <v>420</v>
      </c>
      <c r="G44" s="66" t="s">
        <v>425</v>
      </c>
      <c r="H44" s="66" t="s">
        <v>30</v>
      </c>
      <c r="I44" s="66">
        <v>2</v>
      </c>
      <c r="J44" s="75">
        <v>240</v>
      </c>
      <c r="K44" s="54">
        <f t="shared" si="7"/>
        <v>480</v>
      </c>
      <c r="L44" s="55" t="b">
        <v>1</v>
      </c>
      <c r="M44" s="56">
        <v>50120240926</v>
      </c>
      <c r="N44" s="57" t="b">
        <v>1</v>
      </c>
      <c r="O44" s="58"/>
      <c r="P44" s="59" t="b">
        <v>1</v>
      </c>
      <c r="Q44" s="60"/>
      <c r="R44" s="60"/>
      <c r="S44" s="47" t="b">
        <v>1</v>
      </c>
      <c r="T44" s="61" t="s">
        <v>426</v>
      </c>
      <c r="U44" s="54">
        <f>2*150</f>
        <v>300</v>
      </c>
      <c r="V44" s="54">
        <f t="shared" si="1"/>
        <v>180</v>
      </c>
      <c r="W44" s="49"/>
      <c r="X44" s="49"/>
    </row>
    <row r="45" spans="1:24" ht="15.75" customHeight="1">
      <c r="A45" s="1"/>
      <c r="B45" s="32"/>
      <c r="C45" s="71" t="s">
        <v>405</v>
      </c>
      <c r="D45" s="53" t="s">
        <v>418</v>
      </c>
      <c r="E45" s="53" t="s">
        <v>419</v>
      </c>
      <c r="F45" s="53" t="s">
        <v>420</v>
      </c>
      <c r="G45" s="66" t="s">
        <v>300</v>
      </c>
      <c r="H45" s="66" t="s">
        <v>30</v>
      </c>
      <c r="I45" s="66">
        <v>20</v>
      </c>
      <c r="J45" s="75">
        <v>110</v>
      </c>
      <c r="K45" s="54">
        <f t="shared" si="7"/>
        <v>2200</v>
      </c>
      <c r="L45" s="55" t="b">
        <v>1</v>
      </c>
      <c r="M45" s="56">
        <v>50120240926</v>
      </c>
      <c r="N45" s="57" t="b">
        <v>1</v>
      </c>
      <c r="O45" s="58"/>
      <c r="P45" s="59" t="b">
        <v>1</v>
      </c>
      <c r="Q45" s="60"/>
      <c r="R45" s="60"/>
      <c r="S45" s="47" t="b">
        <v>1</v>
      </c>
      <c r="T45" s="61" t="s">
        <v>421</v>
      </c>
      <c r="U45" s="54">
        <f>20*25</f>
        <v>500</v>
      </c>
      <c r="V45" s="54">
        <f t="shared" si="1"/>
        <v>1700</v>
      </c>
      <c r="W45" s="49"/>
      <c r="X45" s="49"/>
    </row>
    <row r="46" spans="1:24" ht="15.75" customHeight="1">
      <c r="A46" s="1"/>
      <c r="B46" s="32"/>
      <c r="C46" s="71" t="s">
        <v>405</v>
      </c>
      <c r="D46" s="53" t="s">
        <v>51</v>
      </c>
      <c r="E46" s="53" t="s">
        <v>372</v>
      </c>
      <c r="F46" s="53" t="s">
        <v>373</v>
      </c>
      <c r="G46" s="66" t="s">
        <v>427</v>
      </c>
      <c r="H46" s="66" t="s">
        <v>30</v>
      </c>
      <c r="I46" s="66">
        <v>1</v>
      </c>
      <c r="J46" s="75">
        <v>240</v>
      </c>
      <c r="K46" s="54">
        <f t="shared" si="7"/>
        <v>240</v>
      </c>
      <c r="L46" s="55" t="b">
        <v>1</v>
      </c>
      <c r="M46" s="56">
        <v>50120240926</v>
      </c>
      <c r="N46" s="57" t="b">
        <v>1</v>
      </c>
      <c r="O46" s="58" t="s">
        <v>31</v>
      </c>
      <c r="P46" s="59" t="b">
        <v>1</v>
      </c>
      <c r="Q46" s="60"/>
      <c r="R46" s="60"/>
      <c r="S46" s="47" t="b">
        <v>1</v>
      </c>
      <c r="T46" s="61" t="s">
        <v>428</v>
      </c>
      <c r="U46" s="54">
        <f>150*1</f>
        <v>150</v>
      </c>
      <c r="V46" s="54">
        <f t="shared" si="1"/>
        <v>90</v>
      </c>
      <c r="W46" s="49"/>
      <c r="X46" s="49"/>
    </row>
    <row r="47" spans="1:24" ht="15.75" customHeight="1">
      <c r="A47" s="101"/>
      <c r="B47" s="102"/>
      <c r="C47" s="71" t="s">
        <v>405</v>
      </c>
      <c r="D47" s="53" t="s">
        <v>212</v>
      </c>
      <c r="E47" s="53" t="s">
        <v>311</v>
      </c>
      <c r="F47" s="53" t="s">
        <v>312</v>
      </c>
      <c r="G47" s="66" t="s">
        <v>429</v>
      </c>
      <c r="H47" s="66" t="s">
        <v>30</v>
      </c>
      <c r="I47" s="66">
        <v>4</v>
      </c>
      <c r="J47" s="75">
        <v>1350</v>
      </c>
      <c r="K47" s="54">
        <f t="shared" si="7"/>
        <v>5400</v>
      </c>
      <c r="L47" s="55" t="b">
        <v>1</v>
      </c>
      <c r="M47" s="56">
        <v>50120240957</v>
      </c>
      <c r="N47" s="57" t="b">
        <v>1</v>
      </c>
      <c r="O47" s="58" t="s">
        <v>31</v>
      </c>
      <c r="P47" s="59" t="b">
        <v>1</v>
      </c>
      <c r="Q47" s="60"/>
      <c r="R47" s="60"/>
      <c r="S47" s="47" t="b">
        <v>1</v>
      </c>
      <c r="T47" s="61" t="s">
        <v>430</v>
      </c>
      <c r="U47" s="54">
        <f>4*877.49</f>
        <v>3509.96</v>
      </c>
      <c r="V47" s="54">
        <f t="shared" si="1"/>
        <v>1890.04</v>
      </c>
      <c r="W47" s="49"/>
      <c r="X47" s="49"/>
    </row>
    <row r="48" spans="1:24" ht="15.75" customHeight="1">
      <c r="A48" s="101"/>
      <c r="B48" s="102"/>
      <c r="C48" s="71" t="s">
        <v>405</v>
      </c>
      <c r="D48" s="53" t="s">
        <v>104</v>
      </c>
      <c r="E48" s="53" t="s">
        <v>122</v>
      </c>
      <c r="F48" s="53" t="s">
        <v>370</v>
      </c>
      <c r="G48" s="66" t="s">
        <v>431</v>
      </c>
      <c r="H48" s="66" t="s">
        <v>30</v>
      </c>
      <c r="I48" s="66">
        <v>1</v>
      </c>
      <c r="J48" s="75">
        <v>2250</v>
      </c>
      <c r="K48" s="54">
        <f t="shared" si="7"/>
        <v>2250</v>
      </c>
      <c r="L48" s="55" t="b">
        <v>1</v>
      </c>
      <c r="M48" s="56">
        <v>50120241206</v>
      </c>
      <c r="N48" s="57" t="b">
        <v>1</v>
      </c>
      <c r="O48" s="58" t="s">
        <v>351</v>
      </c>
      <c r="P48" s="59" t="b">
        <v>1</v>
      </c>
      <c r="Q48" s="60"/>
      <c r="R48" s="60"/>
      <c r="S48" s="47" t="b">
        <v>1</v>
      </c>
      <c r="T48" s="61" t="s">
        <v>432</v>
      </c>
      <c r="U48" s="54">
        <f>1*900</f>
        <v>900</v>
      </c>
      <c r="V48" s="54">
        <f t="shared" si="1"/>
        <v>1350</v>
      </c>
      <c r="W48" s="49"/>
      <c r="X48" s="49"/>
    </row>
    <row r="49" spans="1:26" ht="15.75" customHeight="1">
      <c r="A49" s="101"/>
      <c r="B49" s="32"/>
      <c r="C49" s="71" t="s">
        <v>405</v>
      </c>
      <c r="D49" s="53" t="s">
        <v>433</v>
      </c>
      <c r="E49" s="53" t="s">
        <v>434</v>
      </c>
      <c r="F49" s="53" t="s">
        <v>435</v>
      </c>
      <c r="G49" s="66" t="s">
        <v>436</v>
      </c>
      <c r="H49" s="66" t="s">
        <v>30</v>
      </c>
      <c r="I49" s="66">
        <v>25</v>
      </c>
      <c r="J49" s="75">
        <v>125</v>
      </c>
      <c r="K49" s="54">
        <f t="shared" si="7"/>
        <v>3125</v>
      </c>
      <c r="L49" s="55" t="b">
        <v>1</v>
      </c>
      <c r="M49" s="56">
        <v>50120241736</v>
      </c>
      <c r="N49" s="57" t="b">
        <v>1</v>
      </c>
      <c r="O49" s="58" t="s">
        <v>31</v>
      </c>
      <c r="P49" s="59" t="b">
        <v>1</v>
      </c>
      <c r="Q49" s="78"/>
      <c r="R49" s="60"/>
      <c r="S49" s="47" t="b">
        <v>1</v>
      </c>
      <c r="T49" s="61" t="s">
        <v>437</v>
      </c>
      <c r="U49" s="54">
        <f>25*75</f>
        <v>1875</v>
      </c>
      <c r="V49" s="54">
        <f t="shared" si="1"/>
        <v>1250</v>
      </c>
      <c r="W49" s="49"/>
      <c r="X49" s="49"/>
    </row>
    <row r="50" spans="1:26" ht="15.75" customHeight="1">
      <c r="A50" s="101"/>
      <c r="B50" s="32"/>
      <c r="C50" s="76">
        <v>45328</v>
      </c>
      <c r="D50" s="66" t="s">
        <v>438</v>
      </c>
      <c r="E50" s="66" t="s">
        <v>439</v>
      </c>
      <c r="F50" s="66" t="s">
        <v>440</v>
      </c>
      <c r="G50" s="66" t="s">
        <v>49</v>
      </c>
      <c r="H50" s="66" t="s">
        <v>30</v>
      </c>
      <c r="I50" s="66">
        <v>5</v>
      </c>
      <c r="J50" s="75">
        <v>695</v>
      </c>
      <c r="K50" s="54">
        <f t="shared" si="7"/>
        <v>3475</v>
      </c>
      <c r="L50" s="55" t="b">
        <v>1</v>
      </c>
      <c r="M50" s="56">
        <v>60120240855</v>
      </c>
      <c r="N50" s="57" t="b">
        <v>1</v>
      </c>
      <c r="O50" s="58" t="s">
        <v>31</v>
      </c>
      <c r="P50" s="59" t="b">
        <v>1</v>
      </c>
      <c r="Q50" s="78"/>
      <c r="R50" s="60"/>
      <c r="S50" s="47" t="b">
        <v>1</v>
      </c>
      <c r="T50" s="61" t="s">
        <v>441</v>
      </c>
      <c r="U50" s="54">
        <f>5000*0.46</f>
        <v>2300</v>
      </c>
      <c r="V50" s="54">
        <f t="shared" si="1"/>
        <v>1175</v>
      </c>
      <c r="W50" s="49"/>
      <c r="X50" s="49"/>
    </row>
    <row r="51" spans="1:26" ht="15.75" customHeight="1">
      <c r="A51" s="101"/>
      <c r="B51" s="32"/>
      <c r="C51" s="76">
        <v>45328</v>
      </c>
      <c r="D51" s="66" t="s">
        <v>104</v>
      </c>
      <c r="E51" s="66" t="s">
        <v>61</v>
      </c>
      <c r="F51" s="66" t="s">
        <v>181</v>
      </c>
      <c r="G51" s="66" t="s">
        <v>442</v>
      </c>
      <c r="H51" s="66" t="s">
        <v>30</v>
      </c>
      <c r="I51" s="66">
        <v>24</v>
      </c>
      <c r="J51" s="75">
        <v>52</v>
      </c>
      <c r="K51" s="54">
        <f t="shared" si="7"/>
        <v>1248</v>
      </c>
      <c r="L51" s="55" t="b">
        <v>1</v>
      </c>
      <c r="M51" s="56">
        <v>60120241016</v>
      </c>
      <c r="N51" s="57" t="b">
        <v>1</v>
      </c>
      <c r="O51" s="58" t="s">
        <v>31</v>
      </c>
      <c r="P51" s="59" t="b">
        <v>1</v>
      </c>
      <c r="Q51" s="78"/>
      <c r="R51" s="60"/>
      <c r="S51" s="47" t="b">
        <v>1</v>
      </c>
      <c r="T51" s="61" t="s">
        <v>443</v>
      </c>
      <c r="U51" s="54">
        <f>24*30</f>
        <v>720</v>
      </c>
      <c r="V51" s="54">
        <f t="shared" si="1"/>
        <v>528</v>
      </c>
      <c r="W51" s="49"/>
      <c r="X51" s="49"/>
    </row>
    <row r="52" spans="1:26" ht="15.75" customHeight="1">
      <c r="A52" s="101"/>
      <c r="B52" s="32"/>
      <c r="C52" s="76">
        <v>45328</v>
      </c>
      <c r="D52" s="53" t="s">
        <v>98</v>
      </c>
      <c r="E52" s="53" t="s">
        <v>99</v>
      </c>
      <c r="F52" s="53" t="s">
        <v>444</v>
      </c>
      <c r="G52" s="53" t="s">
        <v>410</v>
      </c>
      <c r="H52" s="53" t="s">
        <v>30</v>
      </c>
      <c r="I52" s="53">
        <v>12</v>
      </c>
      <c r="J52" s="54">
        <v>140</v>
      </c>
      <c r="K52" s="54">
        <f t="shared" si="7"/>
        <v>1680</v>
      </c>
      <c r="L52" s="55" t="b">
        <v>1</v>
      </c>
      <c r="M52" s="56">
        <v>60120241349</v>
      </c>
      <c r="N52" s="57" t="b">
        <v>1</v>
      </c>
      <c r="O52" s="58" t="s">
        <v>31</v>
      </c>
      <c r="P52" s="59" t="b">
        <v>1</v>
      </c>
      <c r="Q52" s="78"/>
      <c r="R52" s="60"/>
      <c r="S52" s="47" t="b">
        <v>1</v>
      </c>
      <c r="T52" s="61" t="s">
        <v>445</v>
      </c>
      <c r="U52" s="54">
        <f>12*95</f>
        <v>1140</v>
      </c>
      <c r="V52" s="54">
        <f t="shared" si="1"/>
        <v>540</v>
      </c>
      <c r="W52" s="49"/>
      <c r="X52" s="49"/>
    </row>
    <row r="53" spans="1:26" ht="15.75" customHeight="1">
      <c r="A53" s="103"/>
      <c r="B53" s="104"/>
      <c r="C53" s="105">
        <v>45328</v>
      </c>
      <c r="D53" s="106" t="s">
        <v>171</v>
      </c>
      <c r="E53" s="106" t="s">
        <v>137</v>
      </c>
      <c r="F53" s="106" t="s">
        <v>172</v>
      </c>
      <c r="G53" s="106" t="s">
        <v>49</v>
      </c>
      <c r="H53" s="106" t="s">
        <v>30</v>
      </c>
      <c r="I53" s="106">
        <v>5</v>
      </c>
      <c r="J53" s="107">
        <v>695</v>
      </c>
      <c r="K53" s="107">
        <f t="shared" si="7"/>
        <v>3475</v>
      </c>
      <c r="L53" s="108" t="b">
        <v>1</v>
      </c>
      <c r="M53" s="109">
        <v>60120241401</v>
      </c>
      <c r="N53" s="110" t="b">
        <v>1</v>
      </c>
      <c r="O53" s="111"/>
      <c r="P53" s="112" t="b">
        <v>1</v>
      </c>
      <c r="Q53" s="113"/>
      <c r="R53" s="110"/>
      <c r="S53" s="114" t="b">
        <v>1</v>
      </c>
      <c r="T53" s="115" t="s">
        <v>446</v>
      </c>
      <c r="U53" s="107">
        <f>5000*0.46</f>
        <v>2300</v>
      </c>
      <c r="V53" s="107">
        <f t="shared" si="1"/>
        <v>1175</v>
      </c>
      <c r="W53" s="116"/>
      <c r="X53" s="116"/>
      <c r="Y53" s="117"/>
      <c r="Z53" s="117"/>
    </row>
    <row r="54" spans="1:26" ht="15.75" customHeight="1">
      <c r="A54" s="101"/>
      <c r="B54" s="32"/>
      <c r="C54" s="76">
        <v>45328</v>
      </c>
      <c r="D54" s="53" t="s">
        <v>171</v>
      </c>
      <c r="E54" s="53" t="s">
        <v>137</v>
      </c>
      <c r="F54" s="53" t="s">
        <v>172</v>
      </c>
      <c r="G54" s="53" t="s">
        <v>447</v>
      </c>
      <c r="H54" s="53" t="s">
        <v>30</v>
      </c>
      <c r="I54" s="53">
        <v>700</v>
      </c>
      <c r="J54" s="54">
        <v>7.75</v>
      </c>
      <c r="K54" s="54">
        <f t="shared" si="7"/>
        <v>5425</v>
      </c>
      <c r="L54" s="55" t="b">
        <v>1</v>
      </c>
      <c r="M54" s="56">
        <v>60120241401</v>
      </c>
      <c r="N54" s="57" t="b">
        <v>1</v>
      </c>
      <c r="O54" s="58" t="s">
        <v>39</v>
      </c>
      <c r="P54" s="59" t="b">
        <v>1</v>
      </c>
      <c r="Q54" s="78"/>
      <c r="R54" s="60"/>
      <c r="S54" s="47" t="b">
        <v>1</v>
      </c>
      <c r="T54" s="61" t="s">
        <v>448</v>
      </c>
      <c r="U54" s="54">
        <f>700*2.95</f>
        <v>2065</v>
      </c>
      <c r="V54" s="54">
        <f t="shared" si="1"/>
        <v>3360</v>
      </c>
      <c r="W54" s="49"/>
      <c r="X54" s="49"/>
    </row>
    <row r="55" spans="1:26" ht="15.75" customHeight="1">
      <c r="A55" s="101"/>
      <c r="B55" s="32"/>
      <c r="C55" s="76">
        <v>45328</v>
      </c>
      <c r="D55" s="53" t="s">
        <v>171</v>
      </c>
      <c r="E55" s="53" t="s">
        <v>137</v>
      </c>
      <c r="F55" s="53" t="s">
        <v>172</v>
      </c>
      <c r="G55" s="53" t="s">
        <v>83</v>
      </c>
      <c r="H55" s="53" t="s">
        <v>30</v>
      </c>
      <c r="I55" s="53">
        <v>3000</v>
      </c>
      <c r="J55" s="54">
        <v>1.5</v>
      </c>
      <c r="K55" s="54">
        <f t="shared" si="7"/>
        <v>4500</v>
      </c>
      <c r="L55" s="55" t="b">
        <v>1</v>
      </c>
      <c r="M55" s="56">
        <v>60120241401</v>
      </c>
      <c r="N55" s="57" t="b">
        <v>1</v>
      </c>
      <c r="O55" s="63" t="s">
        <v>31</v>
      </c>
      <c r="P55" s="59" t="b">
        <v>1</v>
      </c>
      <c r="Q55" s="43"/>
      <c r="R55" s="60"/>
      <c r="S55" s="47" t="b">
        <v>1</v>
      </c>
      <c r="T55" s="61" t="s">
        <v>449</v>
      </c>
      <c r="U55" s="54">
        <f>3000*0.95</f>
        <v>2850</v>
      </c>
      <c r="V55" s="54">
        <f t="shared" si="1"/>
        <v>1650</v>
      </c>
      <c r="W55" s="49"/>
      <c r="X55" s="49"/>
    </row>
    <row r="56" spans="1:26" ht="15.75" customHeight="1">
      <c r="A56" s="101"/>
      <c r="B56" s="32"/>
      <c r="C56" s="76">
        <v>45328</v>
      </c>
      <c r="D56" s="53" t="s">
        <v>171</v>
      </c>
      <c r="E56" s="53" t="s">
        <v>137</v>
      </c>
      <c r="F56" s="53" t="s">
        <v>172</v>
      </c>
      <c r="G56" s="53" t="s">
        <v>92</v>
      </c>
      <c r="H56" s="53" t="s">
        <v>30</v>
      </c>
      <c r="I56" s="53">
        <v>10</v>
      </c>
      <c r="J56" s="54">
        <v>90</v>
      </c>
      <c r="K56" s="54">
        <f t="shared" si="7"/>
        <v>900</v>
      </c>
      <c r="L56" s="55" t="b">
        <v>1</v>
      </c>
      <c r="M56" s="56">
        <v>60120241401</v>
      </c>
      <c r="N56" s="57" t="b">
        <v>1</v>
      </c>
      <c r="O56" s="58" t="s">
        <v>31</v>
      </c>
      <c r="P56" s="59" t="b">
        <v>1</v>
      </c>
      <c r="Q56" s="79"/>
      <c r="R56" s="60"/>
      <c r="S56" s="47" t="b">
        <v>1</v>
      </c>
      <c r="T56" s="61" t="s">
        <v>450</v>
      </c>
      <c r="U56" s="54">
        <f>10*56</f>
        <v>560</v>
      </c>
      <c r="V56" s="54">
        <f t="shared" si="1"/>
        <v>340</v>
      </c>
      <c r="W56" s="49"/>
      <c r="X56" s="49"/>
    </row>
    <row r="57" spans="1:26" ht="15.75" customHeight="1">
      <c r="A57" s="101"/>
      <c r="B57" s="32"/>
      <c r="C57" s="76">
        <v>45328</v>
      </c>
      <c r="D57" s="53" t="s">
        <v>171</v>
      </c>
      <c r="E57" s="53" t="s">
        <v>137</v>
      </c>
      <c r="F57" s="53" t="s">
        <v>172</v>
      </c>
      <c r="G57" s="53" t="s">
        <v>80</v>
      </c>
      <c r="H57" s="53" t="s">
        <v>30</v>
      </c>
      <c r="I57" s="53">
        <v>5</v>
      </c>
      <c r="J57" s="54">
        <v>300</v>
      </c>
      <c r="K57" s="54">
        <f t="shared" si="7"/>
        <v>1500</v>
      </c>
      <c r="L57" s="55" t="b">
        <v>1</v>
      </c>
      <c r="M57" s="56">
        <v>60120241401</v>
      </c>
      <c r="N57" s="57" t="b">
        <v>1</v>
      </c>
      <c r="O57" s="58" t="s">
        <v>31</v>
      </c>
      <c r="P57" s="59" t="b">
        <v>1</v>
      </c>
      <c r="Q57" s="118"/>
      <c r="R57" s="80"/>
      <c r="S57" s="47" t="b">
        <v>1</v>
      </c>
      <c r="T57" s="61" t="s">
        <v>450</v>
      </c>
      <c r="U57" s="54">
        <f>5*120</f>
        <v>600</v>
      </c>
      <c r="V57" s="54">
        <f t="shared" si="1"/>
        <v>900</v>
      </c>
      <c r="W57" s="49"/>
      <c r="X57" s="49"/>
    </row>
    <row r="58" spans="1:26" ht="15.75" customHeight="1">
      <c r="A58" s="101"/>
      <c r="B58" s="32"/>
      <c r="C58" s="76">
        <v>45329</v>
      </c>
      <c r="D58" s="53" t="s">
        <v>262</v>
      </c>
      <c r="E58" s="53" t="s">
        <v>263</v>
      </c>
      <c r="F58" s="53" t="s">
        <v>451</v>
      </c>
      <c r="G58" s="53" t="s">
        <v>452</v>
      </c>
      <c r="H58" s="53" t="s">
        <v>30</v>
      </c>
      <c r="I58" s="53">
        <v>100</v>
      </c>
      <c r="J58" s="54">
        <v>2.5</v>
      </c>
      <c r="K58" s="54">
        <f t="shared" si="7"/>
        <v>250</v>
      </c>
      <c r="L58" s="55" t="b">
        <v>1</v>
      </c>
      <c r="M58" s="56">
        <v>7220240900</v>
      </c>
      <c r="N58" s="57" t="b">
        <v>1</v>
      </c>
      <c r="O58" s="58"/>
      <c r="P58" s="59" t="b">
        <v>1</v>
      </c>
      <c r="Q58" s="60"/>
      <c r="R58" s="60"/>
      <c r="S58" s="47" t="b">
        <v>1</v>
      </c>
      <c r="T58" s="61" t="s">
        <v>453</v>
      </c>
      <c r="U58" s="54">
        <f>100*0.75</f>
        <v>75</v>
      </c>
      <c r="V58" s="54">
        <f t="shared" si="1"/>
        <v>175</v>
      </c>
      <c r="W58" s="49"/>
      <c r="X58" s="49"/>
    </row>
    <row r="59" spans="1:26" ht="15.75" customHeight="1">
      <c r="A59" s="101"/>
      <c r="B59" s="32"/>
      <c r="C59" s="76">
        <v>45329</v>
      </c>
      <c r="D59" s="53" t="s">
        <v>194</v>
      </c>
      <c r="E59" s="53" t="s">
        <v>195</v>
      </c>
      <c r="F59" s="53" t="s">
        <v>454</v>
      </c>
      <c r="G59" s="53" t="s">
        <v>142</v>
      </c>
      <c r="H59" s="53" t="s">
        <v>30</v>
      </c>
      <c r="I59" s="53">
        <v>1500</v>
      </c>
      <c r="J59" s="54">
        <v>1.25</v>
      </c>
      <c r="K59" s="54">
        <f t="shared" si="7"/>
        <v>1875</v>
      </c>
      <c r="L59" s="55" t="b">
        <v>1</v>
      </c>
      <c r="M59" s="56">
        <v>7020240905</v>
      </c>
      <c r="N59" s="57" t="b">
        <v>1</v>
      </c>
      <c r="O59" s="58" t="s">
        <v>31</v>
      </c>
      <c r="P59" s="59" t="b">
        <v>1</v>
      </c>
      <c r="Q59" s="78"/>
      <c r="R59" s="60"/>
      <c r="S59" s="47" t="b">
        <v>1</v>
      </c>
      <c r="T59" s="61" t="s">
        <v>455</v>
      </c>
      <c r="U59" s="54">
        <f>1500*0.82</f>
        <v>1230</v>
      </c>
      <c r="V59" s="54">
        <f t="shared" si="1"/>
        <v>645</v>
      </c>
      <c r="W59" s="49"/>
      <c r="X59" s="49"/>
    </row>
    <row r="60" spans="1:26" ht="15.75" customHeight="1">
      <c r="A60" s="101"/>
      <c r="B60" s="32"/>
      <c r="C60" s="76">
        <v>45329</v>
      </c>
      <c r="D60" s="53" t="s">
        <v>397</v>
      </c>
      <c r="E60" s="53" t="s">
        <v>61</v>
      </c>
      <c r="F60" s="53" t="s">
        <v>398</v>
      </c>
      <c r="G60" s="53" t="s">
        <v>456</v>
      </c>
      <c r="H60" s="53" t="s">
        <v>30</v>
      </c>
      <c r="I60" s="53">
        <v>200</v>
      </c>
      <c r="J60" s="54">
        <v>6.625</v>
      </c>
      <c r="K60" s="54">
        <f t="shared" si="7"/>
        <v>1325</v>
      </c>
      <c r="L60" s="55" t="b">
        <v>1</v>
      </c>
      <c r="M60" s="56">
        <v>7020241400</v>
      </c>
      <c r="N60" s="57" t="b">
        <v>1</v>
      </c>
      <c r="O60" s="58" t="s">
        <v>351</v>
      </c>
      <c r="P60" s="59" t="b">
        <v>1</v>
      </c>
      <c r="Q60" s="78"/>
      <c r="R60" s="60"/>
      <c r="S60" s="47" t="b">
        <v>1</v>
      </c>
      <c r="T60" s="61" t="s">
        <v>400</v>
      </c>
      <c r="U60" s="54">
        <f>200*1.25</f>
        <v>250</v>
      </c>
      <c r="V60" s="54">
        <f t="shared" si="1"/>
        <v>1075</v>
      </c>
      <c r="W60" s="49"/>
      <c r="X60" s="49"/>
    </row>
    <row r="61" spans="1:26" ht="15.75" customHeight="1">
      <c r="A61" s="101"/>
      <c r="B61" s="32"/>
      <c r="C61" s="82">
        <v>45329</v>
      </c>
      <c r="D61" s="53" t="s">
        <v>51</v>
      </c>
      <c r="E61" s="53" t="s">
        <v>335</v>
      </c>
      <c r="F61" s="53" t="s">
        <v>457</v>
      </c>
      <c r="G61" s="53" t="s">
        <v>458</v>
      </c>
      <c r="H61" s="53" t="s">
        <v>30</v>
      </c>
      <c r="I61" s="53">
        <v>1</v>
      </c>
      <c r="J61" s="54">
        <v>1750</v>
      </c>
      <c r="K61" s="54">
        <f t="shared" si="7"/>
        <v>1750</v>
      </c>
      <c r="L61" s="55" t="b">
        <v>1</v>
      </c>
      <c r="M61" s="56">
        <v>70220241524</v>
      </c>
      <c r="N61" s="57" t="b">
        <v>1</v>
      </c>
      <c r="O61" s="58" t="s">
        <v>351</v>
      </c>
      <c r="P61" s="59" t="b">
        <v>1</v>
      </c>
      <c r="Q61" s="78"/>
      <c r="R61" s="60"/>
      <c r="S61" s="47" t="b">
        <v>1</v>
      </c>
      <c r="T61" s="61" t="s">
        <v>459</v>
      </c>
      <c r="U61" s="54">
        <v>1000</v>
      </c>
      <c r="V61" s="54">
        <f t="shared" si="1"/>
        <v>750</v>
      </c>
      <c r="W61" s="49"/>
      <c r="X61" s="49"/>
    </row>
    <row r="62" spans="1:26" ht="16.5" customHeight="1">
      <c r="A62" s="101"/>
      <c r="B62" s="32"/>
      <c r="C62" s="82">
        <v>45329</v>
      </c>
      <c r="D62" s="53" t="s">
        <v>418</v>
      </c>
      <c r="E62" s="53" t="s">
        <v>42</v>
      </c>
      <c r="F62" s="53" t="s">
        <v>209</v>
      </c>
      <c r="G62" s="53" t="s">
        <v>374</v>
      </c>
      <c r="H62" s="53" t="s">
        <v>30</v>
      </c>
      <c r="I62" s="53">
        <v>150</v>
      </c>
      <c r="J62" s="54">
        <v>20</v>
      </c>
      <c r="K62" s="54">
        <f t="shared" si="7"/>
        <v>3000</v>
      </c>
      <c r="L62" s="55" t="b">
        <v>1</v>
      </c>
      <c r="M62" s="56">
        <v>70220241529</v>
      </c>
      <c r="N62" s="57" t="b">
        <v>1</v>
      </c>
      <c r="O62" s="58"/>
      <c r="P62" s="59" t="b">
        <v>1</v>
      </c>
      <c r="Q62" s="78"/>
      <c r="R62" s="60"/>
      <c r="S62" s="47" t="b">
        <v>1</v>
      </c>
      <c r="T62" s="61" t="s">
        <v>460</v>
      </c>
      <c r="U62" s="54">
        <f>150*8</f>
        <v>1200</v>
      </c>
      <c r="V62" s="54">
        <f t="shared" si="1"/>
        <v>1800</v>
      </c>
      <c r="W62" s="49"/>
      <c r="X62" s="49"/>
    </row>
    <row r="63" spans="1:26" ht="15.75" customHeight="1">
      <c r="A63" s="101"/>
      <c r="B63" s="32"/>
      <c r="C63" s="82">
        <v>45329</v>
      </c>
      <c r="D63" s="53" t="s">
        <v>418</v>
      </c>
      <c r="E63" s="53" t="s">
        <v>42</v>
      </c>
      <c r="F63" s="53" t="s">
        <v>209</v>
      </c>
      <c r="G63" s="53" t="s">
        <v>461</v>
      </c>
      <c r="H63" s="53" t="s">
        <v>30</v>
      </c>
      <c r="I63" s="53">
        <v>190</v>
      </c>
      <c r="J63" s="54">
        <v>19</v>
      </c>
      <c r="K63" s="54">
        <f t="shared" si="7"/>
        <v>3610</v>
      </c>
      <c r="L63" s="55" t="b">
        <v>1</v>
      </c>
      <c r="M63" s="56">
        <v>70220241531</v>
      </c>
      <c r="N63" s="57" t="b">
        <v>1</v>
      </c>
      <c r="O63" s="58"/>
      <c r="P63" s="59" t="b">
        <v>1</v>
      </c>
      <c r="Q63" s="78"/>
      <c r="R63" s="60"/>
      <c r="S63" s="47" t="b">
        <v>1</v>
      </c>
      <c r="T63" s="61" t="s">
        <v>462</v>
      </c>
      <c r="U63" s="54">
        <f>190*10</f>
        <v>1900</v>
      </c>
      <c r="V63" s="54">
        <f t="shared" si="1"/>
        <v>1710</v>
      </c>
      <c r="W63" s="49"/>
      <c r="X63" s="49"/>
    </row>
    <row r="64" spans="1:26" ht="15.75" customHeight="1">
      <c r="A64" s="101"/>
      <c r="B64" s="32"/>
      <c r="C64" s="82">
        <v>45329</v>
      </c>
      <c r="D64" s="53" t="s">
        <v>463</v>
      </c>
      <c r="E64" s="53" t="s">
        <v>463</v>
      </c>
      <c r="F64" s="53" t="s">
        <v>464</v>
      </c>
      <c r="G64" s="53" t="s">
        <v>234</v>
      </c>
      <c r="H64" s="53" t="s">
        <v>30</v>
      </c>
      <c r="I64" s="53">
        <v>4</v>
      </c>
      <c r="J64" s="54">
        <v>2850</v>
      </c>
      <c r="K64" s="54">
        <f t="shared" si="7"/>
        <v>11400</v>
      </c>
      <c r="L64" s="55" t="b">
        <v>1</v>
      </c>
      <c r="M64" s="56">
        <v>70220241730</v>
      </c>
      <c r="N64" s="57" t="b">
        <v>1</v>
      </c>
      <c r="O64" s="58" t="s">
        <v>351</v>
      </c>
      <c r="P64" s="59" t="b">
        <v>1</v>
      </c>
      <c r="Q64" s="78"/>
      <c r="R64" s="60"/>
      <c r="S64" s="47" t="b">
        <v>1</v>
      </c>
      <c r="T64" s="61" t="s">
        <v>465</v>
      </c>
      <c r="U64" s="54">
        <f>4*2311.4</f>
        <v>9245.6</v>
      </c>
      <c r="V64" s="54">
        <f t="shared" si="1"/>
        <v>2154.3999999999996</v>
      </c>
      <c r="W64" s="49"/>
      <c r="X64" s="49"/>
    </row>
    <row r="65" spans="1:24" ht="15.75" customHeight="1">
      <c r="A65" s="101"/>
      <c r="B65" s="32"/>
      <c r="C65" s="82">
        <v>45329</v>
      </c>
      <c r="D65" s="53" t="s">
        <v>418</v>
      </c>
      <c r="E65" s="53" t="s">
        <v>42</v>
      </c>
      <c r="F65" s="53" t="s">
        <v>209</v>
      </c>
      <c r="G65" s="53" t="s">
        <v>466</v>
      </c>
      <c r="H65" s="53" t="s">
        <v>30</v>
      </c>
      <c r="I65" s="53">
        <v>10</v>
      </c>
      <c r="J65" s="54">
        <v>105</v>
      </c>
      <c r="K65" s="54">
        <f t="shared" si="7"/>
        <v>1050</v>
      </c>
      <c r="L65" s="55" t="b">
        <v>1</v>
      </c>
      <c r="M65" s="56">
        <v>70220241746</v>
      </c>
      <c r="N65" s="57" t="b">
        <v>1</v>
      </c>
      <c r="O65" s="58"/>
      <c r="P65" s="59" t="b">
        <v>1</v>
      </c>
      <c r="Q65" s="78"/>
      <c r="R65" s="60"/>
      <c r="S65" s="47" t="b">
        <v>1</v>
      </c>
      <c r="T65" s="61" t="s">
        <v>462</v>
      </c>
      <c r="U65" s="54">
        <f>10*75</f>
        <v>750</v>
      </c>
      <c r="V65" s="54">
        <f t="shared" si="1"/>
        <v>300</v>
      </c>
      <c r="W65" s="49"/>
      <c r="X65" s="49"/>
    </row>
    <row r="66" spans="1:24" ht="15.75" customHeight="1">
      <c r="A66" s="101"/>
      <c r="B66" s="32"/>
      <c r="C66" s="82">
        <v>45329</v>
      </c>
      <c r="D66" s="66" t="s">
        <v>418</v>
      </c>
      <c r="E66" s="66" t="s">
        <v>42</v>
      </c>
      <c r="F66" s="66" t="s">
        <v>209</v>
      </c>
      <c r="G66" s="66" t="s">
        <v>467</v>
      </c>
      <c r="H66" s="66" t="s">
        <v>30</v>
      </c>
      <c r="I66" s="66">
        <v>10</v>
      </c>
      <c r="J66" s="75">
        <v>650</v>
      </c>
      <c r="K66" s="54">
        <f t="shared" si="7"/>
        <v>6500</v>
      </c>
      <c r="L66" s="55" t="b">
        <v>1</v>
      </c>
      <c r="M66" s="56">
        <v>70220241748</v>
      </c>
      <c r="N66" s="57" t="b">
        <v>1</v>
      </c>
      <c r="O66" s="58" t="s">
        <v>351</v>
      </c>
      <c r="P66" s="59" t="b">
        <v>1</v>
      </c>
      <c r="Q66" s="78"/>
      <c r="R66" s="60"/>
      <c r="S66" s="47" t="b">
        <v>1</v>
      </c>
      <c r="T66" s="61" t="s">
        <v>468</v>
      </c>
      <c r="U66" s="54">
        <f>10*348</f>
        <v>3480</v>
      </c>
      <c r="V66" s="54">
        <f t="shared" si="1"/>
        <v>3020</v>
      </c>
      <c r="W66" s="49"/>
      <c r="X66" s="49"/>
    </row>
    <row r="67" spans="1:24" ht="15.75" customHeight="1">
      <c r="A67" s="101"/>
      <c r="B67" s="32"/>
      <c r="C67" s="82">
        <v>45330</v>
      </c>
      <c r="D67" s="53" t="s">
        <v>51</v>
      </c>
      <c r="E67" s="53" t="s">
        <v>335</v>
      </c>
      <c r="F67" s="53" t="s">
        <v>457</v>
      </c>
      <c r="G67" s="53" t="s">
        <v>389</v>
      </c>
      <c r="H67" s="53" t="s">
        <v>30</v>
      </c>
      <c r="I67" s="53">
        <v>50</v>
      </c>
      <c r="J67" s="54">
        <v>35</v>
      </c>
      <c r="K67" s="54">
        <f t="shared" si="7"/>
        <v>1750</v>
      </c>
      <c r="L67" s="55" t="b">
        <v>1</v>
      </c>
      <c r="M67" s="56">
        <v>80220241102</v>
      </c>
      <c r="N67" s="57" t="b">
        <v>1</v>
      </c>
      <c r="O67" s="58" t="s">
        <v>39</v>
      </c>
      <c r="P67" s="59" t="b">
        <v>1</v>
      </c>
      <c r="Q67" s="78"/>
      <c r="R67" s="60"/>
      <c r="S67" s="47" t="b">
        <v>1</v>
      </c>
      <c r="T67" s="61" t="s">
        <v>469</v>
      </c>
      <c r="U67" s="54">
        <f>50*25</f>
        <v>1250</v>
      </c>
      <c r="V67" s="54">
        <f t="shared" si="1"/>
        <v>500</v>
      </c>
      <c r="W67" s="49"/>
      <c r="X67" s="49"/>
    </row>
    <row r="68" spans="1:24" ht="15.75" customHeight="1">
      <c r="A68" s="101"/>
      <c r="B68" s="32"/>
      <c r="C68" s="52">
        <v>45330</v>
      </c>
      <c r="D68" s="53" t="s">
        <v>51</v>
      </c>
      <c r="E68" s="53" t="s">
        <v>335</v>
      </c>
      <c r="F68" s="53" t="s">
        <v>457</v>
      </c>
      <c r="G68" s="66" t="s">
        <v>382</v>
      </c>
      <c r="H68" s="74" t="s">
        <v>30</v>
      </c>
      <c r="I68" s="74">
        <v>3</v>
      </c>
      <c r="J68" s="73">
        <v>1400</v>
      </c>
      <c r="K68" s="54">
        <f t="shared" si="7"/>
        <v>4200</v>
      </c>
      <c r="L68" s="55" t="b">
        <v>1</v>
      </c>
      <c r="M68" s="56">
        <v>80220241102</v>
      </c>
      <c r="N68" s="57" t="b">
        <v>1</v>
      </c>
      <c r="O68" s="58" t="s">
        <v>39</v>
      </c>
      <c r="P68" s="59" t="b">
        <v>1</v>
      </c>
      <c r="Q68" s="78"/>
      <c r="R68" s="60"/>
      <c r="S68" s="47" t="b">
        <v>1</v>
      </c>
      <c r="T68" s="61" t="s">
        <v>469</v>
      </c>
      <c r="U68" s="54">
        <f>3*1000</f>
        <v>3000</v>
      </c>
      <c r="V68" s="54">
        <f t="shared" si="1"/>
        <v>1200</v>
      </c>
      <c r="W68" s="49"/>
      <c r="X68" s="49"/>
    </row>
    <row r="69" spans="1:24" ht="15.75" customHeight="1">
      <c r="A69" s="101"/>
      <c r="B69" s="32"/>
      <c r="C69" s="52">
        <v>45330</v>
      </c>
      <c r="D69" s="53" t="s">
        <v>51</v>
      </c>
      <c r="E69" s="53" t="s">
        <v>335</v>
      </c>
      <c r="F69" s="53" t="s">
        <v>457</v>
      </c>
      <c r="G69" s="66" t="s">
        <v>379</v>
      </c>
      <c r="H69" s="74" t="s">
        <v>30</v>
      </c>
      <c r="I69" s="74">
        <v>1</v>
      </c>
      <c r="J69" s="73">
        <v>3400</v>
      </c>
      <c r="K69" s="54">
        <f t="shared" si="7"/>
        <v>3400</v>
      </c>
      <c r="L69" s="55" t="b">
        <v>1</v>
      </c>
      <c r="M69" s="56">
        <v>80220241102</v>
      </c>
      <c r="N69" s="57" t="b">
        <v>1</v>
      </c>
      <c r="O69" s="58" t="s">
        <v>39</v>
      </c>
      <c r="P69" s="59" t="b">
        <v>1</v>
      </c>
      <c r="Q69" s="78"/>
      <c r="R69" s="60"/>
      <c r="S69" s="47" t="b">
        <v>1</v>
      </c>
      <c r="T69" s="61" t="s">
        <v>469</v>
      </c>
      <c r="U69" s="54">
        <v>2400</v>
      </c>
      <c r="V69" s="54">
        <f t="shared" si="1"/>
        <v>1000</v>
      </c>
      <c r="W69" s="49"/>
      <c r="X69" s="49"/>
    </row>
    <row r="70" spans="1:24" ht="15.75" customHeight="1">
      <c r="A70" s="101"/>
      <c r="B70" s="32"/>
      <c r="C70" s="52">
        <v>45330</v>
      </c>
      <c r="D70" s="53" t="s">
        <v>262</v>
      </c>
      <c r="E70" s="53" t="s">
        <v>263</v>
      </c>
      <c r="F70" s="53" t="s">
        <v>451</v>
      </c>
      <c r="G70" s="53" t="s">
        <v>470</v>
      </c>
      <c r="H70" s="53" t="s">
        <v>30</v>
      </c>
      <c r="I70" s="53">
        <v>100</v>
      </c>
      <c r="J70" s="54">
        <v>4.45</v>
      </c>
      <c r="K70" s="54">
        <f t="shared" si="7"/>
        <v>445</v>
      </c>
      <c r="L70" s="55" t="b">
        <v>1</v>
      </c>
      <c r="M70" s="56">
        <v>80220241708</v>
      </c>
      <c r="N70" s="57" t="b">
        <v>1</v>
      </c>
      <c r="O70" s="58" t="s">
        <v>31</v>
      </c>
      <c r="P70" s="59" t="b">
        <v>1</v>
      </c>
      <c r="Q70" s="78"/>
      <c r="R70" s="60"/>
      <c r="S70" s="47" t="b">
        <v>1</v>
      </c>
      <c r="T70" s="61" t="s">
        <v>471</v>
      </c>
      <c r="U70" s="54">
        <v>278</v>
      </c>
      <c r="V70" s="54">
        <f t="shared" si="1"/>
        <v>167</v>
      </c>
      <c r="W70" s="49"/>
      <c r="X70" s="49"/>
    </row>
    <row r="71" spans="1:24" ht="15.75" customHeight="1">
      <c r="A71" s="101"/>
      <c r="B71" s="32"/>
      <c r="C71" s="52">
        <v>45330</v>
      </c>
      <c r="D71" s="53" t="s">
        <v>262</v>
      </c>
      <c r="E71" s="53" t="s">
        <v>263</v>
      </c>
      <c r="F71" s="53" t="s">
        <v>451</v>
      </c>
      <c r="G71" s="53" t="s">
        <v>278</v>
      </c>
      <c r="H71" s="53" t="s">
        <v>30</v>
      </c>
      <c r="I71" s="53">
        <v>5</v>
      </c>
      <c r="J71" s="54">
        <v>165</v>
      </c>
      <c r="K71" s="54">
        <f t="shared" si="7"/>
        <v>825</v>
      </c>
      <c r="L71" s="55" t="b">
        <v>1</v>
      </c>
      <c r="M71" s="56">
        <v>80220241709</v>
      </c>
      <c r="N71" s="57" t="b">
        <v>1</v>
      </c>
      <c r="O71" s="58"/>
      <c r="P71" s="59" t="b">
        <v>1</v>
      </c>
      <c r="Q71" s="78"/>
      <c r="R71" s="60"/>
      <c r="S71" s="47" t="b">
        <v>1</v>
      </c>
      <c r="T71" s="61" t="s">
        <v>472</v>
      </c>
      <c r="U71" s="54">
        <f>5*83</f>
        <v>415</v>
      </c>
      <c r="V71" s="54">
        <f t="shared" si="1"/>
        <v>410</v>
      </c>
      <c r="W71" s="49"/>
      <c r="X71" s="49"/>
    </row>
    <row r="72" spans="1:24" ht="15.75" customHeight="1">
      <c r="A72" s="101"/>
      <c r="B72" s="32"/>
      <c r="C72" s="52">
        <v>45330</v>
      </c>
      <c r="D72" s="53" t="s">
        <v>262</v>
      </c>
      <c r="E72" s="53" t="s">
        <v>263</v>
      </c>
      <c r="F72" s="53" t="s">
        <v>451</v>
      </c>
      <c r="G72" s="53" t="s">
        <v>80</v>
      </c>
      <c r="H72" s="53" t="s">
        <v>30</v>
      </c>
      <c r="I72" s="53">
        <v>5</v>
      </c>
      <c r="J72" s="54">
        <v>300</v>
      </c>
      <c r="K72" s="54">
        <f t="shared" si="7"/>
        <v>1500</v>
      </c>
      <c r="L72" s="55" t="b">
        <v>1</v>
      </c>
      <c r="M72" s="56">
        <v>80220241710</v>
      </c>
      <c r="N72" s="57" t="b">
        <v>1</v>
      </c>
      <c r="O72" s="63" t="s">
        <v>31</v>
      </c>
      <c r="P72" s="59" t="b">
        <v>1</v>
      </c>
      <c r="Q72" s="78"/>
      <c r="R72" s="60"/>
      <c r="S72" s="47" t="b">
        <v>1</v>
      </c>
      <c r="T72" s="61" t="s">
        <v>473</v>
      </c>
      <c r="U72" s="54">
        <f>5*120</f>
        <v>600</v>
      </c>
      <c r="V72" s="54">
        <f t="shared" si="1"/>
        <v>900</v>
      </c>
      <c r="W72" s="49"/>
      <c r="X72" s="49"/>
    </row>
    <row r="73" spans="1:24" ht="15.75" customHeight="1">
      <c r="A73" s="101"/>
      <c r="B73" s="32"/>
      <c r="C73" s="52">
        <v>45334</v>
      </c>
      <c r="D73" s="53" t="s">
        <v>474</v>
      </c>
      <c r="E73" s="53" t="s">
        <v>475</v>
      </c>
      <c r="F73" s="53" t="s">
        <v>476</v>
      </c>
      <c r="G73" s="53" t="s">
        <v>477</v>
      </c>
      <c r="H73" s="53" t="s">
        <v>30</v>
      </c>
      <c r="I73" s="53">
        <v>1</v>
      </c>
      <c r="J73" s="54">
        <v>1</v>
      </c>
      <c r="K73" s="54">
        <f t="shared" si="7"/>
        <v>1</v>
      </c>
      <c r="L73" s="55" t="b">
        <v>1</v>
      </c>
      <c r="M73" s="56" t="s">
        <v>478</v>
      </c>
      <c r="N73" s="57" t="b">
        <v>1</v>
      </c>
      <c r="O73" s="63" t="s">
        <v>31</v>
      </c>
      <c r="P73" s="59" t="b">
        <v>1</v>
      </c>
      <c r="Q73" s="78"/>
      <c r="R73" s="60"/>
      <c r="S73" s="47" t="b">
        <v>1</v>
      </c>
      <c r="T73" s="61" t="s">
        <v>479</v>
      </c>
      <c r="U73" s="54">
        <v>1</v>
      </c>
      <c r="V73" s="54">
        <f t="shared" si="1"/>
        <v>0</v>
      </c>
      <c r="W73" s="49"/>
      <c r="X73" s="49"/>
    </row>
    <row r="74" spans="1:24" ht="15.75" customHeight="1">
      <c r="A74" s="101"/>
      <c r="B74" s="32"/>
      <c r="C74" s="52">
        <v>45334</v>
      </c>
      <c r="D74" s="53" t="s">
        <v>474</v>
      </c>
      <c r="E74" s="53" t="s">
        <v>475</v>
      </c>
      <c r="F74" s="53" t="s">
        <v>476</v>
      </c>
      <c r="G74" s="53" t="s">
        <v>480</v>
      </c>
      <c r="H74" s="53" t="s">
        <v>30</v>
      </c>
      <c r="I74" s="53">
        <v>1</v>
      </c>
      <c r="J74" s="54">
        <v>1</v>
      </c>
      <c r="K74" s="54">
        <f t="shared" si="7"/>
        <v>1</v>
      </c>
      <c r="L74" s="55" t="b">
        <v>1</v>
      </c>
      <c r="M74" s="56" t="s">
        <v>478</v>
      </c>
      <c r="N74" s="57" t="b">
        <v>1</v>
      </c>
      <c r="O74" s="63" t="s">
        <v>31</v>
      </c>
      <c r="P74" s="59" t="b">
        <v>1</v>
      </c>
      <c r="Q74" s="78"/>
      <c r="R74" s="60"/>
      <c r="S74" s="47" t="b">
        <v>1</v>
      </c>
      <c r="T74" s="61" t="s">
        <v>479</v>
      </c>
      <c r="U74" s="54">
        <v>1</v>
      </c>
      <c r="V74" s="54">
        <f t="shared" si="1"/>
        <v>0</v>
      </c>
      <c r="W74" s="49"/>
      <c r="X74" s="49"/>
    </row>
    <row r="75" spans="1:24" ht="15.75" customHeight="1">
      <c r="A75" s="101"/>
      <c r="B75" s="32"/>
      <c r="C75" s="71" t="s">
        <v>481</v>
      </c>
      <c r="D75" s="53" t="s">
        <v>397</v>
      </c>
      <c r="E75" s="53" t="s">
        <v>61</v>
      </c>
      <c r="F75" s="53" t="s">
        <v>398</v>
      </c>
      <c r="G75" s="53" t="s">
        <v>399</v>
      </c>
      <c r="H75" s="53" t="s">
        <v>30</v>
      </c>
      <c r="I75" s="53">
        <v>5</v>
      </c>
      <c r="J75" s="54">
        <v>600</v>
      </c>
      <c r="K75" s="54">
        <f t="shared" si="7"/>
        <v>3000</v>
      </c>
      <c r="L75" s="55" t="b">
        <v>1</v>
      </c>
      <c r="M75" s="56">
        <v>12022024</v>
      </c>
      <c r="N75" s="57" t="b">
        <v>1</v>
      </c>
      <c r="O75" s="63" t="s">
        <v>31</v>
      </c>
      <c r="P75" s="59" t="b">
        <v>1</v>
      </c>
      <c r="Q75" s="78"/>
      <c r="R75" s="60"/>
      <c r="S75" s="47" t="b">
        <v>1</v>
      </c>
      <c r="T75" s="61" t="s">
        <v>482</v>
      </c>
      <c r="U75" s="54">
        <f>5*350</f>
        <v>1750</v>
      </c>
      <c r="V75" s="54">
        <f t="shared" si="1"/>
        <v>1250</v>
      </c>
      <c r="W75" s="49"/>
      <c r="X75" s="49"/>
    </row>
    <row r="76" spans="1:24" ht="15.75" customHeight="1">
      <c r="A76" s="101"/>
      <c r="B76" s="32"/>
      <c r="C76" s="52">
        <v>45334</v>
      </c>
      <c r="D76" s="53" t="s">
        <v>26</v>
      </c>
      <c r="E76" s="53" t="s">
        <v>386</v>
      </c>
      <c r="F76" s="53" t="s">
        <v>387</v>
      </c>
      <c r="G76" s="53" t="s">
        <v>58</v>
      </c>
      <c r="H76" s="53" t="s">
        <v>30</v>
      </c>
      <c r="I76" s="53">
        <v>84</v>
      </c>
      <c r="J76" s="54">
        <v>30</v>
      </c>
      <c r="K76" s="54">
        <f t="shared" si="7"/>
        <v>2520</v>
      </c>
      <c r="L76" s="55" t="b">
        <v>1</v>
      </c>
      <c r="M76" s="56">
        <v>120220240931</v>
      </c>
      <c r="N76" s="57" t="b">
        <v>1</v>
      </c>
      <c r="O76" s="63" t="s">
        <v>31</v>
      </c>
      <c r="P76" s="59" t="b">
        <v>1</v>
      </c>
      <c r="Q76" s="78"/>
      <c r="R76" s="60"/>
      <c r="S76" s="47" t="b">
        <v>1</v>
      </c>
      <c r="T76" s="61" t="s">
        <v>483</v>
      </c>
      <c r="U76" s="54">
        <f>84*21</f>
        <v>1764</v>
      </c>
      <c r="V76" s="54">
        <f t="shared" si="1"/>
        <v>756</v>
      </c>
      <c r="W76" s="49"/>
      <c r="X76" s="49"/>
    </row>
    <row r="77" spans="1:24" ht="15.75" customHeight="1">
      <c r="A77" s="101"/>
      <c r="B77" s="32"/>
      <c r="C77" s="52">
        <v>45334</v>
      </c>
      <c r="D77" s="53" t="s">
        <v>51</v>
      </c>
      <c r="E77" s="53" t="s">
        <v>335</v>
      </c>
      <c r="F77" s="53" t="s">
        <v>339</v>
      </c>
      <c r="G77" s="53" t="s">
        <v>484</v>
      </c>
      <c r="H77" s="53" t="s">
        <v>30</v>
      </c>
      <c r="I77" s="53">
        <v>1</v>
      </c>
      <c r="J77" s="54">
        <v>750</v>
      </c>
      <c r="K77" s="54">
        <f t="shared" si="7"/>
        <v>750</v>
      </c>
      <c r="L77" s="55" t="b">
        <v>1</v>
      </c>
      <c r="M77" s="56">
        <v>120220241009</v>
      </c>
      <c r="N77" s="57" t="b">
        <v>1</v>
      </c>
      <c r="O77" s="58" t="s">
        <v>31</v>
      </c>
      <c r="P77" s="59" t="b">
        <v>1</v>
      </c>
      <c r="Q77" s="78"/>
      <c r="R77" s="60"/>
      <c r="S77" s="47" t="b">
        <v>1</v>
      </c>
      <c r="T77" s="61" t="s">
        <v>485</v>
      </c>
      <c r="U77" s="54">
        <v>428</v>
      </c>
      <c r="V77" s="54">
        <f t="shared" si="1"/>
        <v>322</v>
      </c>
      <c r="W77" s="49"/>
      <c r="X77" s="49"/>
    </row>
    <row r="78" spans="1:24" ht="15.75" customHeight="1">
      <c r="A78" s="101"/>
      <c r="B78" s="32"/>
      <c r="C78" s="52">
        <v>45334</v>
      </c>
      <c r="D78" s="53" t="s">
        <v>104</v>
      </c>
      <c r="E78" s="53" t="s">
        <v>486</v>
      </c>
      <c r="F78" s="53" t="s">
        <v>207</v>
      </c>
      <c r="G78" s="53" t="s">
        <v>92</v>
      </c>
      <c r="H78" s="53" t="s">
        <v>30</v>
      </c>
      <c r="I78" s="53">
        <v>15</v>
      </c>
      <c r="J78" s="54">
        <v>90</v>
      </c>
      <c r="K78" s="54">
        <f t="shared" si="7"/>
        <v>1350</v>
      </c>
      <c r="L78" s="55" t="b">
        <v>1</v>
      </c>
      <c r="M78" s="56">
        <v>120220241034</v>
      </c>
      <c r="N78" s="57" t="b">
        <v>1</v>
      </c>
      <c r="O78" s="58" t="s">
        <v>31</v>
      </c>
      <c r="P78" s="59" t="b">
        <v>1</v>
      </c>
      <c r="Q78" s="78"/>
      <c r="R78" s="60"/>
      <c r="S78" s="47" t="b">
        <v>1</v>
      </c>
      <c r="T78" s="61" t="s">
        <v>487</v>
      </c>
      <c r="U78" s="54">
        <f>15*60</f>
        <v>900</v>
      </c>
      <c r="V78" s="54">
        <f t="shared" si="1"/>
        <v>450</v>
      </c>
      <c r="W78" s="49"/>
      <c r="X78" s="49"/>
    </row>
    <row r="79" spans="1:24" ht="15.75" customHeight="1">
      <c r="A79" s="101"/>
      <c r="B79" s="32"/>
      <c r="C79" s="52">
        <v>45334</v>
      </c>
      <c r="D79" s="53" t="s">
        <v>144</v>
      </c>
      <c r="E79" s="53" t="s">
        <v>285</v>
      </c>
      <c r="F79" s="53" t="s">
        <v>488</v>
      </c>
      <c r="G79" s="53" t="s">
        <v>399</v>
      </c>
      <c r="H79" s="53" t="s">
        <v>30</v>
      </c>
      <c r="I79" s="53">
        <v>10</v>
      </c>
      <c r="J79" s="54">
        <v>595</v>
      </c>
      <c r="K79" s="54">
        <f t="shared" si="7"/>
        <v>5950</v>
      </c>
      <c r="L79" s="55" t="b">
        <v>1</v>
      </c>
      <c r="M79" s="56">
        <v>120220241047</v>
      </c>
      <c r="N79" s="57" t="b">
        <v>1</v>
      </c>
      <c r="O79" s="58" t="s">
        <v>31</v>
      </c>
      <c r="P79" s="59" t="b">
        <v>1</v>
      </c>
      <c r="Q79" s="78"/>
      <c r="R79" s="60"/>
      <c r="S79" s="47" t="b">
        <v>1</v>
      </c>
      <c r="T79" s="61" t="s">
        <v>489</v>
      </c>
      <c r="U79" s="54">
        <f>10*385</f>
        <v>3850</v>
      </c>
      <c r="V79" s="54">
        <f t="shared" si="1"/>
        <v>2100</v>
      </c>
      <c r="W79" s="49"/>
      <c r="X79" s="49"/>
    </row>
    <row r="80" spans="1:24" ht="15.75" customHeight="1">
      <c r="A80" s="101"/>
      <c r="B80" s="32"/>
      <c r="C80" s="52">
        <v>45334</v>
      </c>
      <c r="D80" s="53" t="s">
        <v>144</v>
      </c>
      <c r="E80" s="53" t="s">
        <v>285</v>
      </c>
      <c r="F80" s="53" t="s">
        <v>488</v>
      </c>
      <c r="G80" s="53" t="s">
        <v>49</v>
      </c>
      <c r="H80" s="53" t="s">
        <v>30</v>
      </c>
      <c r="I80" s="53">
        <v>5</v>
      </c>
      <c r="J80" s="54">
        <v>695</v>
      </c>
      <c r="K80" s="54">
        <f t="shared" si="7"/>
        <v>3475</v>
      </c>
      <c r="L80" s="55" t="b">
        <v>1</v>
      </c>
      <c r="M80" s="56">
        <v>120220241048</v>
      </c>
      <c r="N80" s="57" t="b">
        <v>1</v>
      </c>
      <c r="O80" s="58"/>
      <c r="P80" s="59" t="b">
        <v>1</v>
      </c>
      <c r="Q80" s="78"/>
      <c r="R80" s="60"/>
      <c r="S80" s="47" t="b">
        <v>1</v>
      </c>
      <c r="T80" s="61" t="s">
        <v>490</v>
      </c>
      <c r="U80" s="54">
        <f>5000*0.46</f>
        <v>2300</v>
      </c>
      <c r="V80" s="54">
        <f t="shared" si="1"/>
        <v>1175</v>
      </c>
      <c r="W80" s="49"/>
      <c r="X80" s="49"/>
    </row>
    <row r="81" spans="1:24" ht="15.75" customHeight="1">
      <c r="A81" s="101"/>
      <c r="B81" s="32"/>
      <c r="C81" s="82">
        <v>45334</v>
      </c>
      <c r="D81" s="53" t="s">
        <v>51</v>
      </c>
      <c r="E81" s="53" t="s">
        <v>335</v>
      </c>
      <c r="F81" s="53" t="s">
        <v>339</v>
      </c>
      <c r="G81" s="53" t="s">
        <v>491</v>
      </c>
      <c r="H81" s="53" t="s">
        <v>30</v>
      </c>
      <c r="I81" s="53">
        <v>2</v>
      </c>
      <c r="J81" s="54">
        <v>8750</v>
      </c>
      <c r="K81" s="54">
        <f t="shared" si="7"/>
        <v>17500</v>
      </c>
      <c r="L81" s="55" t="b">
        <v>1</v>
      </c>
      <c r="M81" s="56">
        <v>120220241956</v>
      </c>
      <c r="N81" s="57" t="b">
        <v>1</v>
      </c>
      <c r="O81" s="58" t="s">
        <v>39</v>
      </c>
      <c r="P81" s="59" t="b">
        <v>1</v>
      </c>
      <c r="Q81" s="78"/>
      <c r="R81" s="60"/>
      <c r="S81" s="47" t="b">
        <v>1</v>
      </c>
      <c r="T81" s="61" t="s">
        <v>492</v>
      </c>
      <c r="U81" s="54">
        <v>10500</v>
      </c>
      <c r="V81" s="54">
        <f t="shared" si="1"/>
        <v>7000</v>
      </c>
      <c r="W81" s="49"/>
      <c r="X81" s="49"/>
    </row>
    <row r="82" spans="1:24" ht="15.75" customHeight="1">
      <c r="A82" s="101"/>
      <c r="B82" s="32"/>
      <c r="C82" s="82">
        <v>45335</v>
      </c>
      <c r="D82" s="53" t="s">
        <v>104</v>
      </c>
      <c r="E82" s="53" t="s">
        <v>486</v>
      </c>
      <c r="F82" s="53" t="s">
        <v>241</v>
      </c>
      <c r="G82" s="119" t="s">
        <v>436</v>
      </c>
      <c r="H82" s="53" t="s">
        <v>30</v>
      </c>
      <c r="I82" s="53">
        <v>25</v>
      </c>
      <c r="J82" s="54">
        <v>125</v>
      </c>
      <c r="K82" s="54">
        <f t="shared" si="7"/>
        <v>3125</v>
      </c>
      <c r="L82" s="55" t="b">
        <v>1</v>
      </c>
      <c r="M82" s="56">
        <v>130120241249</v>
      </c>
      <c r="N82" s="57" t="b">
        <v>1</v>
      </c>
      <c r="O82" s="58" t="s">
        <v>77</v>
      </c>
      <c r="P82" s="59" t="b">
        <v>1</v>
      </c>
      <c r="Q82" s="78"/>
      <c r="R82" s="60"/>
      <c r="S82" s="47" t="b">
        <v>1</v>
      </c>
      <c r="T82" s="61" t="s">
        <v>493</v>
      </c>
      <c r="U82" s="54">
        <f>25*90</f>
        <v>2250</v>
      </c>
      <c r="V82" s="54">
        <f t="shared" si="1"/>
        <v>875</v>
      </c>
      <c r="W82" s="49"/>
      <c r="X82" s="49"/>
    </row>
    <row r="83" spans="1:24" ht="15.75" customHeight="1">
      <c r="A83" s="101"/>
      <c r="B83" s="32"/>
      <c r="C83" s="82">
        <v>45335</v>
      </c>
      <c r="D83" s="53" t="s">
        <v>51</v>
      </c>
      <c r="E83" s="53" t="s">
        <v>335</v>
      </c>
      <c r="F83" s="53" t="s">
        <v>457</v>
      </c>
      <c r="G83" s="120" t="s">
        <v>379</v>
      </c>
      <c r="H83" s="53" t="s">
        <v>30</v>
      </c>
      <c r="I83" s="53">
        <v>1</v>
      </c>
      <c r="J83" s="54">
        <v>3400</v>
      </c>
      <c r="K83" s="54">
        <f t="shared" si="7"/>
        <v>3400</v>
      </c>
      <c r="L83" s="55" t="b">
        <v>1</v>
      </c>
      <c r="M83" s="56">
        <v>130220241748</v>
      </c>
      <c r="N83" s="57" t="b">
        <v>1</v>
      </c>
      <c r="O83" s="58" t="s">
        <v>39</v>
      </c>
      <c r="P83" s="59" t="b">
        <v>1</v>
      </c>
      <c r="Q83" s="78"/>
      <c r="R83" s="60"/>
      <c r="S83" s="47" t="b">
        <v>1</v>
      </c>
      <c r="T83" s="61" t="s">
        <v>494</v>
      </c>
      <c r="U83" s="54">
        <v>2400</v>
      </c>
      <c r="V83" s="54">
        <f t="shared" si="1"/>
        <v>1000</v>
      </c>
      <c r="W83" s="49"/>
      <c r="X83" s="49"/>
    </row>
    <row r="84" spans="1:24" ht="15.75" customHeight="1">
      <c r="A84" s="101"/>
      <c r="B84" s="32"/>
      <c r="C84" s="82">
        <v>45335</v>
      </c>
      <c r="D84" s="53" t="s">
        <v>51</v>
      </c>
      <c r="E84" s="53" t="s">
        <v>335</v>
      </c>
      <c r="F84" s="53" t="s">
        <v>457</v>
      </c>
      <c r="G84" s="53" t="s">
        <v>389</v>
      </c>
      <c r="H84" s="53" t="s">
        <v>30</v>
      </c>
      <c r="I84" s="53">
        <v>50</v>
      </c>
      <c r="J84" s="54">
        <v>35</v>
      </c>
      <c r="K84" s="54">
        <f t="shared" si="7"/>
        <v>1750</v>
      </c>
      <c r="L84" s="55" t="b">
        <v>1</v>
      </c>
      <c r="M84" s="56">
        <v>130220241748</v>
      </c>
      <c r="N84" s="57" t="b">
        <v>1</v>
      </c>
      <c r="O84" s="58" t="s">
        <v>39</v>
      </c>
      <c r="P84" s="59" t="b">
        <v>1</v>
      </c>
      <c r="Q84" s="78"/>
      <c r="R84" s="60"/>
      <c r="S84" s="47" t="b">
        <v>1</v>
      </c>
      <c r="T84" s="61" t="s">
        <v>494</v>
      </c>
      <c r="U84" s="54">
        <f>50*25</f>
        <v>1250</v>
      </c>
      <c r="V84" s="54">
        <f t="shared" si="1"/>
        <v>500</v>
      </c>
      <c r="W84" s="49"/>
      <c r="X84" s="49"/>
    </row>
    <row r="85" spans="1:24" ht="15.75" customHeight="1">
      <c r="A85" s="101"/>
      <c r="B85" s="32"/>
      <c r="C85" s="82">
        <v>45335</v>
      </c>
      <c r="D85" s="53" t="s">
        <v>51</v>
      </c>
      <c r="E85" s="53" t="s">
        <v>66</v>
      </c>
      <c r="F85" s="53" t="s">
        <v>67</v>
      </c>
      <c r="G85" s="53" t="s">
        <v>389</v>
      </c>
      <c r="H85" s="53" t="s">
        <v>30</v>
      </c>
      <c r="I85" s="53">
        <v>80</v>
      </c>
      <c r="J85" s="54">
        <v>31.5</v>
      </c>
      <c r="K85" s="54">
        <f t="shared" si="7"/>
        <v>2520</v>
      </c>
      <c r="L85" s="55" t="b">
        <v>1</v>
      </c>
      <c r="M85" s="56">
        <v>130220241748</v>
      </c>
      <c r="N85" s="57" t="b">
        <v>1</v>
      </c>
      <c r="O85" s="58" t="s">
        <v>39</v>
      </c>
      <c r="P85" s="59" t="b">
        <v>1</v>
      </c>
      <c r="Q85" s="78" t="s">
        <v>495</v>
      </c>
      <c r="R85" s="60"/>
      <c r="S85" s="47" t="b">
        <v>1</v>
      </c>
      <c r="T85" s="61" t="s">
        <v>496</v>
      </c>
      <c r="U85" s="54">
        <f>80*21.5</f>
        <v>1720</v>
      </c>
      <c r="V85" s="54">
        <f t="shared" si="1"/>
        <v>800</v>
      </c>
      <c r="W85" s="49"/>
      <c r="X85" s="49"/>
    </row>
    <row r="86" spans="1:24" ht="15.75" customHeight="1">
      <c r="C86" s="82">
        <v>45335</v>
      </c>
      <c r="D86" s="81" t="s">
        <v>104</v>
      </c>
      <c r="E86" s="81" t="s">
        <v>486</v>
      </c>
      <c r="F86" s="81" t="s">
        <v>241</v>
      </c>
      <c r="G86" s="81" t="s">
        <v>497</v>
      </c>
      <c r="H86" s="81" t="s">
        <v>30</v>
      </c>
      <c r="I86" s="81">
        <v>1</v>
      </c>
      <c r="J86" s="54">
        <v>675</v>
      </c>
      <c r="K86" s="54">
        <f t="shared" si="7"/>
        <v>675</v>
      </c>
      <c r="L86" s="55" t="b">
        <v>1</v>
      </c>
      <c r="M86" s="56">
        <v>130220241748</v>
      </c>
      <c r="N86" s="57" t="b">
        <v>1</v>
      </c>
      <c r="O86" s="58"/>
      <c r="P86" s="59" t="b">
        <v>1</v>
      </c>
      <c r="Q86" s="78"/>
      <c r="R86" s="60" t="s">
        <v>498</v>
      </c>
      <c r="S86" s="47" t="b">
        <v>1</v>
      </c>
      <c r="T86" s="61" t="s">
        <v>499</v>
      </c>
      <c r="U86" s="54">
        <f>1*60</f>
        <v>60</v>
      </c>
      <c r="V86" s="54">
        <f t="shared" si="1"/>
        <v>615</v>
      </c>
      <c r="W86" s="49"/>
      <c r="X86" s="49"/>
    </row>
    <row r="87" spans="1:24" ht="15.75" customHeight="1">
      <c r="A87" s="101"/>
      <c r="B87" s="32"/>
      <c r="C87" s="82">
        <v>45335</v>
      </c>
      <c r="D87" s="53" t="s">
        <v>51</v>
      </c>
      <c r="E87" s="53" t="s">
        <v>89</v>
      </c>
      <c r="F87" s="53" t="s">
        <v>90</v>
      </c>
      <c r="G87" s="53" t="s">
        <v>92</v>
      </c>
      <c r="H87" s="53" t="s">
        <v>30</v>
      </c>
      <c r="I87" s="53">
        <v>20</v>
      </c>
      <c r="J87" s="54">
        <v>90</v>
      </c>
      <c r="K87" s="54">
        <f t="shared" si="7"/>
        <v>1800</v>
      </c>
      <c r="L87" s="55" t="b">
        <v>1</v>
      </c>
      <c r="M87" s="56">
        <v>130220241748</v>
      </c>
      <c r="N87" s="57" t="b">
        <v>1</v>
      </c>
      <c r="O87" s="58" t="s">
        <v>31</v>
      </c>
      <c r="P87" s="59" t="b">
        <v>1</v>
      </c>
      <c r="Q87" s="78" t="s">
        <v>500</v>
      </c>
      <c r="R87" s="60"/>
      <c r="S87" s="47" t="b">
        <v>1</v>
      </c>
      <c r="T87" s="61" t="s">
        <v>501</v>
      </c>
      <c r="U87" s="54">
        <f>20*60</f>
        <v>1200</v>
      </c>
      <c r="V87" s="54">
        <f t="shared" si="1"/>
        <v>600</v>
      </c>
      <c r="W87" s="49"/>
      <c r="X87" s="49"/>
    </row>
    <row r="88" spans="1:24" ht="15.75" customHeight="1">
      <c r="A88" s="101"/>
      <c r="B88" s="32"/>
      <c r="C88" s="82">
        <v>45335</v>
      </c>
      <c r="D88" s="53" t="s">
        <v>51</v>
      </c>
      <c r="E88" s="53" t="s">
        <v>89</v>
      </c>
      <c r="F88" s="53" t="s">
        <v>90</v>
      </c>
      <c r="G88" s="81" t="s">
        <v>80</v>
      </c>
      <c r="H88" s="53" t="s">
        <v>30</v>
      </c>
      <c r="I88" s="83">
        <v>20</v>
      </c>
      <c r="J88" s="54">
        <v>300</v>
      </c>
      <c r="K88" s="54">
        <f t="shared" si="7"/>
        <v>6000</v>
      </c>
      <c r="L88" s="55" t="b">
        <v>1</v>
      </c>
      <c r="M88" s="56">
        <v>130220241748</v>
      </c>
      <c r="N88" s="57" t="b">
        <v>1</v>
      </c>
      <c r="O88" s="58" t="s">
        <v>31</v>
      </c>
      <c r="P88" s="59" t="b">
        <v>1</v>
      </c>
      <c r="Q88" s="78"/>
      <c r="R88" s="60"/>
      <c r="S88" s="47" t="b">
        <v>1</v>
      </c>
      <c r="T88" s="61" t="s">
        <v>501</v>
      </c>
      <c r="U88" s="54">
        <f>20*120</f>
        <v>2400</v>
      </c>
      <c r="V88" s="54">
        <f t="shared" si="1"/>
        <v>3600</v>
      </c>
      <c r="W88" s="49"/>
      <c r="X88" s="49"/>
    </row>
    <row r="89" spans="1:24" ht="15.75" customHeight="1">
      <c r="A89" s="121"/>
      <c r="B89" s="32"/>
      <c r="C89" s="82">
        <v>45336</v>
      </c>
      <c r="D89" s="53" t="s">
        <v>26</v>
      </c>
      <c r="E89" s="53" t="s">
        <v>386</v>
      </c>
      <c r="F89" s="53" t="s">
        <v>502</v>
      </c>
      <c r="G89" s="53" t="s">
        <v>58</v>
      </c>
      <c r="H89" s="53" t="s">
        <v>30</v>
      </c>
      <c r="I89" s="53">
        <v>84</v>
      </c>
      <c r="J89" s="54">
        <v>30</v>
      </c>
      <c r="K89" s="54">
        <f t="shared" si="7"/>
        <v>2520</v>
      </c>
      <c r="L89" s="55" t="b">
        <v>1</v>
      </c>
      <c r="M89" s="56">
        <v>140220241232</v>
      </c>
      <c r="N89" s="57" t="b">
        <v>1</v>
      </c>
      <c r="O89" s="58"/>
      <c r="P89" s="59" t="b">
        <v>1</v>
      </c>
      <c r="Q89" s="78"/>
      <c r="R89" s="60"/>
      <c r="S89" s="47" t="b">
        <v>1</v>
      </c>
      <c r="T89" s="61" t="s">
        <v>503</v>
      </c>
      <c r="U89" s="54">
        <f>84*21</f>
        <v>1764</v>
      </c>
      <c r="V89" s="54">
        <f t="shared" si="1"/>
        <v>756</v>
      </c>
      <c r="W89" s="49"/>
      <c r="X89" s="49"/>
    </row>
    <row r="90" spans="1:24" ht="15.75" customHeight="1">
      <c r="A90" s="101"/>
      <c r="B90" s="32"/>
      <c r="C90" s="82">
        <v>45336</v>
      </c>
      <c r="D90" s="53" t="s">
        <v>51</v>
      </c>
      <c r="E90" s="53" t="s">
        <v>89</v>
      </c>
      <c r="F90" s="53" t="s">
        <v>178</v>
      </c>
      <c r="G90" s="53" t="s">
        <v>142</v>
      </c>
      <c r="H90" s="53" t="s">
        <v>30</v>
      </c>
      <c r="I90" s="53">
        <v>1500</v>
      </c>
      <c r="J90" s="54">
        <v>1</v>
      </c>
      <c r="K90" s="54">
        <f t="shared" si="7"/>
        <v>1500</v>
      </c>
      <c r="L90" s="55" t="b">
        <v>1</v>
      </c>
      <c r="M90" s="56">
        <v>140220241234</v>
      </c>
      <c r="N90" s="57" t="b">
        <v>1</v>
      </c>
      <c r="O90" s="63"/>
      <c r="P90" s="59" t="b">
        <v>1</v>
      </c>
      <c r="Q90" s="43"/>
      <c r="R90" s="60"/>
      <c r="S90" s="47" t="b">
        <v>1</v>
      </c>
      <c r="T90" s="61" t="s">
        <v>504</v>
      </c>
      <c r="U90" s="54">
        <f>1500*0.82</f>
        <v>1230</v>
      </c>
      <c r="V90" s="54">
        <f t="shared" si="1"/>
        <v>270</v>
      </c>
      <c r="W90" s="49"/>
      <c r="X90" s="49"/>
    </row>
    <row r="91" spans="1:24" ht="15.75" customHeight="1">
      <c r="A91" s="101"/>
      <c r="B91" s="32"/>
      <c r="C91" s="122">
        <v>45336</v>
      </c>
      <c r="D91" s="53" t="s">
        <v>51</v>
      </c>
      <c r="E91" s="53" t="s">
        <v>89</v>
      </c>
      <c r="F91" s="53" t="s">
        <v>505</v>
      </c>
      <c r="G91" s="53" t="s">
        <v>506</v>
      </c>
      <c r="H91" s="53" t="s">
        <v>30</v>
      </c>
      <c r="I91" s="53">
        <v>8</v>
      </c>
      <c r="J91" s="54">
        <v>5000</v>
      </c>
      <c r="K91" s="54">
        <f t="shared" si="7"/>
        <v>40000</v>
      </c>
      <c r="L91" s="55" t="b">
        <v>1</v>
      </c>
      <c r="M91" s="56">
        <v>140220241237</v>
      </c>
      <c r="N91" s="57" t="b">
        <v>0</v>
      </c>
      <c r="O91" s="58"/>
      <c r="P91" s="59" t="b">
        <v>1</v>
      </c>
      <c r="Q91" s="78" t="s">
        <v>507</v>
      </c>
      <c r="R91" s="60"/>
      <c r="S91" s="47" t="b">
        <v>1</v>
      </c>
      <c r="T91" s="61" t="s">
        <v>508</v>
      </c>
      <c r="U91" s="54">
        <v>16800</v>
      </c>
      <c r="V91" s="54">
        <f t="shared" si="1"/>
        <v>23200</v>
      </c>
      <c r="W91" s="49"/>
      <c r="X91" s="49"/>
    </row>
    <row r="92" spans="1:24" ht="15.75" customHeight="1">
      <c r="A92" s="101"/>
      <c r="B92" s="32"/>
      <c r="C92" s="82">
        <v>45336</v>
      </c>
      <c r="D92" s="53" t="s">
        <v>51</v>
      </c>
      <c r="E92" s="53" t="s">
        <v>89</v>
      </c>
      <c r="F92" s="53" t="s">
        <v>505</v>
      </c>
      <c r="G92" s="53" t="s">
        <v>379</v>
      </c>
      <c r="H92" s="53" t="s">
        <v>30</v>
      </c>
      <c r="I92" s="53">
        <v>2</v>
      </c>
      <c r="J92" s="54">
        <v>3400</v>
      </c>
      <c r="K92" s="54">
        <f t="shared" si="7"/>
        <v>6800</v>
      </c>
      <c r="L92" s="55" t="b">
        <v>1</v>
      </c>
      <c r="M92" s="56">
        <v>140220241238</v>
      </c>
      <c r="N92" s="57" t="b">
        <v>1</v>
      </c>
      <c r="O92" s="58"/>
      <c r="P92" s="59" t="b">
        <v>1</v>
      </c>
      <c r="Q92" s="78"/>
      <c r="R92" s="60"/>
      <c r="S92" s="47" t="b">
        <v>1</v>
      </c>
      <c r="T92" s="61" t="s">
        <v>509</v>
      </c>
      <c r="U92" s="54">
        <f>2*2400</f>
        <v>4800</v>
      </c>
      <c r="V92" s="54">
        <f t="shared" si="1"/>
        <v>2000</v>
      </c>
      <c r="W92" s="49"/>
      <c r="X92" s="49"/>
    </row>
    <row r="93" spans="1:24" ht="15.75" customHeight="1">
      <c r="A93" s="101"/>
      <c r="B93" s="32"/>
      <c r="C93" s="82">
        <v>45336</v>
      </c>
      <c r="D93" s="53" t="s">
        <v>51</v>
      </c>
      <c r="E93" s="53" t="s">
        <v>89</v>
      </c>
      <c r="F93" s="53" t="s">
        <v>505</v>
      </c>
      <c r="G93" s="66" t="s">
        <v>389</v>
      </c>
      <c r="H93" s="66" t="s">
        <v>30</v>
      </c>
      <c r="I93" s="66">
        <v>55</v>
      </c>
      <c r="J93" s="54">
        <v>35</v>
      </c>
      <c r="K93" s="54">
        <f t="shared" si="7"/>
        <v>1925</v>
      </c>
      <c r="L93" s="55" t="b">
        <v>1</v>
      </c>
      <c r="M93" s="56">
        <v>140220241238</v>
      </c>
      <c r="N93" s="57" t="b">
        <v>1</v>
      </c>
      <c r="O93" s="58"/>
      <c r="P93" s="59" t="b">
        <v>1</v>
      </c>
      <c r="Q93" s="78"/>
      <c r="R93" s="60"/>
      <c r="S93" s="47" t="b">
        <v>1</v>
      </c>
      <c r="T93" s="61" t="s">
        <v>509</v>
      </c>
      <c r="U93" s="54">
        <f>55*21.5</f>
        <v>1182.5</v>
      </c>
      <c r="V93" s="54">
        <f t="shared" si="1"/>
        <v>742.5</v>
      </c>
      <c r="W93" s="49"/>
      <c r="X93" s="49"/>
    </row>
    <row r="94" spans="1:24" ht="15.75" customHeight="1">
      <c r="A94" s="101"/>
      <c r="B94" s="32"/>
      <c r="C94" s="82">
        <v>45336</v>
      </c>
      <c r="D94" s="53" t="s">
        <v>51</v>
      </c>
      <c r="E94" s="53" t="s">
        <v>201</v>
      </c>
      <c r="F94" s="53" t="s">
        <v>202</v>
      </c>
      <c r="G94" s="66" t="s">
        <v>410</v>
      </c>
      <c r="H94" s="66" t="s">
        <v>30</v>
      </c>
      <c r="I94" s="66">
        <v>36</v>
      </c>
      <c r="J94" s="54">
        <v>140</v>
      </c>
      <c r="K94" s="54">
        <f t="shared" si="7"/>
        <v>5040</v>
      </c>
      <c r="L94" s="55" t="b">
        <v>1</v>
      </c>
      <c r="M94" s="56">
        <v>140220241239</v>
      </c>
      <c r="N94" s="57" t="b">
        <v>1</v>
      </c>
      <c r="O94" s="58" t="s">
        <v>31</v>
      </c>
      <c r="P94" s="59" t="b">
        <v>1</v>
      </c>
      <c r="Q94" s="78"/>
      <c r="R94" s="60" t="s">
        <v>510</v>
      </c>
      <c r="S94" s="47" t="b">
        <v>1</v>
      </c>
      <c r="T94" s="61" t="s">
        <v>511</v>
      </c>
      <c r="U94" s="54">
        <f>36*95</f>
        <v>3420</v>
      </c>
      <c r="V94" s="54">
        <f t="shared" si="1"/>
        <v>1620</v>
      </c>
      <c r="W94" s="49"/>
      <c r="X94" s="49"/>
    </row>
    <row r="95" spans="1:24" ht="15.75" customHeight="1">
      <c r="A95" s="101"/>
      <c r="B95" s="32"/>
      <c r="C95" s="82">
        <v>45336</v>
      </c>
      <c r="D95" s="53" t="s">
        <v>51</v>
      </c>
      <c r="E95" s="53" t="s">
        <v>201</v>
      </c>
      <c r="F95" s="53" t="s">
        <v>202</v>
      </c>
      <c r="G95" s="66" t="s">
        <v>512</v>
      </c>
      <c r="H95" s="85" t="s">
        <v>30</v>
      </c>
      <c r="I95" s="66">
        <v>10</v>
      </c>
      <c r="J95" s="54">
        <v>525</v>
      </c>
      <c r="K95" s="54">
        <f t="shared" si="7"/>
        <v>5250</v>
      </c>
      <c r="L95" s="55" t="b">
        <v>1</v>
      </c>
      <c r="M95" s="56">
        <v>140220241240</v>
      </c>
      <c r="N95" s="57" t="b">
        <v>1</v>
      </c>
      <c r="O95" s="58" t="s">
        <v>31</v>
      </c>
      <c r="P95" s="59" t="b">
        <v>1</v>
      </c>
      <c r="Q95" s="78"/>
      <c r="R95" s="60" t="s">
        <v>510</v>
      </c>
      <c r="S95" s="47" t="b">
        <v>1</v>
      </c>
      <c r="T95" s="61" t="s">
        <v>511</v>
      </c>
      <c r="U95" s="54">
        <f>10*300</f>
        <v>3000</v>
      </c>
      <c r="V95" s="54">
        <f t="shared" si="1"/>
        <v>2250</v>
      </c>
      <c r="W95" s="49"/>
      <c r="X95" s="49"/>
    </row>
    <row r="96" spans="1:24" ht="15.75" customHeight="1">
      <c r="A96" s="101"/>
      <c r="B96" s="32"/>
      <c r="C96" s="82">
        <v>45336</v>
      </c>
      <c r="D96" s="53" t="s">
        <v>51</v>
      </c>
      <c r="E96" s="53" t="s">
        <v>372</v>
      </c>
      <c r="F96" s="53" t="s">
        <v>373</v>
      </c>
      <c r="G96" s="53" t="s">
        <v>513</v>
      </c>
      <c r="H96" s="53" t="s">
        <v>30</v>
      </c>
      <c r="I96" s="53">
        <v>2</v>
      </c>
      <c r="J96" s="54">
        <v>495</v>
      </c>
      <c r="K96" s="54">
        <f t="shared" si="7"/>
        <v>990</v>
      </c>
      <c r="L96" s="55" t="b">
        <v>1</v>
      </c>
      <c r="M96" s="56">
        <v>140220241243</v>
      </c>
      <c r="N96" s="57" t="b">
        <v>1</v>
      </c>
      <c r="O96" s="58"/>
      <c r="P96" s="59" t="b">
        <v>1</v>
      </c>
      <c r="Q96" s="78"/>
      <c r="R96" s="60" t="s">
        <v>514</v>
      </c>
      <c r="S96" s="47" t="b">
        <v>1</v>
      </c>
      <c r="T96" s="61" t="s">
        <v>515</v>
      </c>
      <c r="U96" s="54">
        <f>2*347.75</f>
        <v>695.5</v>
      </c>
      <c r="V96" s="54">
        <f t="shared" si="1"/>
        <v>294.5</v>
      </c>
      <c r="W96" s="49"/>
      <c r="X96" s="49"/>
    </row>
    <row r="97" spans="1:24" ht="15.75" customHeight="1">
      <c r="A97" s="101"/>
      <c r="B97" s="32"/>
      <c r="C97" s="82">
        <v>45336</v>
      </c>
      <c r="D97" s="53" t="s">
        <v>104</v>
      </c>
      <c r="E97" s="53" t="s">
        <v>516</v>
      </c>
      <c r="F97" s="53" t="s">
        <v>517</v>
      </c>
      <c r="G97" s="53" t="s">
        <v>49</v>
      </c>
      <c r="H97" s="53" t="s">
        <v>30</v>
      </c>
      <c r="I97" s="53">
        <v>10</v>
      </c>
      <c r="J97" s="54">
        <v>695</v>
      </c>
      <c r="K97" s="54">
        <f t="shared" si="7"/>
        <v>6950</v>
      </c>
      <c r="L97" s="55" t="b">
        <v>1</v>
      </c>
      <c r="M97" s="56">
        <v>140220241253</v>
      </c>
      <c r="N97" s="57" t="b">
        <v>1</v>
      </c>
      <c r="O97" s="58" t="s">
        <v>185</v>
      </c>
      <c r="P97" s="59" t="b">
        <v>1</v>
      </c>
      <c r="Q97" s="78"/>
      <c r="R97" s="60" t="s">
        <v>518</v>
      </c>
      <c r="S97" s="47" t="b">
        <v>1</v>
      </c>
      <c r="T97" s="61" t="s">
        <v>519</v>
      </c>
      <c r="U97" s="54">
        <f>10000*0.46</f>
        <v>4600</v>
      </c>
      <c r="V97" s="54">
        <f t="shared" si="1"/>
        <v>2350</v>
      </c>
      <c r="W97" s="49"/>
      <c r="X97" s="49"/>
    </row>
    <row r="98" spans="1:24" ht="15.75" customHeight="1">
      <c r="A98" s="101"/>
      <c r="B98" s="32"/>
      <c r="C98" s="82">
        <v>45336</v>
      </c>
      <c r="D98" s="53" t="s">
        <v>104</v>
      </c>
      <c r="E98" s="53" t="s">
        <v>61</v>
      </c>
      <c r="F98" s="53" t="s">
        <v>181</v>
      </c>
      <c r="G98" s="53" t="s">
        <v>520</v>
      </c>
      <c r="H98" s="53" t="s">
        <v>30</v>
      </c>
      <c r="I98" s="53">
        <v>15</v>
      </c>
      <c r="J98" s="54">
        <v>60</v>
      </c>
      <c r="K98" s="54">
        <f t="shared" si="7"/>
        <v>900</v>
      </c>
      <c r="L98" s="55" t="b">
        <v>1</v>
      </c>
      <c r="M98" s="56">
        <v>140220241301</v>
      </c>
      <c r="N98" s="57" t="b">
        <v>1</v>
      </c>
      <c r="O98" s="58" t="s">
        <v>185</v>
      </c>
      <c r="P98" s="59" t="b">
        <v>1</v>
      </c>
      <c r="Q98" s="78"/>
      <c r="R98" s="60" t="s">
        <v>521</v>
      </c>
      <c r="S98" s="47" t="b">
        <v>1</v>
      </c>
      <c r="T98" s="61" t="s">
        <v>522</v>
      </c>
      <c r="U98" s="54">
        <f>15*26</f>
        <v>390</v>
      </c>
      <c r="V98" s="54">
        <f t="shared" si="1"/>
        <v>510</v>
      </c>
      <c r="W98" s="49"/>
      <c r="X98" s="49"/>
    </row>
    <row r="99" spans="1:24" ht="15.75" customHeight="1">
      <c r="A99" s="101"/>
      <c r="B99" s="32"/>
      <c r="C99" s="82">
        <v>45336</v>
      </c>
      <c r="D99" s="53" t="s">
        <v>523</v>
      </c>
      <c r="E99" s="53" t="s">
        <v>524</v>
      </c>
      <c r="F99" s="53" t="s">
        <v>525</v>
      </c>
      <c r="G99" s="53" t="s">
        <v>49</v>
      </c>
      <c r="H99" s="53" t="s">
        <v>30</v>
      </c>
      <c r="I99" s="53">
        <v>3</v>
      </c>
      <c r="J99" s="54">
        <v>695</v>
      </c>
      <c r="K99" s="54">
        <f t="shared" si="7"/>
        <v>2085</v>
      </c>
      <c r="L99" s="55" t="b">
        <v>1</v>
      </c>
      <c r="M99" s="56">
        <v>140220241452</v>
      </c>
      <c r="N99" s="57" t="b">
        <v>1</v>
      </c>
      <c r="O99" s="58" t="s">
        <v>185</v>
      </c>
      <c r="P99" s="59" t="b">
        <v>1</v>
      </c>
      <c r="Q99" s="78"/>
      <c r="R99" s="60" t="s">
        <v>526</v>
      </c>
      <c r="S99" s="47" t="b">
        <v>1</v>
      </c>
      <c r="T99" s="61" t="s">
        <v>527</v>
      </c>
      <c r="U99" s="54">
        <f>3000*0.46</f>
        <v>1380</v>
      </c>
      <c r="V99" s="54">
        <f t="shared" si="1"/>
        <v>705</v>
      </c>
      <c r="W99" s="49"/>
      <c r="X99" s="49"/>
    </row>
    <row r="100" spans="1:24" ht="15.75" customHeight="1">
      <c r="A100" s="101"/>
      <c r="B100" s="32"/>
      <c r="C100" s="82">
        <v>45336</v>
      </c>
      <c r="D100" s="53" t="s">
        <v>104</v>
      </c>
      <c r="E100" s="53" t="s">
        <v>475</v>
      </c>
      <c r="F100" s="53" t="s">
        <v>476</v>
      </c>
      <c r="G100" s="53" t="s">
        <v>528</v>
      </c>
      <c r="H100" s="53" t="s">
        <v>30</v>
      </c>
      <c r="I100" s="53">
        <v>20</v>
      </c>
      <c r="J100" s="54">
        <v>42</v>
      </c>
      <c r="K100" s="54">
        <f t="shared" si="7"/>
        <v>840</v>
      </c>
      <c r="L100" s="55" t="b">
        <v>1</v>
      </c>
      <c r="M100" s="56">
        <v>140220241452</v>
      </c>
      <c r="N100" s="57" t="b">
        <v>1</v>
      </c>
      <c r="O100" s="58" t="s">
        <v>529</v>
      </c>
      <c r="P100" s="59" t="b">
        <v>1</v>
      </c>
      <c r="Q100" s="78"/>
      <c r="R100" s="60"/>
      <c r="S100" s="47" t="b">
        <v>1</v>
      </c>
      <c r="T100" s="61" t="s">
        <v>530</v>
      </c>
      <c r="U100" s="54">
        <f>20*26</f>
        <v>520</v>
      </c>
      <c r="V100" s="54">
        <f t="shared" si="1"/>
        <v>320</v>
      </c>
      <c r="W100" s="49"/>
      <c r="X100" s="49"/>
    </row>
    <row r="101" spans="1:24" ht="15.75" customHeight="1">
      <c r="A101" s="101"/>
      <c r="B101" s="32"/>
      <c r="C101" s="82">
        <v>45336</v>
      </c>
      <c r="D101" s="53" t="s">
        <v>104</v>
      </c>
      <c r="E101" s="53" t="s">
        <v>475</v>
      </c>
      <c r="F101" s="53" t="s">
        <v>476</v>
      </c>
      <c r="G101" s="53" t="s">
        <v>466</v>
      </c>
      <c r="H101" s="53" t="s">
        <v>30</v>
      </c>
      <c r="I101" s="53">
        <v>10</v>
      </c>
      <c r="J101" s="54">
        <v>105</v>
      </c>
      <c r="K101" s="54">
        <f t="shared" ref="K101:K102" si="8">J101:J103*I101</f>
        <v>1050</v>
      </c>
      <c r="L101" s="55" t="b">
        <v>1</v>
      </c>
      <c r="M101" s="56">
        <v>140220241301</v>
      </c>
      <c r="N101" s="57" t="b">
        <v>1</v>
      </c>
      <c r="O101" s="58"/>
      <c r="P101" s="59" t="b">
        <v>1</v>
      </c>
      <c r="Q101" s="78"/>
      <c r="R101" s="60"/>
      <c r="S101" s="47" t="b">
        <v>1</v>
      </c>
      <c r="T101" s="61" t="s">
        <v>530</v>
      </c>
      <c r="U101" s="54">
        <f t="shared" ref="U101:U102" si="9">10*75</f>
        <v>750</v>
      </c>
      <c r="V101" s="54">
        <f t="shared" si="1"/>
        <v>300</v>
      </c>
      <c r="W101" s="49"/>
      <c r="X101" s="49"/>
    </row>
    <row r="102" spans="1:24" ht="15.75" customHeight="1">
      <c r="A102" s="101"/>
      <c r="B102" s="32"/>
      <c r="C102" s="82">
        <v>45336</v>
      </c>
      <c r="D102" s="53" t="s">
        <v>51</v>
      </c>
      <c r="E102" s="53" t="s">
        <v>475</v>
      </c>
      <c r="F102" s="53" t="s">
        <v>476</v>
      </c>
      <c r="G102" s="53" t="s">
        <v>466</v>
      </c>
      <c r="H102" s="53" t="s">
        <v>30</v>
      </c>
      <c r="I102" s="53">
        <v>10</v>
      </c>
      <c r="J102" s="54">
        <v>105</v>
      </c>
      <c r="K102" s="54">
        <f t="shared" si="8"/>
        <v>1050</v>
      </c>
      <c r="L102" s="55" t="b">
        <v>1</v>
      </c>
      <c r="M102" s="56">
        <v>140220241452</v>
      </c>
      <c r="N102" s="57" t="b">
        <v>1</v>
      </c>
      <c r="O102" s="58"/>
      <c r="P102" s="59" t="b">
        <v>1</v>
      </c>
      <c r="Q102" s="78"/>
      <c r="R102" s="60"/>
      <c r="S102" s="47" t="b">
        <v>1</v>
      </c>
      <c r="T102" s="61" t="s">
        <v>531</v>
      </c>
      <c r="U102" s="54">
        <f t="shared" si="9"/>
        <v>750</v>
      </c>
      <c r="V102" s="54">
        <f t="shared" si="1"/>
        <v>300</v>
      </c>
      <c r="W102" s="49"/>
      <c r="X102" s="49"/>
    </row>
    <row r="103" spans="1:24" ht="15.75" customHeight="1">
      <c r="A103" s="101"/>
      <c r="B103" s="32"/>
      <c r="C103" s="82">
        <v>45336</v>
      </c>
      <c r="D103" s="53" t="s">
        <v>104</v>
      </c>
      <c r="E103" s="53" t="s">
        <v>475</v>
      </c>
      <c r="F103" s="53" t="s">
        <v>476</v>
      </c>
      <c r="G103" s="53" t="s">
        <v>532</v>
      </c>
      <c r="H103" s="53" t="s">
        <v>30</v>
      </c>
      <c r="I103" s="53">
        <v>10</v>
      </c>
      <c r="J103" s="54">
        <v>45</v>
      </c>
      <c r="K103" s="54">
        <f t="shared" ref="K103:K113" si="10">J103:J104*I103</f>
        <v>450</v>
      </c>
      <c r="L103" s="55" t="b">
        <v>1</v>
      </c>
      <c r="M103" s="56">
        <v>140220241452</v>
      </c>
      <c r="N103" s="57" t="b">
        <v>1</v>
      </c>
      <c r="O103" s="58"/>
      <c r="P103" s="59" t="b">
        <v>1</v>
      </c>
      <c r="Q103" s="78"/>
      <c r="R103" s="60"/>
      <c r="S103" s="47" t="b">
        <v>1</v>
      </c>
      <c r="T103" s="61" t="s">
        <v>530</v>
      </c>
      <c r="U103" s="54">
        <f>10*25</f>
        <v>250</v>
      </c>
      <c r="V103" s="54">
        <f t="shared" si="1"/>
        <v>200</v>
      </c>
      <c r="W103" s="49"/>
      <c r="X103" s="49"/>
    </row>
    <row r="104" spans="1:24" ht="15.75" customHeight="1">
      <c r="A104" s="101"/>
      <c r="B104" s="32"/>
      <c r="C104" s="82">
        <v>45337</v>
      </c>
      <c r="D104" s="53" t="s">
        <v>55</v>
      </c>
      <c r="E104" s="53" t="s">
        <v>56</v>
      </c>
      <c r="F104" s="53" t="s">
        <v>303</v>
      </c>
      <c r="G104" s="53" t="s">
        <v>49</v>
      </c>
      <c r="H104" s="53" t="s">
        <v>30</v>
      </c>
      <c r="I104" s="53">
        <v>10</v>
      </c>
      <c r="J104" s="54">
        <v>695</v>
      </c>
      <c r="K104" s="54">
        <f t="shared" si="10"/>
        <v>6950</v>
      </c>
      <c r="L104" s="55" t="b">
        <v>1</v>
      </c>
      <c r="M104" s="56">
        <v>150220240808</v>
      </c>
      <c r="N104" s="57" t="b">
        <v>1</v>
      </c>
      <c r="O104" s="58" t="s">
        <v>31</v>
      </c>
      <c r="P104" s="59" t="b">
        <v>1</v>
      </c>
      <c r="Q104" s="78"/>
      <c r="R104" s="60"/>
      <c r="S104" s="47" t="b">
        <v>1</v>
      </c>
      <c r="T104" s="61" t="s">
        <v>533</v>
      </c>
      <c r="U104" s="54">
        <f>10000*0.46</f>
        <v>4600</v>
      </c>
      <c r="V104" s="54">
        <f t="shared" si="1"/>
        <v>2350</v>
      </c>
      <c r="W104" s="49"/>
      <c r="X104" s="49"/>
    </row>
    <row r="105" spans="1:24" ht="15.75" customHeight="1">
      <c r="A105" s="101"/>
      <c r="B105" s="32"/>
      <c r="C105" s="82">
        <v>45337</v>
      </c>
      <c r="D105" s="53" t="s">
        <v>51</v>
      </c>
      <c r="E105" s="53" t="s">
        <v>201</v>
      </c>
      <c r="F105" s="53" t="s">
        <v>395</v>
      </c>
      <c r="G105" s="53" t="s">
        <v>389</v>
      </c>
      <c r="H105" s="53" t="s">
        <v>30</v>
      </c>
      <c r="I105" s="53">
        <v>85</v>
      </c>
      <c r="J105" s="54">
        <v>35</v>
      </c>
      <c r="K105" s="54">
        <f t="shared" si="10"/>
        <v>2975</v>
      </c>
      <c r="L105" s="55" t="b">
        <v>1</v>
      </c>
      <c r="M105" s="56">
        <v>150220241112</v>
      </c>
      <c r="N105" s="57" t="b">
        <v>1</v>
      </c>
      <c r="O105" s="58" t="s">
        <v>39</v>
      </c>
      <c r="P105" s="59" t="b">
        <v>1</v>
      </c>
      <c r="Q105" s="78"/>
      <c r="R105" s="60"/>
      <c r="S105" s="47" t="b">
        <v>1</v>
      </c>
      <c r="T105" s="61" t="s">
        <v>534</v>
      </c>
      <c r="U105" s="54">
        <f>85*21.5</f>
        <v>1827.5</v>
      </c>
      <c r="V105" s="54">
        <f t="shared" si="1"/>
        <v>1147.5</v>
      </c>
      <c r="W105" s="49"/>
      <c r="X105" s="49"/>
    </row>
    <row r="106" spans="1:24" ht="15.75" customHeight="1">
      <c r="A106" s="101"/>
      <c r="B106" s="32"/>
      <c r="C106" s="82">
        <v>45337</v>
      </c>
      <c r="D106" s="53" t="s">
        <v>51</v>
      </c>
      <c r="E106" s="53" t="s">
        <v>61</v>
      </c>
      <c r="F106" s="53" t="s">
        <v>168</v>
      </c>
      <c r="G106" s="53" t="s">
        <v>379</v>
      </c>
      <c r="H106" s="53" t="s">
        <v>30</v>
      </c>
      <c r="I106" s="53">
        <v>1</v>
      </c>
      <c r="J106" s="54">
        <v>3400</v>
      </c>
      <c r="K106" s="54">
        <f t="shared" si="10"/>
        <v>3400</v>
      </c>
      <c r="L106" s="55" t="b">
        <v>1</v>
      </c>
      <c r="M106" s="56">
        <v>150220241112</v>
      </c>
      <c r="N106" s="57" t="b">
        <v>1</v>
      </c>
      <c r="O106" s="58" t="s">
        <v>39</v>
      </c>
      <c r="P106" s="59" t="b">
        <v>1</v>
      </c>
      <c r="Q106" s="78"/>
      <c r="R106" s="60"/>
      <c r="S106" s="47" t="b">
        <v>1</v>
      </c>
      <c r="T106" s="61" t="s">
        <v>535</v>
      </c>
      <c r="U106" s="54">
        <v>2400</v>
      </c>
      <c r="V106" s="54">
        <f t="shared" si="1"/>
        <v>1000</v>
      </c>
      <c r="W106" s="49"/>
      <c r="X106" s="49"/>
    </row>
    <row r="107" spans="1:24" ht="15.75" customHeight="1">
      <c r="A107" s="101"/>
      <c r="B107" s="32"/>
      <c r="C107" s="82">
        <v>45337</v>
      </c>
      <c r="D107" s="53" t="s">
        <v>536</v>
      </c>
      <c r="E107" s="53" t="s">
        <v>61</v>
      </c>
      <c r="F107" s="53" t="s">
        <v>168</v>
      </c>
      <c r="G107" s="53" t="s">
        <v>389</v>
      </c>
      <c r="H107" s="53" t="s">
        <v>30</v>
      </c>
      <c r="I107" s="53">
        <v>50</v>
      </c>
      <c r="J107" s="54">
        <v>35</v>
      </c>
      <c r="K107" s="54">
        <f t="shared" si="10"/>
        <v>1750</v>
      </c>
      <c r="L107" s="55" t="b">
        <v>1</v>
      </c>
      <c r="M107" s="56">
        <v>150220241112</v>
      </c>
      <c r="N107" s="57" t="b">
        <v>1</v>
      </c>
      <c r="O107" s="58" t="s">
        <v>39</v>
      </c>
      <c r="P107" s="59" t="b">
        <v>1</v>
      </c>
      <c r="Q107" s="78"/>
      <c r="R107" s="60"/>
      <c r="S107" s="47" t="b">
        <v>1</v>
      </c>
      <c r="T107" s="61" t="s">
        <v>535</v>
      </c>
      <c r="U107" s="54">
        <f>50*25</f>
        <v>1250</v>
      </c>
      <c r="V107" s="54">
        <f t="shared" si="1"/>
        <v>500</v>
      </c>
      <c r="W107" s="49"/>
      <c r="X107" s="49"/>
    </row>
    <row r="108" spans="1:24" ht="15.75" customHeight="1">
      <c r="A108" s="101"/>
      <c r="B108" s="32"/>
      <c r="C108" s="82">
        <v>45335</v>
      </c>
      <c r="D108" s="53" t="s">
        <v>51</v>
      </c>
      <c r="E108" s="53" t="s">
        <v>335</v>
      </c>
      <c r="F108" s="53" t="s">
        <v>457</v>
      </c>
      <c r="G108" s="53" t="s">
        <v>458</v>
      </c>
      <c r="H108" s="53" t="s">
        <v>30</v>
      </c>
      <c r="I108" s="53">
        <v>1</v>
      </c>
      <c r="J108" s="54">
        <v>1800</v>
      </c>
      <c r="K108" s="54">
        <f t="shared" si="10"/>
        <v>1800</v>
      </c>
      <c r="L108" s="55" t="b">
        <v>1</v>
      </c>
      <c r="M108" s="56">
        <v>150220241527</v>
      </c>
      <c r="N108" s="57" t="b">
        <v>1</v>
      </c>
      <c r="O108" s="58" t="s">
        <v>39</v>
      </c>
      <c r="P108" s="59" t="b">
        <v>1</v>
      </c>
      <c r="Q108" s="78"/>
      <c r="R108" s="60"/>
      <c r="S108" s="47" t="b">
        <v>1</v>
      </c>
      <c r="T108" s="61" t="s">
        <v>537</v>
      </c>
      <c r="U108" s="54">
        <v>1000</v>
      </c>
      <c r="V108" s="54">
        <f t="shared" si="1"/>
        <v>800</v>
      </c>
      <c r="W108" s="49"/>
      <c r="X108" s="49"/>
    </row>
    <row r="109" spans="1:24" ht="15.75" customHeight="1">
      <c r="A109" s="101"/>
      <c r="B109" s="32"/>
      <c r="C109" s="82">
        <v>45337</v>
      </c>
      <c r="D109" s="53" t="s">
        <v>51</v>
      </c>
      <c r="E109" s="53" t="s">
        <v>66</v>
      </c>
      <c r="F109" s="53" t="s">
        <v>67</v>
      </c>
      <c r="G109" s="120" t="s">
        <v>379</v>
      </c>
      <c r="H109" s="53" t="s">
        <v>30</v>
      </c>
      <c r="I109" s="53">
        <v>1</v>
      </c>
      <c r="J109" s="54">
        <v>3400</v>
      </c>
      <c r="K109" s="54">
        <f t="shared" si="10"/>
        <v>3400</v>
      </c>
      <c r="L109" s="55" t="b">
        <v>1</v>
      </c>
      <c r="M109" s="56">
        <v>150220241515</v>
      </c>
      <c r="N109" s="57" t="b">
        <v>1</v>
      </c>
      <c r="O109" s="58" t="s">
        <v>39</v>
      </c>
      <c r="P109" s="59" t="b">
        <v>1</v>
      </c>
      <c r="Q109" s="43"/>
      <c r="R109" s="60"/>
      <c r="S109" s="47" t="b">
        <v>1</v>
      </c>
      <c r="T109" s="61" t="s">
        <v>496</v>
      </c>
      <c r="U109" s="54">
        <v>2400</v>
      </c>
      <c r="V109" s="54">
        <f t="shared" si="1"/>
        <v>1000</v>
      </c>
      <c r="W109" s="49"/>
      <c r="X109" s="49"/>
    </row>
    <row r="110" spans="1:24" ht="15.75" customHeight="1">
      <c r="A110" s="101"/>
      <c r="B110" s="32"/>
      <c r="C110" s="82">
        <v>45337</v>
      </c>
      <c r="D110" s="53" t="s">
        <v>418</v>
      </c>
      <c r="E110" s="53" t="s">
        <v>230</v>
      </c>
      <c r="F110" s="53" t="s">
        <v>251</v>
      </c>
      <c r="G110" s="53" t="s">
        <v>72</v>
      </c>
      <c r="H110" s="53" t="s">
        <v>30</v>
      </c>
      <c r="I110" s="53">
        <v>1</v>
      </c>
      <c r="J110" s="54">
        <v>2000</v>
      </c>
      <c r="K110" s="54">
        <f t="shared" si="10"/>
        <v>2000</v>
      </c>
      <c r="L110" s="55" t="b">
        <v>1</v>
      </c>
      <c r="M110" s="56">
        <v>150220241714</v>
      </c>
      <c r="N110" s="57" t="b">
        <v>1</v>
      </c>
      <c r="O110" s="58" t="s">
        <v>39</v>
      </c>
      <c r="P110" s="59" t="b">
        <v>1</v>
      </c>
      <c r="Q110" s="78"/>
      <c r="R110" s="60"/>
      <c r="S110" s="47" t="b">
        <v>1</v>
      </c>
      <c r="T110" s="61" t="s">
        <v>254</v>
      </c>
      <c r="U110" s="54">
        <v>2000</v>
      </c>
      <c r="V110" s="54">
        <f t="shared" si="1"/>
        <v>0</v>
      </c>
      <c r="W110" s="49"/>
      <c r="X110" s="49"/>
    </row>
    <row r="111" spans="1:24" ht="15.75" customHeight="1">
      <c r="A111" s="101"/>
      <c r="B111" s="32"/>
      <c r="C111" s="82">
        <v>45338</v>
      </c>
      <c r="D111" s="53" t="s">
        <v>51</v>
      </c>
      <c r="E111" s="53" t="s">
        <v>137</v>
      </c>
      <c r="F111" s="53" t="s">
        <v>138</v>
      </c>
      <c r="G111" s="53" t="s">
        <v>379</v>
      </c>
      <c r="H111" s="53" t="s">
        <v>30</v>
      </c>
      <c r="I111" s="53">
        <v>1</v>
      </c>
      <c r="J111" s="54">
        <v>3400</v>
      </c>
      <c r="K111" s="54">
        <f t="shared" si="10"/>
        <v>3400</v>
      </c>
      <c r="L111" s="55" t="b">
        <v>1</v>
      </c>
      <c r="M111" s="56">
        <v>150220241112</v>
      </c>
      <c r="N111" s="57" t="b">
        <v>1</v>
      </c>
      <c r="O111" s="58" t="s">
        <v>39</v>
      </c>
      <c r="P111" s="59" t="b">
        <v>1</v>
      </c>
      <c r="Q111" s="78"/>
      <c r="R111" s="60"/>
      <c r="S111" s="47" t="b">
        <v>1</v>
      </c>
      <c r="T111" s="61" t="s">
        <v>538</v>
      </c>
      <c r="U111" s="54">
        <v>2400</v>
      </c>
      <c r="V111" s="54">
        <f t="shared" si="1"/>
        <v>1000</v>
      </c>
      <c r="W111" s="49"/>
      <c r="X111" s="49"/>
    </row>
    <row r="112" spans="1:24" ht="15.75" customHeight="1">
      <c r="A112" s="101"/>
      <c r="B112" s="32"/>
      <c r="C112" s="82">
        <v>45338</v>
      </c>
      <c r="D112" s="53" t="s">
        <v>51</v>
      </c>
      <c r="E112" s="53" t="s">
        <v>137</v>
      </c>
      <c r="F112" s="53" t="s">
        <v>138</v>
      </c>
      <c r="G112" s="53" t="s">
        <v>389</v>
      </c>
      <c r="H112" s="53" t="s">
        <v>30</v>
      </c>
      <c r="I112" s="53">
        <v>55</v>
      </c>
      <c r="J112" s="54">
        <v>35</v>
      </c>
      <c r="K112" s="54">
        <f t="shared" si="10"/>
        <v>1925</v>
      </c>
      <c r="L112" s="55" t="b">
        <v>1</v>
      </c>
      <c r="M112" s="56">
        <v>160220241113</v>
      </c>
      <c r="N112" s="57" t="b">
        <v>1</v>
      </c>
      <c r="O112" s="58" t="s">
        <v>39</v>
      </c>
      <c r="P112" s="59" t="b">
        <v>1</v>
      </c>
      <c r="Q112" s="78"/>
      <c r="R112" s="60"/>
      <c r="S112" s="47" t="b">
        <v>1</v>
      </c>
      <c r="T112" s="61" t="s">
        <v>538</v>
      </c>
      <c r="U112" s="54">
        <f>55*21.5</f>
        <v>1182.5</v>
      </c>
      <c r="V112" s="54">
        <f t="shared" si="1"/>
        <v>742.5</v>
      </c>
      <c r="W112" s="49"/>
      <c r="X112" s="49"/>
    </row>
    <row r="113" spans="1:24" ht="15.75" customHeight="1">
      <c r="A113" s="101"/>
      <c r="B113" s="32"/>
      <c r="C113" s="82">
        <v>45338</v>
      </c>
      <c r="D113" s="53" t="s">
        <v>51</v>
      </c>
      <c r="E113" s="53" t="s">
        <v>372</v>
      </c>
      <c r="F113" s="53" t="s">
        <v>373</v>
      </c>
      <c r="G113" s="53" t="s">
        <v>379</v>
      </c>
      <c r="H113" s="53" t="s">
        <v>30</v>
      </c>
      <c r="I113" s="53">
        <v>1</v>
      </c>
      <c r="J113" s="54">
        <v>3400</v>
      </c>
      <c r="K113" s="54">
        <f t="shared" si="10"/>
        <v>3400</v>
      </c>
      <c r="L113" s="55" t="b">
        <v>1</v>
      </c>
      <c r="M113" s="56">
        <v>160220241118</v>
      </c>
      <c r="N113" s="57" t="b">
        <v>1</v>
      </c>
      <c r="O113" s="58" t="s">
        <v>39</v>
      </c>
      <c r="P113" s="59" t="b">
        <v>1</v>
      </c>
      <c r="Q113" s="78"/>
      <c r="R113" s="60"/>
      <c r="S113" s="47" t="b">
        <v>1</v>
      </c>
      <c r="T113" s="61" t="s">
        <v>539</v>
      </c>
      <c r="U113" s="54">
        <v>2400</v>
      </c>
      <c r="V113" s="54">
        <f t="shared" si="1"/>
        <v>1000</v>
      </c>
      <c r="W113" s="49"/>
      <c r="X113" s="49"/>
    </row>
    <row r="114" spans="1:24" ht="15.75" customHeight="1">
      <c r="A114" s="101"/>
      <c r="B114" s="32"/>
      <c r="C114" s="82">
        <v>45338</v>
      </c>
      <c r="D114" s="53" t="s">
        <v>26</v>
      </c>
      <c r="E114" s="53" t="s">
        <v>540</v>
      </c>
      <c r="F114" s="53" t="s">
        <v>541</v>
      </c>
      <c r="G114" s="53" t="s">
        <v>542</v>
      </c>
      <c r="H114" s="53" t="s">
        <v>30</v>
      </c>
      <c r="I114" s="53">
        <v>12</v>
      </c>
      <c r="J114" s="54">
        <v>1390</v>
      </c>
      <c r="K114" s="54">
        <f t="shared" ref="K114:K115" si="11">J114:J116*I114</f>
        <v>16680</v>
      </c>
      <c r="L114" s="55" t="b">
        <v>1</v>
      </c>
      <c r="M114" s="56">
        <v>160220231126</v>
      </c>
      <c r="N114" s="57" t="b">
        <v>1</v>
      </c>
      <c r="O114" s="58" t="s">
        <v>31</v>
      </c>
      <c r="P114" s="59" t="b">
        <v>1</v>
      </c>
      <c r="Q114" s="78"/>
      <c r="R114" s="60"/>
      <c r="S114" s="47" t="b">
        <v>1</v>
      </c>
      <c r="T114" s="61" t="s">
        <v>543</v>
      </c>
      <c r="U114" s="54">
        <f>12*695</f>
        <v>8340</v>
      </c>
      <c r="V114" s="54">
        <f t="shared" si="1"/>
        <v>8340</v>
      </c>
      <c r="W114" s="49"/>
      <c r="X114" s="49"/>
    </row>
    <row r="115" spans="1:24" ht="15.75" customHeight="1">
      <c r="A115" s="101"/>
      <c r="B115" s="32"/>
      <c r="C115" s="82">
        <v>45338</v>
      </c>
      <c r="D115" s="53" t="s">
        <v>26</v>
      </c>
      <c r="E115" s="53" t="s">
        <v>540</v>
      </c>
      <c r="F115" s="53" t="s">
        <v>541</v>
      </c>
      <c r="G115" s="53" t="s">
        <v>542</v>
      </c>
      <c r="H115" s="53" t="s">
        <v>30</v>
      </c>
      <c r="I115" s="53">
        <v>3</v>
      </c>
      <c r="J115" s="54">
        <v>1390</v>
      </c>
      <c r="K115" s="54">
        <f t="shared" si="11"/>
        <v>4170</v>
      </c>
      <c r="L115" s="55" t="b">
        <v>1</v>
      </c>
      <c r="M115" s="56">
        <v>160220231126</v>
      </c>
      <c r="N115" s="57" t="b">
        <v>1</v>
      </c>
      <c r="O115" s="58" t="s">
        <v>31</v>
      </c>
      <c r="P115" s="59" t="b">
        <v>1</v>
      </c>
      <c r="Q115" s="78"/>
      <c r="R115" s="60"/>
      <c r="S115" s="47" t="b">
        <v>1</v>
      </c>
      <c r="T115" s="61" t="s">
        <v>544</v>
      </c>
      <c r="U115" s="54">
        <f>3*600</f>
        <v>1800</v>
      </c>
      <c r="V115" s="54">
        <f t="shared" si="1"/>
        <v>2370</v>
      </c>
      <c r="W115" s="49"/>
      <c r="X115" s="49"/>
    </row>
    <row r="116" spans="1:24" ht="15.75" customHeight="1">
      <c r="A116" s="101"/>
      <c r="B116" s="32"/>
      <c r="C116" s="82">
        <v>45338</v>
      </c>
      <c r="D116" s="53" t="s">
        <v>104</v>
      </c>
      <c r="E116" s="53" t="s">
        <v>61</v>
      </c>
      <c r="F116" s="53" t="s">
        <v>181</v>
      </c>
      <c r="G116" s="80" t="s">
        <v>545</v>
      </c>
      <c r="H116" s="53" t="s">
        <v>30</v>
      </c>
      <c r="I116" s="53">
        <v>18</v>
      </c>
      <c r="J116" s="54">
        <v>140</v>
      </c>
      <c r="K116" s="54">
        <f t="shared" ref="K116:K165" si="12">J116:J117*I116</f>
        <v>2520</v>
      </c>
      <c r="L116" s="55" t="b">
        <v>1</v>
      </c>
      <c r="M116" s="56">
        <v>160220241429</v>
      </c>
      <c r="N116" s="57" t="b">
        <v>1</v>
      </c>
      <c r="O116" s="58" t="s">
        <v>185</v>
      </c>
      <c r="P116" s="59" t="b">
        <v>1</v>
      </c>
      <c r="Q116" s="43"/>
      <c r="R116" s="60"/>
      <c r="S116" s="47" t="b">
        <v>1</v>
      </c>
      <c r="T116" s="61" t="s">
        <v>546</v>
      </c>
      <c r="U116" s="54">
        <f>18*95</f>
        <v>1710</v>
      </c>
      <c r="V116" s="54">
        <f t="shared" si="1"/>
        <v>810</v>
      </c>
      <c r="W116" s="49"/>
      <c r="X116" s="49"/>
    </row>
    <row r="117" spans="1:24" ht="15.75" customHeight="1">
      <c r="A117" s="101"/>
      <c r="B117" s="32"/>
      <c r="C117" s="82">
        <v>45338</v>
      </c>
      <c r="D117" s="53" t="s">
        <v>51</v>
      </c>
      <c r="E117" s="53" t="s">
        <v>61</v>
      </c>
      <c r="F117" s="53" t="s">
        <v>168</v>
      </c>
      <c r="G117" s="80" t="s">
        <v>139</v>
      </c>
      <c r="H117" s="53" t="s">
        <v>30</v>
      </c>
      <c r="I117" s="53">
        <v>100</v>
      </c>
      <c r="J117" s="54">
        <v>25</v>
      </c>
      <c r="K117" s="54">
        <f t="shared" si="12"/>
        <v>2500</v>
      </c>
      <c r="L117" s="55" t="b">
        <v>1</v>
      </c>
      <c r="M117" s="56">
        <v>160220241700</v>
      </c>
      <c r="N117" s="57" t="b">
        <v>1</v>
      </c>
      <c r="O117" s="58" t="s">
        <v>31</v>
      </c>
      <c r="P117" s="59" t="b">
        <v>1</v>
      </c>
      <c r="Q117" s="78"/>
      <c r="R117" s="60"/>
      <c r="S117" s="47" t="b">
        <v>1</v>
      </c>
      <c r="T117" s="61" t="s">
        <v>547</v>
      </c>
      <c r="U117" s="54">
        <v>1700</v>
      </c>
      <c r="V117" s="54">
        <f t="shared" si="1"/>
        <v>800</v>
      </c>
      <c r="W117" s="49"/>
      <c r="X117" s="49"/>
    </row>
    <row r="118" spans="1:24" ht="15.75" customHeight="1">
      <c r="A118" s="101"/>
      <c r="B118" s="32"/>
      <c r="C118" s="82">
        <v>45338</v>
      </c>
      <c r="D118" s="53" t="s">
        <v>51</v>
      </c>
      <c r="E118" s="53" t="s">
        <v>475</v>
      </c>
      <c r="F118" s="53" t="s">
        <v>548</v>
      </c>
      <c r="G118" s="80" t="s">
        <v>549</v>
      </c>
      <c r="H118" s="53" t="s">
        <v>30</v>
      </c>
      <c r="I118" s="53">
        <v>8</v>
      </c>
      <c r="J118" s="54">
        <v>105</v>
      </c>
      <c r="K118" s="54">
        <f t="shared" si="12"/>
        <v>840</v>
      </c>
      <c r="L118" s="55" t="b">
        <v>1</v>
      </c>
      <c r="M118" s="56">
        <v>160220242025</v>
      </c>
      <c r="N118" s="57" t="b">
        <v>1</v>
      </c>
      <c r="O118" s="58" t="s">
        <v>31</v>
      </c>
      <c r="P118" s="59" t="b">
        <v>1</v>
      </c>
      <c r="Q118" s="78"/>
      <c r="R118" s="60"/>
      <c r="S118" s="47" t="b">
        <v>1</v>
      </c>
      <c r="T118" s="61" t="s">
        <v>531</v>
      </c>
      <c r="U118" s="54">
        <f>8*75</f>
        <v>600</v>
      </c>
      <c r="V118" s="54">
        <f t="shared" si="1"/>
        <v>240</v>
      </c>
      <c r="W118" s="49"/>
      <c r="X118" s="49"/>
    </row>
    <row r="119" spans="1:24" ht="15.75" customHeight="1">
      <c r="A119" s="101"/>
      <c r="B119" s="32"/>
      <c r="C119" s="82">
        <v>45341</v>
      </c>
      <c r="D119" s="53" t="s">
        <v>104</v>
      </c>
      <c r="E119" s="53" t="s">
        <v>342</v>
      </c>
      <c r="F119" s="53" t="s">
        <v>550</v>
      </c>
      <c r="G119" s="53" t="s">
        <v>551</v>
      </c>
      <c r="H119" s="53" t="s">
        <v>30</v>
      </c>
      <c r="I119" s="53">
        <v>25</v>
      </c>
      <c r="J119" s="54">
        <v>100</v>
      </c>
      <c r="K119" s="54">
        <f t="shared" si="12"/>
        <v>2500</v>
      </c>
      <c r="L119" s="55" t="b">
        <v>1</v>
      </c>
      <c r="M119" s="56">
        <v>190220240915</v>
      </c>
      <c r="N119" s="57" t="b">
        <v>1</v>
      </c>
      <c r="O119" s="58" t="s">
        <v>31</v>
      </c>
      <c r="P119" s="59" t="b">
        <v>1</v>
      </c>
      <c r="Q119" s="78"/>
      <c r="R119" s="60"/>
      <c r="S119" s="47" t="b">
        <v>1</v>
      </c>
      <c r="T119" s="61" t="s">
        <v>552</v>
      </c>
      <c r="U119" s="54">
        <f>25*75</f>
        <v>1875</v>
      </c>
      <c r="V119" s="54">
        <f t="shared" si="1"/>
        <v>625</v>
      </c>
      <c r="W119" s="49"/>
      <c r="X119" s="49"/>
    </row>
    <row r="120" spans="1:24" ht="15.75" customHeight="1">
      <c r="A120" s="101"/>
      <c r="B120" s="32"/>
      <c r="C120" s="82">
        <v>45341</v>
      </c>
      <c r="D120" s="53" t="s">
        <v>104</v>
      </c>
      <c r="E120" s="53" t="s">
        <v>486</v>
      </c>
      <c r="F120" s="53" t="s">
        <v>241</v>
      </c>
      <c r="G120" s="80" t="s">
        <v>553</v>
      </c>
      <c r="H120" s="53" t="s">
        <v>30</v>
      </c>
      <c r="I120" s="53">
        <v>20</v>
      </c>
      <c r="J120" s="54">
        <v>110</v>
      </c>
      <c r="K120" s="54">
        <f t="shared" si="12"/>
        <v>2200</v>
      </c>
      <c r="L120" s="55" t="b">
        <v>1</v>
      </c>
      <c r="M120" s="56">
        <v>190220240917</v>
      </c>
      <c r="N120" s="57" t="b">
        <v>1</v>
      </c>
      <c r="O120" s="58" t="s">
        <v>31</v>
      </c>
      <c r="P120" s="59" t="b">
        <v>1</v>
      </c>
      <c r="Q120" s="78"/>
      <c r="R120" s="60"/>
      <c r="S120" s="47" t="b">
        <v>1</v>
      </c>
      <c r="T120" s="61" t="s">
        <v>554</v>
      </c>
      <c r="U120" s="54">
        <f>20*68.35</f>
        <v>1367</v>
      </c>
      <c r="V120" s="54">
        <f t="shared" si="1"/>
        <v>833</v>
      </c>
      <c r="W120" s="49"/>
      <c r="X120" s="49"/>
    </row>
    <row r="121" spans="1:24" ht="15.75" customHeight="1">
      <c r="A121" s="101"/>
      <c r="B121" s="32"/>
      <c r="C121" s="82">
        <v>45341</v>
      </c>
      <c r="D121" s="53" t="s">
        <v>104</v>
      </c>
      <c r="E121" s="53" t="s">
        <v>486</v>
      </c>
      <c r="F121" s="53" t="s">
        <v>241</v>
      </c>
      <c r="G121" s="53" t="s">
        <v>555</v>
      </c>
      <c r="H121" s="53" t="s">
        <v>30</v>
      </c>
      <c r="I121" s="53">
        <v>10</v>
      </c>
      <c r="J121" s="54">
        <v>650</v>
      </c>
      <c r="K121" s="54">
        <f t="shared" si="12"/>
        <v>6500</v>
      </c>
      <c r="L121" s="55" t="b">
        <v>1</v>
      </c>
      <c r="M121" s="56">
        <v>190220240917</v>
      </c>
      <c r="N121" s="57" t="b">
        <v>1</v>
      </c>
      <c r="O121" s="58" t="s">
        <v>31</v>
      </c>
      <c r="P121" s="59" t="b">
        <v>1</v>
      </c>
      <c r="Q121" s="43"/>
      <c r="R121" s="60"/>
      <c r="S121" s="47" t="b">
        <v>1</v>
      </c>
      <c r="T121" s="61" t="s">
        <v>556</v>
      </c>
      <c r="U121" s="54">
        <v>2100</v>
      </c>
      <c r="V121" s="54">
        <f t="shared" si="1"/>
        <v>4400</v>
      </c>
      <c r="W121" s="49"/>
      <c r="X121" s="49"/>
    </row>
    <row r="122" spans="1:24" ht="15.75" customHeight="1">
      <c r="A122" s="101"/>
      <c r="B122" s="32"/>
      <c r="C122" s="82">
        <v>45341</v>
      </c>
      <c r="D122" s="53" t="s">
        <v>51</v>
      </c>
      <c r="E122" s="53" t="s">
        <v>66</v>
      </c>
      <c r="F122" s="53" t="s">
        <v>67</v>
      </c>
      <c r="G122" s="53" t="s">
        <v>68</v>
      </c>
      <c r="H122" s="53" t="s">
        <v>30</v>
      </c>
      <c r="I122" s="53">
        <v>9000</v>
      </c>
      <c r="J122" s="54">
        <v>0.75</v>
      </c>
      <c r="K122" s="54">
        <f t="shared" si="12"/>
        <v>6750</v>
      </c>
      <c r="L122" s="55" t="b">
        <v>1</v>
      </c>
      <c r="M122" s="56">
        <v>190220241043</v>
      </c>
      <c r="N122" s="57" t="b">
        <v>1</v>
      </c>
      <c r="O122" s="58" t="s">
        <v>31</v>
      </c>
      <c r="P122" s="59" t="b">
        <v>1</v>
      </c>
      <c r="Q122" s="78"/>
      <c r="R122" s="60"/>
      <c r="S122" s="47" t="b">
        <v>1</v>
      </c>
      <c r="T122" s="61" t="s">
        <v>557</v>
      </c>
      <c r="U122" s="54">
        <f>9000*0.3194</f>
        <v>2874.6000000000004</v>
      </c>
      <c r="V122" s="54">
        <f t="shared" si="1"/>
        <v>3875.3999999999996</v>
      </c>
      <c r="W122" s="49"/>
      <c r="X122" s="49"/>
    </row>
    <row r="123" spans="1:24" ht="15.75" customHeight="1">
      <c r="A123" s="101"/>
      <c r="B123" s="32"/>
      <c r="C123" s="82">
        <v>45341</v>
      </c>
      <c r="D123" s="53" t="s">
        <v>51</v>
      </c>
      <c r="E123" s="53" t="s">
        <v>201</v>
      </c>
      <c r="F123" s="53" t="s">
        <v>202</v>
      </c>
      <c r="G123" s="53" t="s">
        <v>442</v>
      </c>
      <c r="H123" s="53" t="s">
        <v>30</v>
      </c>
      <c r="I123" s="53">
        <v>24</v>
      </c>
      <c r="J123" s="54">
        <v>52</v>
      </c>
      <c r="K123" s="54">
        <f t="shared" si="12"/>
        <v>1248</v>
      </c>
      <c r="L123" s="55" t="b">
        <v>1</v>
      </c>
      <c r="M123" s="56">
        <v>190220241052</v>
      </c>
      <c r="N123" s="57" t="b">
        <v>1</v>
      </c>
      <c r="O123" s="58" t="s">
        <v>31</v>
      </c>
      <c r="P123" s="59" t="b">
        <v>1</v>
      </c>
      <c r="Q123" s="78"/>
      <c r="R123" s="60"/>
      <c r="S123" s="47" t="b">
        <v>1</v>
      </c>
      <c r="T123" s="61" t="s">
        <v>558</v>
      </c>
      <c r="U123" s="54">
        <f>24*30</f>
        <v>720</v>
      </c>
      <c r="V123" s="54">
        <f t="shared" si="1"/>
        <v>528</v>
      </c>
      <c r="W123" s="49"/>
      <c r="X123" s="49"/>
    </row>
    <row r="124" spans="1:24" ht="15.75" customHeight="1">
      <c r="A124" s="101"/>
      <c r="B124" s="32"/>
      <c r="C124" s="82">
        <v>45341</v>
      </c>
      <c r="D124" s="53" t="s">
        <v>26</v>
      </c>
      <c r="E124" s="53" t="s">
        <v>386</v>
      </c>
      <c r="F124" s="53" t="s">
        <v>559</v>
      </c>
      <c r="G124" s="66" t="s">
        <v>147</v>
      </c>
      <c r="H124" s="53" t="s">
        <v>30</v>
      </c>
      <c r="I124" s="53">
        <v>2</v>
      </c>
      <c r="J124" s="54">
        <v>675</v>
      </c>
      <c r="K124" s="54">
        <f t="shared" si="12"/>
        <v>1350</v>
      </c>
      <c r="L124" s="55" t="b">
        <v>1</v>
      </c>
      <c r="M124" s="56">
        <v>190220241200</v>
      </c>
      <c r="N124" s="57" t="b">
        <v>1</v>
      </c>
      <c r="O124" s="58" t="s">
        <v>31</v>
      </c>
      <c r="P124" s="59" t="b">
        <v>1</v>
      </c>
      <c r="Q124" s="78"/>
      <c r="R124" s="60"/>
      <c r="S124" s="47" t="b">
        <v>1</v>
      </c>
      <c r="T124" s="61" t="s">
        <v>560</v>
      </c>
      <c r="U124" s="54">
        <f>2000*0.55</f>
        <v>1100</v>
      </c>
      <c r="V124" s="54">
        <f t="shared" si="1"/>
        <v>250</v>
      </c>
      <c r="W124" s="49"/>
      <c r="X124" s="49"/>
    </row>
    <row r="125" spans="1:24" ht="15.75" customHeight="1">
      <c r="A125" s="101"/>
      <c r="B125" s="32"/>
      <c r="C125" s="82">
        <v>45341</v>
      </c>
      <c r="D125" s="53" t="s">
        <v>225</v>
      </c>
      <c r="E125" s="53" t="s">
        <v>342</v>
      </c>
      <c r="F125" s="53" t="s">
        <v>561</v>
      </c>
      <c r="G125" s="53" t="s">
        <v>83</v>
      </c>
      <c r="H125" s="53" t="s">
        <v>30</v>
      </c>
      <c r="I125" s="53">
        <v>2000</v>
      </c>
      <c r="J125" s="54">
        <v>1.5</v>
      </c>
      <c r="K125" s="54">
        <f t="shared" si="12"/>
        <v>3000</v>
      </c>
      <c r="L125" s="55" t="b">
        <v>1</v>
      </c>
      <c r="M125" s="56">
        <v>190220241224</v>
      </c>
      <c r="N125" s="57" t="b">
        <v>1</v>
      </c>
      <c r="O125" s="58" t="s">
        <v>31</v>
      </c>
      <c r="P125" s="59" t="b">
        <v>1</v>
      </c>
      <c r="Q125" s="78"/>
      <c r="R125" s="60"/>
      <c r="S125" s="47" t="b">
        <v>1</v>
      </c>
      <c r="T125" s="61" t="s">
        <v>562</v>
      </c>
      <c r="U125" s="54">
        <f>2000*0.95</f>
        <v>1900</v>
      </c>
      <c r="V125" s="54">
        <f t="shared" si="1"/>
        <v>1100</v>
      </c>
      <c r="W125" s="49"/>
      <c r="X125" s="49"/>
    </row>
    <row r="126" spans="1:24" ht="15.75" customHeight="1">
      <c r="A126" s="101"/>
      <c r="B126" s="32"/>
      <c r="C126" s="82">
        <v>45341</v>
      </c>
      <c r="D126" s="53" t="s">
        <v>225</v>
      </c>
      <c r="E126" s="53" t="s">
        <v>342</v>
      </c>
      <c r="F126" s="53" t="s">
        <v>561</v>
      </c>
      <c r="G126" s="53" t="s">
        <v>563</v>
      </c>
      <c r="H126" s="53" t="s">
        <v>30</v>
      </c>
      <c r="I126" s="53">
        <v>25</v>
      </c>
      <c r="J126" s="54">
        <v>11</v>
      </c>
      <c r="K126" s="54">
        <f t="shared" si="12"/>
        <v>275</v>
      </c>
      <c r="L126" s="55" t="b">
        <v>1</v>
      </c>
      <c r="M126" s="56">
        <v>190220241224</v>
      </c>
      <c r="N126" s="57" t="b">
        <v>1</v>
      </c>
      <c r="O126" s="58" t="s">
        <v>31</v>
      </c>
      <c r="P126" s="59" t="b">
        <v>1</v>
      </c>
      <c r="Q126" s="78"/>
      <c r="R126" s="60"/>
      <c r="S126" s="47" t="b">
        <v>1</v>
      </c>
      <c r="T126" s="61" t="s">
        <v>564</v>
      </c>
      <c r="U126" s="54">
        <f>25*1.8</f>
        <v>45</v>
      </c>
      <c r="V126" s="54">
        <f t="shared" si="1"/>
        <v>230</v>
      </c>
      <c r="W126" s="49"/>
      <c r="X126" s="49"/>
    </row>
    <row r="127" spans="1:24" ht="15.75" customHeight="1">
      <c r="A127" s="101"/>
      <c r="B127" s="32"/>
      <c r="C127" s="82">
        <v>45342</v>
      </c>
      <c r="D127" s="53" t="s">
        <v>418</v>
      </c>
      <c r="E127" s="53" t="s">
        <v>565</v>
      </c>
      <c r="F127" s="53" t="s">
        <v>43</v>
      </c>
      <c r="G127" s="53" t="s">
        <v>321</v>
      </c>
      <c r="H127" s="53" t="s">
        <v>30</v>
      </c>
      <c r="I127" s="53">
        <v>84</v>
      </c>
      <c r="J127" s="54">
        <v>30</v>
      </c>
      <c r="K127" s="54">
        <f t="shared" si="12"/>
        <v>2520</v>
      </c>
      <c r="L127" s="55" t="b">
        <v>1</v>
      </c>
      <c r="M127" s="56">
        <v>200220240858</v>
      </c>
      <c r="N127" s="57" t="b">
        <v>1</v>
      </c>
      <c r="O127" s="58" t="s">
        <v>31</v>
      </c>
      <c r="P127" s="59" t="b">
        <v>1</v>
      </c>
      <c r="Q127" s="78"/>
      <c r="R127" s="60"/>
      <c r="S127" s="47" t="b">
        <v>1</v>
      </c>
      <c r="T127" s="61" t="s">
        <v>566</v>
      </c>
      <c r="U127" s="54">
        <f>84*21</f>
        <v>1764</v>
      </c>
      <c r="V127" s="54">
        <f t="shared" si="1"/>
        <v>756</v>
      </c>
      <c r="W127" s="49"/>
      <c r="X127" s="49"/>
    </row>
    <row r="128" spans="1:24" ht="15" customHeight="1">
      <c r="A128" s="101"/>
      <c r="B128" s="32"/>
      <c r="C128" s="82">
        <v>45342</v>
      </c>
      <c r="D128" s="53" t="s">
        <v>418</v>
      </c>
      <c r="E128" s="53" t="s">
        <v>565</v>
      </c>
      <c r="F128" s="53" t="s">
        <v>43</v>
      </c>
      <c r="G128" s="53" t="s">
        <v>147</v>
      </c>
      <c r="H128" s="53" t="s">
        <v>30</v>
      </c>
      <c r="I128" s="53">
        <v>1</v>
      </c>
      <c r="J128" s="54">
        <v>675</v>
      </c>
      <c r="K128" s="54">
        <f t="shared" si="12"/>
        <v>675</v>
      </c>
      <c r="L128" s="55" t="b">
        <v>1</v>
      </c>
      <c r="M128" s="56">
        <v>200220240858</v>
      </c>
      <c r="N128" s="57" t="b">
        <v>1</v>
      </c>
      <c r="O128" s="63" t="s">
        <v>31</v>
      </c>
      <c r="P128" s="59" t="b">
        <v>1</v>
      </c>
      <c r="Q128" s="43"/>
      <c r="R128" s="60"/>
      <c r="S128" s="47" t="b">
        <v>1</v>
      </c>
      <c r="T128" s="61" t="s">
        <v>566</v>
      </c>
      <c r="U128" s="54">
        <f>1000*0.55</f>
        <v>550</v>
      </c>
      <c r="V128" s="54">
        <f t="shared" si="1"/>
        <v>125</v>
      </c>
      <c r="W128" s="49"/>
      <c r="X128" s="49"/>
    </row>
    <row r="129" spans="1:24" ht="15.75" customHeight="1">
      <c r="A129" s="101"/>
      <c r="B129" s="32"/>
      <c r="C129" s="82">
        <v>45342</v>
      </c>
      <c r="D129" s="53" t="s">
        <v>418</v>
      </c>
      <c r="E129" s="53" t="s">
        <v>565</v>
      </c>
      <c r="F129" s="53" t="s">
        <v>43</v>
      </c>
      <c r="G129" s="53" t="s">
        <v>567</v>
      </c>
      <c r="H129" s="53" t="s">
        <v>30</v>
      </c>
      <c r="I129" s="53">
        <v>4</v>
      </c>
      <c r="J129" s="54">
        <v>225</v>
      </c>
      <c r="K129" s="54">
        <f t="shared" si="12"/>
        <v>900</v>
      </c>
      <c r="L129" s="55" t="b">
        <v>1</v>
      </c>
      <c r="M129" s="56">
        <v>200220240858</v>
      </c>
      <c r="N129" s="57" t="b">
        <v>1</v>
      </c>
      <c r="O129" s="63" t="s">
        <v>31</v>
      </c>
      <c r="P129" s="59" t="b">
        <v>1</v>
      </c>
      <c r="Q129" s="78"/>
      <c r="R129" s="60"/>
      <c r="S129" s="47" t="b">
        <v>1</v>
      </c>
      <c r="T129" s="61" t="s">
        <v>568</v>
      </c>
      <c r="U129" s="54">
        <f>4*150</f>
        <v>600</v>
      </c>
      <c r="V129" s="54">
        <f t="shared" si="1"/>
        <v>300</v>
      </c>
      <c r="W129" s="49"/>
      <c r="X129" s="49"/>
    </row>
    <row r="130" spans="1:24" ht="15.75" customHeight="1">
      <c r="A130" s="101"/>
      <c r="B130" s="32"/>
      <c r="C130" s="82">
        <v>45342</v>
      </c>
      <c r="D130" s="53" t="s">
        <v>569</v>
      </c>
      <c r="E130" s="53" t="s">
        <v>130</v>
      </c>
      <c r="F130" s="53" t="s">
        <v>570</v>
      </c>
      <c r="G130" s="81" t="s">
        <v>436</v>
      </c>
      <c r="H130" s="53" t="s">
        <v>30</v>
      </c>
      <c r="I130" s="53">
        <v>25</v>
      </c>
      <c r="J130" s="54">
        <v>135</v>
      </c>
      <c r="K130" s="54">
        <f t="shared" si="12"/>
        <v>3375</v>
      </c>
      <c r="L130" s="55" t="b">
        <v>1</v>
      </c>
      <c r="M130" s="56">
        <v>200220240934</v>
      </c>
      <c r="N130" s="57" t="b">
        <v>1</v>
      </c>
      <c r="O130" s="58" t="s">
        <v>31</v>
      </c>
      <c r="P130" s="59" t="b">
        <v>1</v>
      </c>
      <c r="Q130" s="78"/>
      <c r="R130" s="60"/>
      <c r="S130" s="47" t="b">
        <v>1</v>
      </c>
      <c r="T130" s="61" t="s">
        <v>571</v>
      </c>
      <c r="U130" s="54">
        <f>25*95</f>
        <v>2375</v>
      </c>
      <c r="V130" s="54">
        <f t="shared" si="1"/>
        <v>1000</v>
      </c>
      <c r="W130" s="49"/>
      <c r="X130" s="49"/>
    </row>
    <row r="131" spans="1:24" ht="15.75" customHeight="1">
      <c r="A131" s="101"/>
      <c r="B131" s="32"/>
      <c r="C131" s="82">
        <v>45342</v>
      </c>
      <c r="D131" s="53" t="s">
        <v>104</v>
      </c>
      <c r="E131" s="53" t="s">
        <v>572</v>
      </c>
      <c r="F131" s="53" t="s">
        <v>573</v>
      </c>
      <c r="G131" s="81" t="s">
        <v>574</v>
      </c>
      <c r="H131" s="53" t="s">
        <v>30</v>
      </c>
      <c r="I131" s="53">
        <v>10</v>
      </c>
      <c r="J131" s="54">
        <v>615</v>
      </c>
      <c r="K131" s="54">
        <f t="shared" si="12"/>
        <v>6150</v>
      </c>
      <c r="L131" s="55" t="b">
        <v>1</v>
      </c>
      <c r="M131" s="56">
        <v>200220241350</v>
      </c>
      <c r="N131" s="57" t="b">
        <v>1</v>
      </c>
      <c r="O131" s="58" t="s">
        <v>31</v>
      </c>
      <c r="P131" s="59" t="b">
        <v>1</v>
      </c>
      <c r="Q131" s="78"/>
      <c r="R131" s="60"/>
      <c r="S131" s="47" t="b">
        <v>1</v>
      </c>
      <c r="T131" s="61" t="s">
        <v>575</v>
      </c>
      <c r="U131" s="54">
        <f>10*315</f>
        <v>3150</v>
      </c>
      <c r="V131" s="54">
        <f t="shared" si="1"/>
        <v>3000</v>
      </c>
      <c r="W131" s="49"/>
      <c r="X131" s="49"/>
    </row>
    <row r="132" spans="1:24" ht="15.75" customHeight="1">
      <c r="A132" s="101"/>
      <c r="B132" s="32"/>
      <c r="C132" s="82">
        <v>45342</v>
      </c>
      <c r="D132" s="53" t="s">
        <v>104</v>
      </c>
      <c r="E132" s="53" t="s">
        <v>572</v>
      </c>
      <c r="F132" s="53" t="s">
        <v>573</v>
      </c>
      <c r="G132" s="53" t="s">
        <v>467</v>
      </c>
      <c r="H132" s="53" t="s">
        <v>30</v>
      </c>
      <c r="I132" s="53">
        <v>10</v>
      </c>
      <c r="J132" s="54">
        <v>650</v>
      </c>
      <c r="K132" s="54">
        <f t="shared" si="12"/>
        <v>6500</v>
      </c>
      <c r="L132" s="55" t="b">
        <v>1</v>
      </c>
      <c r="M132" s="56">
        <v>200220241350</v>
      </c>
      <c r="N132" s="57" t="b">
        <v>1</v>
      </c>
      <c r="O132" s="63" t="s">
        <v>31</v>
      </c>
      <c r="P132" s="59" t="b">
        <v>1</v>
      </c>
      <c r="Q132" s="78"/>
      <c r="R132" s="60"/>
      <c r="S132" s="47" t="b">
        <v>1</v>
      </c>
      <c r="T132" s="61" t="s">
        <v>575</v>
      </c>
      <c r="U132" s="54">
        <f>10*325</f>
        <v>3250</v>
      </c>
      <c r="V132" s="54">
        <f t="shared" si="1"/>
        <v>3250</v>
      </c>
      <c r="W132" s="49"/>
      <c r="X132" s="49"/>
    </row>
    <row r="133" spans="1:24" ht="15.75" customHeight="1">
      <c r="A133" s="101"/>
      <c r="B133" s="32"/>
      <c r="C133" s="82">
        <v>45342</v>
      </c>
      <c r="D133" s="53" t="s">
        <v>51</v>
      </c>
      <c r="E133" s="53" t="s">
        <v>61</v>
      </c>
      <c r="F133" s="53" t="s">
        <v>168</v>
      </c>
      <c r="G133" s="53" t="s">
        <v>576</v>
      </c>
      <c r="H133" s="53" t="s">
        <v>30</v>
      </c>
      <c r="I133" s="53">
        <v>15</v>
      </c>
      <c r="J133" s="54">
        <v>105</v>
      </c>
      <c r="K133" s="54">
        <f t="shared" si="12"/>
        <v>1575</v>
      </c>
      <c r="L133" s="55" t="b">
        <v>1</v>
      </c>
      <c r="M133" s="56">
        <v>200220241916</v>
      </c>
      <c r="N133" s="57" t="b">
        <v>1</v>
      </c>
      <c r="O133" s="58" t="s">
        <v>31</v>
      </c>
      <c r="P133" s="59" t="b">
        <v>1</v>
      </c>
      <c r="Q133" s="78"/>
      <c r="R133" s="60"/>
      <c r="S133" s="47" t="b">
        <v>1</v>
      </c>
      <c r="T133" s="61" t="s">
        <v>577</v>
      </c>
      <c r="U133" s="54">
        <f>15*75</f>
        <v>1125</v>
      </c>
      <c r="V133" s="54">
        <f t="shared" si="1"/>
        <v>450</v>
      </c>
      <c r="W133" s="49"/>
      <c r="X133" s="49"/>
    </row>
    <row r="134" spans="1:24" ht="15.75" customHeight="1">
      <c r="A134" s="101"/>
      <c r="B134" s="32"/>
      <c r="C134" s="82">
        <v>45343</v>
      </c>
      <c r="D134" s="53" t="s">
        <v>55</v>
      </c>
      <c r="E134" s="53">
        <v>41</v>
      </c>
      <c r="F134" s="53" t="s">
        <v>166</v>
      </c>
      <c r="G134" s="53" t="s">
        <v>58</v>
      </c>
      <c r="H134" s="53" t="s">
        <v>30</v>
      </c>
      <c r="I134" s="53">
        <v>168</v>
      </c>
      <c r="J134" s="54">
        <v>30</v>
      </c>
      <c r="K134" s="54">
        <f t="shared" si="12"/>
        <v>5040</v>
      </c>
      <c r="L134" s="55" t="b">
        <v>1</v>
      </c>
      <c r="M134" s="56">
        <v>200220240910</v>
      </c>
      <c r="N134" s="57" t="b">
        <v>1</v>
      </c>
      <c r="O134" s="58" t="s">
        <v>31</v>
      </c>
      <c r="P134" s="59" t="b">
        <v>1</v>
      </c>
      <c r="Q134" s="78"/>
      <c r="R134" s="60"/>
      <c r="S134" s="47" t="b">
        <v>1</v>
      </c>
      <c r="T134" s="61" t="s">
        <v>578</v>
      </c>
      <c r="U134" s="54">
        <f>168*21</f>
        <v>3528</v>
      </c>
      <c r="V134" s="54">
        <f t="shared" si="1"/>
        <v>1512</v>
      </c>
      <c r="W134" s="49"/>
      <c r="X134" s="49"/>
    </row>
    <row r="135" spans="1:24" ht="15.75" customHeight="1">
      <c r="A135" s="101"/>
      <c r="B135" s="32"/>
      <c r="C135" s="82">
        <v>45343</v>
      </c>
      <c r="D135" s="53" t="s">
        <v>463</v>
      </c>
      <c r="E135" s="53" t="s">
        <v>463</v>
      </c>
      <c r="F135" s="53" t="s">
        <v>579</v>
      </c>
      <c r="G135" s="53" t="s">
        <v>580</v>
      </c>
      <c r="H135" s="53" t="s">
        <v>30</v>
      </c>
      <c r="I135" s="53">
        <v>4</v>
      </c>
      <c r="J135" s="54">
        <v>525</v>
      </c>
      <c r="K135" s="54">
        <f t="shared" si="12"/>
        <v>2100</v>
      </c>
      <c r="L135" s="55" t="b">
        <v>1</v>
      </c>
      <c r="M135" s="56">
        <v>200220241605</v>
      </c>
      <c r="N135" s="57" t="b">
        <v>1</v>
      </c>
      <c r="O135" s="58" t="s">
        <v>351</v>
      </c>
      <c r="P135" s="59" t="b">
        <v>1</v>
      </c>
      <c r="Q135" s="78"/>
      <c r="R135" s="60"/>
      <c r="S135" s="47" t="b">
        <v>1</v>
      </c>
      <c r="T135" s="61" t="s">
        <v>581</v>
      </c>
      <c r="U135" s="54">
        <v>1300</v>
      </c>
      <c r="V135" s="54">
        <f t="shared" si="1"/>
        <v>800</v>
      </c>
      <c r="W135" s="49"/>
      <c r="X135" s="49"/>
    </row>
    <row r="136" spans="1:24" ht="15.75" customHeight="1">
      <c r="A136" s="101"/>
      <c r="B136" s="32"/>
      <c r="C136" s="84">
        <v>45343</v>
      </c>
      <c r="D136" s="53" t="s">
        <v>144</v>
      </c>
      <c r="E136" s="53" t="s">
        <v>122</v>
      </c>
      <c r="F136" s="53" t="s">
        <v>582</v>
      </c>
      <c r="G136" s="53" t="s">
        <v>139</v>
      </c>
      <c r="H136" s="53" t="s">
        <v>30</v>
      </c>
      <c r="I136" s="53">
        <v>50</v>
      </c>
      <c r="J136" s="54">
        <v>29</v>
      </c>
      <c r="K136" s="54">
        <f t="shared" si="12"/>
        <v>1450</v>
      </c>
      <c r="L136" s="55" t="b">
        <v>1</v>
      </c>
      <c r="M136" s="56">
        <v>200220241605</v>
      </c>
      <c r="N136" s="57" t="b">
        <v>1</v>
      </c>
      <c r="O136" s="58" t="s">
        <v>31</v>
      </c>
      <c r="P136" s="59" t="b">
        <v>1</v>
      </c>
      <c r="Q136" s="78"/>
      <c r="R136" s="60"/>
      <c r="S136" s="47" t="b">
        <v>1</v>
      </c>
      <c r="T136" s="61" t="s">
        <v>583</v>
      </c>
      <c r="U136" s="54">
        <v>850</v>
      </c>
      <c r="V136" s="54">
        <f t="shared" si="1"/>
        <v>600</v>
      </c>
      <c r="W136" s="49"/>
      <c r="X136" s="49"/>
    </row>
    <row r="137" spans="1:24" ht="15.75" customHeight="1">
      <c r="A137" s="101"/>
      <c r="B137" s="32"/>
      <c r="C137" s="52">
        <v>45343</v>
      </c>
      <c r="D137" s="53" t="s">
        <v>104</v>
      </c>
      <c r="E137" s="53" t="s">
        <v>584</v>
      </c>
      <c r="F137" s="53" t="s">
        <v>585</v>
      </c>
      <c r="G137" s="53" t="s">
        <v>586</v>
      </c>
      <c r="H137" s="53" t="s">
        <v>30</v>
      </c>
      <c r="I137" s="53">
        <v>2</v>
      </c>
      <c r="J137" s="54">
        <v>385</v>
      </c>
      <c r="K137" s="54">
        <f t="shared" si="12"/>
        <v>770</v>
      </c>
      <c r="L137" s="55" t="b">
        <v>1</v>
      </c>
      <c r="M137" s="56">
        <v>200220241605</v>
      </c>
      <c r="N137" s="57" t="b">
        <v>1</v>
      </c>
      <c r="O137" s="58" t="s">
        <v>31</v>
      </c>
      <c r="P137" s="59" t="b">
        <v>1</v>
      </c>
      <c r="Q137" s="78"/>
      <c r="R137" s="60"/>
      <c r="S137" s="47" t="b">
        <v>1</v>
      </c>
      <c r="T137" s="61" t="s">
        <v>587</v>
      </c>
      <c r="U137" s="54">
        <f>2*194</f>
        <v>388</v>
      </c>
      <c r="V137" s="54">
        <f t="shared" si="1"/>
        <v>382</v>
      </c>
      <c r="W137" s="49"/>
      <c r="X137" s="49"/>
    </row>
    <row r="138" spans="1:24" ht="15.75" customHeight="1">
      <c r="A138" s="101"/>
      <c r="B138" s="32"/>
      <c r="C138" s="52">
        <v>45343</v>
      </c>
      <c r="D138" s="53" t="s">
        <v>104</v>
      </c>
      <c r="E138" s="53" t="s">
        <v>584</v>
      </c>
      <c r="F138" s="53" t="s">
        <v>585</v>
      </c>
      <c r="G138" s="53" t="s">
        <v>588</v>
      </c>
      <c r="H138" s="53" t="s">
        <v>30</v>
      </c>
      <c r="I138" s="53">
        <v>20</v>
      </c>
      <c r="J138" s="54">
        <v>115</v>
      </c>
      <c r="K138" s="54">
        <f t="shared" si="12"/>
        <v>2300</v>
      </c>
      <c r="L138" s="55" t="b">
        <v>1</v>
      </c>
      <c r="M138" s="56">
        <v>200220241609</v>
      </c>
      <c r="N138" s="57" t="b">
        <v>1</v>
      </c>
      <c r="O138" s="58" t="s">
        <v>31</v>
      </c>
      <c r="P138" s="59" t="b">
        <v>1</v>
      </c>
      <c r="Q138" s="78"/>
      <c r="R138" s="60"/>
      <c r="S138" s="47" t="b">
        <v>1</v>
      </c>
      <c r="T138" s="61" t="s">
        <v>587</v>
      </c>
      <c r="U138" s="54">
        <f>20*66.3</f>
        <v>1326</v>
      </c>
      <c r="V138" s="54">
        <f t="shared" si="1"/>
        <v>974</v>
      </c>
      <c r="W138" s="49"/>
      <c r="X138" s="49"/>
    </row>
    <row r="139" spans="1:24" ht="15.75" customHeight="1">
      <c r="A139" s="101"/>
      <c r="B139" s="32"/>
      <c r="C139" s="52">
        <v>45344</v>
      </c>
      <c r="D139" s="53" t="s">
        <v>144</v>
      </c>
      <c r="E139" s="53" t="s">
        <v>145</v>
      </c>
      <c r="F139" s="53" t="s">
        <v>146</v>
      </c>
      <c r="G139" s="53" t="s">
        <v>589</v>
      </c>
      <c r="H139" s="53" t="s">
        <v>30</v>
      </c>
      <c r="I139" s="53">
        <v>5</v>
      </c>
      <c r="J139" s="54">
        <v>150</v>
      </c>
      <c r="K139" s="54">
        <f t="shared" si="12"/>
        <v>750</v>
      </c>
      <c r="L139" s="55" t="b">
        <v>1</v>
      </c>
      <c r="M139" s="56">
        <v>220220241210</v>
      </c>
      <c r="N139" s="57" t="b">
        <v>1</v>
      </c>
      <c r="O139" s="58"/>
      <c r="P139" s="59" t="b">
        <v>1</v>
      </c>
      <c r="Q139" s="78"/>
      <c r="R139" s="60"/>
      <c r="S139" s="47" t="b">
        <v>1</v>
      </c>
      <c r="T139" s="61" t="s">
        <v>590</v>
      </c>
      <c r="U139" s="54"/>
      <c r="V139" s="54">
        <f t="shared" si="1"/>
        <v>750</v>
      </c>
      <c r="W139" s="49"/>
      <c r="X139" s="49"/>
    </row>
    <row r="140" spans="1:24" ht="15.75" customHeight="1">
      <c r="A140" s="101"/>
      <c r="B140" s="32"/>
      <c r="C140" s="52">
        <v>45344</v>
      </c>
      <c r="D140" s="53" t="s">
        <v>104</v>
      </c>
      <c r="E140" s="53" t="s">
        <v>591</v>
      </c>
      <c r="F140" s="53" t="s">
        <v>159</v>
      </c>
      <c r="G140" s="53" t="s">
        <v>147</v>
      </c>
      <c r="H140" s="53" t="s">
        <v>30</v>
      </c>
      <c r="I140" s="53">
        <v>10</v>
      </c>
      <c r="J140" s="54">
        <v>675</v>
      </c>
      <c r="K140" s="54">
        <f t="shared" si="12"/>
        <v>6750</v>
      </c>
      <c r="L140" s="55" t="b">
        <v>1</v>
      </c>
      <c r="M140" s="56">
        <v>220220241250</v>
      </c>
      <c r="N140" s="57" t="b">
        <v>1</v>
      </c>
      <c r="O140" s="58"/>
      <c r="P140" s="59" t="b">
        <v>1</v>
      </c>
      <c r="Q140" s="78"/>
      <c r="R140" s="60"/>
      <c r="S140" s="47" t="b">
        <v>1</v>
      </c>
      <c r="T140" s="61" t="s">
        <v>592</v>
      </c>
      <c r="U140" s="54">
        <f>10000*0.555</f>
        <v>5550.0000000000009</v>
      </c>
      <c r="V140" s="54">
        <f t="shared" si="1"/>
        <v>1199.9999999999991</v>
      </c>
      <c r="W140" s="49"/>
      <c r="X140" s="49"/>
    </row>
    <row r="141" spans="1:24" ht="15.75" customHeight="1">
      <c r="A141" s="123"/>
      <c r="B141" s="32"/>
      <c r="C141" s="52">
        <v>45344</v>
      </c>
      <c r="D141" s="53" t="s">
        <v>345</v>
      </c>
      <c r="E141" s="53" t="s">
        <v>342</v>
      </c>
      <c r="F141" s="53" t="s">
        <v>343</v>
      </c>
      <c r="G141" s="53" t="s">
        <v>147</v>
      </c>
      <c r="H141" s="53" t="s">
        <v>30</v>
      </c>
      <c r="I141" s="53">
        <v>1</v>
      </c>
      <c r="J141" s="54">
        <v>675</v>
      </c>
      <c r="K141" s="54">
        <f t="shared" si="12"/>
        <v>675</v>
      </c>
      <c r="L141" s="62" t="b">
        <v>1</v>
      </c>
      <c r="M141" s="56">
        <v>220220241542</v>
      </c>
      <c r="N141" s="64" t="b">
        <v>1</v>
      </c>
      <c r="O141" s="58"/>
      <c r="P141" s="59" t="b">
        <v>1</v>
      </c>
      <c r="Q141" s="78"/>
      <c r="R141" s="60"/>
      <c r="S141" s="47" t="b">
        <v>1</v>
      </c>
      <c r="T141" s="61" t="s">
        <v>593</v>
      </c>
      <c r="U141" s="54">
        <f>1000*0.555</f>
        <v>555</v>
      </c>
      <c r="V141" s="54">
        <f t="shared" si="1"/>
        <v>120</v>
      </c>
      <c r="W141" s="49"/>
      <c r="X141" s="49"/>
    </row>
    <row r="142" spans="1:24" ht="15.75" customHeight="1">
      <c r="A142" s="101"/>
      <c r="B142" s="32"/>
      <c r="C142" s="52">
        <v>45345</v>
      </c>
      <c r="D142" s="53" t="s">
        <v>51</v>
      </c>
      <c r="E142" s="53" t="s">
        <v>594</v>
      </c>
      <c r="F142" s="53" t="s">
        <v>595</v>
      </c>
      <c r="G142" s="53" t="s">
        <v>68</v>
      </c>
      <c r="H142" s="53" t="s">
        <v>30</v>
      </c>
      <c r="I142" s="53">
        <v>3000</v>
      </c>
      <c r="J142" s="54">
        <v>0.75</v>
      </c>
      <c r="K142" s="54">
        <f t="shared" si="12"/>
        <v>2250</v>
      </c>
      <c r="L142" s="62" t="b">
        <v>1</v>
      </c>
      <c r="M142" s="56">
        <v>220220241100</v>
      </c>
      <c r="N142" s="64" t="b">
        <v>1</v>
      </c>
      <c r="O142" s="58" t="s">
        <v>31</v>
      </c>
      <c r="P142" s="59" t="b">
        <v>1</v>
      </c>
      <c r="Q142" s="78"/>
      <c r="R142" s="60"/>
      <c r="S142" s="47" t="b">
        <v>1</v>
      </c>
      <c r="T142" s="61" t="s">
        <v>596</v>
      </c>
      <c r="U142" s="54">
        <f>3000*0.3194</f>
        <v>958.2</v>
      </c>
      <c r="V142" s="54">
        <f t="shared" si="1"/>
        <v>1291.8</v>
      </c>
      <c r="W142" s="49"/>
      <c r="X142" s="49"/>
    </row>
    <row r="143" spans="1:24" ht="15.75" customHeight="1">
      <c r="A143" s="101"/>
      <c r="B143" s="32"/>
      <c r="C143" s="52">
        <v>45345</v>
      </c>
      <c r="D143" s="53" t="s">
        <v>104</v>
      </c>
      <c r="E143" s="53" t="s">
        <v>296</v>
      </c>
      <c r="F143" s="53" t="s">
        <v>297</v>
      </c>
      <c r="G143" s="53" t="s">
        <v>147</v>
      </c>
      <c r="H143" s="53" t="s">
        <v>30</v>
      </c>
      <c r="I143" s="53">
        <v>2</v>
      </c>
      <c r="J143" s="54">
        <v>675</v>
      </c>
      <c r="K143" s="54">
        <f t="shared" si="12"/>
        <v>1350</v>
      </c>
      <c r="L143" s="62" t="b">
        <v>1</v>
      </c>
      <c r="M143" s="56">
        <v>220220241102</v>
      </c>
      <c r="N143" s="64" t="b">
        <v>1</v>
      </c>
      <c r="O143" s="58"/>
      <c r="P143" s="59" t="b">
        <v>1</v>
      </c>
      <c r="Q143" s="78"/>
      <c r="R143" s="60"/>
      <c r="S143" s="47" t="b">
        <v>1</v>
      </c>
      <c r="T143" s="61" t="s">
        <v>597</v>
      </c>
      <c r="U143" s="54">
        <f>2000*0.555</f>
        <v>1110</v>
      </c>
      <c r="V143" s="54">
        <f t="shared" si="1"/>
        <v>240</v>
      </c>
      <c r="W143" s="49"/>
      <c r="X143" s="49"/>
    </row>
    <row r="144" spans="1:24" ht="15.75" customHeight="1">
      <c r="A144" s="101"/>
      <c r="B144" s="32"/>
      <c r="C144" s="52">
        <v>45345</v>
      </c>
      <c r="D144" s="53" t="s">
        <v>194</v>
      </c>
      <c r="E144" s="53" t="s">
        <v>195</v>
      </c>
      <c r="F144" s="53" t="s">
        <v>454</v>
      </c>
      <c r="G144" s="53" t="s">
        <v>147</v>
      </c>
      <c r="H144" s="53" t="s">
        <v>30</v>
      </c>
      <c r="I144" s="53">
        <v>1</v>
      </c>
      <c r="J144" s="54">
        <v>675</v>
      </c>
      <c r="K144" s="54">
        <f t="shared" si="12"/>
        <v>675</v>
      </c>
      <c r="L144" s="62" t="b">
        <v>1</v>
      </c>
      <c r="M144" s="56">
        <v>230220241930</v>
      </c>
      <c r="N144" s="64" t="b">
        <v>1</v>
      </c>
      <c r="O144" s="58"/>
      <c r="P144" s="59" t="b">
        <v>1</v>
      </c>
      <c r="Q144" s="78"/>
      <c r="R144" s="60"/>
      <c r="S144" s="47" t="b">
        <v>1</v>
      </c>
      <c r="T144" s="61" t="s">
        <v>598</v>
      </c>
      <c r="U144" s="54">
        <f>1000*0.555</f>
        <v>555</v>
      </c>
      <c r="V144" s="54">
        <f t="shared" si="1"/>
        <v>120</v>
      </c>
      <c r="W144" s="49"/>
      <c r="X144" s="49"/>
    </row>
    <row r="145" spans="1:24" ht="15.75" customHeight="1">
      <c r="A145" s="101"/>
      <c r="B145" s="32"/>
      <c r="C145" s="52">
        <v>45345</v>
      </c>
      <c r="D145" s="53" t="s">
        <v>26</v>
      </c>
      <c r="E145" s="53" t="s">
        <v>386</v>
      </c>
      <c r="F145" s="53" t="s">
        <v>599</v>
      </c>
      <c r="G145" s="53" t="s">
        <v>600</v>
      </c>
      <c r="H145" s="53" t="s">
        <v>30</v>
      </c>
      <c r="I145" s="53">
        <v>1500</v>
      </c>
      <c r="J145" s="54">
        <v>1</v>
      </c>
      <c r="K145" s="54">
        <f t="shared" si="12"/>
        <v>1500</v>
      </c>
      <c r="L145" s="62" t="b">
        <v>1</v>
      </c>
      <c r="M145" s="56">
        <v>230220241936</v>
      </c>
      <c r="N145" s="64" t="b">
        <v>1</v>
      </c>
      <c r="O145" s="58" t="s">
        <v>31</v>
      </c>
      <c r="P145" s="59" t="b">
        <v>1</v>
      </c>
      <c r="Q145" s="78"/>
      <c r="R145" s="60"/>
      <c r="S145" s="47" t="b">
        <v>1</v>
      </c>
      <c r="T145" s="61" t="s">
        <v>601</v>
      </c>
      <c r="U145" s="54">
        <f>1500*0.82</f>
        <v>1230</v>
      </c>
      <c r="V145" s="54">
        <f t="shared" si="1"/>
        <v>270</v>
      </c>
      <c r="W145" s="49"/>
      <c r="X145" s="49"/>
    </row>
    <row r="146" spans="1:24" ht="15.75" customHeight="1">
      <c r="A146" s="101"/>
      <c r="B146" s="32"/>
      <c r="C146" s="52">
        <v>45346</v>
      </c>
      <c r="D146" s="53" t="s">
        <v>51</v>
      </c>
      <c r="E146" s="53" t="s">
        <v>602</v>
      </c>
      <c r="F146" s="53" t="s">
        <v>202</v>
      </c>
      <c r="G146" s="53" t="s">
        <v>603</v>
      </c>
      <c r="H146" s="53" t="s">
        <v>30</v>
      </c>
      <c r="I146" s="53">
        <v>5</v>
      </c>
      <c r="J146" s="54">
        <v>1100</v>
      </c>
      <c r="K146" s="54">
        <f t="shared" si="12"/>
        <v>5500</v>
      </c>
      <c r="L146" s="62" t="b">
        <v>1</v>
      </c>
      <c r="M146" s="56">
        <v>240220241409</v>
      </c>
      <c r="N146" s="57" t="b">
        <v>1</v>
      </c>
      <c r="O146" s="63" t="s">
        <v>31</v>
      </c>
      <c r="P146" s="59" t="b">
        <v>1</v>
      </c>
      <c r="Q146" s="43"/>
      <c r="R146" s="60"/>
      <c r="S146" s="47" t="b">
        <v>1</v>
      </c>
      <c r="T146" s="61" t="s">
        <v>604</v>
      </c>
      <c r="U146" s="54"/>
      <c r="V146" s="54">
        <f t="shared" si="1"/>
        <v>5500</v>
      </c>
      <c r="W146" s="49"/>
      <c r="X146" s="49"/>
    </row>
    <row r="147" spans="1:24" ht="15.75" customHeight="1">
      <c r="A147" s="101"/>
      <c r="B147" s="32"/>
      <c r="C147" s="52">
        <v>45348</v>
      </c>
      <c r="D147" s="53" t="s">
        <v>51</v>
      </c>
      <c r="E147" s="53" t="s">
        <v>89</v>
      </c>
      <c r="F147" s="53" t="s">
        <v>90</v>
      </c>
      <c r="G147" s="53" t="s">
        <v>147</v>
      </c>
      <c r="H147" s="53" t="s">
        <v>30</v>
      </c>
      <c r="I147" s="53">
        <v>5</v>
      </c>
      <c r="J147" s="54">
        <v>675</v>
      </c>
      <c r="K147" s="54">
        <f t="shared" si="12"/>
        <v>3375</v>
      </c>
      <c r="L147" s="62" t="b">
        <v>1</v>
      </c>
      <c r="M147" s="56">
        <v>260220240924</v>
      </c>
      <c r="N147" s="64" t="b">
        <v>1</v>
      </c>
      <c r="O147" s="58"/>
      <c r="P147" s="65" t="b">
        <v>1</v>
      </c>
      <c r="Q147" s="78"/>
      <c r="R147" s="60"/>
      <c r="S147" s="47" t="b">
        <v>1</v>
      </c>
      <c r="T147" s="61" t="s">
        <v>605</v>
      </c>
      <c r="U147" s="54">
        <f>5000*0.555</f>
        <v>2775.0000000000005</v>
      </c>
      <c r="V147" s="54">
        <f t="shared" si="1"/>
        <v>599.99999999999955</v>
      </c>
      <c r="W147" s="49"/>
      <c r="X147" s="49"/>
    </row>
    <row r="148" spans="1:24" ht="15.75" customHeight="1">
      <c r="A148" s="101"/>
      <c r="B148" s="124"/>
      <c r="C148" s="52">
        <v>45348</v>
      </c>
      <c r="D148" s="53" t="s">
        <v>51</v>
      </c>
      <c r="E148" s="53" t="s">
        <v>66</v>
      </c>
      <c r="F148" s="53" t="s">
        <v>67</v>
      </c>
      <c r="G148" s="53" t="s">
        <v>49</v>
      </c>
      <c r="H148" s="53" t="s">
        <v>30</v>
      </c>
      <c r="I148" s="53">
        <v>10</v>
      </c>
      <c r="J148" s="54">
        <v>695</v>
      </c>
      <c r="K148" s="54">
        <f t="shared" si="12"/>
        <v>6950</v>
      </c>
      <c r="L148" s="62" t="b">
        <v>1</v>
      </c>
      <c r="M148" s="56">
        <v>260220240925</v>
      </c>
      <c r="N148" s="64" t="b">
        <v>1</v>
      </c>
      <c r="O148" s="63" t="s">
        <v>31</v>
      </c>
      <c r="P148" s="65" t="b">
        <v>1</v>
      </c>
      <c r="Q148" s="78"/>
      <c r="R148" s="60"/>
      <c r="S148" s="47" t="b">
        <v>1</v>
      </c>
      <c r="T148" s="61" t="s">
        <v>606</v>
      </c>
      <c r="U148" s="54">
        <f>10000*0.465</f>
        <v>4650</v>
      </c>
      <c r="V148" s="54">
        <f t="shared" si="1"/>
        <v>2300</v>
      </c>
      <c r="W148" s="49"/>
      <c r="X148" s="49"/>
    </row>
    <row r="149" spans="1:24" ht="15.75" customHeight="1">
      <c r="A149" s="101"/>
      <c r="B149" s="124"/>
      <c r="C149" s="52">
        <v>45348</v>
      </c>
      <c r="D149" s="53" t="s">
        <v>51</v>
      </c>
      <c r="E149" s="53" t="s">
        <v>201</v>
      </c>
      <c r="F149" s="53" t="s">
        <v>607</v>
      </c>
      <c r="G149" s="53" t="s">
        <v>608</v>
      </c>
      <c r="H149" s="53" t="s">
        <v>30</v>
      </c>
      <c r="I149" s="53">
        <v>1</v>
      </c>
      <c r="J149" s="53">
        <v>1</v>
      </c>
      <c r="K149" s="54">
        <f t="shared" si="12"/>
        <v>1</v>
      </c>
      <c r="L149" s="62" t="b">
        <v>1</v>
      </c>
      <c r="M149" s="56">
        <v>260220240929</v>
      </c>
      <c r="N149" s="64" t="b">
        <v>0</v>
      </c>
      <c r="O149" s="58"/>
      <c r="P149" s="65" t="b">
        <v>1</v>
      </c>
      <c r="Q149" s="78"/>
      <c r="R149" s="60"/>
      <c r="S149" s="47" t="b">
        <v>1</v>
      </c>
      <c r="T149" s="61" t="s">
        <v>609</v>
      </c>
      <c r="U149" s="54">
        <v>17000</v>
      </c>
      <c r="V149" s="54">
        <f t="shared" si="1"/>
        <v>-16999</v>
      </c>
      <c r="W149" s="49"/>
      <c r="X149" s="49"/>
    </row>
    <row r="150" spans="1:24" ht="15.75" customHeight="1">
      <c r="A150" s="101"/>
      <c r="B150" s="124"/>
      <c r="C150" s="52">
        <v>45348</v>
      </c>
      <c r="D150" s="53" t="s">
        <v>51</v>
      </c>
      <c r="E150" s="53" t="s">
        <v>201</v>
      </c>
      <c r="F150" s="53" t="s">
        <v>607</v>
      </c>
      <c r="G150" s="53" t="s">
        <v>610</v>
      </c>
      <c r="H150" s="53" t="s">
        <v>30</v>
      </c>
      <c r="I150" s="53">
        <v>1</v>
      </c>
      <c r="J150" s="53">
        <v>1</v>
      </c>
      <c r="K150" s="54">
        <f t="shared" si="12"/>
        <v>1</v>
      </c>
      <c r="L150" s="62" t="b">
        <v>1</v>
      </c>
      <c r="M150" s="56">
        <v>260220240931</v>
      </c>
      <c r="N150" s="64" t="b">
        <v>0</v>
      </c>
      <c r="O150" s="58"/>
      <c r="P150" s="65" t="b">
        <v>1</v>
      </c>
      <c r="Q150" s="78"/>
      <c r="R150" s="60"/>
      <c r="S150" s="47" t="b">
        <v>1</v>
      </c>
      <c r="T150" s="61" t="s">
        <v>611</v>
      </c>
      <c r="U150" s="54">
        <v>13000</v>
      </c>
      <c r="V150" s="54">
        <f t="shared" si="1"/>
        <v>-12999</v>
      </c>
      <c r="W150" s="49"/>
      <c r="X150" s="49"/>
    </row>
    <row r="151" spans="1:24" ht="15.75" customHeight="1">
      <c r="A151" s="101"/>
      <c r="B151" s="124"/>
      <c r="C151" s="52">
        <v>45348</v>
      </c>
      <c r="D151" s="53" t="s">
        <v>104</v>
      </c>
      <c r="E151" s="53" t="s">
        <v>61</v>
      </c>
      <c r="F151" s="53" t="s">
        <v>181</v>
      </c>
      <c r="G151" s="53" t="s">
        <v>68</v>
      </c>
      <c r="H151" s="53" t="s">
        <v>30</v>
      </c>
      <c r="I151" s="53">
        <v>6000</v>
      </c>
      <c r="J151" s="54">
        <v>0.75</v>
      </c>
      <c r="K151" s="54">
        <f t="shared" si="12"/>
        <v>4500</v>
      </c>
      <c r="L151" s="62" t="b">
        <v>1</v>
      </c>
      <c r="M151" s="56">
        <v>260220241037</v>
      </c>
      <c r="N151" s="64" t="b">
        <v>1</v>
      </c>
      <c r="O151" s="63" t="s">
        <v>31</v>
      </c>
      <c r="P151" s="65" t="b">
        <v>1</v>
      </c>
      <c r="Q151" s="78"/>
      <c r="R151" s="60"/>
      <c r="S151" s="47" t="b">
        <v>1</v>
      </c>
      <c r="T151" s="61" t="s">
        <v>612</v>
      </c>
      <c r="U151" s="54">
        <f>6000*0.3194</f>
        <v>1916.4</v>
      </c>
      <c r="V151" s="54">
        <f t="shared" si="1"/>
        <v>2583.6</v>
      </c>
      <c r="W151" s="49"/>
      <c r="X151" s="49"/>
    </row>
    <row r="152" spans="1:24" ht="16.5" customHeight="1">
      <c r="A152" s="101"/>
      <c r="B152" s="124"/>
      <c r="C152" s="52">
        <v>45348</v>
      </c>
      <c r="D152" s="53" t="s">
        <v>104</v>
      </c>
      <c r="E152" s="53" t="s">
        <v>61</v>
      </c>
      <c r="F152" s="53" t="s">
        <v>181</v>
      </c>
      <c r="G152" s="53" t="s">
        <v>613</v>
      </c>
      <c r="H152" s="53" t="s">
        <v>30</v>
      </c>
      <c r="I152" s="53">
        <v>2</v>
      </c>
      <c r="J152" s="75">
        <v>950</v>
      </c>
      <c r="K152" s="54">
        <f t="shared" si="12"/>
        <v>1900</v>
      </c>
      <c r="L152" s="62" t="b">
        <v>1</v>
      </c>
      <c r="M152" s="56">
        <v>260220241037</v>
      </c>
      <c r="N152" s="64" t="b">
        <v>1</v>
      </c>
      <c r="O152" s="63" t="s">
        <v>31</v>
      </c>
      <c r="P152" s="65" t="b">
        <v>1</v>
      </c>
      <c r="Q152" s="78"/>
      <c r="R152" s="60"/>
      <c r="S152" s="47" t="b">
        <v>1</v>
      </c>
      <c r="T152" s="61" t="s">
        <v>612</v>
      </c>
      <c r="U152" s="54">
        <f>6000*0.125</f>
        <v>750</v>
      </c>
      <c r="V152" s="54">
        <f t="shared" si="1"/>
        <v>1150</v>
      </c>
      <c r="W152" s="49"/>
      <c r="X152" s="49"/>
    </row>
    <row r="153" spans="1:24" ht="15.75" customHeight="1">
      <c r="A153" s="101"/>
      <c r="B153" s="124"/>
      <c r="C153" s="52">
        <v>45348</v>
      </c>
      <c r="D153" s="53" t="s">
        <v>104</v>
      </c>
      <c r="E153" s="53" t="s">
        <v>61</v>
      </c>
      <c r="F153" s="53" t="s">
        <v>181</v>
      </c>
      <c r="G153" s="53" t="s">
        <v>321</v>
      </c>
      <c r="H153" s="53" t="s">
        <v>30</v>
      </c>
      <c r="I153" s="53">
        <v>84</v>
      </c>
      <c r="J153" s="54">
        <v>30</v>
      </c>
      <c r="K153" s="54">
        <f t="shared" si="12"/>
        <v>2520</v>
      </c>
      <c r="L153" s="62" t="b">
        <v>1</v>
      </c>
      <c r="M153" s="56">
        <v>260220241037</v>
      </c>
      <c r="N153" s="64" t="b">
        <v>1</v>
      </c>
      <c r="O153" s="63" t="s">
        <v>31</v>
      </c>
      <c r="P153" s="65" t="b">
        <v>1</v>
      </c>
      <c r="Q153" s="78"/>
      <c r="S153" s="47" t="b">
        <v>1</v>
      </c>
      <c r="T153" s="61" t="s">
        <v>612</v>
      </c>
      <c r="U153" s="54">
        <f>84*21</f>
        <v>1764</v>
      </c>
      <c r="V153" s="54">
        <f t="shared" si="1"/>
        <v>756</v>
      </c>
      <c r="W153" s="49"/>
      <c r="X153" s="49"/>
    </row>
    <row r="154" spans="1:24" ht="15.75" customHeight="1">
      <c r="A154" s="101"/>
      <c r="B154" s="124"/>
      <c r="C154" s="52">
        <v>45348</v>
      </c>
      <c r="D154" s="53" t="s">
        <v>104</v>
      </c>
      <c r="E154" s="53" t="s">
        <v>61</v>
      </c>
      <c r="F154" s="53" t="s">
        <v>181</v>
      </c>
      <c r="G154" s="53" t="s">
        <v>614</v>
      </c>
      <c r="H154" s="53" t="s">
        <v>30</v>
      </c>
      <c r="I154" s="53">
        <v>84</v>
      </c>
      <c r="J154" s="75">
        <v>28</v>
      </c>
      <c r="K154" s="54">
        <f t="shared" si="12"/>
        <v>2352</v>
      </c>
      <c r="L154" s="62" t="b">
        <v>1</v>
      </c>
      <c r="M154" s="56">
        <v>260220241037</v>
      </c>
      <c r="N154" s="64" t="b">
        <v>1</v>
      </c>
      <c r="O154" s="58"/>
      <c r="P154" s="65" t="b">
        <v>1</v>
      </c>
      <c r="Q154" s="78"/>
      <c r="R154" s="60"/>
      <c r="S154" s="47" t="b">
        <v>1</v>
      </c>
      <c r="T154" s="61" t="s">
        <v>615</v>
      </c>
      <c r="U154" s="54">
        <f>84*19.5</f>
        <v>1638</v>
      </c>
      <c r="V154" s="54">
        <f t="shared" si="1"/>
        <v>714</v>
      </c>
      <c r="W154" s="49"/>
      <c r="X154" s="49"/>
    </row>
    <row r="155" spans="1:24" ht="15.75" customHeight="1">
      <c r="A155" s="101"/>
      <c r="B155" s="32"/>
      <c r="C155" s="52">
        <v>45349</v>
      </c>
      <c r="D155" s="53" t="s">
        <v>345</v>
      </c>
      <c r="E155" s="53" t="s">
        <v>342</v>
      </c>
      <c r="F155" s="53" t="s">
        <v>343</v>
      </c>
      <c r="G155" s="53" t="s">
        <v>616</v>
      </c>
      <c r="H155" s="53" t="s">
        <v>30</v>
      </c>
      <c r="I155" s="53">
        <v>5</v>
      </c>
      <c r="J155" s="75">
        <v>105</v>
      </c>
      <c r="K155" s="54">
        <f t="shared" si="12"/>
        <v>525</v>
      </c>
      <c r="L155" s="62" t="b">
        <v>1</v>
      </c>
      <c r="M155" s="56">
        <v>270220240911</v>
      </c>
      <c r="N155" s="64" t="b">
        <v>1</v>
      </c>
      <c r="O155" s="63" t="s">
        <v>31</v>
      </c>
      <c r="P155" s="65" t="b">
        <v>1</v>
      </c>
      <c r="Q155" s="78"/>
      <c r="R155" s="60"/>
      <c r="S155" s="47" t="b">
        <v>1</v>
      </c>
      <c r="T155" s="61" t="s">
        <v>617</v>
      </c>
      <c r="U155" s="54">
        <f>5*75</f>
        <v>375</v>
      </c>
      <c r="V155" s="54">
        <f t="shared" si="1"/>
        <v>150</v>
      </c>
      <c r="W155" s="49"/>
      <c r="X155" s="49"/>
    </row>
    <row r="156" spans="1:24" ht="15.75" customHeight="1">
      <c r="A156" s="101"/>
      <c r="B156" s="32"/>
      <c r="C156" s="52">
        <v>45349</v>
      </c>
      <c r="D156" s="53" t="s">
        <v>104</v>
      </c>
      <c r="E156" s="53" t="s">
        <v>486</v>
      </c>
      <c r="F156" s="53" t="s">
        <v>241</v>
      </c>
      <c r="G156" s="53" t="s">
        <v>618</v>
      </c>
      <c r="H156" s="53" t="s">
        <v>30</v>
      </c>
      <c r="I156" s="53">
        <v>2</v>
      </c>
      <c r="J156" s="75">
        <v>2149</v>
      </c>
      <c r="K156" s="54">
        <f t="shared" si="12"/>
        <v>4298</v>
      </c>
      <c r="L156" s="62" t="b">
        <v>1</v>
      </c>
      <c r="M156" s="56">
        <v>270220241544</v>
      </c>
      <c r="N156" s="64" t="b">
        <v>1</v>
      </c>
      <c r="O156" s="58"/>
      <c r="P156" s="65" t="b">
        <v>1</v>
      </c>
      <c r="Q156" s="78"/>
      <c r="R156" s="60"/>
      <c r="S156" s="47" t="b">
        <v>1</v>
      </c>
      <c r="T156" s="61" t="s">
        <v>619</v>
      </c>
      <c r="U156" s="54">
        <f>6000*0.3194</f>
        <v>1916.4</v>
      </c>
      <c r="V156" s="54">
        <f t="shared" si="1"/>
        <v>2381.6</v>
      </c>
      <c r="W156" s="49"/>
      <c r="X156" s="49"/>
    </row>
    <row r="157" spans="1:24" ht="15.75" customHeight="1">
      <c r="A157" s="101"/>
      <c r="B157" s="32"/>
      <c r="C157" s="52">
        <v>45349</v>
      </c>
      <c r="D157" s="53" t="s">
        <v>104</v>
      </c>
      <c r="E157" s="53" t="s">
        <v>620</v>
      </c>
      <c r="F157" s="53" t="s">
        <v>621</v>
      </c>
      <c r="G157" s="66" t="s">
        <v>622</v>
      </c>
      <c r="H157" s="53" t="s">
        <v>30</v>
      </c>
      <c r="I157" s="53">
        <v>5</v>
      </c>
      <c r="J157" s="75">
        <v>80</v>
      </c>
      <c r="K157" s="54">
        <f t="shared" si="12"/>
        <v>400</v>
      </c>
      <c r="L157" s="62" t="b">
        <v>1</v>
      </c>
      <c r="M157" s="56">
        <v>270220242100</v>
      </c>
      <c r="N157" s="64" t="b">
        <v>1</v>
      </c>
      <c r="O157" s="58" t="s">
        <v>31</v>
      </c>
      <c r="P157" s="65" t="b">
        <v>1</v>
      </c>
      <c r="Q157" s="78"/>
      <c r="R157" s="86"/>
      <c r="S157" s="47" t="b">
        <v>1</v>
      </c>
      <c r="T157" s="61" t="s">
        <v>623</v>
      </c>
      <c r="U157" s="54"/>
      <c r="V157" s="54">
        <f t="shared" si="1"/>
        <v>400</v>
      </c>
      <c r="W157" s="49"/>
      <c r="X157" s="49"/>
    </row>
    <row r="158" spans="1:24" ht="15.75" customHeight="1">
      <c r="A158" s="101"/>
      <c r="B158" s="32"/>
      <c r="C158" s="52">
        <v>45349</v>
      </c>
      <c r="D158" s="53" t="s">
        <v>104</v>
      </c>
      <c r="E158" s="53" t="s">
        <v>620</v>
      </c>
      <c r="F158" s="53" t="s">
        <v>621</v>
      </c>
      <c r="G158" s="66" t="s">
        <v>624</v>
      </c>
      <c r="H158" s="53" t="s">
        <v>30</v>
      </c>
      <c r="I158" s="53">
        <v>6</v>
      </c>
      <c r="J158" s="75">
        <v>175</v>
      </c>
      <c r="K158" s="54">
        <f t="shared" si="12"/>
        <v>1050</v>
      </c>
      <c r="L158" s="62" t="b">
        <v>1</v>
      </c>
      <c r="M158" s="56">
        <v>270220242100</v>
      </c>
      <c r="N158" s="64" t="b">
        <v>1</v>
      </c>
      <c r="O158" s="58" t="s">
        <v>31</v>
      </c>
      <c r="P158" s="65" t="b">
        <v>1</v>
      </c>
      <c r="Q158" s="78"/>
      <c r="R158" s="86"/>
      <c r="S158" s="47" t="b">
        <v>1</v>
      </c>
      <c r="T158" s="61" t="s">
        <v>623</v>
      </c>
      <c r="U158" s="54"/>
      <c r="V158" s="54">
        <f t="shared" si="1"/>
        <v>1050</v>
      </c>
      <c r="W158" s="49"/>
      <c r="X158" s="49"/>
    </row>
    <row r="159" spans="1:24" ht="15.75" customHeight="1">
      <c r="A159" s="101"/>
      <c r="B159" s="32"/>
      <c r="C159" s="52">
        <v>45349</v>
      </c>
      <c r="D159" s="53" t="s">
        <v>104</v>
      </c>
      <c r="E159" s="53" t="s">
        <v>620</v>
      </c>
      <c r="F159" s="53" t="s">
        <v>621</v>
      </c>
      <c r="G159" s="66" t="s">
        <v>321</v>
      </c>
      <c r="H159" s="53" t="s">
        <v>30</v>
      </c>
      <c r="I159" s="53">
        <v>84</v>
      </c>
      <c r="J159" s="75">
        <v>30</v>
      </c>
      <c r="K159" s="54">
        <f t="shared" si="12"/>
        <v>2520</v>
      </c>
      <c r="L159" s="62" t="b">
        <v>1</v>
      </c>
      <c r="M159" s="56">
        <v>270220242100</v>
      </c>
      <c r="N159" s="64" t="b">
        <v>1</v>
      </c>
      <c r="O159" s="58" t="s">
        <v>31</v>
      </c>
      <c r="P159" s="65" t="b">
        <v>1</v>
      </c>
      <c r="Q159" s="78"/>
      <c r="R159" s="60"/>
      <c r="S159" s="47" t="b">
        <v>1</v>
      </c>
      <c r="T159" s="61" t="s">
        <v>625</v>
      </c>
      <c r="U159" s="54">
        <f>84*21</f>
        <v>1764</v>
      </c>
      <c r="V159" s="54">
        <f t="shared" si="1"/>
        <v>756</v>
      </c>
      <c r="W159" s="49"/>
      <c r="X159" s="49"/>
    </row>
    <row r="160" spans="1:24" ht="15.75" customHeight="1">
      <c r="A160" s="101"/>
      <c r="B160" s="32"/>
      <c r="C160" s="52">
        <v>45349</v>
      </c>
      <c r="D160" s="53" t="s">
        <v>104</v>
      </c>
      <c r="E160" s="53" t="s">
        <v>620</v>
      </c>
      <c r="F160" s="53" t="s">
        <v>621</v>
      </c>
      <c r="G160" s="66" t="s">
        <v>614</v>
      </c>
      <c r="H160" s="53" t="s">
        <v>30</v>
      </c>
      <c r="I160" s="53">
        <v>84</v>
      </c>
      <c r="J160" s="75">
        <v>28</v>
      </c>
      <c r="K160" s="54">
        <f t="shared" si="12"/>
        <v>2352</v>
      </c>
      <c r="L160" s="62" t="b">
        <v>1</v>
      </c>
      <c r="M160" s="56">
        <v>270220242100</v>
      </c>
      <c r="N160" s="64" t="b">
        <v>1</v>
      </c>
      <c r="O160" s="58" t="s">
        <v>31</v>
      </c>
      <c r="P160" s="65" t="b">
        <v>1</v>
      </c>
      <c r="Q160" s="78"/>
      <c r="R160" s="60"/>
      <c r="S160" s="47" t="b">
        <v>1</v>
      </c>
      <c r="T160" s="61" t="s">
        <v>626</v>
      </c>
      <c r="U160" s="54">
        <f>84*19.5</f>
        <v>1638</v>
      </c>
      <c r="V160" s="54">
        <f t="shared" si="1"/>
        <v>714</v>
      </c>
      <c r="W160" s="49"/>
      <c r="X160" s="49"/>
    </row>
    <row r="161" spans="1:24" ht="15.75" customHeight="1">
      <c r="A161" s="101"/>
      <c r="B161" s="32"/>
      <c r="C161" s="52">
        <v>45349</v>
      </c>
      <c r="D161" s="53" t="s">
        <v>104</v>
      </c>
      <c r="E161" s="53" t="s">
        <v>620</v>
      </c>
      <c r="F161" s="53" t="s">
        <v>621</v>
      </c>
      <c r="G161" s="66" t="s">
        <v>80</v>
      </c>
      <c r="H161" s="53" t="s">
        <v>30</v>
      </c>
      <c r="I161" s="53">
        <v>5</v>
      </c>
      <c r="J161" s="75">
        <v>300</v>
      </c>
      <c r="K161" s="54">
        <f t="shared" si="12"/>
        <v>1500</v>
      </c>
      <c r="L161" s="62" t="b">
        <v>1</v>
      </c>
      <c r="M161" s="56">
        <v>270220242100</v>
      </c>
      <c r="N161" s="64" t="b">
        <v>1</v>
      </c>
      <c r="O161" s="58" t="s">
        <v>31</v>
      </c>
      <c r="P161" s="65" t="b">
        <v>1</v>
      </c>
      <c r="Q161" s="78"/>
      <c r="R161" s="60"/>
      <c r="S161" s="47" t="b">
        <v>1</v>
      </c>
      <c r="T161" s="61" t="s">
        <v>626</v>
      </c>
      <c r="U161" s="54">
        <f>5*120</f>
        <v>600</v>
      </c>
      <c r="V161" s="54">
        <f t="shared" si="1"/>
        <v>900</v>
      </c>
      <c r="W161" s="49"/>
      <c r="X161" s="49"/>
    </row>
    <row r="162" spans="1:24" ht="15.75" customHeight="1">
      <c r="A162" s="101"/>
      <c r="B162" s="32"/>
      <c r="C162" s="52">
        <v>45349</v>
      </c>
      <c r="D162" s="53" t="s">
        <v>104</v>
      </c>
      <c r="E162" s="53" t="s">
        <v>620</v>
      </c>
      <c r="F162" s="53" t="s">
        <v>621</v>
      </c>
      <c r="G162" s="66" t="s">
        <v>92</v>
      </c>
      <c r="H162" s="53" t="s">
        <v>30</v>
      </c>
      <c r="I162" s="53">
        <v>5</v>
      </c>
      <c r="J162" s="75">
        <v>90</v>
      </c>
      <c r="K162" s="54">
        <f t="shared" si="12"/>
        <v>450</v>
      </c>
      <c r="L162" s="62" t="b">
        <v>1</v>
      </c>
      <c r="M162" s="56">
        <v>270220242100</v>
      </c>
      <c r="N162" s="64" t="b">
        <v>1</v>
      </c>
      <c r="O162" s="58" t="s">
        <v>31</v>
      </c>
      <c r="P162" s="65" t="b">
        <v>1</v>
      </c>
      <c r="Q162" s="78"/>
      <c r="R162" s="60"/>
      <c r="S162" s="47" t="b">
        <v>1</v>
      </c>
      <c r="T162" s="61" t="s">
        <v>626</v>
      </c>
      <c r="U162" s="54">
        <f>5*60</f>
        <v>300</v>
      </c>
      <c r="V162" s="54">
        <f t="shared" si="1"/>
        <v>150</v>
      </c>
      <c r="W162" s="49"/>
      <c r="X162" s="49"/>
    </row>
    <row r="163" spans="1:24" ht="15.75" customHeight="1">
      <c r="A163" s="101"/>
      <c r="B163" s="32"/>
      <c r="C163" s="52">
        <v>45349</v>
      </c>
      <c r="D163" s="53" t="s">
        <v>104</v>
      </c>
      <c r="E163" s="53" t="s">
        <v>620</v>
      </c>
      <c r="F163" s="53" t="s">
        <v>621</v>
      </c>
      <c r="G163" s="66" t="s">
        <v>627</v>
      </c>
      <c r="H163" s="53" t="s">
        <v>30</v>
      </c>
      <c r="I163" s="53">
        <v>5</v>
      </c>
      <c r="J163" s="75">
        <v>165</v>
      </c>
      <c r="K163" s="54">
        <f t="shared" si="12"/>
        <v>825</v>
      </c>
      <c r="L163" s="62" t="b">
        <v>1</v>
      </c>
      <c r="M163" s="56">
        <v>270220242100</v>
      </c>
      <c r="N163" s="64" t="b">
        <v>1</v>
      </c>
      <c r="O163" s="58"/>
      <c r="P163" s="65" t="b">
        <v>1</v>
      </c>
      <c r="Q163" s="78"/>
      <c r="R163" s="60"/>
      <c r="S163" s="47" t="b">
        <v>1</v>
      </c>
      <c r="T163" s="61" t="s">
        <v>625</v>
      </c>
      <c r="U163" s="54"/>
      <c r="V163" s="54">
        <f t="shared" si="1"/>
        <v>825</v>
      </c>
      <c r="W163" s="49"/>
      <c r="X163" s="49"/>
    </row>
    <row r="164" spans="1:24" ht="15.75" customHeight="1">
      <c r="A164" s="101"/>
      <c r="B164" s="32"/>
      <c r="C164" s="52">
        <v>45349</v>
      </c>
      <c r="D164" s="53" t="s">
        <v>104</v>
      </c>
      <c r="E164" s="53" t="s">
        <v>620</v>
      </c>
      <c r="F164" s="53" t="s">
        <v>621</v>
      </c>
      <c r="G164" s="66" t="s">
        <v>300</v>
      </c>
      <c r="H164" s="53" t="s">
        <v>30</v>
      </c>
      <c r="I164" s="53">
        <v>5</v>
      </c>
      <c r="J164" s="75">
        <v>110</v>
      </c>
      <c r="K164" s="54">
        <f t="shared" si="12"/>
        <v>550</v>
      </c>
      <c r="L164" s="62" t="b">
        <v>1</v>
      </c>
      <c r="M164" s="56">
        <v>270220242100</v>
      </c>
      <c r="N164" s="57" t="b">
        <v>1</v>
      </c>
      <c r="O164" s="63"/>
      <c r="P164" s="59" t="b">
        <v>1</v>
      </c>
      <c r="Q164" s="43"/>
      <c r="R164" s="60"/>
      <c r="S164" s="47" t="b">
        <v>1</v>
      </c>
      <c r="T164" s="61" t="s">
        <v>625</v>
      </c>
      <c r="U164" s="54">
        <f>5*30</f>
        <v>150</v>
      </c>
      <c r="V164" s="54">
        <f t="shared" si="1"/>
        <v>400</v>
      </c>
      <c r="W164" s="49"/>
      <c r="X164" s="49"/>
    </row>
    <row r="165" spans="1:24" ht="15.75" customHeight="1">
      <c r="A165" s="101"/>
      <c r="B165" s="32"/>
      <c r="C165" s="52">
        <v>45349</v>
      </c>
      <c r="D165" s="53" t="s">
        <v>104</v>
      </c>
      <c r="E165" s="53" t="s">
        <v>620</v>
      </c>
      <c r="F165" s="53" t="s">
        <v>621</v>
      </c>
      <c r="G165" s="66" t="s">
        <v>628</v>
      </c>
      <c r="H165" s="53" t="s">
        <v>30</v>
      </c>
      <c r="I165" s="53">
        <v>2</v>
      </c>
      <c r="J165" s="75">
        <v>250</v>
      </c>
      <c r="K165" s="54">
        <f t="shared" si="12"/>
        <v>500</v>
      </c>
      <c r="L165" s="62" t="b">
        <v>1</v>
      </c>
      <c r="M165" s="56">
        <v>270220242100</v>
      </c>
      <c r="N165" s="64" t="b">
        <v>1</v>
      </c>
      <c r="O165" s="58" t="s">
        <v>31</v>
      </c>
      <c r="P165" s="65" t="b">
        <v>1</v>
      </c>
      <c r="Q165" s="78"/>
      <c r="R165" s="60"/>
      <c r="S165" s="47" t="b">
        <v>1</v>
      </c>
      <c r="T165" s="61" t="s">
        <v>623</v>
      </c>
      <c r="U165" s="54">
        <f>2*150</f>
        <v>300</v>
      </c>
      <c r="V165" s="54">
        <f t="shared" si="1"/>
        <v>200</v>
      </c>
      <c r="W165" s="49"/>
      <c r="X165" s="49"/>
    </row>
    <row r="166" spans="1:24" ht="15.75" customHeight="1">
      <c r="A166" s="101"/>
      <c r="B166" s="32"/>
      <c r="C166" s="52">
        <v>45349</v>
      </c>
      <c r="D166" s="53" t="s">
        <v>104</v>
      </c>
      <c r="E166" s="53" t="s">
        <v>620</v>
      </c>
      <c r="F166" s="53" t="s">
        <v>621</v>
      </c>
      <c r="G166" s="66" t="s">
        <v>629</v>
      </c>
      <c r="H166" s="53" t="s">
        <v>30</v>
      </c>
      <c r="I166" s="53">
        <v>1</v>
      </c>
      <c r="J166" s="75">
        <v>575</v>
      </c>
      <c r="K166" s="54">
        <f>J166*I166</f>
        <v>575</v>
      </c>
      <c r="L166" s="62" t="b">
        <v>1</v>
      </c>
      <c r="M166" s="56">
        <v>270220242100</v>
      </c>
      <c r="N166" s="64" t="b">
        <v>1</v>
      </c>
      <c r="O166" s="58" t="s">
        <v>39</v>
      </c>
      <c r="P166" s="65" t="b">
        <v>1</v>
      </c>
      <c r="Q166" s="78"/>
      <c r="R166" s="60"/>
      <c r="S166" s="47" t="b">
        <v>1</v>
      </c>
      <c r="T166" s="61" t="s">
        <v>625</v>
      </c>
      <c r="U166" s="54">
        <f>1*302</f>
        <v>302</v>
      </c>
      <c r="V166" s="54">
        <f t="shared" si="1"/>
        <v>273</v>
      </c>
      <c r="W166" s="49"/>
      <c r="X166" s="49"/>
    </row>
    <row r="167" spans="1:24" ht="15.75" customHeight="1">
      <c r="A167" s="101"/>
      <c r="B167" s="32"/>
      <c r="C167" s="52">
        <v>45349</v>
      </c>
      <c r="D167" s="53" t="s">
        <v>51</v>
      </c>
      <c r="E167" s="53" t="s">
        <v>89</v>
      </c>
      <c r="F167" s="53" t="s">
        <v>90</v>
      </c>
      <c r="G167" s="66" t="s">
        <v>630</v>
      </c>
      <c r="H167" s="53" t="s">
        <v>30</v>
      </c>
      <c r="I167" s="53">
        <v>5</v>
      </c>
      <c r="J167" s="54">
        <v>750</v>
      </c>
      <c r="K167" s="54">
        <f t="shared" ref="K167:K192" si="13">J167:J168*I167</f>
        <v>3750</v>
      </c>
      <c r="L167" s="62" t="b">
        <v>1</v>
      </c>
      <c r="M167" s="56">
        <v>270220242130</v>
      </c>
      <c r="N167" s="64" t="b">
        <v>1</v>
      </c>
      <c r="O167" s="58"/>
      <c r="P167" s="65" t="b">
        <v>1</v>
      </c>
      <c r="Q167" s="78"/>
      <c r="R167" s="60"/>
      <c r="S167" s="47" t="b">
        <v>1</v>
      </c>
      <c r="T167" s="61" t="s">
        <v>631</v>
      </c>
      <c r="U167" s="54">
        <f>5*450</f>
        <v>2250</v>
      </c>
      <c r="V167" s="54">
        <f t="shared" si="1"/>
        <v>1500</v>
      </c>
      <c r="W167" s="49"/>
      <c r="X167" s="49"/>
    </row>
    <row r="168" spans="1:24" ht="15.75" customHeight="1">
      <c r="A168" s="101"/>
      <c r="B168" s="32"/>
      <c r="C168" s="52">
        <v>45349</v>
      </c>
      <c r="D168" s="53" t="s">
        <v>51</v>
      </c>
      <c r="E168" s="53" t="s">
        <v>89</v>
      </c>
      <c r="F168" s="53" t="s">
        <v>89</v>
      </c>
      <c r="G168" s="66" t="s">
        <v>632</v>
      </c>
      <c r="H168" s="53" t="s">
        <v>30</v>
      </c>
      <c r="I168" s="53">
        <v>1</v>
      </c>
      <c r="J168" s="54">
        <v>850</v>
      </c>
      <c r="K168" s="54">
        <f t="shared" si="13"/>
        <v>850</v>
      </c>
      <c r="L168" s="62" t="b">
        <v>1</v>
      </c>
      <c r="M168" s="56">
        <v>270220242118</v>
      </c>
      <c r="N168" s="64" t="b">
        <v>1</v>
      </c>
      <c r="O168" s="58"/>
      <c r="P168" s="65" t="b">
        <v>1</v>
      </c>
      <c r="Q168" s="78"/>
      <c r="R168" s="60"/>
      <c r="S168" s="47" t="b">
        <v>1</v>
      </c>
      <c r="T168" s="61" t="s">
        <v>631</v>
      </c>
      <c r="U168" s="54"/>
      <c r="V168" s="54">
        <f t="shared" si="1"/>
        <v>850</v>
      </c>
      <c r="W168" s="49"/>
      <c r="X168" s="49"/>
    </row>
    <row r="169" spans="1:24" ht="15.75" customHeight="1">
      <c r="A169" s="101"/>
      <c r="B169" s="32"/>
      <c r="C169" s="52">
        <v>45350</v>
      </c>
      <c r="D169" s="53" t="s">
        <v>463</v>
      </c>
      <c r="E169" s="66" t="s">
        <v>463</v>
      </c>
      <c r="F169" s="66" t="s">
        <v>464</v>
      </c>
      <c r="G169" s="66" t="s">
        <v>467</v>
      </c>
      <c r="H169" s="53" t="s">
        <v>30</v>
      </c>
      <c r="I169" s="53">
        <v>10</v>
      </c>
      <c r="J169" s="75">
        <v>650</v>
      </c>
      <c r="K169" s="54">
        <f t="shared" si="13"/>
        <v>6500</v>
      </c>
      <c r="L169" s="62" t="b">
        <v>1</v>
      </c>
      <c r="M169" s="56">
        <v>280220291724</v>
      </c>
      <c r="N169" s="64" t="b">
        <v>0</v>
      </c>
      <c r="O169" s="58"/>
      <c r="P169" s="65" t="b">
        <v>1</v>
      </c>
      <c r="Q169" s="78"/>
      <c r="R169" s="86"/>
      <c r="S169" s="47" t="b">
        <v>1</v>
      </c>
      <c r="T169" s="61" t="s">
        <v>633</v>
      </c>
      <c r="U169" s="54">
        <f>10*385</f>
        <v>3850</v>
      </c>
      <c r="V169" s="54">
        <f t="shared" si="1"/>
        <v>2650</v>
      </c>
      <c r="W169" s="49"/>
      <c r="X169" s="49"/>
    </row>
    <row r="170" spans="1:24" ht="15.75" customHeight="1">
      <c r="A170" s="101"/>
      <c r="B170" s="32"/>
      <c r="C170" s="52">
        <v>45350</v>
      </c>
      <c r="D170" s="53" t="s">
        <v>463</v>
      </c>
      <c r="E170" s="53" t="s">
        <v>463</v>
      </c>
      <c r="F170" s="53" t="s">
        <v>464</v>
      </c>
      <c r="G170" s="66" t="s">
        <v>574</v>
      </c>
      <c r="H170" s="53" t="s">
        <v>30</v>
      </c>
      <c r="I170" s="53">
        <v>5</v>
      </c>
      <c r="J170" s="75">
        <v>615</v>
      </c>
      <c r="K170" s="54">
        <f t="shared" si="13"/>
        <v>3075</v>
      </c>
      <c r="L170" s="62" t="b">
        <v>1</v>
      </c>
      <c r="M170" s="56">
        <v>280220241724</v>
      </c>
      <c r="N170" s="64" t="b">
        <v>1</v>
      </c>
      <c r="O170" s="58"/>
      <c r="P170" s="65" t="b">
        <v>1</v>
      </c>
      <c r="Q170" s="78"/>
      <c r="R170" s="86"/>
      <c r="S170" s="47" t="b">
        <v>1</v>
      </c>
      <c r="T170" s="61" t="s">
        <v>633</v>
      </c>
      <c r="U170" s="54">
        <f>5*350</f>
        <v>1750</v>
      </c>
      <c r="V170" s="54">
        <f t="shared" si="1"/>
        <v>1325</v>
      </c>
      <c r="W170" s="49"/>
      <c r="X170" s="49"/>
    </row>
    <row r="171" spans="1:24" ht="15.75" customHeight="1">
      <c r="A171" s="101"/>
      <c r="B171" s="32"/>
      <c r="C171" s="52">
        <v>45320</v>
      </c>
      <c r="D171" s="53" t="s">
        <v>104</v>
      </c>
      <c r="E171" s="53" t="s">
        <v>292</v>
      </c>
      <c r="F171" s="53" t="s">
        <v>634</v>
      </c>
      <c r="G171" s="66" t="s">
        <v>635</v>
      </c>
      <c r="H171" s="53" t="s">
        <v>30</v>
      </c>
      <c r="I171" s="53">
        <v>20</v>
      </c>
      <c r="J171" s="75">
        <v>695</v>
      </c>
      <c r="K171" s="54">
        <f t="shared" si="13"/>
        <v>13900</v>
      </c>
      <c r="L171" s="62" t="b">
        <v>1</v>
      </c>
      <c r="M171" s="56">
        <v>290220240852</v>
      </c>
      <c r="N171" s="64" t="b">
        <v>1</v>
      </c>
      <c r="O171" s="58" t="s">
        <v>31</v>
      </c>
      <c r="P171" s="65" t="b">
        <v>1</v>
      </c>
      <c r="Q171" s="78"/>
      <c r="R171" s="86"/>
      <c r="S171" s="47" t="b">
        <v>1</v>
      </c>
      <c r="T171" s="61" t="s">
        <v>636</v>
      </c>
      <c r="U171" s="54">
        <f>20000*0.46</f>
        <v>9200</v>
      </c>
      <c r="V171" s="54">
        <f t="shared" si="1"/>
        <v>4700</v>
      </c>
      <c r="W171" s="49"/>
      <c r="X171" s="49"/>
    </row>
    <row r="172" spans="1:24" ht="15.75" customHeight="1">
      <c r="A172" s="1"/>
      <c r="B172" s="1"/>
      <c r="C172" s="52">
        <v>45351</v>
      </c>
      <c r="D172" s="53" t="s">
        <v>104</v>
      </c>
      <c r="E172" s="53" t="s">
        <v>486</v>
      </c>
      <c r="F172" s="53" t="s">
        <v>241</v>
      </c>
      <c r="G172" s="66" t="s">
        <v>321</v>
      </c>
      <c r="H172" s="53" t="s">
        <v>30</v>
      </c>
      <c r="I172" s="53">
        <v>84</v>
      </c>
      <c r="J172" s="75">
        <v>30</v>
      </c>
      <c r="K172" s="54">
        <f t="shared" si="13"/>
        <v>2520</v>
      </c>
      <c r="L172" s="62" t="b">
        <v>1</v>
      </c>
      <c r="M172" s="56">
        <v>290220241421</v>
      </c>
      <c r="N172" s="64" t="b">
        <v>1</v>
      </c>
      <c r="O172" s="58"/>
      <c r="P172" s="65" t="b">
        <v>1</v>
      </c>
      <c r="Q172" s="78"/>
      <c r="R172" s="86"/>
      <c r="S172" s="47" t="b">
        <v>1</v>
      </c>
      <c r="T172" s="61" t="s">
        <v>637</v>
      </c>
      <c r="U172" s="54">
        <f>84*21</f>
        <v>1764</v>
      </c>
      <c r="V172" s="54">
        <f t="shared" si="1"/>
        <v>756</v>
      </c>
      <c r="W172" s="49"/>
      <c r="X172" s="49"/>
    </row>
    <row r="173" spans="1:24" ht="15.75" customHeight="1">
      <c r="A173" s="1"/>
      <c r="B173" s="1"/>
      <c r="C173" s="52">
        <v>45351</v>
      </c>
      <c r="D173" s="53" t="s">
        <v>104</v>
      </c>
      <c r="E173" s="53" t="s">
        <v>486</v>
      </c>
      <c r="F173" s="53" t="s">
        <v>241</v>
      </c>
      <c r="G173" s="66" t="s">
        <v>614</v>
      </c>
      <c r="H173" s="53" t="s">
        <v>30</v>
      </c>
      <c r="I173" s="53">
        <v>84</v>
      </c>
      <c r="J173" s="75">
        <v>27</v>
      </c>
      <c r="K173" s="54">
        <f t="shared" si="13"/>
        <v>2268</v>
      </c>
      <c r="L173" s="62" t="b">
        <v>1</v>
      </c>
      <c r="M173" s="56">
        <v>290220241421</v>
      </c>
      <c r="N173" s="64" t="b">
        <v>1</v>
      </c>
      <c r="O173" s="58"/>
      <c r="P173" s="65" t="b">
        <v>1</v>
      </c>
      <c r="Q173" s="78"/>
      <c r="R173" s="86"/>
      <c r="S173" s="47" t="b">
        <v>1</v>
      </c>
      <c r="T173" s="61" t="s">
        <v>637</v>
      </c>
      <c r="U173" s="54">
        <f>96*19.5</f>
        <v>1872</v>
      </c>
      <c r="V173" s="54">
        <f t="shared" si="1"/>
        <v>396</v>
      </c>
      <c r="W173" s="49"/>
      <c r="X173" s="49"/>
    </row>
    <row r="174" spans="1:24" ht="15.75" customHeight="1">
      <c r="A174" s="1"/>
      <c r="B174" s="1"/>
      <c r="C174" s="52">
        <v>45351</v>
      </c>
      <c r="D174" s="53" t="s">
        <v>104</v>
      </c>
      <c r="E174" s="53" t="s">
        <v>486</v>
      </c>
      <c r="F174" s="53" t="s">
        <v>241</v>
      </c>
      <c r="G174" s="66" t="s">
        <v>142</v>
      </c>
      <c r="H174" s="53" t="s">
        <v>30</v>
      </c>
      <c r="I174" s="53">
        <v>1500</v>
      </c>
      <c r="J174" s="75">
        <v>1</v>
      </c>
      <c r="K174" s="54">
        <f t="shared" si="13"/>
        <v>1500</v>
      </c>
      <c r="L174" s="62" t="b">
        <v>1</v>
      </c>
      <c r="M174" s="56">
        <v>290220241421</v>
      </c>
      <c r="N174" s="64" t="b">
        <v>1</v>
      </c>
      <c r="O174" s="58" t="s">
        <v>31</v>
      </c>
      <c r="P174" s="65" t="b">
        <v>1</v>
      </c>
      <c r="Q174" s="78"/>
      <c r="R174" s="86"/>
      <c r="S174" s="47" t="b">
        <v>1</v>
      </c>
      <c r="T174" s="61" t="s">
        <v>638</v>
      </c>
      <c r="U174" s="54">
        <f>1500*0.82</f>
        <v>1230</v>
      </c>
      <c r="V174" s="54">
        <f t="shared" si="1"/>
        <v>270</v>
      </c>
      <c r="W174" s="49"/>
      <c r="X174" s="49"/>
    </row>
    <row r="175" spans="1:24" ht="15.75" customHeight="1">
      <c r="A175" s="1"/>
      <c r="B175" s="1"/>
      <c r="C175" s="52">
        <v>45351</v>
      </c>
      <c r="D175" s="53" t="s">
        <v>104</v>
      </c>
      <c r="E175" s="53" t="s">
        <v>486</v>
      </c>
      <c r="F175" s="53" t="s">
        <v>241</v>
      </c>
      <c r="G175" s="66" t="s">
        <v>639</v>
      </c>
      <c r="H175" s="53" t="s">
        <v>30</v>
      </c>
      <c r="I175" s="53">
        <v>24</v>
      </c>
      <c r="J175" s="75">
        <v>185</v>
      </c>
      <c r="K175" s="54">
        <f t="shared" si="13"/>
        <v>4440</v>
      </c>
      <c r="L175" s="62" t="b">
        <v>1</v>
      </c>
      <c r="M175" s="56">
        <v>290220241421</v>
      </c>
      <c r="N175" s="64" t="b">
        <v>1</v>
      </c>
      <c r="O175" s="58" t="s">
        <v>31</v>
      </c>
      <c r="P175" s="65" t="b">
        <v>1</v>
      </c>
      <c r="Q175" s="78"/>
      <c r="R175" s="86"/>
      <c r="S175" s="47" t="b">
        <v>1</v>
      </c>
      <c r="T175" s="61" t="s">
        <v>640</v>
      </c>
      <c r="U175" s="54">
        <f>24*125</f>
        <v>3000</v>
      </c>
      <c r="V175" s="54">
        <f t="shared" si="1"/>
        <v>1440</v>
      </c>
      <c r="W175" s="49"/>
      <c r="X175" s="49"/>
    </row>
    <row r="176" spans="1:24" ht="15.75" customHeight="1">
      <c r="A176" s="1"/>
      <c r="B176" s="1"/>
      <c r="C176" s="52">
        <v>45351</v>
      </c>
      <c r="D176" s="53" t="s">
        <v>104</v>
      </c>
      <c r="E176" s="53" t="s">
        <v>486</v>
      </c>
      <c r="F176" s="53" t="s">
        <v>241</v>
      </c>
      <c r="G176" s="66" t="s">
        <v>49</v>
      </c>
      <c r="H176" s="53" t="s">
        <v>30</v>
      </c>
      <c r="I176" s="53">
        <v>1</v>
      </c>
      <c r="J176" s="75">
        <v>695</v>
      </c>
      <c r="K176" s="54">
        <f t="shared" si="13"/>
        <v>695</v>
      </c>
      <c r="L176" s="62" t="b">
        <v>1</v>
      </c>
      <c r="M176" s="56">
        <v>290220241421</v>
      </c>
      <c r="N176" s="64" t="b">
        <v>1</v>
      </c>
      <c r="O176" s="58" t="s">
        <v>31</v>
      </c>
      <c r="P176" s="65" t="b">
        <v>1</v>
      </c>
      <c r="Q176" s="78"/>
      <c r="R176" s="86"/>
      <c r="S176" s="47" t="b">
        <v>1</v>
      </c>
      <c r="T176" s="61" t="s">
        <v>641</v>
      </c>
      <c r="U176" s="54">
        <f>1000*0.46</f>
        <v>460</v>
      </c>
      <c r="V176" s="54">
        <f t="shared" si="1"/>
        <v>235</v>
      </c>
      <c r="W176" s="49"/>
      <c r="X176" s="49"/>
    </row>
    <row r="177" spans="1:24" ht="15.75" customHeight="1">
      <c r="A177" s="1"/>
      <c r="B177" s="1"/>
      <c r="C177" s="52"/>
      <c r="D177" s="53"/>
      <c r="E177" s="53"/>
      <c r="F177" s="53"/>
      <c r="G177" s="66"/>
      <c r="H177" s="53"/>
      <c r="I177" s="53"/>
      <c r="J177" s="75"/>
      <c r="K177" s="54">
        <f t="shared" si="13"/>
        <v>0</v>
      </c>
      <c r="L177" s="62" t="b">
        <v>0</v>
      </c>
      <c r="M177" s="56"/>
      <c r="N177" s="64" t="b">
        <v>0</v>
      </c>
      <c r="O177" s="58"/>
      <c r="P177" s="65" t="b">
        <v>0</v>
      </c>
      <c r="Q177" s="78"/>
      <c r="R177" s="86"/>
      <c r="S177" s="87"/>
      <c r="T177" s="61"/>
      <c r="U177" s="54"/>
      <c r="V177" s="88">
        <f t="shared" si="1"/>
        <v>0</v>
      </c>
      <c r="W177" s="49"/>
      <c r="X177" s="49"/>
    </row>
    <row r="178" spans="1:24" ht="15.75" customHeight="1">
      <c r="A178" s="1"/>
      <c r="B178" s="1"/>
      <c r="C178" s="52"/>
      <c r="D178" s="53"/>
      <c r="E178" s="53"/>
      <c r="F178" s="53"/>
      <c r="G178" s="66"/>
      <c r="H178" s="53"/>
      <c r="I178" s="53"/>
      <c r="J178" s="75"/>
      <c r="K178" s="54">
        <f t="shared" si="13"/>
        <v>0</v>
      </c>
      <c r="L178" s="62" t="b">
        <v>0</v>
      </c>
      <c r="M178" s="56"/>
      <c r="N178" s="64" t="b">
        <v>0</v>
      </c>
      <c r="O178" s="58"/>
      <c r="P178" s="65" t="b">
        <v>0</v>
      </c>
      <c r="Q178" s="78"/>
      <c r="R178" s="60"/>
      <c r="S178" s="47"/>
      <c r="T178" s="61"/>
      <c r="U178" s="54"/>
      <c r="V178" s="88">
        <f t="shared" si="1"/>
        <v>0</v>
      </c>
      <c r="W178" s="49"/>
      <c r="X178" s="49"/>
    </row>
    <row r="179" spans="1:24" ht="15.75" customHeight="1">
      <c r="A179" s="1"/>
      <c r="B179" s="1"/>
      <c r="C179" s="52"/>
      <c r="D179" s="53"/>
      <c r="E179" s="53"/>
      <c r="F179" s="53"/>
      <c r="G179" s="66"/>
      <c r="H179" s="53"/>
      <c r="I179" s="53"/>
      <c r="J179" s="75"/>
      <c r="K179" s="54">
        <f t="shared" si="13"/>
        <v>0</v>
      </c>
      <c r="L179" s="62" t="b">
        <v>0</v>
      </c>
      <c r="M179" s="56"/>
      <c r="N179" s="64" t="b">
        <v>0</v>
      </c>
      <c r="O179" s="58"/>
      <c r="P179" s="65" t="b">
        <v>0</v>
      </c>
      <c r="Q179" s="78"/>
      <c r="R179" s="60"/>
      <c r="S179" s="47"/>
      <c r="T179" s="61"/>
      <c r="U179" s="54"/>
      <c r="V179" s="88">
        <f t="shared" si="1"/>
        <v>0</v>
      </c>
    </row>
    <row r="180" spans="1:24" ht="15.75" customHeight="1">
      <c r="A180" s="1"/>
      <c r="B180" s="1"/>
      <c r="C180" s="52"/>
      <c r="D180" s="53"/>
      <c r="E180" s="53"/>
      <c r="F180" s="53"/>
      <c r="G180" s="66"/>
      <c r="H180" s="53"/>
      <c r="I180" s="53"/>
      <c r="J180" s="75"/>
      <c r="K180" s="54">
        <f t="shared" si="13"/>
        <v>0</v>
      </c>
      <c r="L180" s="62" t="b">
        <v>0</v>
      </c>
      <c r="M180" s="56"/>
      <c r="N180" s="64" t="b">
        <v>0</v>
      </c>
      <c r="O180" s="58"/>
      <c r="P180" s="65" t="b">
        <v>0</v>
      </c>
      <c r="Q180" s="78"/>
      <c r="R180" s="60"/>
      <c r="S180" s="47"/>
      <c r="T180" s="61"/>
      <c r="U180" s="54"/>
      <c r="V180" s="88">
        <f t="shared" si="1"/>
        <v>0</v>
      </c>
    </row>
    <row r="181" spans="1:24" ht="15.75" customHeight="1">
      <c r="A181" s="1"/>
      <c r="B181" s="1"/>
      <c r="C181" s="52"/>
      <c r="D181" s="53"/>
      <c r="E181" s="53"/>
      <c r="F181" s="53"/>
      <c r="G181" s="66"/>
      <c r="H181" s="53"/>
      <c r="I181" s="53"/>
      <c r="J181" s="75"/>
      <c r="K181" s="54">
        <f t="shared" si="13"/>
        <v>0</v>
      </c>
      <c r="L181" s="62" t="b">
        <v>0</v>
      </c>
      <c r="M181" s="56"/>
      <c r="N181" s="57" t="b">
        <v>0</v>
      </c>
      <c r="O181" s="63"/>
      <c r="P181" s="59" t="b">
        <v>0</v>
      </c>
      <c r="Q181" s="43"/>
      <c r="R181" s="86"/>
      <c r="S181" s="47"/>
      <c r="T181" s="61"/>
      <c r="U181" s="54"/>
      <c r="V181" s="88">
        <f t="shared" si="1"/>
        <v>0</v>
      </c>
    </row>
    <row r="182" spans="1:24" ht="15.75" customHeight="1">
      <c r="A182" s="1"/>
      <c r="B182" s="1"/>
      <c r="C182" s="52"/>
      <c r="D182" s="53"/>
      <c r="E182" s="53"/>
      <c r="F182" s="53"/>
      <c r="G182" s="66"/>
      <c r="H182" s="53"/>
      <c r="I182" s="53"/>
      <c r="J182" s="75"/>
      <c r="K182" s="54">
        <f t="shared" si="13"/>
        <v>0</v>
      </c>
      <c r="L182" s="62" t="b">
        <v>0</v>
      </c>
      <c r="M182" s="56"/>
      <c r="N182" s="64" t="b">
        <v>0</v>
      </c>
      <c r="O182" s="58"/>
      <c r="P182" s="65" t="b">
        <v>0</v>
      </c>
      <c r="Q182" s="78"/>
      <c r="R182" s="86"/>
      <c r="S182" s="47"/>
      <c r="T182" s="61"/>
      <c r="U182" s="54"/>
      <c r="V182" s="88">
        <f t="shared" si="1"/>
        <v>0</v>
      </c>
    </row>
    <row r="183" spans="1:24" ht="15.75" customHeight="1">
      <c r="A183" s="1"/>
      <c r="B183" s="1"/>
      <c r="C183" s="52"/>
      <c r="D183" s="53"/>
      <c r="E183" s="53"/>
      <c r="F183" s="53"/>
      <c r="G183" s="66"/>
      <c r="H183" s="53"/>
      <c r="I183" s="53"/>
      <c r="J183" s="75"/>
      <c r="K183" s="54">
        <f t="shared" si="13"/>
        <v>0</v>
      </c>
      <c r="L183" s="62" t="b">
        <v>0</v>
      </c>
      <c r="M183" s="56"/>
      <c r="N183" s="64" t="b">
        <v>0</v>
      </c>
      <c r="O183" s="58"/>
      <c r="P183" s="65" t="b">
        <v>0</v>
      </c>
      <c r="Q183" s="78"/>
      <c r="R183" s="86"/>
      <c r="S183" s="47"/>
      <c r="T183" s="61"/>
      <c r="U183" s="54"/>
      <c r="V183" s="88">
        <f t="shared" si="1"/>
        <v>0</v>
      </c>
    </row>
    <row r="184" spans="1:24" ht="15.75" customHeight="1">
      <c r="A184" s="1"/>
      <c r="B184" s="1"/>
      <c r="C184" s="52"/>
      <c r="D184" s="53"/>
      <c r="E184" s="53"/>
      <c r="F184" s="53"/>
      <c r="G184" s="66"/>
      <c r="H184" s="53"/>
      <c r="I184" s="53"/>
      <c r="J184" s="75"/>
      <c r="K184" s="54">
        <f t="shared" si="13"/>
        <v>0</v>
      </c>
      <c r="L184" s="62" t="b">
        <v>0</v>
      </c>
      <c r="M184" s="56"/>
      <c r="N184" s="64" t="b">
        <v>0</v>
      </c>
      <c r="O184" s="58"/>
      <c r="P184" s="65" t="b">
        <v>0</v>
      </c>
      <c r="Q184" s="78"/>
      <c r="R184" s="86"/>
      <c r="S184" s="47"/>
      <c r="T184" s="61"/>
      <c r="U184" s="54"/>
      <c r="V184" s="88">
        <f t="shared" si="1"/>
        <v>0</v>
      </c>
    </row>
    <row r="185" spans="1:24" ht="15.75" customHeight="1">
      <c r="A185" s="1"/>
      <c r="B185" s="1"/>
      <c r="C185" s="52"/>
      <c r="D185" s="53"/>
      <c r="E185" s="53"/>
      <c r="F185" s="53"/>
      <c r="G185" s="66"/>
      <c r="H185" s="53"/>
      <c r="I185" s="53"/>
      <c r="J185" s="75"/>
      <c r="K185" s="54">
        <f t="shared" si="13"/>
        <v>0</v>
      </c>
      <c r="L185" s="62" t="b">
        <v>0</v>
      </c>
      <c r="M185" s="56"/>
      <c r="N185" s="64" t="b">
        <v>0</v>
      </c>
      <c r="O185" s="58"/>
      <c r="P185" s="65" t="b">
        <v>0</v>
      </c>
      <c r="Q185" s="78"/>
      <c r="R185" s="86"/>
      <c r="S185" s="47"/>
      <c r="T185" s="61"/>
      <c r="U185" s="54"/>
      <c r="V185" s="88">
        <f t="shared" si="1"/>
        <v>0</v>
      </c>
    </row>
    <row r="186" spans="1:24" ht="15.75" customHeight="1">
      <c r="A186" s="1"/>
      <c r="B186" s="1"/>
      <c r="C186" s="52"/>
      <c r="D186" s="53"/>
      <c r="E186" s="53"/>
      <c r="F186" s="53"/>
      <c r="G186" s="53"/>
      <c r="H186" s="53"/>
      <c r="I186" s="53"/>
      <c r="J186" s="75"/>
      <c r="K186" s="54">
        <f t="shared" si="13"/>
        <v>0</v>
      </c>
      <c r="L186" s="62" t="b">
        <v>0</v>
      </c>
      <c r="M186" s="56"/>
      <c r="N186" s="64" t="b">
        <v>0</v>
      </c>
      <c r="O186" s="58"/>
      <c r="P186" s="65" t="b">
        <v>0</v>
      </c>
      <c r="Q186" s="78"/>
      <c r="R186" s="86"/>
      <c r="S186" s="47"/>
      <c r="T186" s="61"/>
      <c r="U186" s="54"/>
      <c r="V186" s="88">
        <f t="shared" si="1"/>
        <v>0</v>
      </c>
    </row>
    <row r="187" spans="1:24" ht="15.75" customHeight="1">
      <c r="A187" s="1"/>
      <c r="B187" s="1"/>
      <c r="C187" s="52"/>
      <c r="D187" s="53"/>
      <c r="E187" s="53"/>
      <c r="F187" s="53"/>
      <c r="G187" s="66"/>
      <c r="H187" s="53"/>
      <c r="I187" s="53"/>
      <c r="J187" s="75"/>
      <c r="K187" s="54">
        <f t="shared" si="13"/>
        <v>0</v>
      </c>
      <c r="L187" s="62" t="b">
        <v>0</v>
      </c>
      <c r="M187" s="56"/>
      <c r="N187" s="64" t="b">
        <v>0</v>
      </c>
      <c r="O187" s="58"/>
      <c r="P187" s="65" t="b">
        <v>0</v>
      </c>
      <c r="Q187" s="78"/>
      <c r="R187" s="86"/>
      <c r="S187" s="47"/>
      <c r="T187" s="61"/>
      <c r="U187" s="54"/>
      <c r="V187" s="88">
        <f t="shared" si="1"/>
        <v>0</v>
      </c>
    </row>
    <row r="188" spans="1:24" ht="15.75" customHeight="1">
      <c r="A188" s="1"/>
      <c r="B188" s="1"/>
      <c r="C188" s="52"/>
      <c r="D188" s="53"/>
      <c r="E188" s="53"/>
      <c r="F188" s="53"/>
      <c r="G188" s="66"/>
      <c r="H188" s="53"/>
      <c r="I188" s="53"/>
      <c r="J188" s="75"/>
      <c r="K188" s="54">
        <f t="shared" si="13"/>
        <v>0</v>
      </c>
      <c r="L188" s="62" t="b">
        <v>0</v>
      </c>
      <c r="M188" s="56"/>
      <c r="N188" s="64" t="b">
        <v>0</v>
      </c>
      <c r="O188" s="58"/>
      <c r="P188" s="65" t="b">
        <v>0</v>
      </c>
      <c r="Q188" s="78"/>
      <c r="R188" s="86"/>
      <c r="S188" s="47"/>
      <c r="T188" s="61"/>
      <c r="U188" s="54"/>
      <c r="V188" s="88">
        <f t="shared" si="1"/>
        <v>0</v>
      </c>
    </row>
    <row r="189" spans="1:24" ht="15.75" customHeight="1">
      <c r="A189" s="1"/>
      <c r="B189" s="1"/>
      <c r="C189" s="52"/>
      <c r="D189" s="53"/>
      <c r="E189" s="53"/>
      <c r="F189" s="53"/>
      <c r="G189" s="66"/>
      <c r="H189" s="53"/>
      <c r="I189" s="53"/>
      <c r="J189" s="75"/>
      <c r="K189" s="54">
        <f t="shared" si="13"/>
        <v>0</v>
      </c>
      <c r="L189" s="62" t="b">
        <v>0</v>
      </c>
      <c r="M189" s="56"/>
      <c r="N189" s="64" t="b">
        <v>0</v>
      </c>
      <c r="O189" s="58"/>
      <c r="P189" s="65" t="b">
        <v>0</v>
      </c>
      <c r="Q189" s="78"/>
      <c r="R189" s="86"/>
      <c r="S189" s="47"/>
      <c r="T189" s="61"/>
      <c r="U189" s="1"/>
      <c r="V189" s="88">
        <f t="shared" si="1"/>
        <v>0</v>
      </c>
    </row>
    <row r="190" spans="1:24" ht="15.75" customHeight="1">
      <c r="A190" s="1"/>
      <c r="B190" s="1"/>
      <c r="C190" s="52"/>
      <c r="D190" s="53"/>
      <c r="E190" s="53"/>
      <c r="F190" s="53"/>
      <c r="G190" s="66"/>
      <c r="H190" s="53"/>
      <c r="I190" s="53"/>
      <c r="J190" s="75"/>
      <c r="K190" s="54">
        <f t="shared" si="13"/>
        <v>0</v>
      </c>
      <c r="L190" s="62" t="b">
        <v>0</v>
      </c>
      <c r="M190" s="56"/>
      <c r="N190" s="64" t="b">
        <v>0</v>
      </c>
      <c r="O190" s="58"/>
      <c r="P190" s="65" t="b">
        <v>0</v>
      </c>
      <c r="Q190" s="78"/>
      <c r="R190" s="86"/>
      <c r="S190" s="47"/>
      <c r="T190" s="61"/>
      <c r="U190" s="1"/>
      <c r="V190" s="88">
        <f t="shared" si="1"/>
        <v>0</v>
      </c>
    </row>
    <row r="191" spans="1:24" ht="15.75" customHeight="1">
      <c r="A191" s="1"/>
      <c r="B191" s="1"/>
      <c r="C191" s="52"/>
      <c r="D191" s="53"/>
      <c r="E191" s="53"/>
      <c r="F191" s="53"/>
      <c r="G191" s="66"/>
      <c r="H191" s="53"/>
      <c r="I191" s="53"/>
      <c r="J191" s="75"/>
      <c r="K191" s="54">
        <f t="shared" si="13"/>
        <v>0</v>
      </c>
      <c r="L191" s="62" t="b">
        <v>0</v>
      </c>
      <c r="M191" s="56"/>
      <c r="N191" s="64" t="b">
        <v>0</v>
      </c>
      <c r="O191" s="58"/>
      <c r="P191" s="65" t="b">
        <v>0</v>
      </c>
      <c r="Q191" s="78"/>
      <c r="R191" s="86"/>
      <c r="S191" s="47"/>
      <c r="T191" s="61"/>
      <c r="U191" s="1"/>
      <c r="V191" s="88">
        <f t="shared" si="1"/>
        <v>0</v>
      </c>
    </row>
    <row r="192" spans="1:24" ht="15.75" customHeight="1">
      <c r="A192" s="1"/>
      <c r="B192" s="1"/>
      <c r="C192" s="52"/>
      <c r="D192" s="53"/>
      <c r="E192" s="53"/>
      <c r="F192" s="53"/>
      <c r="G192" s="53"/>
      <c r="H192" s="53"/>
      <c r="I192" s="53"/>
      <c r="J192" s="75"/>
      <c r="K192" s="54">
        <f t="shared" si="13"/>
        <v>0</v>
      </c>
      <c r="L192" s="62" t="b">
        <v>0</v>
      </c>
      <c r="M192" s="56"/>
      <c r="N192" s="64" t="b">
        <v>0</v>
      </c>
      <c r="O192" s="58"/>
      <c r="P192" s="65" t="b">
        <v>0</v>
      </c>
      <c r="Q192" s="78"/>
      <c r="R192" s="86"/>
      <c r="S192" s="47"/>
      <c r="T192" s="61"/>
      <c r="U192" s="1"/>
      <c r="V192" s="88">
        <f t="shared" si="1"/>
        <v>0</v>
      </c>
    </row>
    <row r="193" spans="1:22" ht="15.75" customHeight="1">
      <c r="A193" s="1"/>
      <c r="B193" s="1"/>
      <c r="C193" s="52"/>
      <c r="D193" s="53"/>
      <c r="E193" s="53"/>
      <c r="F193" s="53"/>
      <c r="G193" s="66"/>
      <c r="H193" s="53"/>
      <c r="I193" s="53"/>
      <c r="J193" s="75"/>
      <c r="K193" s="54">
        <f>J193*I193</f>
        <v>0</v>
      </c>
      <c r="L193" s="62" t="b">
        <v>0</v>
      </c>
      <c r="M193" s="56"/>
      <c r="N193" s="64" t="b">
        <v>0</v>
      </c>
      <c r="O193" s="58"/>
      <c r="P193" s="65" t="b">
        <v>0</v>
      </c>
      <c r="Q193" s="78"/>
      <c r="R193" s="86"/>
      <c r="S193" s="47"/>
      <c r="T193" s="61"/>
      <c r="U193" s="1"/>
      <c r="V193" s="88">
        <f t="shared" si="1"/>
        <v>0</v>
      </c>
    </row>
    <row r="194" spans="1:22" ht="15.75" customHeight="1">
      <c r="A194" s="1"/>
      <c r="B194" s="1"/>
      <c r="C194" s="1"/>
      <c r="D194" s="1"/>
      <c r="E194" s="1"/>
      <c r="F194" s="1"/>
      <c r="G194" s="18"/>
      <c r="H194" s="1"/>
      <c r="I194" s="1"/>
      <c r="J194" s="8"/>
      <c r="K194" s="8"/>
      <c r="L194" s="1"/>
      <c r="M194" s="1"/>
      <c r="N194" s="9"/>
      <c r="O194" s="10"/>
      <c r="P194" s="1"/>
      <c r="Q194" s="1"/>
      <c r="R194" s="1"/>
      <c r="S194" s="1"/>
      <c r="T194" s="1"/>
      <c r="U194" s="1"/>
    </row>
    <row r="195" spans="1:22" ht="15.75" customHeight="1">
      <c r="A195" s="1"/>
      <c r="B195" s="1"/>
      <c r="C195" s="1"/>
      <c r="D195" s="1"/>
      <c r="E195" s="1"/>
      <c r="F195" s="1"/>
      <c r="G195" s="18"/>
      <c r="H195" s="1"/>
      <c r="I195" s="1"/>
      <c r="J195" s="8"/>
      <c r="K195" s="8"/>
      <c r="L195" s="1"/>
      <c r="M195" s="1"/>
      <c r="N195" s="9"/>
      <c r="O195" s="10"/>
      <c r="P195" s="1"/>
      <c r="Q195" s="1"/>
      <c r="R195" s="1"/>
      <c r="S195" s="1"/>
      <c r="T195" s="1"/>
      <c r="U195" s="1"/>
    </row>
    <row r="196" spans="1:22" ht="15.75" customHeight="1">
      <c r="A196" s="1"/>
      <c r="B196" s="1"/>
      <c r="C196" s="1"/>
      <c r="D196" s="1"/>
      <c r="E196" s="1"/>
      <c r="F196" s="1"/>
      <c r="G196" s="18"/>
      <c r="H196" s="1"/>
      <c r="I196" s="1"/>
      <c r="J196" s="8"/>
      <c r="K196" s="8"/>
      <c r="L196" s="1"/>
      <c r="M196" s="1"/>
      <c r="N196" s="9"/>
      <c r="O196" s="10"/>
      <c r="P196" s="1"/>
      <c r="Q196" s="1"/>
      <c r="R196" s="1"/>
      <c r="S196" s="1"/>
      <c r="T196" s="1"/>
      <c r="U196" s="1"/>
    </row>
    <row r="197" spans="1:22" ht="15.75" customHeight="1">
      <c r="A197" s="1"/>
      <c r="B197" s="1"/>
      <c r="C197" s="1"/>
      <c r="D197" s="1"/>
      <c r="E197" s="1"/>
      <c r="F197" s="1"/>
      <c r="G197" s="18"/>
      <c r="H197" s="1"/>
      <c r="I197" s="1"/>
      <c r="J197" s="8"/>
      <c r="K197" s="8"/>
      <c r="L197" s="1"/>
      <c r="M197" s="1"/>
      <c r="N197" s="9"/>
      <c r="O197" s="10"/>
      <c r="P197" s="1"/>
      <c r="Q197" s="1"/>
      <c r="R197" s="1"/>
      <c r="S197" s="1"/>
      <c r="T197" s="1"/>
      <c r="U197" s="1"/>
    </row>
    <row r="198" spans="1:22" ht="15.75" customHeight="1">
      <c r="A198" s="1"/>
      <c r="B198" s="1"/>
      <c r="C198" s="1"/>
      <c r="D198" s="1"/>
      <c r="E198" s="1"/>
      <c r="F198" s="1"/>
      <c r="G198" s="18"/>
      <c r="H198" s="1"/>
      <c r="I198" s="1"/>
      <c r="J198" s="8"/>
      <c r="K198" s="8"/>
      <c r="L198" s="1"/>
      <c r="M198" s="1"/>
      <c r="N198" s="9"/>
      <c r="O198" s="10"/>
      <c r="P198" s="1"/>
      <c r="Q198" s="1"/>
      <c r="R198" s="1"/>
      <c r="S198" s="1"/>
      <c r="T198" s="1"/>
      <c r="U198" s="1"/>
    </row>
    <row r="199" spans="1:22" ht="15.75" customHeight="1">
      <c r="A199" s="1"/>
      <c r="B199" s="1"/>
      <c r="C199" s="1"/>
      <c r="D199" s="1"/>
      <c r="E199" s="1"/>
      <c r="F199" s="1"/>
      <c r="G199" s="18"/>
      <c r="H199" s="1"/>
      <c r="I199" s="1"/>
      <c r="J199" s="8"/>
      <c r="K199" s="8"/>
      <c r="L199" s="1"/>
      <c r="M199" s="1"/>
      <c r="N199" s="9"/>
      <c r="O199" s="10"/>
      <c r="P199" s="1"/>
      <c r="Q199" s="1"/>
      <c r="R199" s="1"/>
      <c r="S199" s="1"/>
      <c r="T199" s="1"/>
      <c r="U199" s="1"/>
    </row>
    <row r="200" spans="1:22" ht="15.75" customHeight="1">
      <c r="A200" s="1"/>
      <c r="B200" s="1"/>
      <c r="C200" s="1"/>
      <c r="D200" s="1"/>
      <c r="E200" s="1"/>
      <c r="F200" s="1"/>
      <c r="G200" s="18"/>
      <c r="H200" s="1"/>
      <c r="I200" s="1"/>
      <c r="J200" s="8"/>
      <c r="K200" s="8"/>
      <c r="L200" s="1"/>
      <c r="M200" s="1"/>
      <c r="N200" s="9"/>
      <c r="O200" s="10"/>
      <c r="P200" s="1"/>
      <c r="Q200" s="1"/>
      <c r="R200" s="1"/>
      <c r="S200" s="1"/>
      <c r="T200" s="1"/>
      <c r="U200" s="1"/>
    </row>
    <row r="201" spans="1:22" ht="15.75" customHeight="1">
      <c r="A201" s="1"/>
      <c r="B201" s="1"/>
      <c r="C201" s="1"/>
      <c r="D201" s="1"/>
      <c r="E201" s="1"/>
      <c r="F201" s="1"/>
      <c r="G201" s="18"/>
      <c r="H201" s="1"/>
      <c r="I201" s="1"/>
      <c r="J201" s="8"/>
      <c r="K201" s="8"/>
      <c r="L201" s="1"/>
      <c r="M201" s="1"/>
      <c r="N201" s="9"/>
      <c r="O201" s="10"/>
      <c r="P201" s="1"/>
      <c r="Q201" s="1"/>
      <c r="R201" s="1"/>
      <c r="S201" s="1"/>
      <c r="T201" s="1"/>
      <c r="U201" s="1"/>
    </row>
    <row r="202" spans="1:22" ht="15.75" customHeight="1">
      <c r="A202" s="1"/>
      <c r="B202" s="1"/>
      <c r="C202" s="1"/>
      <c r="D202" s="1"/>
      <c r="E202" s="1"/>
      <c r="F202" s="1"/>
      <c r="G202" s="18"/>
      <c r="H202" s="1"/>
      <c r="I202" s="1"/>
      <c r="J202" s="8"/>
      <c r="K202" s="8"/>
      <c r="L202" s="1"/>
      <c r="M202" s="1"/>
      <c r="N202" s="9"/>
      <c r="O202" s="10"/>
      <c r="P202" s="1"/>
      <c r="Q202" s="1"/>
      <c r="R202" s="1"/>
      <c r="S202" s="1"/>
      <c r="T202" s="1"/>
      <c r="U202" s="1"/>
    </row>
    <row r="203" spans="1:22" ht="15.75" customHeight="1">
      <c r="A203" s="1"/>
      <c r="B203" s="1"/>
      <c r="C203" s="1"/>
      <c r="D203" s="1"/>
      <c r="E203" s="1"/>
      <c r="F203" s="1"/>
      <c r="G203" s="18"/>
      <c r="H203" s="1"/>
      <c r="I203" s="1"/>
      <c r="J203" s="8"/>
      <c r="K203" s="8"/>
      <c r="L203" s="1"/>
      <c r="M203" s="1"/>
      <c r="N203" s="9"/>
      <c r="O203" s="10"/>
      <c r="P203" s="1"/>
      <c r="Q203" s="1"/>
      <c r="R203" s="1"/>
      <c r="S203" s="1"/>
      <c r="T203" s="1"/>
      <c r="U203" s="1"/>
    </row>
    <row r="204" spans="1:22" ht="15.75" customHeight="1">
      <c r="A204" s="1"/>
      <c r="B204" s="1"/>
      <c r="C204" s="1"/>
      <c r="D204" s="1"/>
      <c r="E204" s="1"/>
      <c r="F204" s="1"/>
      <c r="G204" s="18"/>
      <c r="H204" s="1"/>
      <c r="I204" s="1"/>
      <c r="J204" s="8"/>
      <c r="K204" s="8"/>
      <c r="L204" s="1"/>
      <c r="M204" s="1"/>
      <c r="N204" s="9"/>
      <c r="O204" s="10"/>
      <c r="P204" s="1"/>
      <c r="Q204" s="1"/>
      <c r="R204" s="1"/>
      <c r="S204" s="1"/>
      <c r="T204" s="1"/>
      <c r="U204" s="1"/>
    </row>
    <row r="205" spans="1:22" ht="15.75" customHeight="1">
      <c r="A205" s="1"/>
      <c r="B205" s="1"/>
      <c r="C205" s="1"/>
      <c r="D205" s="1"/>
      <c r="E205" s="1"/>
      <c r="F205" s="1"/>
      <c r="G205" s="18"/>
      <c r="H205" s="1"/>
      <c r="I205" s="1"/>
      <c r="J205" s="8"/>
      <c r="K205" s="8"/>
      <c r="L205" s="1"/>
      <c r="M205" s="1"/>
      <c r="N205" s="9"/>
      <c r="O205" s="10"/>
      <c r="P205" s="1"/>
      <c r="Q205" s="1"/>
      <c r="R205" s="1"/>
      <c r="S205" s="1"/>
      <c r="T205" s="1"/>
      <c r="U205" s="1"/>
    </row>
    <row r="206" spans="1:22" ht="15.75" customHeight="1">
      <c r="A206" s="1"/>
      <c r="B206" s="1"/>
      <c r="C206" s="1"/>
      <c r="D206" s="1"/>
      <c r="E206" s="1"/>
      <c r="F206" s="1"/>
      <c r="G206" s="18"/>
      <c r="H206" s="1"/>
      <c r="I206" s="1"/>
      <c r="J206" s="8"/>
      <c r="K206" s="8"/>
      <c r="L206" s="1"/>
      <c r="M206" s="1"/>
      <c r="N206" s="9"/>
      <c r="O206" s="10"/>
      <c r="P206" s="1"/>
      <c r="Q206" s="1"/>
      <c r="R206" s="1"/>
      <c r="S206" s="1"/>
      <c r="T206" s="1"/>
      <c r="U206" s="1"/>
    </row>
    <row r="207" spans="1:22" ht="15.75" customHeight="1">
      <c r="A207" s="1"/>
      <c r="B207" s="1"/>
      <c r="C207" s="1"/>
      <c r="D207" s="1"/>
      <c r="E207" s="1"/>
      <c r="F207" s="1"/>
      <c r="G207" s="18"/>
      <c r="H207" s="1"/>
      <c r="I207" s="1"/>
      <c r="J207" s="8"/>
      <c r="K207" s="8"/>
      <c r="L207" s="1"/>
      <c r="M207" s="1"/>
      <c r="N207" s="9"/>
      <c r="O207" s="10"/>
      <c r="P207" s="1"/>
      <c r="Q207" s="1"/>
      <c r="R207" s="1"/>
      <c r="S207" s="1"/>
      <c r="T207" s="1"/>
      <c r="U207" s="1"/>
    </row>
    <row r="208" spans="1:22" ht="15.75" customHeight="1">
      <c r="A208" s="1"/>
      <c r="B208" s="1"/>
      <c r="C208" s="1"/>
      <c r="D208" s="1"/>
      <c r="E208" s="1"/>
      <c r="F208" s="1"/>
      <c r="G208" s="18"/>
      <c r="H208" s="1"/>
      <c r="I208" s="1"/>
      <c r="J208" s="8"/>
      <c r="K208" s="8"/>
      <c r="L208" s="1"/>
      <c r="M208" s="1"/>
      <c r="N208" s="9"/>
      <c r="O208" s="10"/>
      <c r="P208" s="1"/>
      <c r="Q208" s="1"/>
      <c r="R208" s="1"/>
      <c r="S208" s="1"/>
      <c r="T208" s="1"/>
      <c r="U208" s="1"/>
    </row>
    <row r="209" spans="1:21" ht="15.75" customHeight="1">
      <c r="A209" s="1"/>
      <c r="B209" s="1"/>
      <c r="C209" s="1"/>
      <c r="D209" s="1"/>
      <c r="E209" s="1"/>
      <c r="F209" s="1"/>
      <c r="G209" s="18"/>
      <c r="H209" s="1"/>
      <c r="I209" s="1"/>
      <c r="J209" s="8"/>
      <c r="K209" s="8"/>
      <c r="L209" s="1"/>
      <c r="M209" s="1"/>
      <c r="N209" s="9"/>
      <c r="O209" s="10"/>
      <c r="P209" s="1"/>
      <c r="Q209" s="1"/>
      <c r="R209" s="1"/>
      <c r="S209" s="1"/>
      <c r="T209" s="1"/>
      <c r="U209" s="1"/>
    </row>
    <row r="210" spans="1:21" ht="15.75" customHeight="1">
      <c r="A210" s="1"/>
      <c r="B210" s="1"/>
      <c r="C210" s="1"/>
      <c r="D210" s="1"/>
      <c r="E210" s="1"/>
      <c r="F210" s="1"/>
      <c r="G210" s="18"/>
      <c r="H210" s="1"/>
      <c r="I210" s="1"/>
      <c r="J210" s="8"/>
      <c r="K210" s="8"/>
      <c r="L210" s="1"/>
      <c r="M210" s="1"/>
      <c r="N210" s="9"/>
      <c r="O210" s="10"/>
      <c r="P210" s="1"/>
      <c r="Q210" s="1"/>
      <c r="R210" s="1"/>
      <c r="S210" s="1"/>
      <c r="T210" s="1"/>
      <c r="U210" s="1"/>
    </row>
    <row r="211" spans="1:21" ht="15.75" customHeight="1">
      <c r="A211" s="1"/>
      <c r="B211" s="1"/>
      <c r="C211" s="1"/>
      <c r="D211" s="1"/>
      <c r="E211" s="1"/>
      <c r="F211" s="1"/>
      <c r="G211" s="18"/>
      <c r="H211" s="1"/>
      <c r="I211" s="1"/>
      <c r="J211" s="8"/>
      <c r="K211" s="8"/>
      <c r="L211" s="1"/>
      <c r="M211" s="1"/>
      <c r="N211" s="9"/>
      <c r="O211" s="10"/>
      <c r="P211" s="1"/>
      <c r="Q211" s="1"/>
      <c r="R211" s="1"/>
      <c r="S211" s="1"/>
      <c r="T211" s="1"/>
      <c r="U211" s="1"/>
    </row>
    <row r="212" spans="1:21" ht="15.75" customHeight="1">
      <c r="A212" s="1"/>
      <c r="B212" s="1"/>
      <c r="C212" s="1"/>
      <c r="D212" s="1"/>
      <c r="E212" s="1"/>
      <c r="F212" s="1"/>
      <c r="G212" s="18"/>
      <c r="H212" s="1"/>
      <c r="I212" s="1"/>
      <c r="J212" s="8"/>
      <c r="K212" s="8"/>
      <c r="L212" s="1"/>
      <c r="M212" s="1"/>
      <c r="N212" s="9"/>
      <c r="O212" s="10"/>
      <c r="P212" s="1"/>
      <c r="Q212" s="1"/>
      <c r="R212" s="1"/>
      <c r="S212" s="1"/>
      <c r="T212" s="1"/>
      <c r="U212" s="1"/>
    </row>
    <row r="213" spans="1:21" ht="15.75" customHeight="1">
      <c r="A213" s="1"/>
      <c r="B213" s="1"/>
      <c r="C213" s="1"/>
      <c r="D213" s="1"/>
      <c r="E213" s="1"/>
      <c r="F213" s="1"/>
      <c r="G213" s="18"/>
      <c r="H213" s="1"/>
      <c r="I213" s="1"/>
      <c r="J213" s="8"/>
      <c r="K213" s="8"/>
      <c r="L213" s="1"/>
      <c r="M213" s="1"/>
      <c r="N213" s="9"/>
      <c r="O213" s="10"/>
      <c r="P213" s="1"/>
      <c r="Q213" s="1"/>
      <c r="R213" s="1"/>
      <c r="S213" s="1"/>
      <c r="T213" s="1"/>
      <c r="U213" s="1"/>
    </row>
    <row r="214" spans="1:21" ht="15.75" customHeight="1">
      <c r="A214" s="1"/>
      <c r="B214" s="1"/>
      <c r="C214" s="1"/>
      <c r="D214" s="1"/>
      <c r="E214" s="1"/>
      <c r="F214" s="1"/>
      <c r="G214" s="18"/>
      <c r="H214" s="1"/>
      <c r="I214" s="1"/>
      <c r="J214" s="8"/>
      <c r="K214" s="8"/>
      <c r="L214" s="1"/>
      <c r="M214" s="1"/>
      <c r="N214" s="9"/>
      <c r="O214" s="10"/>
      <c r="P214" s="1"/>
      <c r="Q214" s="1"/>
      <c r="R214" s="1"/>
      <c r="S214" s="1"/>
      <c r="T214" s="1"/>
      <c r="U214" s="1"/>
    </row>
    <row r="215" spans="1:21" ht="15.75" customHeight="1">
      <c r="A215" s="1"/>
      <c r="B215" s="1"/>
      <c r="C215" s="1"/>
      <c r="D215" s="1"/>
      <c r="E215" s="1"/>
      <c r="F215" s="1"/>
      <c r="G215" s="18"/>
      <c r="H215" s="1"/>
      <c r="I215" s="1"/>
      <c r="J215" s="8"/>
      <c r="K215" s="8"/>
      <c r="L215" s="1"/>
      <c r="M215" s="1"/>
      <c r="N215" s="9"/>
      <c r="O215" s="10"/>
      <c r="P215" s="1"/>
      <c r="Q215" s="1"/>
      <c r="R215" s="1"/>
      <c r="S215" s="1"/>
      <c r="T215" s="1"/>
      <c r="U215" s="1"/>
    </row>
    <row r="216" spans="1:21" ht="15.75" customHeight="1">
      <c r="A216" s="1"/>
      <c r="B216" s="1"/>
      <c r="C216" s="1"/>
      <c r="D216" s="1"/>
      <c r="E216" s="1"/>
      <c r="F216" s="1"/>
      <c r="G216" s="18"/>
      <c r="H216" s="1"/>
      <c r="I216" s="1"/>
      <c r="J216" s="8"/>
      <c r="K216" s="8"/>
      <c r="L216" s="1"/>
      <c r="M216" s="1"/>
      <c r="N216" s="9"/>
      <c r="O216" s="10"/>
      <c r="P216" s="1"/>
      <c r="Q216" s="1"/>
      <c r="R216" s="1"/>
      <c r="S216" s="1"/>
      <c r="T216" s="1"/>
      <c r="U216" s="1"/>
    </row>
    <row r="217" spans="1:21" ht="15.75" customHeight="1">
      <c r="A217" s="1"/>
      <c r="B217" s="1"/>
      <c r="C217" s="1"/>
      <c r="D217" s="1"/>
      <c r="E217" s="1"/>
      <c r="F217" s="1"/>
      <c r="G217" s="18"/>
      <c r="H217" s="1"/>
      <c r="I217" s="1"/>
      <c r="J217" s="8"/>
      <c r="K217" s="8"/>
      <c r="L217" s="1"/>
      <c r="M217" s="1"/>
      <c r="N217" s="9"/>
      <c r="O217" s="10"/>
      <c r="P217" s="1"/>
      <c r="Q217" s="1"/>
      <c r="R217" s="1"/>
      <c r="S217" s="1"/>
      <c r="T217" s="1"/>
      <c r="U217" s="1"/>
    </row>
    <row r="218" spans="1:21" ht="15.75" customHeight="1">
      <c r="A218" s="1"/>
      <c r="B218" s="1"/>
      <c r="C218" s="1"/>
      <c r="D218" s="1"/>
      <c r="E218" s="1"/>
      <c r="F218" s="1"/>
      <c r="G218" s="18"/>
      <c r="H218" s="1"/>
      <c r="I218" s="1"/>
      <c r="J218" s="8"/>
      <c r="K218" s="8"/>
      <c r="L218" s="1"/>
      <c r="M218" s="1"/>
      <c r="N218" s="9"/>
      <c r="O218" s="10"/>
      <c r="P218" s="1"/>
      <c r="Q218" s="1"/>
      <c r="R218" s="1"/>
      <c r="S218" s="1"/>
      <c r="T218" s="1"/>
      <c r="U218" s="1"/>
    </row>
    <row r="219" spans="1:21" ht="15.75" customHeight="1">
      <c r="A219" s="1"/>
      <c r="B219" s="1"/>
      <c r="C219" s="1"/>
      <c r="D219" s="1"/>
      <c r="E219" s="1"/>
      <c r="F219" s="1"/>
      <c r="G219" s="18"/>
      <c r="H219" s="1"/>
      <c r="I219" s="1"/>
      <c r="J219" s="8"/>
      <c r="K219" s="8"/>
      <c r="L219" s="1"/>
      <c r="M219" s="1"/>
      <c r="N219" s="9"/>
      <c r="O219" s="10"/>
      <c r="P219" s="1"/>
      <c r="Q219" s="1"/>
      <c r="R219" s="1"/>
      <c r="S219" s="1"/>
      <c r="T219" s="1"/>
      <c r="U219" s="1"/>
    </row>
    <row r="220" spans="1:21" ht="15.75" customHeight="1">
      <c r="A220" s="1"/>
      <c r="B220" s="1"/>
      <c r="C220" s="1"/>
      <c r="D220" s="1"/>
      <c r="E220" s="1"/>
      <c r="F220" s="1"/>
      <c r="G220" s="18"/>
      <c r="H220" s="1"/>
      <c r="I220" s="1"/>
      <c r="J220" s="8"/>
      <c r="K220" s="8"/>
      <c r="L220" s="1"/>
      <c r="M220" s="1"/>
      <c r="N220" s="9"/>
      <c r="O220" s="10"/>
      <c r="P220" s="1"/>
      <c r="Q220" s="1"/>
      <c r="R220" s="1"/>
      <c r="S220" s="1"/>
      <c r="T220" s="1"/>
      <c r="U220" s="1"/>
    </row>
    <row r="221" spans="1:21" ht="15.75" customHeight="1">
      <c r="A221" s="1"/>
      <c r="B221" s="1"/>
      <c r="C221" s="1"/>
      <c r="D221" s="1"/>
      <c r="E221" s="1"/>
      <c r="F221" s="1"/>
      <c r="G221" s="18"/>
      <c r="H221" s="1"/>
      <c r="I221" s="1"/>
      <c r="J221" s="8"/>
      <c r="K221" s="8"/>
      <c r="L221" s="1"/>
      <c r="M221" s="1"/>
      <c r="N221" s="9"/>
      <c r="O221" s="10"/>
      <c r="P221" s="1"/>
      <c r="Q221" s="1"/>
      <c r="R221" s="1"/>
      <c r="S221" s="1"/>
      <c r="T221" s="1"/>
      <c r="U221" s="1"/>
    </row>
    <row r="222" spans="1:21" ht="15.75" customHeight="1">
      <c r="A222" s="1"/>
      <c r="B222" s="1"/>
      <c r="C222" s="1"/>
      <c r="D222" s="1"/>
      <c r="E222" s="1"/>
      <c r="F222" s="1"/>
      <c r="G222" s="18"/>
      <c r="H222" s="1"/>
      <c r="I222" s="1"/>
      <c r="J222" s="8"/>
      <c r="K222" s="8"/>
      <c r="L222" s="1"/>
      <c r="M222" s="1"/>
      <c r="N222" s="9"/>
      <c r="O222" s="10"/>
      <c r="P222" s="1"/>
      <c r="Q222" s="1"/>
      <c r="R222" s="1"/>
      <c r="S222" s="1"/>
      <c r="T222" s="1"/>
      <c r="U222" s="1"/>
    </row>
    <row r="223" spans="1:21" ht="15.75" customHeight="1">
      <c r="A223" s="1"/>
      <c r="B223" s="1"/>
      <c r="C223" s="1"/>
      <c r="D223" s="1"/>
      <c r="E223" s="1"/>
      <c r="F223" s="1"/>
      <c r="G223" s="18"/>
      <c r="H223" s="1"/>
      <c r="I223" s="1"/>
      <c r="J223" s="8"/>
      <c r="K223" s="8"/>
      <c r="L223" s="1"/>
      <c r="M223" s="1"/>
      <c r="N223" s="9"/>
      <c r="O223" s="10"/>
      <c r="P223" s="1"/>
      <c r="Q223" s="1"/>
      <c r="R223" s="1"/>
      <c r="S223" s="1"/>
      <c r="T223" s="1"/>
      <c r="U223" s="1"/>
    </row>
    <row r="224" spans="1:21" ht="15.75" customHeight="1">
      <c r="A224" s="1"/>
      <c r="B224" s="1"/>
      <c r="C224" s="1"/>
      <c r="D224" s="1"/>
      <c r="E224" s="1"/>
      <c r="F224" s="1"/>
      <c r="G224" s="18"/>
      <c r="H224" s="1"/>
      <c r="I224" s="1"/>
      <c r="J224" s="8"/>
      <c r="K224" s="8"/>
      <c r="L224" s="1"/>
      <c r="M224" s="1"/>
      <c r="N224" s="9"/>
      <c r="O224" s="10"/>
      <c r="P224" s="1"/>
      <c r="Q224" s="1"/>
      <c r="R224" s="1"/>
      <c r="S224" s="1"/>
      <c r="T224" s="1"/>
      <c r="U224" s="1"/>
    </row>
    <row r="225" spans="1:21" ht="15.75" customHeight="1">
      <c r="A225" s="1"/>
      <c r="B225" s="1"/>
      <c r="C225" s="1"/>
      <c r="D225" s="1"/>
      <c r="E225" s="1"/>
      <c r="F225" s="1"/>
      <c r="G225" s="18"/>
      <c r="H225" s="1"/>
      <c r="I225" s="1"/>
      <c r="J225" s="8"/>
      <c r="K225" s="8"/>
      <c r="L225" s="1"/>
      <c r="M225" s="1"/>
      <c r="N225" s="9"/>
      <c r="O225" s="10"/>
      <c r="P225" s="1"/>
      <c r="Q225" s="1"/>
      <c r="R225" s="1"/>
      <c r="S225" s="1"/>
      <c r="T225" s="1"/>
      <c r="U225" s="1"/>
    </row>
    <row r="226" spans="1:21" ht="15.75" customHeight="1">
      <c r="A226" s="1"/>
      <c r="B226" s="1"/>
      <c r="C226" s="1"/>
      <c r="D226" s="1"/>
      <c r="E226" s="1"/>
      <c r="F226" s="1"/>
      <c r="G226" s="18"/>
      <c r="H226" s="1"/>
      <c r="I226" s="1"/>
      <c r="J226" s="8"/>
      <c r="K226" s="8"/>
      <c r="L226" s="1"/>
      <c r="M226" s="1"/>
      <c r="N226" s="9"/>
      <c r="O226" s="10"/>
      <c r="P226" s="1"/>
      <c r="Q226" s="1"/>
      <c r="R226" s="1"/>
      <c r="S226" s="1"/>
      <c r="T226" s="1"/>
      <c r="U226" s="1"/>
    </row>
    <row r="227" spans="1:21" ht="15.75" customHeight="1">
      <c r="A227" s="1"/>
      <c r="B227" s="1"/>
      <c r="C227" s="1"/>
      <c r="D227" s="1"/>
      <c r="E227" s="1"/>
      <c r="F227" s="1"/>
      <c r="G227" s="18"/>
      <c r="H227" s="1"/>
      <c r="I227" s="1"/>
      <c r="J227" s="8"/>
      <c r="K227" s="8"/>
      <c r="L227" s="1"/>
      <c r="M227" s="1"/>
      <c r="N227" s="9"/>
      <c r="O227" s="10"/>
      <c r="P227" s="1"/>
      <c r="Q227" s="1"/>
      <c r="R227" s="1"/>
      <c r="S227" s="1"/>
      <c r="T227" s="1"/>
      <c r="U227" s="1"/>
    </row>
    <row r="228" spans="1:21" ht="15.75" customHeight="1">
      <c r="A228" s="1"/>
      <c r="B228" s="1"/>
      <c r="C228" s="1"/>
      <c r="D228" s="1"/>
      <c r="E228" s="1"/>
      <c r="F228" s="1"/>
      <c r="G228" s="18"/>
      <c r="H228" s="1"/>
      <c r="I228" s="1"/>
      <c r="J228" s="8"/>
      <c r="K228" s="8"/>
      <c r="L228" s="1"/>
      <c r="M228" s="1"/>
      <c r="N228" s="9"/>
      <c r="O228" s="10"/>
      <c r="P228" s="1"/>
      <c r="Q228" s="1"/>
      <c r="R228" s="1"/>
      <c r="S228" s="1"/>
      <c r="T228" s="1"/>
      <c r="U228" s="1"/>
    </row>
    <row r="229" spans="1:21" ht="15.75" customHeight="1">
      <c r="A229" s="1"/>
      <c r="B229" s="1"/>
      <c r="C229" s="1"/>
      <c r="D229" s="1"/>
      <c r="E229" s="1"/>
      <c r="F229" s="1"/>
      <c r="G229" s="18"/>
      <c r="H229" s="1"/>
      <c r="I229" s="1"/>
      <c r="J229" s="8"/>
      <c r="K229" s="8"/>
      <c r="L229" s="1"/>
      <c r="M229" s="1"/>
      <c r="N229" s="9"/>
      <c r="O229" s="10"/>
      <c r="P229" s="1"/>
      <c r="Q229" s="1"/>
      <c r="R229" s="1"/>
      <c r="S229" s="1"/>
      <c r="T229" s="1"/>
      <c r="U229" s="1"/>
    </row>
    <row r="230" spans="1:21" ht="15.75" customHeight="1">
      <c r="A230" s="1"/>
      <c r="B230" s="1"/>
      <c r="C230" s="1"/>
      <c r="D230" s="1"/>
      <c r="E230" s="1"/>
      <c r="F230" s="1"/>
      <c r="G230" s="18"/>
      <c r="H230" s="1"/>
      <c r="I230" s="1"/>
      <c r="J230" s="8"/>
      <c r="K230" s="8"/>
      <c r="L230" s="1"/>
      <c r="M230" s="1"/>
      <c r="N230" s="9"/>
      <c r="O230" s="10"/>
      <c r="P230" s="1"/>
      <c r="Q230" s="1"/>
      <c r="R230" s="1"/>
      <c r="S230" s="1"/>
      <c r="T230" s="1"/>
      <c r="U230" s="1"/>
    </row>
    <row r="231" spans="1:21" ht="15.75" customHeight="1">
      <c r="A231" s="1"/>
      <c r="B231" s="1"/>
      <c r="C231" s="1"/>
      <c r="D231" s="1"/>
      <c r="E231" s="1"/>
      <c r="F231" s="1"/>
      <c r="G231" s="18"/>
      <c r="H231" s="1"/>
      <c r="I231" s="1"/>
      <c r="J231" s="8"/>
      <c r="K231" s="8"/>
      <c r="L231" s="1"/>
      <c r="M231" s="1"/>
      <c r="N231" s="9"/>
      <c r="O231" s="10"/>
      <c r="P231" s="1"/>
      <c r="Q231" s="1"/>
      <c r="R231" s="1"/>
      <c r="S231" s="1"/>
      <c r="T231" s="1"/>
      <c r="U231" s="1"/>
    </row>
    <row r="232" spans="1:21" ht="15.75" customHeight="1">
      <c r="A232" s="1"/>
      <c r="B232" s="1"/>
      <c r="C232" s="1"/>
      <c r="D232" s="1"/>
      <c r="E232" s="1"/>
      <c r="F232" s="1"/>
      <c r="G232" s="18"/>
      <c r="H232" s="1"/>
      <c r="I232" s="1"/>
      <c r="J232" s="8"/>
      <c r="K232" s="8"/>
      <c r="L232" s="1"/>
      <c r="M232" s="1"/>
      <c r="N232" s="9"/>
      <c r="O232" s="10"/>
      <c r="P232" s="1"/>
      <c r="Q232" s="1"/>
      <c r="R232" s="1"/>
      <c r="S232" s="1"/>
      <c r="T232" s="1"/>
      <c r="U232" s="1"/>
    </row>
    <row r="233" spans="1:21" ht="15.75" customHeight="1">
      <c r="A233" s="1"/>
      <c r="B233" s="1"/>
      <c r="C233" s="1"/>
      <c r="D233" s="1"/>
      <c r="E233" s="1"/>
      <c r="F233" s="1"/>
      <c r="G233" s="18"/>
      <c r="H233" s="1"/>
      <c r="I233" s="1"/>
      <c r="J233" s="8"/>
      <c r="K233" s="8"/>
      <c r="L233" s="1"/>
      <c r="M233" s="1"/>
      <c r="N233" s="9"/>
      <c r="O233" s="10"/>
      <c r="P233" s="1"/>
      <c r="Q233" s="1"/>
      <c r="R233" s="1"/>
      <c r="S233" s="1"/>
      <c r="T233" s="1"/>
      <c r="U233" s="1"/>
    </row>
    <row r="234" spans="1:21" ht="15.75" customHeight="1">
      <c r="A234" s="1"/>
      <c r="B234" s="1"/>
      <c r="C234" s="1"/>
      <c r="D234" s="1"/>
      <c r="E234" s="1"/>
      <c r="F234" s="1"/>
      <c r="G234" s="18"/>
      <c r="H234" s="1"/>
      <c r="I234" s="1"/>
      <c r="J234" s="8"/>
      <c r="K234" s="8"/>
      <c r="L234" s="1"/>
      <c r="M234" s="1"/>
      <c r="N234" s="9"/>
      <c r="O234" s="10"/>
      <c r="P234" s="1"/>
      <c r="Q234" s="1"/>
      <c r="R234" s="1"/>
      <c r="S234" s="1"/>
      <c r="T234" s="1"/>
      <c r="U234" s="1"/>
    </row>
    <row r="235" spans="1:21" ht="15.75" customHeight="1">
      <c r="A235" s="1"/>
      <c r="B235" s="1"/>
      <c r="C235" s="1"/>
      <c r="D235" s="1"/>
      <c r="E235" s="1"/>
      <c r="F235" s="1"/>
      <c r="G235" s="18"/>
      <c r="H235" s="1"/>
      <c r="I235" s="1"/>
      <c r="J235" s="8"/>
      <c r="K235" s="8"/>
      <c r="L235" s="1"/>
      <c r="M235" s="1"/>
      <c r="N235" s="9"/>
      <c r="O235" s="10"/>
      <c r="P235" s="1"/>
      <c r="Q235" s="1"/>
      <c r="R235" s="1"/>
      <c r="S235" s="1"/>
      <c r="T235" s="1"/>
      <c r="U235" s="1"/>
    </row>
    <row r="236" spans="1:21" ht="15.75" customHeight="1">
      <c r="A236" s="1"/>
      <c r="B236" s="1"/>
      <c r="C236" s="1"/>
      <c r="D236" s="1"/>
      <c r="E236" s="1"/>
      <c r="F236" s="1"/>
      <c r="G236" s="18"/>
      <c r="H236" s="1"/>
      <c r="I236" s="1"/>
      <c r="J236" s="8"/>
      <c r="K236" s="8"/>
      <c r="L236" s="1"/>
      <c r="M236" s="1"/>
      <c r="N236" s="9"/>
      <c r="O236" s="10"/>
      <c r="P236" s="1"/>
      <c r="Q236" s="1"/>
      <c r="R236" s="1"/>
      <c r="S236" s="1"/>
      <c r="T236" s="1"/>
      <c r="U236" s="1"/>
    </row>
    <row r="237" spans="1:21" ht="15.75" customHeight="1">
      <c r="A237" s="1"/>
      <c r="B237" s="1"/>
      <c r="C237" s="1"/>
      <c r="D237" s="1"/>
      <c r="E237" s="1"/>
      <c r="F237" s="1"/>
      <c r="G237" s="18"/>
      <c r="H237" s="1"/>
      <c r="I237" s="1"/>
      <c r="J237" s="8"/>
      <c r="K237" s="8"/>
      <c r="L237" s="1"/>
      <c r="M237" s="1"/>
      <c r="N237" s="9"/>
      <c r="O237" s="10"/>
      <c r="P237" s="1"/>
      <c r="Q237" s="1"/>
      <c r="R237" s="1"/>
      <c r="S237" s="1"/>
      <c r="T237" s="1"/>
      <c r="U237" s="1"/>
    </row>
    <row r="238" spans="1:21" ht="15.75" customHeight="1">
      <c r="A238" s="1"/>
      <c r="B238" s="1"/>
      <c r="C238" s="1"/>
      <c r="D238" s="1"/>
      <c r="E238" s="1"/>
      <c r="F238" s="1"/>
      <c r="G238" s="18"/>
      <c r="H238" s="1"/>
      <c r="I238" s="1"/>
      <c r="J238" s="8"/>
      <c r="K238" s="8"/>
      <c r="L238" s="1"/>
      <c r="M238" s="1"/>
      <c r="N238" s="9"/>
      <c r="O238" s="10"/>
      <c r="P238" s="1"/>
      <c r="Q238" s="1"/>
      <c r="R238" s="1"/>
      <c r="S238" s="1"/>
      <c r="T238" s="1"/>
      <c r="U238" s="1"/>
    </row>
    <row r="239" spans="1:21" ht="15.75" customHeight="1">
      <c r="A239" s="1"/>
      <c r="B239" s="1"/>
      <c r="C239" s="1"/>
      <c r="D239" s="1"/>
      <c r="E239" s="1"/>
      <c r="F239" s="1"/>
      <c r="G239" s="18"/>
      <c r="H239" s="1"/>
      <c r="I239" s="1"/>
      <c r="J239" s="8"/>
      <c r="K239" s="8"/>
      <c r="L239" s="1"/>
      <c r="M239" s="1"/>
      <c r="N239" s="9"/>
      <c r="O239" s="10"/>
      <c r="P239" s="1"/>
      <c r="Q239" s="1"/>
      <c r="R239" s="1"/>
      <c r="S239" s="1"/>
      <c r="T239" s="1"/>
      <c r="U239" s="1"/>
    </row>
    <row r="240" spans="1:21" ht="15.75" customHeight="1">
      <c r="A240" s="1"/>
      <c r="B240" s="1"/>
      <c r="C240" s="1"/>
      <c r="D240" s="1"/>
      <c r="E240" s="1"/>
      <c r="F240" s="1"/>
      <c r="G240" s="18"/>
      <c r="H240" s="1"/>
      <c r="I240" s="1"/>
      <c r="J240" s="8"/>
      <c r="K240" s="8"/>
      <c r="L240" s="1"/>
      <c r="M240" s="1"/>
      <c r="N240" s="9"/>
      <c r="O240" s="10"/>
      <c r="P240" s="1"/>
      <c r="Q240" s="1"/>
      <c r="R240" s="1"/>
      <c r="S240" s="1"/>
      <c r="T240" s="1"/>
      <c r="U240" s="1"/>
    </row>
    <row r="241" spans="1:21" ht="15.75" customHeight="1">
      <c r="A241" s="1"/>
      <c r="B241" s="1"/>
      <c r="C241" s="1"/>
      <c r="D241" s="1"/>
      <c r="E241" s="1"/>
      <c r="F241" s="1"/>
      <c r="G241" s="18"/>
      <c r="H241" s="1"/>
      <c r="I241" s="1"/>
      <c r="J241" s="8"/>
      <c r="K241" s="8"/>
      <c r="L241" s="1"/>
      <c r="M241" s="1"/>
      <c r="N241" s="9"/>
      <c r="O241" s="10"/>
      <c r="P241" s="1"/>
      <c r="Q241" s="1"/>
      <c r="R241" s="1"/>
      <c r="S241" s="1"/>
      <c r="T241" s="1"/>
      <c r="U241" s="1"/>
    </row>
    <row r="242" spans="1:21" ht="15.75" customHeight="1">
      <c r="A242" s="1"/>
      <c r="B242" s="1"/>
      <c r="C242" s="1"/>
      <c r="D242" s="1"/>
      <c r="E242" s="1"/>
      <c r="F242" s="1"/>
      <c r="G242" s="18"/>
      <c r="H242" s="1"/>
      <c r="I242" s="1"/>
      <c r="J242" s="8"/>
      <c r="K242" s="8"/>
      <c r="L242" s="1"/>
      <c r="M242" s="1"/>
      <c r="N242" s="9"/>
      <c r="O242" s="10"/>
      <c r="P242" s="1"/>
      <c r="Q242" s="1"/>
      <c r="R242" s="1"/>
      <c r="S242" s="1"/>
      <c r="T242" s="1"/>
      <c r="U242" s="1"/>
    </row>
    <row r="243" spans="1:21" ht="15.75" customHeight="1">
      <c r="A243" s="1"/>
      <c r="B243" s="1"/>
      <c r="C243" s="1"/>
      <c r="D243" s="1"/>
      <c r="E243" s="1"/>
      <c r="F243" s="1"/>
      <c r="G243" s="18"/>
      <c r="H243" s="1"/>
      <c r="I243" s="1"/>
      <c r="J243" s="8"/>
      <c r="K243" s="8"/>
      <c r="L243" s="1"/>
      <c r="M243" s="1"/>
      <c r="N243" s="9"/>
      <c r="O243" s="10"/>
      <c r="P243" s="1"/>
      <c r="Q243" s="1"/>
      <c r="R243" s="1"/>
      <c r="S243" s="1"/>
      <c r="T243" s="1"/>
      <c r="U243" s="1"/>
    </row>
    <row r="244" spans="1:21" ht="15.75" customHeight="1">
      <c r="A244" s="1"/>
      <c r="B244" s="1"/>
      <c r="C244" s="1"/>
      <c r="D244" s="1"/>
      <c r="E244" s="1"/>
      <c r="F244" s="1"/>
      <c r="G244" s="18"/>
      <c r="H244" s="1"/>
      <c r="I244" s="1"/>
      <c r="J244" s="8"/>
      <c r="K244" s="8"/>
      <c r="L244" s="1"/>
      <c r="M244" s="1"/>
      <c r="N244" s="9"/>
      <c r="O244" s="10"/>
      <c r="P244" s="1"/>
      <c r="Q244" s="1"/>
      <c r="R244" s="1"/>
      <c r="S244" s="1"/>
      <c r="T244" s="1"/>
      <c r="U244" s="1"/>
    </row>
    <row r="245" spans="1:21" ht="15.75" customHeight="1">
      <c r="A245" s="1"/>
      <c r="B245" s="1"/>
      <c r="C245" s="1"/>
      <c r="D245" s="1"/>
      <c r="E245" s="1"/>
      <c r="F245" s="1"/>
      <c r="G245" s="18"/>
      <c r="H245" s="1"/>
      <c r="I245" s="1"/>
      <c r="J245" s="8"/>
      <c r="K245" s="8"/>
      <c r="L245" s="1"/>
      <c r="M245" s="1"/>
      <c r="N245" s="9"/>
      <c r="O245" s="10"/>
      <c r="P245" s="1"/>
      <c r="Q245" s="1"/>
      <c r="R245" s="1"/>
      <c r="S245" s="1"/>
      <c r="T245" s="1"/>
      <c r="U245" s="1"/>
    </row>
    <row r="246" spans="1:21" ht="15.75" customHeight="1">
      <c r="A246" s="1"/>
      <c r="B246" s="1"/>
      <c r="C246" s="1"/>
      <c r="D246" s="1"/>
      <c r="E246" s="1"/>
      <c r="F246" s="1"/>
      <c r="G246" s="18"/>
      <c r="H246" s="1"/>
      <c r="I246" s="1"/>
      <c r="J246" s="8"/>
      <c r="K246" s="8"/>
      <c r="L246" s="1"/>
      <c r="M246" s="1"/>
      <c r="N246" s="9"/>
      <c r="O246" s="10"/>
      <c r="P246" s="1"/>
      <c r="Q246" s="1"/>
      <c r="R246" s="1"/>
      <c r="S246" s="1"/>
      <c r="T246" s="1"/>
      <c r="U246" s="1"/>
    </row>
    <row r="247" spans="1:21" ht="15.75" customHeight="1">
      <c r="A247" s="1"/>
      <c r="B247" s="1"/>
      <c r="C247" s="1"/>
      <c r="D247" s="1"/>
      <c r="E247" s="1"/>
      <c r="F247" s="1"/>
      <c r="G247" s="18"/>
      <c r="H247" s="1"/>
      <c r="I247" s="1"/>
      <c r="J247" s="8"/>
      <c r="K247" s="8"/>
      <c r="L247" s="1"/>
      <c r="M247" s="1"/>
      <c r="N247" s="9"/>
      <c r="O247" s="10"/>
      <c r="P247" s="1"/>
      <c r="Q247" s="1"/>
      <c r="R247" s="1"/>
      <c r="S247" s="1"/>
      <c r="T247" s="1"/>
      <c r="U247" s="1"/>
    </row>
    <row r="248" spans="1:21" ht="15.75" customHeight="1">
      <c r="A248" s="1"/>
      <c r="B248" s="1"/>
      <c r="C248" s="1"/>
      <c r="D248" s="1"/>
      <c r="E248" s="1"/>
      <c r="F248" s="1"/>
      <c r="G248" s="18"/>
      <c r="H248" s="1"/>
      <c r="I248" s="1"/>
      <c r="J248" s="8"/>
      <c r="K248" s="8"/>
      <c r="L248" s="1"/>
      <c r="M248" s="1"/>
      <c r="N248" s="9"/>
      <c r="O248" s="10"/>
      <c r="P248" s="1"/>
      <c r="Q248" s="1"/>
      <c r="R248" s="1"/>
      <c r="S248" s="1"/>
      <c r="T248" s="1"/>
      <c r="U248" s="1"/>
    </row>
    <row r="249" spans="1:21" ht="15.75" customHeight="1">
      <c r="A249" s="1"/>
      <c r="B249" s="1"/>
      <c r="C249" s="1"/>
      <c r="D249" s="1"/>
      <c r="E249" s="1"/>
      <c r="F249" s="1"/>
      <c r="G249" s="18"/>
      <c r="H249" s="1"/>
      <c r="I249" s="1"/>
      <c r="J249" s="8"/>
      <c r="K249" s="8"/>
      <c r="L249" s="1"/>
      <c r="M249" s="1"/>
      <c r="N249" s="9"/>
      <c r="O249" s="10"/>
      <c r="P249" s="1"/>
      <c r="Q249" s="1"/>
      <c r="R249" s="1"/>
      <c r="S249" s="1"/>
      <c r="T249" s="1"/>
      <c r="U249" s="1"/>
    </row>
    <row r="250" spans="1:21" ht="15.75" customHeight="1">
      <c r="A250" s="1"/>
      <c r="B250" s="1"/>
      <c r="C250" s="1"/>
      <c r="D250" s="1"/>
      <c r="E250" s="1"/>
      <c r="F250" s="1"/>
      <c r="G250" s="18"/>
      <c r="H250" s="1"/>
      <c r="I250" s="1"/>
      <c r="J250" s="8"/>
      <c r="K250" s="8"/>
      <c r="L250" s="1"/>
      <c r="M250" s="1"/>
      <c r="N250" s="9"/>
      <c r="O250" s="10"/>
      <c r="P250" s="1"/>
      <c r="Q250" s="1"/>
      <c r="R250" s="1"/>
      <c r="S250" s="1"/>
      <c r="T250" s="1"/>
      <c r="U250" s="1"/>
    </row>
    <row r="251" spans="1:21" ht="15.75" customHeight="1">
      <c r="A251" s="1"/>
      <c r="B251" s="1"/>
      <c r="C251" s="1"/>
      <c r="D251" s="1"/>
      <c r="E251" s="1"/>
      <c r="F251" s="1"/>
      <c r="G251" s="18"/>
      <c r="H251" s="1"/>
      <c r="I251" s="1"/>
      <c r="J251" s="8"/>
      <c r="K251" s="8"/>
      <c r="L251" s="1"/>
      <c r="M251" s="1"/>
      <c r="N251" s="9"/>
      <c r="O251" s="10"/>
      <c r="P251" s="1"/>
      <c r="Q251" s="1"/>
      <c r="R251" s="1"/>
      <c r="S251" s="1"/>
      <c r="T251" s="1"/>
      <c r="U251" s="1"/>
    </row>
    <row r="252" spans="1:21" ht="15.75" customHeight="1">
      <c r="A252" s="1"/>
      <c r="B252" s="1"/>
      <c r="C252" s="1"/>
      <c r="D252" s="1"/>
      <c r="E252" s="1"/>
      <c r="F252" s="1"/>
      <c r="G252" s="18"/>
      <c r="H252" s="1"/>
      <c r="I252" s="1"/>
      <c r="J252" s="8"/>
      <c r="K252" s="8"/>
      <c r="L252" s="1"/>
      <c r="M252" s="1"/>
      <c r="N252" s="9"/>
      <c r="O252" s="10"/>
      <c r="P252" s="1"/>
      <c r="Q252" s="1"/>
      <c r="R252" s="1"/>
      <c r="S252" s="1"/>
      <c r="T252" s="1"/>
      <c r="U252" s="1"/>
    </row>
    <row r="253" spans="1:21" ht="15.75" customHeight="1">
      <c r="A253" s="1"/>
      <c r="B253" s="1"/>
      <c r="C253" s="1"/>
      <c r="D253" s="1"/>
      <c r="E253" s="1"/>
      <c r="F253" s="1"/>
      <c r="G253" s="18"/>
      <c r="H253" s="1"/>
      <c r="I253" s="1"/>
      <c r="J253" s="8"/>
      <c r="K253" s="8"/>
      <c r="L253" s="1"/>
      <c r="M253" s="1"/>
      <c r="N253" s="9"/>
      <c r="O253" s="10"/>
      <c r="P253" s="1"/>
      <c r="Q253" s="1"/>
      <c r="R253" s="1"/>
      <c r="S253" s="1"/>
      <c r="T253" s="1"/>
      <c r="U253" s="1"/>
    </row>
    <row r="254" spans="1:21" ht="15.75" customHeight="1">
      <c r="A254" s="1"/>
      <c r="B254" s="1"/>
      <c r="C254" s="1"/>
      <c r="D254" s="1"/>
      <c r="E254" s="1"/>
      <c r="F254" s="1"/>
      <c r="G254" s="18"/>
      <c r="H254" s="1"/>
      <c r="I254" s="1"/>
      <c r="J254" s="8"/>
      <c r="K254" s="8"/>
      <c r="L254" s="1"/>
      <c r="M254" s="1"/>
      <c r="N254" s="9"/>
      <c r="O254" s="10"/>
      <c r="P254" s="1"/>
      <c r="Q254" s="1"/>
      <c r="R254" s="1"/>
      <c r="S254" s="1"/>
      <c r="T254" s="1"/>
      <c r="U254" s="1"/>
    </row>
    <row r="255" spans="1:21" ht="15.75" customHeight="1">
      <c r="A255" s="1"/>
      <c r="B255" s="1"/>
      <c r="C255" s="1"/>
      <c r="D255" s="1"/>
      <c r="E255" s="1"/>
      <c r="F255" s="1"/>
      <c r="G255" s="18"/>
      <c r="H255" s="1"/>
      <c r="I255" s="1"/>
      <c r="J255" s="8"/>
      <c r="K255" s="8"/>
      <c r="L255" s="1"/>
      <c r="M255" s="1"/>
      <c r="N255" s="9"/>
      <c r="O255" s="10"/>
      <c r="P255" s="1"/>
      <c r="Q255" s="1"/>
      <c r="R255" s="1"/>
      <c r="S255" s="1"/>
      <c r="T255" s="1"/>
      <c r="U255" s="1"/>
    </row>
    <row r="256" spans="1:21" ht="15.75" customHeight="1">
      <c r="A256" s="1"/>
      <c r="B256" s="1"/>
      <c r="C256" s="1"/>
      <c r="D256" s="1"/>
      <c r="E256" s="1"/>
      <c r="F256" s="1"/>
      <c r="G256" s="18"/>
      <c r="H256" s="1"/>
      <c r="I256" s="1"/>
      <c r="J256" s="8"/>
      <c r="K256" s="8"/>
      <c r="L256" s="1"/>
      <c r="M256" s="1"/>
      <c r="N256" s="9"/>
      <c r="O256" s="10"/>
      <c r="P256" s="1"/>
      <c r="Q256" s="1"/>
      <c r="R256" s="1"/>
      <c r="S256" s="1"/>
      <c r="T256" s="1"/>
      <c r="U256" s="1"/>
    </row>
    <row r="257" spans="1:21" ht="15.75" customHeight="1">
      <c r="A257" s="1"/>
      <c r="B257" s="1"/>
      <c r="C257" s="1"/>
      <c r="D257" s="1"/>
      <c r="E257" s="1"/>
      <c r="F257" s="1"/>
      <c r="G257" s="18"/>
      <c r="H257" s="1"/>
      <c r="I257" s="1"/>
      <c r="J257" s="8"/>
      <c r="K257" s="8"/>
      <c r="L257" s="1"/>
      <c r="M257" s="1"/>
      <c r="N257" s="9"/>
      <c r="O257" s="10"/>
      <c r="P257" s="1"/>
      <c r="Q257" s="1"/>
      <c r="R257" s="1"/>
      <c r="S257" s="1"/>
      <c r="T257" s="1"/>
      <c r="U257" s="1"/>
    </row>
    <row r="258" spans="1:21" ht="15.75" customHeight="1">
      <c r="A258" s="1"/>
      <c r="B258" s="1"/>
      <c r="C258" s="1"/>
      <c r="D258" s="1"/>
      <c r="E258" s="1"/>
      <c r="F258" s="1"/>
      <c r="G258" s="18"/>
      <c r="H258" s="1"/>
      <c r="I258" s="1"/>
      <c r="J258" s="8"/>
      <c r="K258" s="8"/>
      <c r="L258" s="1"/>
      <c r="M258" s="1"/>
      <c r="N258" s="9"/>
      <c r="O258" s="10"/>
      <c r="P258" s="1"/>
      <c r="Q258" s="1"/>
      <c r="R258" s="1"/>
      <c r="S258" s="1"/>
      <c r="T258" s="1"/>
      <c r="U258" s="1"/>
    </row>
    <row r="259" spans="1:21" ht="15.75" customHeight="1">
      <c r="A259" s="1"/>
      <c r="B259" s="1"/>
      <c r="C259" s="1"/>
      <c r="D259" s="1"/>
      <c r="E259" s="1"/>
      <c r="F259" s="1"/>
      <c r="G259" s="18"/>
      <c r="H259" s="1"/>
      <c r="I259" s="1"/>
      <c r="J259" s="8"/>
      <c r="K259" s="8"/>
      <c r="L259" s="1"/>
      <c r="M259" s="1"/>
      <c r="N259" s="9"/>
      <c r="O259" s="10"/>
      <c r="P259" s="1"/>
      <c r="Q259" s="1"/>
      <c r="R259" s="1"/>
      <c r="S259" s="1"/>
      <c r="T259" s="1"/>
      <c r="U259" s="1"/>
    </row>
    <row r="260" spans="1:21" ht="15.75" customHeight="1">
      <c r="A260" s="1"/>
      <c r="B260" s="1"/>
      <c r="C260" s="1"/>
      <c r="D260" s="1"/>
      <c r="E260" s="1"/>
      <c r="F260" s="1"/>
      <c r="G260" s="18"/>
      <c r="H260" s="1"/>
      <c r="I260" s="1"/>
      <c r="J260" s="8"/>
      <c r="K260" s="8"/>
      <c r="L260" s="1"/>
      <c r="M260" s="1"/>
      <c r="N260" s="9"/>
      <c r="O260" s="10"/>
      <c r="P260" s="1"/>
      <c r="Q260" s="1"/>
      <c r="R260" s="1"/>
      <c r="S260" s="1"/>
      <c r="T260" s="1"/>
      <c r="U260" s="1"/>
    </row>
    <row r="261" spans="1:21" ht="15.75" customHeight="1">
      <c r="A261" s="1"/>
      <c r="B261" s="1"/>
      <c r="C261" s="1"/>
      <c r="D261" s="1"/>
      <c r="E261" s="1"/>
      <c r="F261" s="1"/>
      <c r="G261" s="18"/>
      <c r="H261" s="1"/>
      <c r="I261" s="1"/>
      <c r="J261" s="8"/>
      <c r="K261" s="8"/>
      <c r="L261" s="1"/>
      <c r="M261" s="1"/>
      <c r="N261" s="9"/>
      <c r="O261" s="10"/>
      <c r="P261" s="1"/>
      <c r="Q261" s="1"/>
      <c r="R261" s="1"/>
      <c r="S261" s="1"/>
      <c r="T261" s="1"/>
      <c r="U261" s="1"/>
    </row>
    <row r="262" spans="1:21" ht="15.75" customHeight="1">
      <c r="A262" s="1"/>
      <c r="B262" s="1"/>
      <c r="C262" s="1"/>
      <c r="D262" s="1"/>
      <c r="E262" s="1"/>
      <c r="F262" s="1"/>
      <c r="G262" s="18"/>
      <c r="H262" s="1"/>
      <c r="I262" s="1"/>
      <c r="J262" s="8"/>
      <c r="K262" s="8"/>
      <c r="L262" s="1"/>
      <c r="M262" s="1"/>
      <c r="N262" s="9"/>
      <c r="O262" s="10"/>
      <c r="P262" s="1"/>
      <c r="Q262" s="1"/>
      <c r="R262" s="1"/>
      <c r="S262" s="1"/>
      <c r="T262" s="1"/>
      <c r="U262" s="1"/>
    </row>
    <row r="263" spans="1:21" ht="15.75" customHeight="1">
      <c r="A263" s="1"/>
      <c r="B263" s="1"/>
      <c r="C263" s="1"/>
      <c r="D263" s="1"/>
      <c r="E263" s="1"/>
      <c r="F263" s="1"/>
      <c r="G263" s="18"/>
      <c r="H263" s="1"/>
      <c r="I263" s="1"/>
      <c r="J263" s="8"/>
      <c r="K263" s="8"/>
      <c r="L263" s="1"/>
      <c r="M263" s="1"/>
      <c r="N263" s="9"/>
      <c r="O263" s="10"/>
      <c r="P263" s="1"/>
      <c r="Q263" s="1"/>
      <c r="R263" s="1"/>
      <c r="S263" s="1"/>
      <c r="T263" s="1"/>
      <c r="U263" s="1"/>
    </row>
    <row r="264" spans="1:21" ht="15.75" customHeight="1">
      <c r="A264" s="1"/>
      <c r="B264" s="1"/>
      <c r="C264" s="1"/>
      <c r="D264" s="1"/>
      <c r="E264" s="1"/>
      <c r="F264" s="1"/>
      <c r="G264" s="18"/>
      <c r="H264" s="1"/>
      <c r="I264" s="1"/>
      <c r="J264" s="8"/>
      <c r="K264" s="8"/>
      <c r="L264" s="1"/>
      <c r="M264" s="1"/>
      <c r="N264" s="9"/>
      <c r="O264" s="10"/>
      <c r="P264" s="1"/>
      <c r="Q264" s="1"/>
      <c r="R264" s="1"/>
      <c r="S264" s="1"/>
      <c r="T264" s="1"/>
      <c r="U264" s="1"/>
    </row>
    <row r="265" spans="1:21" ht="15.75" customHeight="1">
      <c r="A265" s="1"/>
      <c r="B265" s="1"/>
      <c r="C265" s="1"/>
      <c r="D265" s="1"/>
      <c r="E265" s="1"/>
      <c r="F265" s="1"/>
      <c r="G265" s="18"/>
      <c r="H265" s="1"/>
      <c r="I265" s="1"/>
      <c r="J265" s="8"/>
      <c r="K265" s="8"/>
      <c r="L265" s="1"/>
      <c r="M265" s="1"/>
      <c r="N265" s="9"/>
      <c r="O265" s="10"/>
      <c r="P265" s="1"/>
      <c r="Q265" s="1"/>
      <c r="R265" s="1"/>
      <c r="S265" s="1"/>
      <c r="T265" s="1"/>
      <c r="U265" s="1"/>
    </row>
    <row r="266" spans="1:21" ht="15.75" customHeight="1">
      <c r="A266" s="1"/>
      <c r="B266" s="1"/>
      <c r="C266" s="1"/>
      <c r="D266" s="1"/>
      <c r="E266" s="1"/>
      <c r="F266" s="1"/>
      <c r="G266" s="18"/>
      <c r="H266" s="1"/>
      <c r="I266" s="1"/>
      <c r="J266" s="8"/>
      <c r="K266" s="8"/>
      <c r="L266" s="1"/>
      <c r="M266" s="1"/>
      <c r="N266" s="9"/>
      <c r="O266" s="10"/>
      <c r="P266" s="1"/>
      <c r="Q266" s="1"/>
      <c r="R266" s="1"/>
      <c r="S266" s="1"/>
      <c r="T266" s="1"/>
      <c r="U266" s="1"/>
    </row>
    <row r="267" spans="1:21" ht="15.75" customHeight="1">
      <c r="A267" s="1"/>
      <c r="B267" s="1"/>
      <c r="C267" s="1"/>
      <c r="D267" s="1"/>
      <c r="E267" s="1"/>
      <c r="F267" s="1"/>
      <c r="G267" s="18"/>
      <c r="H267" s="1"/>
      <c r="I267" s="1"/>
      <c r="J267" s="8"/>
      <c r="K267" s="8"/>
      <c r="L267" s="1"/>
      <c r="M267" s="1"/>
      <c r="N267" s="9"/>
      <c r="O267" s="10"/>
      <c r="P267" s="1"/>
      <c r="Q267" s="1"/>
      <c r="R267" s="1"/>
      <c r="S267" s="1"/>
      <c r="T267" s="1"/>
      <c r="U267" s="1"/>
    </row>
    <row r="268" spans="1:21" ht="15.75" customHeight="1">
      <c r="A268" s="1"/>
      <c r="B268" s="1"/>
      <c r="C268" s="1"/>
      <c r="D268" s="1"/>
      <c r="E268" s="1"/>
      <c r="F268" s="1"/>
      <c r="G268" s="18"/>
      <c r="H268" s="1"/>
      <c r="I268" s="1"/>
      <c r="J268" s="8"/>
      <c r="K268" s="8"/>
      <c r="L268" s="1"/>
      <c r="M268" s="1"/>
      <c r="N268" s="9"/>
      <c r="O268" s="10"/>
      <c r="P268" s="1"/>
      <c r="Q268" s="1"/>
      <c r="R268" s="1"/>
      <c r="S268" s="1"/>
      <c r="T268" s="1"/>
      <c r="U268" s="1"/>
    </row>
    <row r="269" spans="1:21" ht="15.75" customHeight="1">
      <c r="A269" s="1"/>
      <c r="B269" s="1"/>
      <c r="C269" s="1"/>
      <c r="D269" s="1"/>
      <c r="E269" s="1"/>
      <c r="F269" s="1"/>
      <c r="G269" s="18"/>
      <c r="H269" s="1"/>
      <c r="I269" s="1"/>
      <c r="J269" s="8"/>
      <c r="K269" s="8"/>
      <c r="L269" s="1"/>
      <c r="M269" s="1"/>
      <c r="N269" s="9"/>
      <c r="O269" s="10"/>
      <c r="P269" s="1"/>
      <c r="Q269" s="1"/>
      <c r="R269" s="1"/>
      <c r="S269" s="1"/>
      <c r="T269" s="1"/>
      <c r="U269" s="1"/>
    </row>
    <row r="270" spans="1:21" ht="15.75" customHeight="1">
      <c r="A270" s="1"/>
      <c r="B270" s="1"/>
      <c r="C270" s="1"/>
      <c r="D270" s="1"/>
      <c r="E270" s="1"/>
      <c r="F270" s="1"/>
      <c r="G270" s="18"/>
      <c r="H270" s="1"/>
      <c r="I270" s="1"/>
      <c r="J270" s="8"/>
      <c r="K270" s="8"/>
      <c r="L270" s="1"/>
      <c r="M270" s="1"/>
      <c r="N270" s="9"/>
      <c r="O270" s="10"/>
      <c r="P270" s="1"/>
      <c r="Q270" s="1"/>
      <c r="R270" s="1"/>
      <c r="S270" s="1"/>
      <c r="T270" s="1"/>
      <c r="U270" s="1"/>
    </row>
    <row r="271" spans="1:21" ht="15.75" customHeight="1">
      <c r="A271" s="1"/>
      <c r="B271" s="1"/>
      <c r="C271" s="1"/>
      <c r="D271" s="1"/>
      <c r="E271" s="1"/>
      <c r="F271" s="1"/>
      <c r="G271" s="18"/>
      <c r="H271" s="1"/>
      <c r="I271" s="1"/>
      <c r="J271" s="8"/>
      <c r="K271" s="8"/>
      <c r="L271" s="1"/>
      <c r="M271" s="1"/>
      <c r="N271" s="9"/>
      <c r="O271" s="10"/>
      <c r="P271" s="1"/>
      <c r="Q271" s="1"/>
      <c r="R271" s="1"/>
      <c r="S271" s="1"/>
      <c r="T271" s="1"/>
      <c r="U271" s="1"/>
    </row>
    <row r="272" spans="1:21" ht="15.75" customHeight="1">
      <c r="A272" s="1"/>
      <c r="B272" s="1"/>
      <c r="C272" s="1"/>
      <c r="D272" s="1"/>
      <c r="E272" s="1"/>
      <c r="F272" s="1"/>
      <c r="G272" s="18"/>
      <c r="H272" s="1"/>
      <c r="I272" s="1"/>
      <c r="J272" s="8"/>
      <c r="K272" s="8"/>
      <c r="L272" s="1"/>
      <c r="M272" s="1"/>
      <c r="N272" s="9"/>
      <c r="O272" s="10"/>
      <c r="P272" s="1"/>
      <c r="Q272" s="1"/>
      <c r="R272" s="1"/>
      <c r="S272" s="1"/>
      <c r="T272" s="1"/>
      <c r="U272" s="1"/>
    </row>
    <row r="273" spans="1:21" ht="15.75" customHeight="1">
      <c r="A273" s="1"/>
      <c r="B273" s="1"/>
      <c r="C273" s="1"/>
      <c r="D273" s="1"/>
      <c r="E273" s="1"/>
      <c r="F273" s="1"/>
      <c r="G273" s="18"/>
      <c r="H273" s="1"/>
      <c r="I273" s="1"/>
      <c r="J273" s="8"/>
      <c r="K273" s="8"/>
      <c r="L273" s="1"/>
      <c r="M273" s="1"/>
      <c r="N273" s="9"/>
      <c r="O273" s="10"/>
      <c r="P273" s="1"/>
      <c r="Q273" s="1"/>
      <c r="R273" s="1"/>
      <c r="S273" s="1"/>
      <c r="T273" s="1"/>
      <c r="U273" s="1"/>
    </row>
    <row r="274" spans="1:21" ht="15.75" customHeight="1">
      <c r="A274" s="1"/>
      <c r="B274" s="1"/>
      <c r="C274" s="1"/>
      <c r="D274" s="1"/>
      <c r="E274" s="1"/>
      <c r="F274" s="1"/>
      <c r="G274" s="18"/>
      <c r="H274" s="1"/>
      <c r="I274" s="1"/>
      <c r="J274" s="8"/>
      <c r="K274" s="8"/>
      <c r="L274" s="1"/>
      <c r="M274" s="1"/>
      <c r="N274" s="9"/>
      <c r="O274" s="10"/>
      <c r="P274" s="1"/>
      <c r="Q274" s="1"/>
      <c r="R274" s="1"/>
      <c r="S274" s="1"/>
      <c r="T274" s="1"/>
      <c r="U274" s="1"/>
    </row>
    <row r="275" spans="1:21" ht="15.75" customHeight="1">
      <c r="A275" s="1"/>
      <c r="B275" s="1"/>
      <c r="C275" s="1"/>
      <c r="D275" s="1"/>
      <c r="E275" s="1"/>
      <c r="F275" s="1"/>
      <c r="G275" s="18"/>
      <c r="H275" s="1"/>
      <c r="I275" s="1"/>
      <c r="J275" s="8"/>
      <c r="K275" s="8"/>
      <c r="L275" s="1"/>
      <c r="M275" s="1"/>
      <c r="N275" s="9"/>
      <c r="O275" s="10"/>
      <c r="P275" s="1"/>
      <c r="Q275" s="1"/>
      <c r="R275" s="1"/>
      <c r="S275" s="1"/>
      <c r="T275" s="1"/>
      <c r="U275" s="1"/>
    </row>
    <row r="276" spans="1:21" ht="15.75" customHeight="1">
      <c r="A276" s="1"/>
      <c r="B276" s="1"/>
      <c r="C276" s="1"/>
      <c r="D276" s="1"/>
      <c r="E276" s="1"/>
      <c r="F276" s="1"/>
      <c r="G276" s="18"/>
      <c r="H276" s="1"/>
      <c r="I276" s="1"/>
      <c r="J276" s="8"/>
      <c r="K276" s="8"/>
      <c r="L276" s="1"/>
      <c r="M276" s="1"/>
      <c r="N276" s="9"/>
      <c r="O276" s="10"/>
      <c r="P276" s="1"/>
      <c r="Q276" s="1"/>
      <c r="R276" s="1"/>
      <c r="S276" s="1"/>
      <c r="T276" s="1"/>
      <c r="U276" s="1"/>
    </row>
    <row r="277" spans="1:21" ht="15.75" customHeight="1">
      <c r="A277" s="1"/>
      <c r="B277" s="1"/>
      <c r="C277" s="1"/>
      <c r="D277" s="1"/>
      <c r="E277" s="1"/>
      <c r="F277" s="1"/>
      <c r="G277" s="18"/>
      <c r="H277" s="1"/>
      <c r="I277" s="1"/>
      <c r="J277" s="8"/>
      <c r="K277" s="8"/>
      <c r="L277" s="1"/>
      <c r="M277" s="1"/>
      <c r="N277" s="9"/>
      <c r="O277" s="10"/>
      <c r="P277" s="1"/>
      <c r="Q277" s="1"/>
      <c r="R277" s="1"/>
      <c r="S277" s="1"/>
      <c r="T277" s="1"/>
      <c r="U277" s="1"/>
    </row>
    <row r="278" spans="1:21" ht="15.75" customHeight="1">
      <c r="A278" s="1"/>
      <c r="B278" s="1"/>
      <c r="C278" s="1"/>
      <c r="D278" s="1"/>
      <c r="E278" s="1"/>
      <c r="F278" s="1"/>
      <c r="G278" s="18"/>
      <c r="H278" s="1"/>
      <c r="I278" s="1"/>
      <c r="J278" s="8"/>
      <c r="K278" s="8"/>
      <c r="L278" s="1"/>
      <c r="M278" s="1"/>
      <c r="N278" s="9"/>
      <c r="O278" s="10"/>
      <c r="P278" s="1"/>
      <c r="Q278" s="1"/>
      <c r="R278" s="1"/>
      <c r="S278" s="1"/>
      <c r="T278" s="1"/>
      <c r="U278" s="1"/>
    </row>
    <row r="279" spans="1:21" ht="15.75" customHeight="1">
      <c r="A279" s="1"/>
      <c r="B279" s="1"/>
      <c r="C279" s="1"/>
      <c r="D279" s="1"/>
      <c r="E279" s="1"/>
      <c r="F279" s="1"/>
      <c r="G279" s="18"/>
      <c r="H279" s="1"/>
      <c r="I279" s="1"/>
      <c r="J279" s="8"/>
      <c r="K279" s="8"/>
      <c r="L279" s="1"/>
      <c r="M279" s="1"/>
      <c r="N279" s="9"/>
      <c r="O279" s="10"/>
      <c r="P279" s="1"/>
      <c r="Q279" s="1"/>
      <c r="R279" s="1"/>
      <c r="S279" s="1"/>
      <c r="T279" s="1"/>
      <c r="U279" s="1"/>
    </row>
    <row r="280" spans="1:21" ht="15.75" customHeight="1">
      <c r="A280" s="1"/>
      <c r="B280" s="1"/>
      <c r="C280" s="1"/>
      <c r="D280" s="1"/>
      <c r="E280" s="1"/>
      <c r="F280" s="1"/>
      <c r="G280" s="18"/>
      <c r="H280" s="1"/>
      <c r="I280" s="1"/>
      <c r="J280" s="8"/>
      <c r="K280" s="8"/>
      <c r="L280" s="1"/>
      <c r="M280" s="1"/>
      <c r="N280" s="9"/>
      <c r="O280" s="10"/>
      <c r="P280" s="1"/>
      <c r="Q280" s="1"/>
      <c r="R280" s="1"/>
      <c r="S280" s="1"/>
      <c r="T280" s="1"/>
      <c r="U280" s="1"/>
    </row>
    <row r="281" spans="1:21" ht="15.75" customHeight="1">
      <c r="A281" s="1"/>
      <c r="B281" s="1"/>
      <c r="C281" s="1"/>
      <c r="D281" s="1"/>
      <c r="E281" s="1"/>
      <c r="F281" s="1"/>
      <c r="G281" s="18"/>
      <c r="H281" s="1"/>
      <c r="I281" s="1"/>
      <c r="J281" s="8"/>
      <c r="K281" s="8"/>
      <c r="L281" s="1"/>
      <c r="M281" s="1"/>
      <c r="N281" s="9"/>
      <c r="O281" s="10"/>
      <c r="P281" s="1"/>
      <c r="Q281" s="1"/>
      <c r="R281" s="1"/>
      <c r="S281" s="1"/>
      <c r="T281" s="1"/>
      <c r="U281" s="1"/>
    </row>
    <row r="282" spans="1:21" ht="15.75" customHeight="1">
      <c r="A282" s="1"/>
      <c r="B282" s="1"/>
      <c r="C282" s="1"/>
      <c r="D282" s="1"/>
      <c r="E282" s="1"/>
      <c r="F282" s="1"/>
      <c r="G282" s="18"/>
      <c r="H282" s="1"/>
      <c r="I282" s="1"/>
      <c r="J282" s="8"/>
      <c r="K282" s="8"/>
      <c r="L282" s="1"/>
      <c r="M282" s="1"/>
      <c r="N282" s="9"/>
      <c r="O282" s="10"/>
      <c r="P282" s="1"/>
      <c r="Q282" s="1"/>
      <c r="R282" s="1"/>
      <c r="S282" s="1"/>
      <c r="T282" s="1"/>
      <c r="U282" s="1"/>
    </row>
    <row r="283" spans="1:21" ht="15.75" customHeight="1">
      <c r="A283" s="1"/>
      <c r="B283" s="1"/>
      <c r="C283" s="1"/>
      <c r="D283" s="1"/>
      <c r="E283" s="1"/>
      <c r="F283" s="1"/>
      <c r="G283" s="18"/>
      <c r="H283" s="1"/>
      <c r="I283" s="1"/>
      <c r="J283" s="8"/>
      <c r="K283" s="8"/>
      <c r="L283" s="1"/>
      <c r="M283" s="1"/>
      <c r="N283" s="9"/>
      <c r="O283" s="10"/>
      <c r="P283" s="1"/>
      <c r="Q283" s="1"/>
      <c r="R283" s="1"/>
      <c r="S283" s="1"/>
      <c r="T283" s="1"/>
      <c r="U283" s="1"/>
    </row>
    <row r="284" spans="1:21" ht="15.75" customHeight="1">
      <c r="A284" s="1"/>
      <c r="B284" s="1"/>
      <c r="C284" s="1"/>
      <c r="D284" s="1"/>
      <c r="E284" s="1"/>
      <c r="F284" s="1"/>
      <c r="G284" s="18"/>
      <c r="H284" s="1"/>
      <c r="I284" s="1"/>
      <c r="J284" s="8"/>
      <c r="K284" s="8"/>
      <c r="L284" s="1"/>
      <c r="M284" s="1"/>
      <c r="N284" s="9"/>
      <c r="O284" s="10"/>
      <c r="P284" s="1"/>
      <c r="Q284" s="1"/>
      <c r="R284" s="1"/>
      <c r="S284" s="1"/>
      <c r="T284" s="1"/>
      <c r="U284" s="1"/>
    </row>
    <row r="285" spans="1:21" ht="15.75" customHeight="1">
      <c r="A285" s="1"/>
      <c r="B285" s="1"/>
      <c r="C285" s="1"/>
      <c r="D285" s="1"/>
      <c r="E285" s="1"/>
      <c r="F285" s="1"/>
      <c r="G285" s="18"/>
      <c r="H285" s="1"/>
      <c r="I285" s="1"/>
      <c r="J285" s="8"/>
      <c r="K285" s="8"/>
      <c r="L285" s="1"/>
      <c r="M285" s="1"/>
      <c r="N285" s="9"/>
      <c r="O285" s="10"/>
      <c r="P285" s="1"/>
      <c r="Q285" s="1"/>
      <c r="R285" s="1"/>
      <c r="S285" s="1"/>
      <c r="T285" s="1"/>
      <c r="U285" s="1"/>
    </row>
    <row r="286" spans="1:21" ht="15.75" customHeight="1">
      <c r="A286" s="1"/>
      <c r="B286" s="1"/>
      <c r="C286" s="1"/>
      <c r="D286" s="1"/>
      <c r="E286" s="1"/>
      <c r="F286" s="1"/>
      <c r="G286" s="18"/>
      <c r="H286" s="1"/>
      <c r="I286" s="1"/>
      <c r="J286" s="8"/>
      <c r="K286" s="8"/>
      <c r="L286" s="1"/>
      <c r="M286" s="1"/>
      <c r="N286" s="9"/>
      <c r="O286" s="10"/>
      <c r="P286" s="1"/>
      <c r="Q286" s="1"/>
      <c r="R286" s="1"/>
      <c r="S286" s="1"/>
      <c r="T286" s="1"/>
      <c r="U286" s="1"/>
    </row>
    <row r="287" spans="1:21" ht="15.75" customHeight="1">
      <c r="A287" s="1"/>
      <c r="B287" s="1"/>
      <c r="C287" s="1"/>
      <c r="D287" s="1"/>
      <c r="E287" s="1"/>
      <c r="F287" s="1"/>
      <c r="G287" s="18"/>
      <c r="H287" s="1"/>
      <c r="I287" s="1"/>
      <c r="J287" s="8"/>
      <c r="K287" s="8"/>
      <c r="L287" s="1"/>
      <c r="M287" s="1"/>
      <c r="N287" s="9"/>
      <c r="O287" s="10"/>
      <c r="P287" s="1"/>
      <c r="Q287" s="1"/>
      <c r="R287" s="1"/>
      <c r="S287" s="1"/>
      <c r="T287" s="1"/>
      <c r="U287" s="1"/>
    </row>
    <row r="288" spans="1:21" ht="15.75" customHeight="1">
      <c r="A288" s="1"/>
      <c r="B288" s="1"/>
      <c r="C288" s="1"/>
      <c r="D288" s="1"/>
      <c r="E288" s="1"/>
      <c r="F288" s="1"/>
      <c r="G288" s="18"/>
      <c r="H288" s="1"/>
      <c r="I288" s="1"/>
      <c r="J288" s="8"/>
      <c r="K288" s="8"/>
      <c r="L288" s="1"/>
      <c r="M288" s="1"/>
      <c r="N288" s="9"/>
      <c r="O288" s="10"/>
      <c r="P288" s="1"/>
      <c r="Q288" s="1"/>
      <c r="R288" s="1"/>
      <c r="S288" s="1"/>
      <c r="T288" s="1"/>
      <c r="U288" s="1"/>
    </row>
    <row r="289" spans="1:21" ht="15.75" customHeight="1">
      <c r="A289" s="1"/>
      <c r="B289" s="1"/>
      <c r="C289" s="1"/>
      <c r="D289" s="1"/>
      <c r="E289" s="1"/>
      <c r="F289" s="1"/>
      <c r="G289" s="18"/>
      <c r="H289" s="1"/>
      <c r="I289" s="1"/>
      <c r="J289" s="8"/>
      <c r="K289" s="8"/>
      <c r="L289" s="1"/>
      <c r="M289" s="1"/>
      <c r="N289" s="9"/>
      <c r="O289" s="10"/>
      <c r="P289" s="1"/>
      <c r="Q289" s="1"/>
      <c r="R289" s="1"/>
      <c r="S289" s="1"/>
      <c r="T289" s="1"/>
      <c r="U289" s="1"/>
    </row>
    <row r="290" spans="1:21" ht="15.75" customHeight="1">
      <c r="A290" s="1"/>
      <c r="B290" s="1"/>
      <c r="C290" s="1"/>
      <c r="D290" s="1"/>
      <c r="E290" s="1"/>
      <c r="F290" s="1"/>
      <c r="G290" s="18"/>
      <c r="H290" s="1"/>
      <c r="I290" s="1"/>
      <c r="J290" s="8"/>
      <c r="K290" s="8"/>
      <c r="L290" s="1"/>
      <c r="M290" s="1"/>
      <c r="N290" s="9"/>
      <c r="O290" s="10"/>
      <c r="P290" s="1"/>
      <c r="Q290" s="1"/>
      <c r="R290" s="1"/>
      <c r="S290" s="1"/>
      <c r="T290" s="1"/>
      <c r="U290" s="1"/>
    </row>
    <row r="291" spans="1:21" ht="15.75" customHeight="1">
      <c r="A291" s="1"/>
      <c r="B291" s="1"/>
      <c r="C291" s="1"/>
      <c r="D291" s="1"/>
      <c r="E291" s="1"/>
      <c r="F291" s="1"/>
      <c r="G291" s="18"/>
      <c r="H291" s="1"/>
      <c r="I291" s="1"/>
      <c r="J291" s="8"/>
      <c r="K291" s="8"/>
      <c r="L291" s="1"/>
      <c r="M291" s="1"/>
      <c r="N291" s="9"/>
      <c r="O291" s="10"/>
      <c r="P291" s="1"/>
      <c r="Q291" s="1"/>
      <c r="R291" s="1"/>
      <c r="S291" s="1"/>
      <c r="T291" s="1"/>
      <c r="U291" s="1"/>
    </row>
    <row r="292" spans="1:21" ht="15.75" customHeight="1">
      <c r="A292" s="1"/>
      <c r="B292" s="1"/>
      <c r="C292" s="1"/>
      <c r="D292" s="1"/>
      <c r="E292" s="1"/>
      <c r="F292" s="1"/>
      <c r="G292" s="18"/>
      <c r="H292" s="1"/>
      <c r="I292" s="1"/>
      <c r="J292" s="8"/>
      <c r="K292" s="8"/>
      <c r="L292" s="1"/>
      <c r="M292" s="1"/>
      <c r="N292" s="9"/>
      <c r="O292" s="10"/>
      <c r="P292" s="1"/>
      <c r="Q292" s="1"/>
      <c r="R292" s="1"/>
      <c r="S292" s="1"/>
      <c r="T292" s="1"/>
      <c r="U292" s="1"/>
    </row>
    <row r="293" spans="1:21" ht="15.75" customHeight="1">
      <c r="A293" s="1"/>
      <c r="B293" s="1"/>
      <c r="C293" s="1"/>
      <c r="D293" s="1"/>
      <c r="E293" s="1"/>
      <c r="F293" s="1"/>
      <c r="G293" s="18"/>
      <c r="H293" s="1"/>
      <c r="I293" s="1"/>
      <c r="J293" s="8"/>
      <c r="K293" s="8"/>
      <c r="L293" s="1"/>
      <c r="M293" s="1"/>
      <c r="N293" s="9"/>
      <c r="O293" s="10"/>
      <c r="P293" s="1"/>
      <c r="Q293" s="1"/>
      <c r="R293" s="1"/>
      <c r="S293" s="1"/>
      <c r="T293" s="1"/>
      <c r="U293" s="1"/>
    </row>
    <row r="294" spans="1:21" ht="15.75" customHeight="1">
      <c r="A294" s="1"/>
      <c r="B294" s="1"/>
      <c r="C294" s="1"/>
      <c r="D294" s="1"/>
      <c r="E294" s="1"/>
      <c r="F294" s="1"/>
      <c r="G294" s="18"/>
      <c r="H294" s="1"/>
      <c r="I294" s="1"/>
      <c r="J294" s="8"/>
      <c r="K294" s="8"/>
      <c r="L294" s="1"/>
      <c r="M294" s="1"/>
      <c r="N294" s="9"/>
      <c r="O294" s="10"/>
      <c r="P294" s="1"/>
      <c r="Q294" s="1"/>
      <c r="R294" s="1"/>
      <c r="S294" s="1"/>
      <c r="T294" s="1"/>
      <c r="U294" s="1"/>
    </row>
    <row r="295" spans="1:21" ht="15.75" customHeight="1">
      <c r="A295" s="1"/>
      <c r="B295" s="1"/>
      <c r="C295" s="1"/>
      <c r="D295" s="1"/>
      <c r="E295" s="1"/>
      <c r="F295" s="1"/>
      <c r="G295" s="18"/>
      <c r="H295" s="1"/>
      <c r="I295" s="1"/>
      <c r="J295" s="8"/>
      <c r="K295" s="8"/>
      <c r="L295" s="1"/>
      <c r="M295" s="1"/>
      <c r="N295" s="9"/>
      <c r="O295" s="10"/>
      <c r="P295" s="1"/>
      <c r="Q295" s="1"/>
      <c r="R295" s="1"/>
      <c r="S295" s="1"/>
      <c r="T295" s="1"/>
      <c r="U295" s="1"/>
    </row>
    <row r="296" spans="1:21" ht="15.75" customHeight="1">
      <c r="A296" s="1"/>
      <c r="B296" s="1"/>
      <c r="C296" s="1"/>
      <c r="D296" s="1"/>
      <c r="E296" s="1"/>
      <c r="F296" s="1"/>
      <c r="G296" s="18"/>
      <c r="H296" s="1"/>
      <c r="I296" s="1"/>
      <c r="J296" s="8"/>
      <c r="K296" s="8"/>
      <c r="L296" s="1"/>
      <c r="M296" s="1"/>
      <c r="N296" s="9"/>
      <c r="O296" s="10"/>
      <c r="P296" s="1"/>
      <c r="Q296" s="1"/>
      <c r="R296" s="1"/>
      <c r="S296" s="1"/>
      <c r="T296" s="1"/>
      <c r="U296" s="1"/>
    </row>
    <row r="297" spans="1:21" ht="15.75" customHeight="1">
      <c r="A297" s="1"/>
      <c r="B297" s="1"/>
      <c r="C297" s="1"/>
      <c r="D297" s="1"/>
      <c r="E297" s="1"/>
      <c r="F297" s="1"/>
      <c r="G297" s="18"/>
      <c r="H297" s="1"/>
      <c r="I297" s="1"/>
      <c r="J297" s="8"/>
      <c r="K297" s="8"/>
      <c r="L297" s="1"/>
      <c r="M297" s="1"/>
      <c r="N297" s="9"/>
      <c r="O297" s="10"/>
      <c r="P297" s="1"/>
      <c r="Q297" s="1"/>
      <c r="R297" s="1"/>
      <c r="S297" s="1"/>
      <c r="T297" s="1"/>
      <c r="U297" s="1"/>
    </row>
    <row r="298" spans="1:21" ht="15.75" customHeight="1">
      <c r="A298" s="1"/>
      <c r="B298" s="1"/>
      <c r="C298" s="1"/>
      <c r="D298" s="1"/>
      <c r="E298" s="1"/>
      <c r="F298" s="1"/>
      <c r="G298" s="18"/>
      <c r="H298" s="1"/>
      <c r="I298" s="1"/>
      <c r="J298" s="8"/>
      <c r="K298" s="8"/>
      <c r="L298" s="1"/>
      <c r="M298" s="1"/>
      <c r="N298" s="9"/>
      <c r="O298" s="10"/>
      <c r="P298" s="1"/>
      <c r="Q298" s="1"/>
      <c r="R298" s="1"/>
      <c r="S298" s="1"/>
      <c r="T298" s="1"/>
      <c r="U298" s="1"/>
    </row>
    <row r="299" spans="1:21" ht="15.75" customHeight="1">
      <c r="A299" s="1"/>
      <c r="B299" s="1"/>
      <c r="C299" s="1"/>
      <c r="D299" s="1"/>
      <c r="E299" s="1"/>
      <c r="F299" s="1"/>
      <c r="G299" s="18"/>
      <c r="H299" s="1"/>
      <c r="I299" s="1"/>
      <c r="J299" s="8"/>
      <c r="K299" s="8"/>
      <c r="L299" s="1"/>
      <c r="M299" s="1"/>
      <c r="N299" s="9"/>
      <c r="O299" s="10"/>
      <c r="P299" s="1"/>
      <c r="Q299" s="1"/>
      <c r="R299" s="1"/>
      <c r="S299" s="1"/>
      <c r="T299" s="1"/>
      <c r="U299" s="1"/>
    </row>
    <row r="300" spans="1:21" ht="15.75" customHeight="1">
      <c r="A300" s="1"/>
      <c r="B300" s="1"/>
      <c r="C300" s="1"/>
      <c r="D300" s="1"/>
      <c r="E300" s="1"/>
      <c r="F300" s="1"/>
      <c r="G300" s="18"/>
      <c r="H300" s="1"/>
      <c r="I300" s="1"/>
      <c r="J300" s="8"/>
      <c r="K300" s="8"/>
      <c r="L300" s="1"/>
      <c r="M300" s="1"/>
      <c r="N300" s="9"/>
      <c r="O300" s="10"/>
      <c r="P300" s="1"/>
      <c r="Q300" s="1"/>
      <c r="R300" s="1"/>
      <c r="S300" s="1"/>
      <c r="T300" s="1"/>
      <c r="U300" s="1"/>
    </row>
    <row r="301" spans="1:21" ht="15.75" customHeight="1">
      <c r="A301" s="1"/>
      <c r="B301" s="1"/>
      <c r="C301" s="1"/>
      <c r="D301" s="1"/>
      <c r="E301" s="1"/>
      <c r="F301" s="1"/>
      <c r="G301" s="18"/>
      <c r="H301" s="1"/>
      <c r="I301" s="1"/>
      <c r="J301" s="8"/>
      <c r="K301" s="8"/>
      <c r="L301" s="1"/>
      <c r="M301" s="1"/>
      <c r="N301" s="9"/>
      <c r="O301" s="10"/>
      <c r="P301" s="1"/>
      <c r="Q301" s="1"/>
      <c r="R301" s="1"/>
      <c r="S301" s="1"/>
      <c r="T301" s="1"/>
      <c r="U301" s="1"/>
    </row>
    <row r="302" spans="1:21" ht="15.75" customHeight="1">
      <c r="A302" s="1"/>
      <c r="B302" s="1"/>
      <c r="C302" s="1"/>
      <c r="D302" s="1"/>
      <c r="E302" s="1"/>
      <c r="F302" s="1"/>
      <c r="G302" s="18"/>
      <c r="H302" s="1"/>
      <c r="I302" s="1"/>
      <c r="J302" s="8"/>
      <c r="K302" s="8"/>
      <c r="L302" s="1"/>
      <c r="M302" s="1"/>
      <c r="N302" s="9"/>
      <c r="O302" s="10"/>
      <c r="P302" s="1"/>
      <c r="Q302" s="1"/>
      <c r="R302" s="1"/>
      <c r="S302" s="1"/>
      <c r="T302" s="1"/>
      <c r="U302" s="1"/>
    </row>
    <row r="303" spans="1:21" ht="15.75" customHeight="1">
      <c r="A303" s="1"/>
      <c r="B303" s="1"/>
      <c r="C303" s="1"/>
      <c r="D303" s="1"/>
      <c r="E303" s="1"/>
      <c r="F303" s="1"/>
      <c r="G303" s="18"/>
      <c r="H303" s="1"/>
      <c r="I303" s="1"/>
      <c r="J303" s="8"/>
      <c r="K303" s="8"/>
      <c r="L303" s="1"/>
      <c r="M303" s="1"/>
      <c r="N303" s="9"/>
      <c r="O303" s="10"/>
      <c r="P303" s="1"/>
      <c r="Q303" s="1"/>
      <c r="R303" s="1"/>
      <c r="S303" s="1"/>
      <c r="T303" s="1"/>
      <c r="U303" s="1"/>
    </row>
    <row r="304" spans="1:21" ht="15.75" customHeight="1">
      <c r="A304" s="1"/>
      <c r="B304" s="1"/>
      <c r="C304" s="1"/>
      <c r="D304" s="1"/>
      <c r="E304" s="1"/>
      <c r="F304" s="1"/>
      <c r="G304" s="18"/>
      <c r="H304" s="1"/>
      <c r="I304" s="1"/>
      <c r="J304" s="8"/>
      <c r="K304" s="8"/>
      <c r="L304" s="1"/>
      <c r="M304" s="1"/>
      <c r="N304" s="9"/>
      <c r="O304" s="10"/>
      <c r="P304" s="1"/>
      <c r="Q304" s="1"/>
      <c r="R304" s="1"/>
      <c r="S304" s="1"/>
      <c r="T304" s="1"/>
      <c r="U304" s="1"/>
    </row>
    <row r="305" spans="1:21" ht="15.75" customHeight="1">
      <c r="A305" s="1"/>
      <c r="B305" s="1"/>
      <c r="C305" s="1"/>
      <c r="D305" s="1"/>
      <c r="E305" s="1"/>
      <c r="F305" s="1"/>
      <c r="G305" s="18"/>
      <c r="H305" s="1"/>
      <c r="I305" s="1"/>
      <c r="J305" s="8"/>
      <c r="K305" s="8"/>
      <c r="L305" s="1"/>
      <c r="M305" s="1"/>
      <c r="N305" s="9"/>
      <c r="O305" s="10"/>
      <c r="P305" s="1"/>
      <c r="Q305" s="1"/>
      <c r="R305" s="1"/>
      <c r="S305" s="1"/>
      <c r="T305" s="1"/>
      <c r="U305" s="1"/>
    </row>
    <row r="306" spans="1:21" ht="15.75" customHeight="1">
      <c r="A306" s="1"/>
      <c r="B306" s="1"/>
      <c r="C306" s="1"/>
      <c r="D306" s="1"/>
      <c r="E306" s="1"/>
      <c r="F306" s="1"/>
      <c r="G306" s="18"/>
      <c r="H306" s="1"/>
      <c r="I306" s="1"/>
      <c r="J306" s="8"/>
      <c r="K306" s="8"/>
      <c r="L306" s="1"/>
      <c r="M306" s="1"/>
      <c r="N306" s="9"/>
      <c r="O306" s="10"/>
      <c r="P306" s="1"/>
      <c r="Q306" s="1"/>
      <c r="R306" s="1"/>
      <c r="S306" s="1"/>
      <c r="T306" s="1"/>
      <c r="U306" s="1"/>
    </row>
    <row r="307" spans="1:21" ht="15.75" customHeight="1">
      <c r="A307" s="1"/>
      <c r="B307" s="1"/>
      <c r="C307" s="1"/>
      <c r="D307" s="1"/>
      <c r="E307" s="1"/>
      <c r="F307" s="1"/>
      <c r="G307" s="18"/>
      <c r="H307" s="1"/>
      <c r="I307" s="1"/>
      <c r="J307" s="8"/>
      <c r="K307" s="8"/>
      <c r="L307" s="1"/>
      <c r="M307" s="1"/>
      <c r="N307" s="9"/>
      <c r="O307" s="10"/>
      <c r="P307" s="1"/>
      <c r="Q307" s="1"/>
      <c r="R307" s="1"/>
      <c r="S307" s="1"/>
      <c r="T307" s="1"/>
      <c r="U307" s="1"/>
    </row>
    <row r="308" spans="1:21" ht="15.75" customHeight="1">
      <c r="A308" s="1"/>
      <c r="B308" s="1"/>
      <c r="C308" s="1"/>
      <c r="D308" s="1"/>
      <c r="E308" s="1"/>
      <c r="F308" s="1"/>
      <c r="G308" s="18"/>
      <c r="H308" s="1"/>
      <c r="I308" s="1"/>
      <c r="J308" s="8"/>
      <c r="K308" s="8"/>
      <c r="L308" s="1"/>
      <c r="M308" s="1"/>
      <c r="N308" s="9"/>
      <c r="O308" s="10"/>
      <c r="P308" s="1"/>
      <c r="Q308" s="1"/>
      <c r="R308" s="1"/>
      <c r="S308" s="1"/>
      <c r="T308" s="1"/>
      <c r="U308" s="1"/>
    </row>
    <row r="309" spans="1:21" ht="15.75" customHeight="1">
      <c r="A309" s="1"/>
      <c r="B309" s="1"/>
      <c r="C309" s="1"/>
      <c r="D309" s="1"/>
      <c r="E309" s="1"/>
      <c r="F309" s="1"/>
      <c r="G309" s="18"/>
      <c r="H309" s="1"/>
      <c r="I309" s="1"/>
      <c r="J309" s="8"/>
      <c r="K309" s="8"/>
      <c r="L309" s="1"/>
      <c r="M309" s="1"/>
      <c r="N309" s="9"/>
      <c r="O309" s="10"/>
      <c r="P309" s="1"/>
      <c r="Q309" s="1"/>
      <c r="R309" s="1"/>
      <c r="S309" s="1"/>
      <c r="T309" s="1"/>
      <c r="U309" s="1"/>
    </row>
    <row r="310" spans="1:21" ht="15.75" customHeight="1">
      <c r="A310" s="1"/>
      <c r="B310" s="1"/>
      <c r="C310" s="1"/>
      <c r="D310" s="1"/>
      <c r="E310" s="1"/>
      <c r="F310" s="1"/>
      <c r="G310" s="18"/>
      <c r="H310" s="1"/>
      <c r="I310" s="1"/>
      <c r="J310" s="8"/>
      <c r="K310" s="8"/>
      <c r="L310" s="1"/>
      <c r="M310" s="1"/>
      <c r="N310" s="9"/>
      <c r="O310" s="10"/>
      <c r="P310" s="1"/>
      <c r="Q310" s="1"/>
      <c r="R310" s="1"/>
      <c r="S310" s="1"/>
      <c r="T310" s="1"/>
      <c r="U310" s="1"/>
    </row>
    <row r="311" spans="1:21" ht="15.75" customHeight="1">
      <c r="A311" s="1"/>
      <c r="B311" s="1"/>
      <c r="C311" s="1"/>
      <c r="D311" s="1"/>
      <c r="E311" s="1"/>
      <c r="F311" s="1"/>
      <c r="G311" s="18"/>
      <c r="H311" s="1"/>
      <c r="I311" s="1"/>
      <c r="J311" s="8"/>
      <c r="K311" s="8"/>
      <c r="L311" s="1"/>
      <c r="M311" s="1"/>
      <c r="N311" s="9"/>
      <c r="O311" s="10"/>
      <c r="P311" s="1"/>
      <c r="Q311" s="1"/>
      <c r="R311" s="1"/>
      <c r="S311" s="1"/>
      <c r="T311" s="1"/>
      <c r="U311" s="1"/>
    </row>
    <row r="312" spans="1:21" ht="15.75" customHeight="1">
      <c r="A312" s="1"/>
      <c r="B312" s="1"/>
      <c r="C312" s="1"/>
      <c r="D312" s="1"/>
      <c r="E312" s="1"/>
      <c r="F312" s="1"/>
      <c r="G312" s="18"/>
      <c r="H312" s="1"/>
      <c r="I312" s="1"/>
      <c r="J312" s="8"/>
      <c r="K312" s="8"/>
      <c r="L312" s="1"/>
      <c r="M312" s="1"/>
      <c r="N312" s="9"/>
      <c r="O312" s="10"/>
      <c r="P312" s="1"/>
      <c r="Q312" s="1"/>
      <c r="R312" s="1"/>
      <c r="S312" s="1"/>
      <c r="T312" s="1"/>
      <c r="U312" s="1"/>
    </row>
    <row r="313" spans="1:21" ht="15.75" customHeight="1">
      <c r="A313" s="1"/>
      <c r="B313" s="1"/>
      <c r="C313" s="1"/>
      <c r="D313" s="1"/>
      <c r="E313" s="1"/>
      <c r="F313" s="1"/>
      <c r="G313" s="18"/>
      <c r="H313" s="1"/>
      <c r="I313" s="1"/>
      <c r="J313" s="8"/>
      <c r="K313" s="8"/>
      <c r="L313" s="1"/>
      <c r="M313" s="1"/>
      <c r="N313" s="9"/>
      <c r="O313" s="10"/>
      <c r="P313" s="1"/>
      <c r="Q313" s="1"/>
      <c r="R313" s="1"/>
      <c r="S313" s="1"/>
      <c r="T313" s="1"/>
      <c r="U313" s="1"/>
    </row>
    <row r="314" spans="1:21" ht="15.75" customHeight="1">
      <c r="A314" s="1"/>
      <c r="B314" s="1"/>
      <c r="C314" s="1"/>
      <c r="D314" s="1"/>
      <c r="E314" s="1"/>
      <c r="F314" s="1"/>
      <c r="G314" s="18"/>
      <c r="H314" s="1"/>
      <c r="I314" s="1"/>
      <c r="J314" s="8"/>
      <c r="K314" s="8"/>
      <c r="L314" s="1"/>
      <c r="M314" s="1"/>
      <c r="N314" s="9"/>
      <c r="O314" s="10"/>
      <c r="P314" s="1"/>
      <c r="Q314" s="1"/>
      <c r="R314" s="1"/>
      <c r="S314" s="1"/>
      <c r="T314" s="1"/>
      <c r="U314" s="1"/>
    </row>
    <row r="315" spans="1:21" ht="15.75" customHeight="1">
      <c r="A315" s="1"/>
      <c r="B315" s="1"/>
      <c r="C315" s="1"/>
      <c r="D315" s="1"/>
      <c r="E315" s="1"/>
      <c r="F315" s="1"/>
      <c r="G315" s="18"/>
      <c r="H315" s="1"/>
      <c r="I315" s="1"/>
      <c r="J315" s="8"/>
      <c r="K315" s="8"/>
      <c r="L315" s="1"/>
      <c r="M315" s="1"/>
      <c r="N315" s="9"/>
      <c r="O315" s="10"/>
      <c r="P315" s="1"/>
      <c r="Q315" s="1"/>
      <c r="R315" s="1"/>
      <c r="S315" s="1"/>
      <c r="T315" s="1"/>
      <c r="U315" s="1"/>
    </row>
    <row r="316" spans="1:21" ht="15.75" customHeight="1">
      <c r="A316" s="1"/>
      <c r="B316" s="1"/>
      <c r="C316" s="1"/>
      <c r="D316" s="1"/>
      <c r="E316" s="1"/>
      <c r="F316" s="1"/>
      <c r="G316" s="18"/>
      <c r="H316" s="1"/>
      <c r="I316" s="1"/>
      <c r="J316" s="8"/>
      <c r="K316" s="8"/>
      <c r="L316" s="1"/>
      <c r="M316" s="1"/>
      <c r="N316" s="9"/>
      <c r="O316" s="10"/>
      <c r="P316" s="1"/>
      <c r="Q316" s="1"/>
      <c r="R316" s="1"/>
      <c r="S316" s="1"/>
      <c r="T316" s="1"/>
      <c r="U316" s="1"/>
    </row>
    <row r="317" spans="1:21" ht="15.75" customHeight="1">
      <c r="A317" s="1"/>
      <c r="B317" s="1"/>
      <c r="C317" s="1"/>
      <c r="D317" s="1"/>
      <c r="E317" s="1"/>
      <c r="F317" s="1"/>
      <c r="G317" s="18"/>
      <c r="H317" s="1"/>
      <c r="I317" s="1"/>
      <c r="J317" s="8"/>
      <c r="K317" s="8"/>
      <c r="L317" s="1"/>
      <c r="M317" s="1"/>
      <c r="N317" s="9"/>
      <c r="O317" s="10"/>
      <c r="P317" s="1"/>
      <c r="Q317" s="1"/>
      <c r="R317" s="1"/>
      <c r="S317" s="1"/>
      <c r="T317" s="1"/>
      <c r="U317" s="1"/>
    </row>
    <row r="318" spans="1:21" ht="15.75" customHeight="1">
      <c r="A318" s="1"/>
      <c r="B318" s="1"/>
      <c r="C318" s="1"/>
      <c r="D318" s="1"/>
      <c r="E318" s="1"/>
      <c r="F318" s="1"/>
      <c r="G318" s="18"/>
      <c r="H318" s="1"/>
      <c r="I318" s="1"/>
      <c r="J318" s="8"/>
      <c r="K318" s="8"/>
      <c r="L318" s="1"/>
      <c r="M318" s="1"/>
      <c r="N318" s="9"/>
      <c r="O318" s="10"/>
      <c r="P318" s="1"/>
      <c r="Q318" s="1"/>
      <c r="R318" s="1"/>
      <c r="S318" s="1"/>
      <c r="T318" s="1"/>
      <c r="U318" s="1"/>
    </row>
    <row r="319" spans="1:21" ht="15.75" customHeight="1">
      <c r="A319" s="1"/>
      <c r="B319" s="1"/>
      <c r="C319" s="1"/>
      <c r="D319" s="1"/>
      <c r="E319" s="1"/>
      <c r="F319" s="1"/>
      <c r="G319" s="18"/>
      <c r="H319" s="1"/>
      <c r="I319" s="1"/>
      <c r="J319" s="8"/>
      <c r="K319" s="8"/>
      <c r="L319" s="1"/>
      <c r="M319" s="1"/>
      <c r="N319" s="9"/>
      <c r="O319" s="10"/>
      <c r="P319" s="1"/>
      <c r="Q319" s="1"/>
      <c r="R319" s="1"/>
      <c r="S319" s="1"/>
      <c r="T319" s="1"/>
      <c r="U319" s="1"/>
    </row>
    <row r="320" spans="1:21" ht="15.75" customHeight="1">
      <c r="A320" s="1"/>
      <c r="B320" s="1"/>
      <c r="C320" s="1"/>
      <c r="D320" s="1"/>
      <c r="E320" s="1"/>
      <c r="F320" s="1"/>
      <c r="G320" s="18"/>
      <c r="H320" s="1"/>
      <c r="I320" s="1"/>
      <c r="J320" s="8"/>
      <c r="K320" s="8"/>
      <c r="L320" s="1"/>
      <c r="M320" s="1"/>
      <c r="N320" s="9"/>
      <c r="O320" s="10"/>
      <c r="P320" s="1"/>
      <c r="Q320" s="1"/>
      <c r="R320" s="1"/>
      <c r="S320" s="1"/>
      <c r="T320" s="1"/>
      <c r="U320" s="1"/>
    </row>
    <row r="321" spans="1:21" ht="15.75" customHeight="1">
      <c r="A321" s="1"/>
      <c r="B321" s="1"/>
      <c r="C321" s="1"/>
      <c r="D321" s="1"/>
      <c r="E321" s="1"/>
      <c r="F321" s="1"/>
      <c r="G321" s="18"/>
      <c r="H321" s="1"/>
      <c r="I321" s="1"/>
      <c r="J321" s="8"/>
      <c r="K321" s="8"/>
      <c r="L321" s="1"/>
      <c r="M321" s="1"/>
      <c r="N321" s="9"/>
      <c r="O321" s="10"/>
      <c r="P321" s="1"/>
      <c r="Q321" s="1"/>
      <c r="R321" s="1"/>
      <c r="S321" s="1"/>
      <c r="T321" s="1"/>
      <c r="U321" s="1"/>
    </row>
    <row r="322" spans="1:21" ht="15.75" customHeight="1">
      <c r="A322" s="1"/>
      <c r="B322" s="1"/>
      <c r="C322" s="1"/>
      <c r="D322" s="1"/>
      <c r="E322" s="1"/>
      <c r="F322" s="1"/>
      <c r="G322" s="18"/>
      <c r="H322" s="1"/>
      <c r="I322" s="1"/>
      <c r="J322" s="8"/>
      <c r="K322" s="8"/>
      <c r="L322" s="1"/>
      <c r="M322" s="1"/>
      <c r="N322" s="9"/>
      <c r="O322" s="10"/>
      <c r="P322" s="1"/>
      <c r="Q322" s="1"/>
      <c r="R322" s="1"/>
      <c r="S322" s="1"/>
      <c r="T322" s="1"/>
      <c r="U322" s="1"/>
    </row>
    <row r="323" spans="1:21" ht="15.75" customHeight="1">
      <c r="A323" s="1"/>
      <c r="B323" s="1"/>
      <c r="C323" s="1"/>
      <c r="D323" s="1"/>
      <c r="E323" s="1"/>
      <c r="F323" s="1"/>
      <c r="G323" s="18"/>
      <c r="H323" s="1"/>
      <c r="I323" s="1"/>
      <c r="J323" s="8"/>
      <c r="K323" s="8"/>
      <c r="L323" s="1"/>
      <c r="M323" s="1"/>
      <c r="N323" s="9"/>
      <c r="O323" s="10"/>
      <c r="P323" s="1"/>
      <c r="Q323" s="1"/>
      <c r="R323" s="1"/>
      <c r="S323" s="1"/>
      <c r="T323" s="1"/>
      <c r="U323" s="1"/>
    </row>
    <row r="324" spans="1:21" ht="15.75" customHeight="1">
      <c r="A324" s="1"/>
      <c r="B324" s="1"/>
      <c r="C324" s="1"/>
      <c r="D324" s="1"/>
      <c r="E324" s="1"/>
      <c r="F324" s="1"/>
      <c r="G324" s="18"/>
      <c r="H324" s="1"/>
      <c r="I324" s="1"/>
      <c r="J324" s="8"/>
      <c r="K324" s="8"/>
      <c r="L324" s="1"/>
      <c r="M324" s="1"/>
      <c r="N324" s="9"/>
      <c r="O324" s="10"/>
      <c r="P324" s="1"/>
      <c r="Q324" s="1"/>
      <c r="R324" s="1"/>
      <c r="S324" s="1"/>
      <c r="T324" s="1"/>
      <c r="U324" s="1"/>
    </row>
    <row r="325" spans="1:21" ht="15.75" customHeight="1">
      <c r="A325" s="1"/>
      <c r="B325" s="1"/>
      <c r="C325" s="1"/>
      <c r="D325" s="1"/>
      <c r="E325" s="1"/>
      <c r="F325" s="1"/>
      <c r="G325" s="18"/>
      <c r="H325" s="1"/>
      <c r="I325" s="1"/>
      <c r="J325" s="8"/>
      <c r="K325" s="8"/>
      <c r="L325" s="1"/>
      <c r="M325" s="1"/>
      <c r="N325" s="9"/>
      <c r="O325" s="10"/>
      <c r="P325" s="1"/>
      <c r="Q325" s="1"/>
      <c r="R325" s="1"/>
      <c r="S325" s="1"/>
      <c r="T325" s="1"/>
      <c r="U325" s="1"/>
    </row>
    <row r="326" spans="1:21" ht="15.75" customHeight="1">
      <c r="A326" s="1"/>
      <c r="B326" s="1"/>
      <c r="C326" s="1"/>
      <c r="D326" s="1"/>
      <c r="E326" s="1"/>
      <c r="F326" s="1"/>
      <c r="G326" s="18"/>
      <c r="H326" s="1"/>
      <c r="I326" s="1"/>
      <c r="J326" s="8"/>
      <c r="K326" s="8"/>
      <c r="L326" s="1"/>
      <c r="M326" s="1"/>
      <c r="N326" s="9"/>
      <c r="O326" s="10"/>
      <c r="P326" s="1"/>
      <c r="Q326" s="1"/>
      <c r="R326" s="1"/>
      <c r="S326" s="1"/>
      <c r="T326" s="1"/>
      <c r="U326" s="1"/>
    </row>
    <row r="327" spans="1:21" ht="15.75" customHeight="1">
      <c r="A327" s="1"/>
      <c r="B327" s="1"/>
      <c r="C327" s="1"/>
      <c r="D327" s="1"/>
      <c r="E327" s="1"/>
      <c r="F327" s="1"/>
      <c r="G327" s="18"/>
      <c r="H327" s="1"/>
      <c r="I327" s="1"/>
      <c r="J327" s="8"/>
      <c r="K327" s="8"/>
      <c r="L327" s="1"/>
      <c r="M327" s="1"/>
      <c r="N327" s="9"/>
      <c r="O327" s="10"/>
      <c r="P327" s="1"/>
      <c r="Q327" s="1"/>
      <c r="R327" s="1"/>
      <c r="S327" s="1"/>
      <c r="T327" s="1"/>
      <c r="U327" s="1"/>
    </row>
    <row r="328" spans="1:21" ht="15.75" customHeight="1">
      <c r="A328" s="1"/>
      <c r="B328" s="1"/>
      <c r="C328" s="1"/>
      <c r="D328" s="1"/>
      <c r="E328" s="1"/>
      <c r="F328" s="1"/>
      <c r="G328" s="18"/>
      <c r="H328" s="1"/>
      <c r="I328" s="1"/>
      <c r="J328" s="8"/>
      <c r="K328" s="8"/>
      <c r="L328" s="1"/>
      <c r="M328" s="1"/>
      <c r="N328" s="9"/>
      <c r="O328" s="10"/>
      <c r="P328" s="1"/>
      <c r="Q328" s="1"/>
      <c r="R328" s="1"/>
      <c r="S328" s="1"/>
      <c r="T328" s="1"/>
      <c r="U328" s="1"/>
    </row>
    <row r="329" spans="1:21" ht="15.75" customHeight="1">
      <c r="A329" s="1"/>
      <c r="B329" s="1"/>
      <c r="C329" s="1"/>
      <c r="D329" s="1"/>
      <c r="E329" s="1"/>
      <c r="F329" s="1"/>
      <c r="G329" s="18"/>
      <c r="H329" s="1"/>
      <c r="I329" s="1"/>
      <c r="J329" s="8"/>
      <c r="K329" s="8"/>
      <c r="L329" s="1"/>
      <c r="M329" s="1"/>
      <c r="N329" s="9"/>
      <c r="O329" s="10"/>
      <c r="P329" s="1"/>
      <c r="Q329" s="1"/>
      <c r="R329" s="1"/>
      <c r="S329" s="1"/>
      <c r="T329" s="1"/>
      <c r="U329" s="1"/>
    </row>
    <row r="330" spans="1:21" ht="15.75" customHeight="1">
      <c r="A330" s="1"/>
      <c r="B330" s="1"/>
      <c r="C330" s="1"/>
      <c r="D330" s="1"/>
      <c r="E330" s="1"/>
      <c r="F330" s="1"/>
      <c r="G330" s="18"/>
      <c r="H330" s="1"/>
      <c r="I330" s="1"/>
      <c r="J330" s="8"/>
      <c r="K330" s="8"/>
      <c r="L330" s="1"/>
      <c r="M330" s="1"/>
      <c r="N330" s="9"/>
      <c r="O330" s="10"/>
      <c r="P330" s="1"/>
      <c r="Q330" s="1"/>
      <c r="R330" s="1"/>
      <c r="S330" s="1"/>
      <c r="T330" s="1"/>
      <c r="U330" s="1"/>
    </row>
    <row r="331" spans="1:21" ht="15.75" customHeight="1">
      <c r="A331" s="1"/>
      <c r="B331" s="1"/>
      <c r="C331" s="1"/>
      <c r="D331" s="1"/>
      <c r="E331" s="1"/>
      <c r="F331" s="1"/>
      <c r="G331" s="18"/>
      <c r="H331" s="1"/>
      <c r="I331" s="1"/>
      <c r="J331" s="8"/>
      <c r="K331" s="8"/>
      <c r="L331" s="1"/>
      <c r="M331" s="1"/>
      <c r="N331" s="9"/>
      <c r="O331" s="10"/>
      <c r="P331" s="1"/>
      <c r="Q331" s="1"/>
      <c r="R331" s="1"/>
      <c r="S331" s="1"/>
      <c r="T331" s="1"/>
      <c r="U331" s="1"/>
    </row>
    <row r="332" spans="1:21" ht="15.75" customHeight="1">
      <c r="A332" s="1"/>
      <c r="B332" s="1"/>
      <c r="C332" s="1"/>
      <c r="D332" s="1"/>
      <c r="E332" s="1"/>
      <c r="F332" s="1"/>
      <c r="G332" s="18"/>
      <c r="H332" s="1"/>
      <c r="I332" s="1"/>
      <c r="J332" s="8"/>
      <c r="K332" s="8"/>
      <c r="L332" s="1"/>
      <c r="M332" s="1"/>
      <c r="N332" s="9"/>
      <c r="O332" s="10"/>
      <c r="P332" s="1"/>
      <c r="Q332" s="1"/>
      <c r="R332" s="1"/>
      <c r="S332" s="1"/>
      <c r="T332" s="1"/>
      <c r="U332" s="1"/>
    </row>
    <row r="333" spans="1:21" ht="15.75" customHeight="1">
      <c r="A333" s="1"/>
      <c r="B333" s="1"/>
      <c r="C333" s="1"/>
      <c r="D333" s="1"/>
      <c r="E333" s="1"/>
      <c r="F333" s="1"/>
      <c r="G333" s="18"/>
      <c r="H333" s="1"/>
      <c r="I333" s="1"/>
      <c r="J333" s="8"/>
      <c r="K333" s="8"/>
      <c r="L333" s="1"/>
      <c r="M333" s="1"/>
      <c r="N333" s="9"/>
      <c r="O333" s="10"/>
      <c r="P333" s="1"/>
      <c r="Q333" s="1"/>
      <c r="R333" s="1"/>
      <c r="S333" s="1"/>
      <c r="T333" s="1"/>
      <c r="U333" s="1"/>
    </row>
    <row r="334" spans="1:21" ht="15.75" customHeight="1">
      <c r="A334" s="1"/>
      <c r="B334" s="1"/>
      <c r="C334" s="1"/>
      <c r="D334" s="1"/>
      <c r="E334" s="1"/>
      <c r="F334" s="1"/>
      <c r="G334" s="18"/>
      <c r="H334" s="1"/>
      <c r="I334" s="1"/>
      <c r="J334" s="8"/>
      <c r="K334" s="8"/>
      <c r="L334" s="1"/>
      <c r="M334" s="1"/>
      <c r="N334" s="9"/>
      <c r="O334" s="10"/>
      <c r="P334" s="1"/>
      <c r="Q334" s="1"/>
      <c r="R334" s="1"/>
      <c r="S334" s="1"/>
      <c r="T334" s="1"/>
      <c r="U334" s="1"/>
    </row>
    <row r="335" spans="1:21" ht="15.75" customHeight="1">
      <c r="A335" s="1"/>
      <c r="B335" s="1"/>
      <c r="C335" s="1"/>
      <c r="D335" s="1"/>
      <c r="E335" s="1"/>
      <c r="F335" s="1"/>
      <c r="G335" s="18"/>
      <c r="H335" s="1"/>
      <c r="I335" s="1"/>
      <c r="J335" s="8"/>
      <c r="K335" s="8"/>
      <c r="L335" s="1"/>
      <c r="M335" s="1"/>
      <c r="N335" s="9"/>
      <c r="O335" s="10"/>
      <c r="P335" s="1"/>
      <c r="Q335" s="1"/>
      <c r="R335" s="1"/>
      <c r="S335" s="1"/>
      <c r="T335" s="1"/>
      <c r="U335" s="1"/>
    </row>
    <row r="336" spans="1:21" ht="15.75" customHeight="1">
      <c r="A336" s="1"/>
      <c r="B336" s="1"/>
      <c r="C336" s="1"/>
      <c r="D336" s="1"/>
      <c r="E336" s="1"/>
      <c r="F336" s="1"/>
      <c r="G336" s="18"/>
      <c r="H336" s="1"/>
      <c r="I336" s="1"/>
      <c r="J336" s="8"/>
      <c r="K336" s="8"/>
      <c r="L336" s="1"/>
      <c r="M336" s="1"/>
      <c r="N336" s="9"/>
      <c r="O336" s="10"/>
      <c r="P336" s="1"/>
      <c r="Q336" s="1"/>
      <c r="R336" s="1"/>
      <c r="S336" s="1"/>
      <c r="T336" s="1"/>
      <c r="U336" s="1"/>
    </row>
    <row r="337" spans="1:21" ht="15.75" customHeight="1">
      <c r="A337" s="1"/>
      <c r="B337" s="1"/>
      <c r="C337" s="1"/>
      <c r="D337" s="1"/>
      <c r="E337" s="1"/>
      <c r="F337" s="1"/>
      <c r="G337" s="18"/>
      <c r="H337" s="1"/>
      <c r="I337" s="1"/>
      <c r="J337" s="8"/>
      <c r="K337" s="8"/>
      <c r="L337" s="1"/>
      <c r="M337" s="1"/>
      <c r="N337" s="9"/>
      <c r="O337" s="10"/>
      <c r="P337" s="1"/>
      <c r="Q337" s="1"/>
      <c r="R337" s="1"/>
      <c r="S337" s="1"/>
      <c r="T337" s="1"/>
      <c r="U337" s="1"/>
    </row>
    <row r="338" spans="1:21" ht="15.75" customHeight="1">
      <c r="A338" s="1"/>
      <c r="B338" s="1"/>
      <c r="C338" s="1"/>
      <c r="D338" s="1"/>
      <c r="E338" s="1"/>
      <c r="F338" s="1"/>
      <c r="G338" s="18"/>
      <c r="H338" s="1"/>
      <c r="I338" s="1"/>
      <c r="J338" s="8"/>
      <c r="K338" s="8"/>
      <c r="L338" s="1"/>
      <c r="M338" s="1"/>
      <c r="N338" s="9"/>
      <c r="O338" s="10"/>
      <c r="P338" s="1"/>
      <c r="Q338" s="1"/>
      <c r="R338" s="1"/>
      <c r="S338" s="1"/>
      <c r="T338" s="1"/>
      <c r="U338" s="1"/>
    </row>
    <row r="339" spans="1:21" ht="15.75" customHeight="1">
      <c r="A339" s="1"/>
      <c r="B339" s="1"/>
      <c r="C339" s="1"/>
      <c r="D339" s="1"/>
      <c r="E339" s="1"/>
      <c r="F339" s="1"/>
      <c r="G339" s="18"/>
      <c r="H339" s="1"/>
      <c r="I339" s="1"/>
      <c r="J339" s="8"/>
      <c r="K339" s="8"/>
      <c r="L339" s="1"/>
      <c r="M339" s="1"/>
      <c r="N339" s="9"/>
      <c r="O339" s="10"/>
      <c r="P339" s="1"/>
      <c r="Q339" s="1"/>
      <c r="R339" s="1"/>
      <c r="S339" s="1"/>
      <c r="T339" s="1"/>
      <c r="U339" s="1"/>
    </row>
    <row r="340" spans="1:21" ht="15.75" customHeight="1">
      <c r="A340" s="1"/>
      <c r="B340" s="1"/>
      <c r="C340" s="1"/>
      <c r="D340" s="1"/>
      <c r="E340" s="1"/>
      <c r="F340" s="1"/>
      <c r="G340" s="18"/>
      <c r="H340" s="1"/>
      <c r="I340" s="1"/>
      <c r="J340" s="8"/>
      <c r="K340" s="8"/>
      <c r="L340" s="1"/>
      <c r="M340" s="1"/>
      <c r="N340" s="9"/>
      <c r="O340" s="10"/>
      <c r="P340" s="1"/>
      <c r="Q340" s="1"/>
      <c r="R340" s="1"/>
      <c r="S340" s="1"/>
      <c r="T340" s="1"/>
      <c r="U340" s="1"/>
    </row>
    <row r="341" spans="1:21" ht="15.75" customHeight="1">
      <c r="A341" s="1"/>
      <c r="B341" s="1"/>
      <c r="C341" s="1"/>
      <c r="D341" s="1"/>
      <c r="E341" s="1"/>
      <c r="F341" s="1"/>
      <c r="G341" s="18"/>
      <c r="H341" s="1"/>
      <c r="I341" s="1"/>
      <c r="J341" s="8"/>
      <c r="K341" s="8"/>
      <c r="L341" s="1"/>
      <c r="M341" s="1"/>
      <c r="N341" s="9"/>
      <c r="O341" s="10"/>
      <c r="P341" s="1"/>
      <c r="Q341" s="1"/>
      <c r="R341" s="1"/>
      <c r="S341" s="1"/>
      <c r="T341" s="1"/>
      <c r="U341" s="1"/>
    </row>
    <row r="342" spans="1:21" ht="15.75" customHeight="1">
      <c r="A342" s="1"/>
      <c r="B342" s="1"/>
      <c r="C342" s="1"/>
      <c r="D342" s="1"/>
      <c r="E342" s="1"/>
      <c r="F342" s="1"/>
      <c r="G342" s="18"/>
      <c r="H342" s="1"/>
      <c r="I342" s="1"/>
      <c r="J342" s="8"/>
      <c r="K342" s="8"/>
      <c r="L342" s="1"/>
      <c r="M342" s="1"/>
      <c r="N342" s="9"/>
      <c r="O342" s="10"/>
      <c r="P342" s="1"/>
      <c r="Q342" s="1"/>
      <c r="R342" s="1"/>
      <c r="S342" s="1"/>
      <c r="T342" s="1"/>
      <c r="U342" s="1"/>
    </row>
    <row r="343" spans="1:21" ht="15.75" customHeight="1">
      <c r="A343" s="1"/>
      <c r="B343" s="1"/>
      <c r="C343" s="1"/>
      <c r="D343" s="1"/>
      <c r="E343" s="1"/>
      <c r="F343" s="1"/>
      <c r="G343" s="18"/>
      <c r="H343" s="1"/>
      <c r="I343" s="1"/>
      <c r="J343" s="8"/>
      <c r="K343" s="8"/>
      <c r="L343" s="1"/>
      <c r="M343" s="1"/>
      <c r="N343" s="9"/>
      <c r="O343" s="10"/>
      <c r="P343" s="1"/>
      <c r="Q343" s="1"/>
      <c r="R343" s="1"/>
      <c r="S343" s="1"/>
      <c r="T343" s="1"/>
      <c r="U343" s="1"/>
    </row>
    <row r="344" spans="1:21" ht="15.75" customHeight="1">
      <c r="A344" s="1"/>
      <c r="B344" s="1"/>
      <c r="C344" s="1"/>
      <c r="D344" s="1"/>
      <c r="E344" s="1"/>
      <c r="F344" s="1"/>
      <c r="G344" s="18"/>
      <c r="H344" s="1"/>
      <c r="I344" s="1"/>
      <c r="J344" s="8"/>
      <c r="K344" s="8"/>
      <c r="L344" s="1"/>
      <c r="M344" s="1"/>
      <c r="N344" s="9"/>
      <c r="O344" s="10"/>
      <c r="P344" s="1"/>
      <c r="Q344" s="1"/>
      <c r="R344" s="1"/>
      <c r="S344" s="1"/>
      <c r="T344" s="1"/>
      <c r="U344" s="1"/>
    </row>
    <row r="345" spans="1:21" ht="15.75" customHeight="1">
      <c r="A345" s="1"/>
      <c r="B345" s="1"/>
      <c r="C345" s="1"/>
      <c r="D345" s="1"/>
      <c r="E345" s="1"/>
      <c r="F345" s="1"/>
      <c r="G345" s="18"/>
      <c r="H345" s="1"/>
      <c r="I345" s="1"/>
      <c r="J345" s="8"/>
      <c r="K345" s="8"/>
      <c r="L345" s="1"/>
      <c r="M345" s="1"/>
      <c r="N345" s="9"/>
      <c r="O345" s="10"/>
      <c r="P345" s="1"/>
      <c r="Q345" s="1"/>
      <c r="R345" s="1"/>
      <c r="S345" s="1"/>
      <c r="T345" s="1"/>
      <c r="U345" s="1"/>
    </row>
    <row r="346" spans="1:21" ht="15.75" customHeight="1">
      <c r="A346" s="1"/>
      <c r="B346" s="1"/>
      <c r="C346" s="1"/>
      <c r="D346" s="1"/>
      <c r="E346" s="1"/>
      <c r="F346" s="1"/>
      <c r="G346" s="18"/>
      <c r="H346" s="1"/>
      <c r="I346" s="1"/>
      <c r="J346" s="8"/>
      <c r="K346" s="8"/>
      <c r="L346" s="1"/>
      <c r="M346" s="1"/>
      <c r="N346" s="9"/>
      <c r="O346" s="10"/>
      <c r="P346" s="1"/>
      <c r="Q346" s="1"/>
      <c r="R346" s="1"/>
      <c r="S346" s="1"/>
      <c r="T346" s="1"/>
      <c r="U346" s="1"/>
    </row>
    <row r="347" spans="1:21" ht="15.75" customHeight="1">
      <c r="A347" s="1"/>
      <c r="B347" s="1"/>
      <c r="C347" s="1"/>
      <c r="D347" s="1"/>
      <c r="E347" s="1"/>
      <c r="F347" s="1"/>
      <c r="G347" s="18"/>
      <c r="H347" s="1"/>
      <c r="I347" s="1"/>
      <c r="J347" s="8"/>
      <c r="K347" s="8"/>
      <c r="L347" s="1"/>
      <c r="M347" s="1"/>
      <c r="N347" s="9"/>
      <c r="O347" s="10"/>
      <c r="P347" s="1"/>
      <c r="Q347" s="1"/>
      <c r="R347" s="1"/>
      <c r="S347" s="1"/>
      <c r="T347" s="1"/>
      <c r="U347" s="1"/>
    </row>
    <row r="348" spans="1:21" ht="15.75" customHeight="1">
      <c r="A348" s="1"/>
      <c r="B348" s="1"/>
      <c r="C348" s="1"/>
      <c r="D348" s="1"/>
      <c r="E348" s="1"/>
      <c r="F348" s="1"/>
      <c r="G348" s="18"/>
      <c r="H348" s="1"/>
      <c r="I348" s="1"/>
      <c r="J348" s="8"/>
      <c r="K348" s="8"/>
      <c r="L348" s="1"/>
      <c r="M348" s="1"/>
      <c r="N348" s="9"/>
      <c r="O348" s="10"/>
      <c r="P348" s="1"/>
      <c r="Q348" s="1"/>
      <c r="R348" s="1"/>
      <c r="S348" s="1"/>
      <c r="T348" s="1"/>
      <c r="U348" s="1"/>
    </row>
    <row r="349" spans="1:21" ht="15.75" customHeight="1">
      <c r="A349" s="1"/>
      <c r="B349" s="1"/>
      <c r="C349" s="1"/>
      <c r="D349" s="1"/>
      <c r="E349" s="1"/>
      <c r="F349" s="1"/>
      <c r="G349" s="18"/>
      <c r="H349" s="1"/>
      <c r="I349" s="1"/>
      <c r="J349" s="8"/>
      <c r="K349" s="8"/>
      <c r="L349" s="1"/>
      <c r="M349" s="1"/>
      <c r="N349" s="9"/>
      <c r="O349" s="10"/>
      <c r="P349" s="1"/>
      <c r="Q349" s="1"/>
      <c r="R349" s="1"/>
      <c r="S349" s="1"/>
      <c r="T349" s="1"/>
      <c r="U349" s="1"/>
    </row>
    <row r="350" spans="1:21" ht="15.75" customHeight="1">
      <c r="A350" s="1"/>
      <c r="B350" s="1"/>
      <c r="C350" s="1"/>
      <c r="D350" s="1"/>
      <c r="E350" s="1"/>
      <c r="F350" s="1"/>
      <c r="G350" s="18"/>
      <c r="H350" s="1"/>
      <c r="I350" s="1"/>
      <c r="J350" s="8"/>
      <c r="K350" s="8"/>
      <c r="L350" s="1"/>
      <c r="M350" s="1"/>
      <c r="N350" s="9"/>
      <c r="O350" s="10"/>
      <c r="P350" s="1"/>
      <c r="Q350" s="1"/>
      <c r="R350" s="1"/>
      <c r="S350" s="1"/>
      <c r="T350" s="1"/>
      <c r="U350" s="1"/>
    </row>
    <row r="351" spans="1:21" ht="15.75" customHeight="1">
      <c r="A351" s="1"/>
      <c r="B351" s="1"/>
      <c r="C351" s="1"/>
      <c r="D351" s="1"/>
      <c r="E351" s="1"/>
      <c r="F351" s="1"/>
      <c r="G351" s="18"/>
      <c r="H351" s="1"/>
      <c r="I351" s="1"/>
      <c r="J351" s="8"/>
      <c r="K351" s="8"/>
      <c r="L351" s="1"/>
      <c r="M351" s="1"/>
      <c r="N351" s="9"/>
      <c r="O351" s="10"/>
      <c r="P351" s="1"/>
      <c r="Q351" s="1"/>
      <c r="R351" s="1"/>
      <c r="S351" s="1"/>
      <c r="T351" s="1"/>
      <c r="U351" s="1"/>
    </row>
    <row r="352" spans="1:21" ht="15.75" customHeight="1">
      <c r="A352" s="1"/>
      <c r="B352" s="1"/>
      <c r="C352" s="1"/>
      <c r="D352" s="1"/>
      <c r="E352" s="1"/>
      <c r="F352" s="1"/>
      <c r="G352" s="18"/>
      <c r="H352" s="1"/>
      <c r="I352" s="1"/>
      <c r="J352" s="8"/>
      <c r="K352" s="8"/>
      <c r="L352" s="1"/>
      <c r="M352" s="1"/>
      <c r="N352" s="9"/>
      <c r="O352" s="10"/>
      <c r="P352" s="1"/>
      <c r="Q352" s="1"/>
      <c r="R352" s="1"/>
      <c r="S352" s="1"/>
      <c r="T352" s="1"/>
      <c r="U352" s="1"/>
    </row>
    <row r="353" spans="1:21" ht="15.75" customHeight="1">
      <c r="A353" s="1"/>
      <c r="B353" s="1"/>
      <c r="C353" s="1"/>
      <c r="D353" s="1"/>
      <c r="E353" s="1"/>
      <c r="F353" s="1"/>
      <c r="G353" s="18"/>
      <c r="H353" s="1"/>
      <c r="I353" s="1"/>
      <c r="J353" s="8"/>
      <c r="K353" s="8"/>
      <c r="L353" s="1"/>
      <c r="M353" s="1"/>
      <c r="N353" s="9"/>
      <c r="O353" s="10"/>
      <c r="P353" s="1"/>
      <c r="Q353" s="1"/>
      <c r="R353" s="1"/>
      <c r="S353" s="1"/>
      <c r="T353" s="1"/>
      <c r="U353" s="1"/>
    </row>
    <row r="354" spans="1:21" ht="15.75" customHeight="1">
      <c r="A354" s="1"/>
      <c r="B354" s="1"/>
      <c r="C354" s="1"/>
      <c r="D354" s="1"/>
      <c r="E354" s="1"/>
      <c r="F354" s="1"/>
      <c r="G354" s="18"/>
      <c r="H354" s="1"/>
      <c r="I354" s="1"/>
      <c r="J354" s="8"/>
      <c r="K354" s="8"/>
      <c r="L354" s="1"/>
      <c r="M354" s="1"/>
      <c r="N354" s="9"/>
      <c r="O354" s="10"/>
      <c r="P354" s="1"/>
      <c r="Q354" s="1"/>
      <c r="R354" s="1"/>
      <c r="S354" s="1"/>
      <c r="T354" s="1"/>
      <c r="U354" s="1"/>
    </row>
    <row r="355" spans="1:21" ht="15.75" customHeight="1">
      <c r="A355" s="1"/>
      <c r="B355" s="1"/>
      <c r="C355" s="1"/>
      <c r="D355" s="1"/>
      <c r="E355" s="1"/>
      <c r="F355" s="1"/>
      <c r="G355" s="18"/>
      <c r="H355" s="1"/>
      <c r="I355" s="1"/>
      <c r="J355" s="8"/>
      <c r="K355" s="8"/>
      <c r="L355" s="1"/>
      <c r="M355" s="1"/>
      <c r="N355" s="9"/>
      <c r="O355" s="10"/>
      <c r="P355" s="1"/>
      <c r="Q355" s="1"/>
      <c r="R355" s="1"/>
      <c r="S355" s="1"/>
      <c r="T355" s="1"/>
      <c r="U355" s="1"/>
    </row>
    <row r="356" spans="1:21" ht="15.75" customHeight="1">
      <c r="A356" s="1"/>
      <c r="B356" s="1"/>
      <c r="C356" s="1"/>
      <c r="D356" s="1"/>
      <c r="E356" s="1"/>
      <c r="F356" s="1"/>
      <c r="G356" s="18"/>
      <c r="H356" s="1"/>
      <c r="I356" s="1"/>
      <c r="J356" s="8"/>
      <c r="K356" s="8"/>
      <c r="L356" s="1"/>
      <c r="M356" s="1"/>
      <c r="N356" s="9"/>
      <c r="O356" s="10"/>
      <c r="P356" s="1"/>
      <c r="Q356" s="1"/>
      <c r="R356" s="1"/>
      <c r="S356" s="1"/>
      <c r="T356" s="1"/>
      <c r="U356" s="1"/>
    </row>
    <row r="357" spans="1:21" ht="15.75" customHeight="1">
      <c r="A357" s="1"/>
      <c r="B357" s="1"/>
      <c r="C357" s="1"/>
      <c r="D357" s="1"/>
      <c r="E357" s="1"/>
      <c r="F357" s="1"/>
      <c r="G357" s="18"/>
      <c r="H357" s="1"/>
      <c r="I357" s="1"/>
      <c r="J357" s="8"/>
      <c r="K357" s="8"/>
      <c r="L357" s="1"/>
      <c r="M357" s="1"/>
      <c r="N357" s="9"/>
      <c r="O357" s="10"/>
      <c r="P357" s="1"/>
      <c r="Q357" s="1"/>
      <c r="R357" s="1"/>
      <c r="S357" s="1"/>
      <c r="T357" s="1"/>
      <c r="U357" s="1"/>
    </row>
    <row r="358" spans="1:21" ht="15.75" customHeight="1">
      <c r="A358" s="1"/>
      <c r="B358" s="1"/>
      <c r="C358" s="1"/>
      <c r="D358" s="1"/>
      <c r="E358" s="1"/>
      <c r="F358" s="1"/>
      <c r="G358" s="18"/>
      <c r="H358" s="1"/>
      <c r="I358" s="1"/>
      <c r="J358" s="8"/>
      <c r="K358" s="8"/>
      <c r="L358" s="1"/>
      <c r="M358" s="1"/>
      <c r="N358" s="9"/>
      <c r="O358" s="10"/>
      <c r="P358" s="1"/>
      <c r="Q358" s="1"/>
      <c r="R358" s="1"/>
      <c r="S358" s="1"/>
      <c r="T358" s="1"/>
      <c r="U358" s="1"/>
    </row>
    <row r="359" spans="1:21" ht="15.75" customHeight="1">
      <c r="A359" s="1"/>
      <c r="B359" s="1"/>
      <c r="C359" s="1"/>
      <c r="D359" s="1"/>
      <c r="E359" s="1"/>
      <c r="F359" s="1"/>
      <c r="G359" s="18"/>
      <c r="H359" s="1"/>
      <c r="I359" s="1"/>
      <c r="J359" s="8"/>
      <c r="K359" s="8"/>
      <c r="L359" s="1"/>
      <c r="M359" s="1"/>
      <c r="N359" s="9"/>
      <c r="O359" s="10"/>
      <c r="P359" s="1"/>
      <c r="Q359" s="1"/>
      <c r="R359" s="1"/>
      <c r="S359" s="1"/>
      <c r="T359" s="1"/>
      <c r="U359" s="1"/>
    </row>
    <row r="360" spans="1:21" ht="15.75" customHeight="1">
      <c r="A360" s="1"/>
      <c r="B360" s="1"/>
      <c r="C360" s="1"/>
      <c r="D360" s="1"/>
      <c r="E360" s="1"/>
      <c r="F360" s="1"/>
      <c r="G360" s="18"/>
      <c r="H360" s="1"/>
      <c r="I360" s="1"/>
      <c r="J360" s="8"/>
      <c r="K360" s="8"/>
      <c r="L360" s="1"/>
      <c r="M360" s="1"/>
      <c r="N360" s="9"/>
      <c r="O360" s="10"/>
      <c r="P360" s="1"/>
      <c r="Q360" s="1"/>
      <c r="R360" s="1"/>
      <c r="S360" s="1"/>
      <c r="T360" s="1"/>
      <c r="U360" s="1"/>
    </row>
    <row r="361" spans="1:21" ht="15.75" customHeight="1">
      <c r="A361" s="1"/>
      <c r="B361" s="1"/>
      <c r="C361" s="1"/>
      <c r="D361" s="1"/>
      <c r="E361" s="1"/>
      <c r="F361" s="1"/>
      <c r="G361" s="18"/>
      <c r="H361" s="1"/>
      <c r="I361" s="1"/>
      <c r="J361" s="8"/>
      <c r="K361" s="8"/>
      <c r="L361" s="1"/>
      <c r="M361" s="1"/>
      <c r="N361" s="9"/>
      <c r="O361" s="10"/>
      <c r="P361" s="1"/>
      <c r="Q361" s="1"/>
      <c r="R361" s="1"/>
      <c r="S361" s="1"/>
      <c r="T361" s="1"/>
      <c r="U361" s="1"/>
    </row>
    <row r="362" spans="1:21" ht="15.75" customHeight="1">
      <c r="A362" s="1"/>
      <c r="B362" s="1"/>
      <c r="C362" s="1"/>
      <c r="D362" s="1"/>
      <c r="E362" s="1"/>
      <c r="F362" s="1"/>
      <c r="G362" s="18"/>
      <c r="H362" s="1"/>
      <c r="I362" s="1"/>
      <c r="J362" s="8"/>
      <c r="K362" s="8"/>
      <c r="L362" s="1"/>
      <c r="M362" s="1"/>
      <c r="N362" s="9"/>
      <c r="O362" s="10"/>
      <c r="P362" s="1"/>
      <c r="Q362" s="1"/>
      <c r="R362" s="1"/>
      <c r="S362" s="1"/>
      <c r="T362" s="1"/>
      <c r="U362" s="1"/>
    </row>
    <row r="363" spans="1:21" ht="15.75" customHeight="1">
      <c r="A363" s="1"/>
      <c r="B363" s="1"/>
      <c r="C363" s="1"/>
      <c r="D363" s="1"/>
      <c r="E363" s="1"/>
      <c r="F363" s="1"/>
      <c r="G363" s="18"/>
      <c r="H363" s="1"/>
      <c r="I363" s="1"/>
      <c r="J363" s="8"/>
      <c r="K363" s="8"/>
      <c r="L363" s="1"/>
      <c r="M363" s="1"/>
      <c r="N363" s="9"/>
      <c r="O363" s="10"/>
      <c r="P363" s="1"/>
      <c r="Q363" s="1"/>
      <c r="R363" s="1"/>
      <c r="S363" s="1"/>
      <c r="T363" s="1"/>
      <c r="U363" s="1"/>
    </row>
    <row r="364" spans="1:21" ht="15.75" customHeight="1">
      <c r="A364" s="1"/>
      <c r="B364" s="1"/>
      <c r="C364" s="1"/>
      <c r="D364" s="1"/>
      <c r="E364" s="1"/>
      <c r="F364" s="1"/>
      <c r="G364" s="18"/>
      <c r="H364" s="1"/>
      <c r="I364" s="1"/>
      <c r="J364" s="8"/>
      <c r="K364" s="8"/>
      <c r="L364" s="1"/>
      <c r="M364" s="1"/>
      <c r="N364" s="9"/>
      <c r="O364" s="10"/>
      <c r="P364" s="1"/>
      <c r="Q364" s="1"/>
      <c r="R364" s="1"/>
      <c r="S364" s="1"/>
      <c r="T364" s="1"/>
      <c r="U364" s="1"/>
    </row>
    <row r="365" spans="1:21" ht="15.75" customHeight="1">
      <c r="A365" s="1"/>
      <c r="B365" s="1"/>
      <c r="C365" s="1"/>
      <c r="D365" s="1"/>
      <c r="E365" s="1"/>
      <c r="F365" s="1"/>
      <c r="G365" s="18"/>
      <c r="H365" s="1"/>
      <c r="I365" s="1"/>
      <c r="J365" s="8"/>
      <c r="K365" s="8"/>
      <c r="L365" s="1"/>
      <c r="M365" s="1"/>
      <c r="N365" s="9"/>
      <c r="O365" s="10"/>
      <c r="P365" s="1"/>
      <c r="Q365" s="1"/>
      <c r="R365" s="1"/>
      <c r="S365" s="1"/>
      <c r="T365" s="1"/>
      <c r="U365" s="1"/>
    </row>
    <row r="366" spans="1:21" ht="15.75" customHeight="1">
      <c r="A366" s="1"/>
      <c r="B366" s="1"/>
      <c r="C366" s="1"/>
      <c r="D366" s="1"/>
      <c r="E366" s="1"/>
      <c r="F366" s="1"/>
      <c r="G366" s="18"/>
      <c r="H366" s="1"/>
      <c r="I366" s="1"/>
      <c r="J366" s="8"/>
      <c r="K366" s="8"/>
      <c r="L366" s="1"/>
      <c r="M366" s="1"/>
      <c r="N366" s="9"/>
      <c r="O366" s="10"/>
      <c r="P366" s="1"/>
      <c r="Q366" s="1"/>
      <c r="R366" s="1"/>
      <c r="S366" s="1"/>
      <c r="T366" s="1"/>
      <c r="U366" s="1"/>
    </row>
    <row r="367" spans="1:21" ht="15.75" customHeight="1">
      <c r="A367" s="1"/>
      <c r="B367" s="1"/>
      <c r="C367" s="1"/>
      <c r="D367" s="1"/>
      <c r="E367" s="1"/>
      <c r="F367" s="1"/>
      <c r="G367" s="18"/>
      <c r="H367" s="1"/>
      <c r="I367" s="1"/>
      <c r="J367" s="8"/>
      <c r="K367" s="8"/>
      <c r="L367" s="1"/>
      <c r="M367" s="1"/>
      <c r="N367" s="9"/>
      <c r="O367" s="10"/>
      <c r="P367" s="1"/>
      <c r="Q367" s="1"/>
      <c r="R367" s="1"/>
      <c r="S367" s="1"/>
      <c r="T367" s="1"/>
      <c r="U367" s="1"/>
    </row>
    <row r="368" spans="1:21" ht="15.75" customHeight="1">
      <c r="A368" s="1"/>
      <c r="B368" s="1"/>
      <c r="C368" s="1"/>
      <c r="D368" s="1"/>
      <c r="E368" s="1"/>
      <c r="F368" s="1"/>
      <c r="G368" s="18"/>
      <c r="H368" s="1"/>
      <c r="I368" s="1"/>
      <c r="J368" s="8"/>
      <c r="K368" s="8"/>
      <c r="L368" s="1"/>
      <c r="M368" s="1"/>
      <c r="N368" s="9"/>
      <c r="O368" s="10"/>
      <c r="P368" s="1"/>
      <c r="Q368" s="1"/>
      <c r="R368" s="1"/>
      <c r="S368" s="1"/>
      <c r="T368" s="1"/>
      <c r="U368" s="1"/>
    </row>
    <row r="369" spans="1:21" ht="15.75" customHeight="1">
      <c r="A369" s="1"/>
      <c r="B369" s="1"/>
      <c r="C369" s="1"/>
      <c r="D369" s="1"/>
      <c r="E369" s="1"/>
      <c r="F369" s="1"/>
      <c r="G369" s="18"/>
      <c r="H369" s="1"/>
      <c r="I369" s="1"/>
      <c r="J369" s="8"/>
      <c r="K369" s="8"/>
      <c r="L369" s="1"/>
      <c r="M369" s="1"/>
      <c r="N369" s="9"/>
      <c r="O369" s="10"/>
      <c r="P369" s="1"/>
      <c r="Q369" s="1"/>
      <c r="R369" s="1"/>
      <c r="S369" s="1"/>
      <c r="T369" s="1"/>
      <c r="U369" s="1"/>
    </row>
    <row r="370" spans="1:21" ht="15.75" customHeight="1">
      <c r="A370" s="1"/>
      <c r="B370" s="1"/>
      <c r="C370" s="1"/>
      <c r="D370" s="1"/>
      <c r="E370" s="1"/>
      <c r="F370" s="1"/>
      <c r="G370" s="18"/>
      <c r="H370" s="1"/>
      <c r="I370" s="1"/>
      <c r="J370" s="8"/>
      <c r="K370" s="8"/>
      <c r="L370" s="1"/>
      <c r="M370" s="1"/>
      <c r="N370" s="9"/>
      <c r="O370" s="10"/>
      <c r="P370" s="1"/>
      <c r="Q370" s="1"/>
      <c r="R370" s="1"/>
      <c r="S370" s="1"/>
      <c r="T370" s="1"/>
      <c r="U370" s="1"/>
    </row>
    <row r="371" spans="1:21" ht="15.75" customHeight="1">
      <c r="A371" s="1"/>
      <c r="B371" s="1"/>
      <c r="C371" s="1"/>
      <c r="D371" s="1"/>
      <c r="E371" s="1"/>
      <c r="F371" s="1"/>
      <c r="G371" s="18"/>
      <c r="H371" s="1"/>
      <c r="I371" s="1"/>
      <c r="J371" s="8"/>
      <c r="K371" s="8"/>
      <c r="L371" s="1"/>
      <c r="M371" s="1"/>
      <c r="N371" s="9"/>
      <c r="O371" s="10"/>
      <c r="P371" s="1"/>
      <c r="Q371" s="1"/>
      <c r="R371" s="1"/>
      <c r="S371" s="1"/>
      <c r="T371" s="1"/>
      <c r="U371" s="1"/>
    </row>
    <row r="372" spans="1:21" ht="15.75" customHeight="1">
      <c r="A372" s="1"/>
      <c r="B372" s="1"/>
      <c r="C372" s="1"/>
      <c r="D372" s="1"/>
      <c r="E372" s="1"/>
      <c r="F372" s="1"/>
      <c r="G372" s="18"/>
      <c r="H372" s="1"/>
      <c r="I372" s="1"/>
      <c r="J372" s="8"/>
      <c r="K372" s="8"/>
      <c r="L372" s="1"/>
      <c r="M372" s="1"/>
      <c r="N372" s="9"/>
      <c r="O372" s="10"/>
      <c r="P372" s="1"/>
      <c r="Q372" s="1"/>
      <c r="R372" s="1"/>
      <c r="S372" s="1"/>
      <c r="T372" s="1"/>
      <c r="U372" s="1"/>
    </row>
    <row r="373" spans="1:21" ht="15.75" customHeight="1">
      <c r="A373" s="1"/>
      <c r="B373" s="1"/>
      <c r="C373" s="1"/>
      <c r="D373" s="1"/>
      <c r="E373" s="1"/>
      <c r="F373" s="1"/>
      <c r="G373" s="18"/>
      <c r="H373" s="1"/>
      <c r="I373" s="1"/>
      <c r="J373" s="8"/>
      <c r="K373" s="8"/>
      <c r="L373" s="1"/>
      <c r="M373" s="1"/>
      <c r="N373" s="9"/>
      <c r="O373" s="10"/>
      <c r="P373" s="1"/>
      <c r="Q373" s="1"/>
      <c r="R373" s="1"/>
      <c r="S373" s="1"/>
      <c r="T373" s="1"/>
      <c r="U373" s="1"/>
    </row>
    <row r="374" spans="1:21" ht="15.75" customHeight="1">
      <c r="A374" s="1"/>
      <c r="B374" s="1"/>
      <c r="C374" s="1"/>
      <c r="D374" s="1"/>
      <c r="E374" s="1"/>
      <c r="F374" s="1"/>
      <c r="G374" s="18"/>
      <c r="H374" s="1"/>
      <c r="I374" s="1"/>
      <c r="J374" s="8"/>
      <c r="K374" s="8"/>
      <c r="L374" s="1"/>
      <c r="M374" s="1"/>
      <c r="N374" s="9"/>
      <c r="O374" s="10"/>
      <c r="P374" s="1"/>
      <c r="Q374" s="1"/>
      <c r="R374" s="1"/>
      <c r="S374" s="1"/>
      <c r="T374" s="1"/>
      <c r="U374" s="1"/>
    </row>
    <row r="375" spans="1:21" ht="15.75" customHeight="1">
      <c r="A375" s="1"/>
      <c r="B375" s="1"/>
      <c r="C375" s="1"/>
      <c r="D375" s="1"/>
      <c r="E375" s="1"/>
      <c r="F375" s="1"/>
      <c r="G375" s="18"/>
      <c r="H375" s="1"/>
      <c r="I375" s="1"/>
      <c r="J375" s="8"/>
      <c r="K375" s="8"/>
      <c r="L375" s="1"/>
      <c r="M375" s="1"/>
      <c r="N375" s="9"/>
      <c r="O375" s="10"/>
      <c r="P375" s="1"/>
      <c r="Q375" s="1"/>
      <c r="R375" s="1"/>
      <c r="S375" s="1"/>
      <c r="T375" s="1"/>
      <c r="U375" s="1"/>
    </row>
    <row r="376" spans="1:21" ht="15.75" customHeight="1">
      <c r="A376" s="1"/>
      <c r="B376" s="1"/>
      <c r="C376" s="1"/>
      <c r="D376" s="1"/>
      <c r="E376" s="1"/>
      <c r="F376" s="1"/>
      <c r="G376" s="18"/>
      <c r="H376" s="1"/>
      <c r="I376" s="1"/>
      <c r="J376" s="8"/>
      <c r="K376" s="8"/>
      <c r="L376" s="1"/>
      <c r="M376" s="1"/>
      <c r="N376" s="9"/>
      <c r="O376" s="10"/>
      <c r="P376" s="1"/>
      <c r="Q376" s="1"/>
      <c r="R376" s="1"/>
      <c r="S376" s="1"/>
      <c r="T376" s="1"/>
      <c r="U376" s="1"/>
    </row>
    <row r="377" spans="1:21" ht="15.75" customHeight="1">
      <c r="A377" s="1"/>
      <c r="B377" s="1"/>
      <c r="C377" s="1"/>
      <c r="D377" s="1"/>
      <c r="E377" s="1"/>
      <c r="F377" s="1"/>
      <c r="G377" s="18"/>
      <c r="H377" s="1"/>
      <c r="I377" s="1"/>
      <c r="J377" s="8"/>
      <c r="K377" s="8"/>
      <c r="L377" s="1"/>
      <c r="M377" s="1"/>
      <c r="N377" s="9"/>
      <c r="O377" s="10"/>
      <c r="P377" s="1"/>
      <c r="Q377" s="1"/>
      <c r="R377" s="1"/>
      <c r="S377" s="1"/>
      <c r="T377" s="1"/>
      <c r="U377" s="1"/>
    </row>
    <row r="378" spans="1:21" ht="15.75" customHeight="1">
      <c r="A378" s="1"/>
      <c r="B378" s="1"/>
      <c r="C378" s="1"/>
      <c r="D378" s="1"/>
      <c r="E378" s="1"/>
      <c r="F378" s="1"/>
      <c r="G378" s="18"/>
      <c r="H378" s="1"/>
      <c r="I378" s="1"/>
      <c r="J378" s="8"/>
      <c r="K378" s="8"/>
      <c r="L378" s="1"/>
      <c r="M378" s="1"/>
      <c r="N378" s="9"/>
      <c r="O378" s="10"/>
      <c r="P378" s="1"/>
      <c r="Q378" s="1"/>
      <c r="R378" s="1"/>
      <c r="S378" s="1"/>
      <c r="T378" s="1"/>
      <c r="U378" s="1"/>
    </row>
    <row r="379" spans="1:21" ht="15.75" customHeight="1">
      <c r="A379" s="1"/>
      <c r="B379" s="1"/>
      <c r="C379" s="1"/>
      <c r="D379" s="1"/>
      <c r="E379" s="1"/>
      <c r="F379" s="1"/>
      <c r="G379" s="18"/>
      <c r="H379" s="1"/>
      <c r="I379" s="1"/>
      <c r="J379" s="8"/>
      <c r="K379" s="8"/>
      <c r="L379" s="1"/>
      <c r="M379" s="1"/>
      <c r="N379" s="9"/>
      <c r="O379" s="10"/>
      <c r="P379" s="1"/>
      <c r="Q379" s="1"/>
      <c r="R379" s="1"/>
      <c r="S379" s="1"/>
      <c r="T379" s="1"/>
      <c r="U379" s="1"/>
    </row>
    <row r="380" spans="1:21" ht="15.75" customHeight="1">
      <c r="A380" s="1"/>
      <c r="B380" s="1"/>
      <c r="C380" s="1"/>
      <c r="D380" s="1"/>
      <c r="E380" s="1"/>
      <c r="F380" s="1"/>
      <c r="G380" s="18"/>
      <c r="H380" s="1"/>
      <c r="I380" s="1"/>
      <c r="J380" s="8"/>
      <c r="K380" s="8"/>
      <c r="L380" s="1"/>
      <c r="M380" s="1"/>
      <c r="N380" s="9"/>
      <c r="O380" s="10"/>
      <c r="P380" s="1"/>
      <c r="Q380" s="1"/>
      <c r="R380" s="1"/>
      <c r="S380" s="1"/>
      <c r="T380" s="1"/>
      <c r="U380" s="1"/>
    </row>
    <row r="381" spans="1:21" ht="15.75" customHeight="1">
      <c r="A381" s="1"/>
      <c r="B381" s="1"/>
      <c r="C381" s="1"/>
      <c r="D381" s="1"/>
      <c r="E381" s="1"/>
      <c r="F381" s="1"/>
      <c r="G381" s="18"/>
      <c r="H381" s="1"/>
      <c r="I381" s="1"/>
      <c r="J381" s="8"/>
      <c r="K381" s="8"/>
      <c r="L381" s="1"/>
      <c r="M381" s="1"/>
      <c r="N381" s="9"/>
      <c r="O381" s="10"/>
      <c r="P381" s="1"/>
      <c r="Q381" s="1"/>
      <c r="R381" s="1"/>
      <c r="S381" s="1"/>
      <c r="T381" s="1"/>
      <c r="U381" s="1"/>
    </row>
    <row r="382" spans="1:21" ht="15.75" customHeight="1">
      <c r="A382" s="1"/>
      <c r="B382" s="1"/>
      <c r="C382" s="1"/>
      <c r="D382" s="1"/>
      <c r="E382" s="1"/>
      <c r="F382" s="1"/>
      <c r="G382" s="18"/>
      <c r="H382" s="1"/>
      <c r="I382" s="1"/>
      <c r="J382" s="8"/>
      <c r="K382" s="8"/>
      <c r="L382" s="1"/>
      <c r="M382" s="1"/>
      <c r="N382" s="9"/>
      <c r="O382" s="10"/>
      <c r="P382" s="1"/>
      <c r="Q382" s="1"/>
      <c r="R382" s="1"/>
      <c r="S382" s="1"/>
      <c r="T382" s="1"/>
      <c r="U382" s="1"/>
    </row>
    <row r="383" spans="1:21" ht="15.75" customHeight="1">
      <c r="A383" s="1"/>
      <c r="B383" s="1"/>
      <c r="C383" s="1"/>
      <c r="D383" s="1"/>
      <c r="E383" s="1"/>
      <c r="F383" s="1"/>
      <c r="G383" s="18"/>
      <c r="H383" s="1"/>
      <c r="I383" s="1"/>
      <c r="J383" s="8"/>
      <c r="K383" s="8"/>
      <c r="L383" s="1"/>
      <c r="M383" s="1"/>
      <c r="N383" s="9"/>
      <c r="O383" s="10"/>
      <c r="P383" s="1"/>
      <c r="Q383" s="1"/>
      <c r="R383" s="1"/>
      <c r="S383" s="1"/>
      <c r="T383" s="1"/>
      <c r="U383" s="1"/>
    </row>
    <row r="384" spans="1:21" ht="15.75" customHeight="1">
      <c r="A384" s="1"/>
      <c r="B384" s="1"/>
      <c r="C384" s="1"/>
      <c r="D384" s="1"/>
      <c r="E384" s="1"/>
      <c r="F384" s="1"/>
      <c r="G384" s="18"/>
      <c r="H384" s="1"/>
      <c r="I384" s="1"/>
      <c r="J384" s="8"/>
      <c r="K384" s="8"/>
      <c r="L384" s="1"/>
      <c r="M384" s="1"/>
      <c r="N384" s="9"/>
      <c r="O384" s="10"/>
      <c r="P384" s="1"/>
      <c r="Q384" s="1"/>
      <c r="R384" s="1"/>
      <c r="S384" s="1"/>
      <c r="T384" s="1"/>
      <c r="U384" s="1"/>
    </row>
    <row r="385" spans="1:21" ht="15.75" customHeight="1">
      <c r="A385" s="1"/>
      <c r="B385" s="1"/>
      <c r="C385" s="1"/>
      <c r="D385" s="1"/>
      <c r="E385" s="1"/>
      <c r="F385" s="1"/>
      <c r="G385" s="18"/>
      <c r="H385" s="1"/>
      <c r="I385" s="1"/>
      <c r="J385" s="8"/>
      <c r="K385" s="8"/>
      <c r="L385" s="1"/>
      <c r="M385" s="1"/>
      <c r="N385" s="9"/>
      <c r="O385" s="10"/>
      <c r="P385" s="1"/>
      <c r="Q385" s="1"/>
      <c r="R385" s="1"/>
      <c r="S385" s="1"/>
      <c r="T385" s="1"/>
      <c r="U385" s="1"/>
    </row>
    <row r="386" spans="1:21" ht="15.75" customHeight="1">
      <c r="A386" s="1"/>
      <c r="B386" s="1"/>
      <c r="C386" s="1"/>
      <c r="D386" s="1"/>
      <c r="E386" s="1"/>
      <c r="F386" s="1"/>
      <c r="G386" s="18"/>
      <c r="H386" s="1"/>
      <c r="I386" s="1"/>
      <c r="J386" s="8"/>
      <c r="K386" s="8"/>
      <c r="L386" s="1"/>
      <c r="M386" s="1"/>
      <c r="N386" s="9"/>
      <c r="O386" s="10"/>
      <c r="P386" s="1"/>
      <c r="Q386" s="1"/>
      <c r="R386" s="1"/>
      <c r="S386" s="1"/>
      <c r="T386" s="1"/>
      <c r="U386" s="1"/>
    </row>
    <row r="387" spans="1:21" ht="15.75" customHeight="1">
      <c r="A387" s="1"/>
      <c r="B387" s="1"/>
      <c r="C387" s="1"/>
      <c r="D387" s="1"/>
      <c r="E387" s="1"/>
      <c r="F387" s="1"/>
      <c r="G387" s="18"/>
      <c r="H387" s="1"/>
      <c r="I387" s="1"/>
      <c r="J387" s="8"/>
      <c r="K387" s="8"/>
      <c r="L387" s="1"/>
      <c r="M387" s="1"/>
      <c r="N387" s="9"/>
      <c r="O387" s="10"/>
      <c r="P387" s="1"/>
      <c r="Q387" s="1"/>
      <c r="R387" s="1"/>
      <c r="S387" s="1"/>
      <c r="T387" s="1"/>
      <c r="U387" s="1"/>
    </row>
    <row r="388" spans="1:21" ht="15.75" customHeight="1">
      <c r="O388" s="92"/>
    </row>
    <row r="389" spans="1:21" ht="15.75" customHeight="1">
      <c r="O389" s="92"/>
    </row>
    <row r="390" spans="1:21" ht="15.75" customHeight="1">
      <c r="O390" s="92"/>
    </row>
    <row r="391" spans="1:21" ht="15.75" customHeight="1">
      <c r="O391" s="92"/>
    </row>
    <row r="392" spans="1:21" ht="15.75" customHeight="1">
      <c r="O392" s="92"/>
    </row>
    <row r="393" spans="1:21" ht="15.75" customHeight="1">
      <c r="O393" s="92"/>
    </row>
    <row r="394" spans="1:21" ht="15.75" customHeight="1">
      <c r="O394" s="92"/>
    </row>
    <row r="395" spans="1:21" ht="15.75" customHeight="1">
      <c r="O395" s="92"/>
    </row>
    <row r="396" spans="1:21" ht="15.75" customHeight="1">
      <c r="O396" s="92"/>
    </row>
    <row r="397" spans="1:21" ht="15.75" customHeight="1">
      <c r="O397" s="92"/>
    </row>
    <row r="398" spans="1:21" ht="15.75" customHeight="1">
      <c r="O398" s="92"/>
    </row>
    <row r="399" spans="1:21" ht="15.75" customHeight="1">
      <c r="O399" s="92"/>
    </row>
    <row r="400" spans="1:21" ht="15.75" customHeight="1">
      <c r="O400" s="92"/>
    </row>
    <row r="401" spans="15:15" ht="15.75" customHeight="1">
      <c r="O401" s="92"/>
    </row>
    <row r="402" spans="15:15" ht="15.75" customHeight="1">
      <c r="O402" s="92"/>
    </row>
    <row r="403" spans="15:15" ht="15.75" customHeight="1">
      <c r="O403" s="92"/>
    </row>
    <row r="404" spans="15:15" ht="15.75" customHeight="1">
      <c r="O404" s="92"/>
    </row>
    <row r="405" spans="15:15" ht="15.75" customHeight="1">
      <c r="O405" s="92"/>
    </row>
    <row r="406" spans="15:15" ht="15.75" customHeight="1">
      <c r="O406" s="92"/>
    </row>
    <row r="407" spans="15:15" ht="15.75" customHeight="1">
      <c r="O407" s="92"/>
    </row>
    <row r="408" spans="15:15" ht="15.75" customHeight="1">
      <c r="O408" s="92"/>
    </row>
    <row r="409" spans="15:15" ht="15.75" customHeight="1">
      <c r="O409" s="92"/>
    </row>
    <row r="410" spans="15:15" ht="15.75" customHeight="1">
      <c r="O410" s="92"/>
    </row>
    <row r="411" spans="15:15" ht="15.75" customHeight="1">
      <c r="O411" s="92"/>
    </row>
    <row r="412" spans="15:15" ht="15.75" customHeight="1">
      <c r="O412" s="92"/>
    </row>
    <row r="413" spans="15:15" ht="15.75" customHeight="1">
      <c r="O413" s="92"/>
    </row>
    <row r="414" spans="15:15" ht="15.75" customHeight="1">
      <c r="O414" s="92"/>
    </row>
    <row r="415" spans="15:15" ht="15.75" customHeight="1">
      <c r="O415" s="92"/>
    </row>
    <row r="416" spans="15:15" ht="15.75" customHeight="1">
      <c r="O416" s="92"/>
    </row>
    <row r="417" spans="15:15" ht="15.75" customHeight="1">
      <c r="O417" s="92"/>
    </row>
    <row r="418" spans="15:15" ht="15.75" customHeight="1">
      <c r="O418" s="92"/>
    </row>
    <row r="419" spans="15:15" ht="15.75" customHeight="1">
      <c r="O419" s="92"/>
    </row>
    <row r="420" spans="15:15" ht="15.75" customHeight="1">
      <c r="O420" s="92"/>
    </row>
    <row r="421" spans="15:15" ht="15.75" customHeight="1">
      <c r="O421" s="92"/>
    </row>
    <row r="422" spans="15:15" ht="15.75" customHeight="1">
      <c r="O422" s="92"/>
    </row>
    <row r="423" spans="15:15" ht="15.75" customHeight="1">
      <c r="O423" s="92"/>
    </row>
    <row r="424" spans="15:15" ht="15.75" customHeight="1">
      <c r="O424" s="92"/>
    </row>
    <row r="425" spans="15:15" ht="15.75" customHeight="1">
      <c r="O425" s="92"/>
    </row>
    <row r="426" spans="15:15" ht="15.75" customHeight="1">
      <c r="O426" s="92"/>
    </row>
    <row r="427" spans="15:15" ht="15.75" customHeight="1">
      <c r="O427" s="92"/>
    </row>
    <row r="428" spans="15:15" ht="15.75" customHeight="1">
      <c r="O428" s="92"/>
    </row>
    <row r="429" spans="15:15" ht="15.75" customHeight="1">
      <c r="O429" s="92"/>
    </row>
    <row r="430" spans="15:15" ht="15.75" customHeight="1">
      <c r="O430" s="92"/>
    </row>
    <row r="431" spans="15:15" ht="15.75" customHeight="1">
      <c r="O431" s="92"/>
    </row>
    <row r="432" spans="15:15" ht="15.75" customHeight="1">
      <c r="O432" s="92"/>
    </row>
    <row r="433" spans="15:15" ht="15.75" customHeight="1">
      <c r="O433" s="92"/>
    </row>
    <row r="434" spans="15:15" ht="15.75" customHeight="1">
      <c r="O434" s="92"/>
    </row>
    <row r="435" spans="15:15" ht="15.75" customHeight="1">
      <c r="O435" s="92"/>
    </row>
    <row r="436" spans="15:15" ht="15.75" customHeight="1">
      <c r="O436" s="92"/>
    </row>
    <row r="437" spans="15:15" ht="15.75" customHeight="1">
      <c r="O437" s="92"/>
    </row>
    <row r="438" spans="15:15" ht="15.75" customHeight="1">
      <c r="O438" s="92"/>
    </row>
    <row r="439" spans="15:15" ht="15.75" customHeight="1">
      <c r="O439" s="92"/>
    </row>
    <row r="440" spans="15:15" ht="15.75" customHeight="1">
      <c r="O440" s="92"/>
    </row>
    <row r="441" spans="15:15" ht="15.75" customHeight="1">
      <c r="O441" s="92"/>
    </row>
    <row r="442" spans="15:15" ht="15.75" customHeight="1">
      <c r="O442" s="92"/>
    </row>
    <row r="443" spans="15:15" ht="15.75" customHeight="1">
      <c r="O443" s="92"/>
    </row>
    <row r="444" spans="15:15" ht="15.75" customHeight="1">
      <c r="O444" s="92"/>
    </row>
    <row r="445" spans="15:15" ht="15.75" customHeight="1">
      <c r="O445" s="92"/>
    </row>
    <row r="446" spans="15:15" ht="15.75" customHeight="1">
      <c r="O446" s="92"/>
    </row>
    <row r="447" spans="15:15" ht="15.75" customHeight="1">
      <c r="O447" s="92"/>
    </row>
    <row r="448" spans="15:15" ht="15.75" customHeight="1">
      <c r="O448" s="92"/>
    </row>
    <row r="449" spans="15:15" ht="15.75" customHeight="1">
      <c r="O449" s="92"/>
    </row>
    <row r="450" spans="15:15" ht="15.75" customHeight="1">
      <c r="O450" s="92"/>
    </row>
    <row r="451" spans="15:15" ht="15.75" customHeight="1">
      <c r="O451" s="92"/>
    </row>
    <row r="452" spans="15:15" ht="15.75" customHeight="1">
      <c r="O452" s="92"/>
    </row>
    <row r="453" spans="15:15" ht="15.75" customHeight="1">
      <c r="O453" s="92"/>
    </row>
    <row r="454" spans="15:15" ht="15.75" customHeight="1">
      <c r="O454" s="92"/>
    </row>
    <row r="455" spans="15:15" ht="15.75" customHeight="1">
      <c r="O455" s="92"/>
    </row>
    <row r="456" spans="15:15" ht="15.75" customHeight="1">
      <c r="O456" s="92"/>
    </row>
    <row r="457" spans="15:15" ht="15.75" customHeight="1">
      <c r="O457" s="92"/>
    </row>
    <row r="458" spans="15:15" ht="15.75" customHeight="1">
      <c r="O458" s="92"/>
    </row>
    <row r="459" spans="15:15" ht="15.75" customHeight="1">
      <c r="O459" s="92"/>
    </row>
    <row r="460" spans="15:15" ht="15.75" customHeight="1">
      <c r="O460" s="92"/>
    </row>
    <row r="461" spans="15:15" ht="15.75" customHeight="1">
      <c r="O461" s="92"/>
    </row>
    <row r="462" spans="15:15" ht="15.75" customHeight="1">
      <c r="O462" s="92"/>
    </row>
    <row r="463" spans="15:15" ht="15.75" customHeight="1">
      <c r="O463" s="92"/>
    </row>
    <row r="464" spans="15:15" ht="15.75" customHeight="1">
      <c r="O464" s="92"/>
    </row>
    <row r="465" spans="15:15" ht="15.75" customHeight="1">
      <c r="O465" s="92"/>
    </row>
    <row r="466" spans="15:15" ht="15.75" customHeight="1">
      <c r="O466" s="92"/>
    </row>
    <row r="467" spans="15:15" ht="15.75" customHeight="1">
      <c r="O467" s="92"/>
    </row>
    <row r="468" spans="15:15" ht="15.75" customHeight="1">
      <c r="O468" s="92"/>
    </row>
    <row r="469" spans="15:15" ht="15.75" customHeight="1">
      <c r="O469" s="92"/>
    </row>
    <row r="470" spans="15:15" ht="15.75" customHeight="1">
      <c r="O470" s="92"/>
    </row>
    <row r="471" spans="15:15" ht="15.75" customHeight="1">
      <c r="O471" s="92"/>
    </row>
    <row r="472" spans="15:15" ht="15.75" customHeight="1">
      <c r="O472" s="92"/>
    </row>
    <row r="473" spans="15:15" ht="15.75" customHeight="1">
      <c r="O473" s="92"/>
    </row>
    <row r="474" spans="15:15" ht="15.75" customHeight="1">
      <c r="O474" s="92"/>
    </row>
    <row r="475" spans="15:15" ht="15.75" customHeight="1">
      <c r="O475" s="92"/>
    </row>
    <row r="476" spans="15:15" ht="15.75" customHeight="1">
      <c r="O476" s="92"/>
    </row>
    <row r="477" spans="15:15" ht="15.75" customHeight="1">
      <c r="O477" s="92"/>
    </row>
    <row r="478" spans="15:15" ht="15.75" customHeight="1">
      <c r="O478" s="92"/>
    </row>
    <row r="479" spans="15:15" ht="15.75" customHeight="1">
      <c r="O479" s="92"/>
    </row>
    <row r="480" spans="15:15" ht="15.75" customHeight="1">
      <c r="O480" s="92"/>
    </row>
    <row r="481" spans="15:15" ht="15.75" customHeight="1">
      <c r="O481" s="92"/>
    </row>
    <row r="482" spans="15:15" ht="15.75" customHeight="1">
      <c r="O482" s="92"/>
    </row>
    <row r="483" spans="15:15" ht="15.75" customHeight="1">
      <c r="O483" s="92"/>
    </row>
    <row r="484" spans="15:15" ht="15.75" customHeight="1">
      <c r="O484" s="92"/>
    </row>
    <row r="485" spans="15:15" ht="15.75" customHeight="1">
      <c r="O485" s="92"/>
    </row>
    <row r="486" spans="15:15" ht="15.75" customHeight="1">
      <c r="O486" s="92"/>
    </row>
    <row r="487" spans="15:15" ht="15.75" customHeight="1">
      <c r="O487" s="92"/>
    </row>
    <row r="488" spans="15:15" ht="15.75" customHeight="1">
      <c r="O488" s="92"/>
    </row>
    <row r="489" spans="15:15" ht="15.75" customHeight="1">
      <c r="O489" s="92"/>
    </row>
    <row r="490" spans="15:15" ht="15.75" customHeight="1">
      <c r="O490" s="92"/>
    </row>
    <row r="491" spans="15:15" ht="15.75" customHeight="1">
      <c r="O491" s="92"/>
    </row>
    <row r="492" spans="15:15" ht="15.75" customHeight="1">
      <c r="O492" s="92"/>
    </row>
    <row r="493" spans="15:15" ht="15.75" customHeight="1">
      <c r="O493" s="92"/>
    </row>
    <row r="494" spans="15:15" ht="15.75" customHeight="1">
      <c r="O494" s="92"/>
    </row>
    <row r="495" spans="15:15" ht="15.75" customHeight="1">
      <c r="O495" s="92"/>
    </row>
    <row r="496" spans="15:15" ht="15.75" customHeight="1">
      <c r="O496" s="92"/>
    </row>
    <row r="497" spans="15:15" ht="15.75" customHeight="1">
      <c r="O497" s="92"/>
    </row>
    <row r="498" spans="15:15" ht="15.75" customHeight="1">
      <c r="O498" s="92"/>
    </row>
    <row r="499" spans="15:15" ht="15.75" customHeight="1">
      <c r="O499" s="92"/>
    </row>
    <row r="500" spans="15:15" ht="15.75" customHeight="1">
      <c r="O500" s="92"/>
    </row>
    <row r="501" spans="15:15" ht="15.75" customHeight="1">
      <c r="O501" s="92"/>
    </row>
    <row r="502" spans="15:15" ht="15.75" customHeight="1">
      <c r="O502" s="92"/>
    </row>
    <row r="503" spans="15:15" ht="15.75" customHeight="1">
      <c r="O503" s="92"/>
    </row>
    <row r="504" spans="15:15" ht="15.75" customHeight="1">
      <c r="O504" s="92"/>
    </row>
    <row r="505" spans="15:15" ht="15.75" customHeight="1">
      <c r="O505" s="92"/>
    </row>
    <row r="506" spans="15:15" ht="15.75" customHeight="1">
      <c r="O506" s="92"/>
    </row>
    <row r="507" spans="15:15" ht="15.75" customHeight="1">
      <c r="O507" s="92"/>
    </row>
    <row r="508" spans="15:15" ht="15.75" customHeight="1">
      <c r="O508" s="92"/>
    </row>
    <row r="509" spans="15:15" ht="15.75" customHeight="1">
      <c r="O509" s="92"/>
    </row>
    <row r="510" spans="15:15" ht="15.75" customHeight="1">
      <c r="O510" s="92"/>
    </row>
    <row r="511" spans="15:15" ht="15.75" customHeight="1">
      <c r="O511" s="92"/>
    </row>
    <row r="512" spans="15:15" ht="15.75" customHeight="1">
      <c r="O512" s="92"/>
    </row>
    <row r="513" spans="15:15" ht="15.75" customHeight="1">
      <c r="O513" s="92"/>
    </row>
    <row r="514" spans="15:15" ht="15.75" customHeight="1">
      <c r="O514" s="92"/>
    </row>
    <row r="515" spans="15:15" ht="15.75" customHeight="1">
      <c r="O515" s="92"/>
    </row>
    <row r="516" spans="15:15" ht="15.75" customHeight="1">
      <c r="O516" s="92"/>
    </row>
    <row r="517" spans="15:15" ht="15.75" customHeight="1">
      <c r="O517" s="92"/>
    </row>
    <row r="518" spans="15:15" ht="15.75" customHeight="1">
      <c r="O518" s="92"/>
    </row>
    <row r="519" spans="15:15" ht="15.75" customHeight="1">
      <c r="O519" s="92"/>
    </row>
    <row r="520" spans="15:15" ht="15.75" customHeight="1">
      <c r="O520" s="92"/>
    </row>
    <row r="521" spans="15:15" ht="15.75" customHeight="1">
      <c r="O521" s="92"/>
    </row>
    <row r="522" spans="15:15" ht="15.75" customHeight="1">
      <c r="O522" s="92"/>
    </row>
    <row r="523" spans="15:15" ht="15.75" customHeight="1">
      <c r="O523" s="92"/>
    </row>
    <row r="524" spans="15:15" ht="15.75" customHeight="1">
      <c r="O524" s="92"/>
    </row>
    <row r="525" spans="15:15" ht="15.75" customHeight="1">
      <c r="O525" s="92"/>
    </row>
    <row r="526" spans="15:15" ht="15.75" customHeight="1">
      <c r="O526" s="92"/>
    </row>
    <row r="527" spans="15:15" ht="15.75" customHeight="1">
      <c r="O527" s="92"/>
    </row>
    <row r="528" spans="15:15" ht="15.75" customHeight="1">
      <c r="O528" s="92"/>
    </row>
    <row r="529" spans="15:15" ht="15.75" customHeight="1">
      <c r="O529" s="92"/>
    </row>
    <row r="530" spans="15:15" ht="15.75" customHeight="1">
      <c r="O530" s="92"/>
    </row>
    <row r="531" spans="15:15" ht="15.75" customHeight="1">
      <c r="O531" s="92"/>
    </row>
    <row r="532" spans="15:15" ht="15.75" customHeight="1">
      <c r="O532" s="92"/>
    </row>
    <row r="533" spans="15:15" ht="15.75" customHeight="1">
      <c r="O533" s="92"/>
    </row>
    <row r="534" spans="15:15" ht="15.75" customHeight="1">
      <c r="O534" s="92"/>
    </row>
    <row r="535" spans="15:15" ht="15.75" customHeight="1">
      <c r="O535" s="92"/>
    </row>
    <row r="536" spans="15:15" ht="15.75" customHeight="1">
      <c r="O536" s="92"/>
    </row>
    <row r="537" spans="15:15" ht="15.75" customHeight="1">
      <c r="O537" s="92"/>
    </row>
    <row r="538" spans="15:15" ht="15.75" customHeight="1">
      <c r="O538" s="92"/>
    </row>
    <row r="539" spans="15:15" ht="15.75" customHeight="1">
      <c r="O539" s="92"/>
    </row>
    <row r="540" spans="15:15" ht="15.75" customHeight="1">
      <c r="O540" s="92"/>
    </row>
    <row r="541" spans="15:15" ht="15.75" customHeight="1">
      <c r="O541" s="92"/>
    </row>
    <row r="542" spans="15:15" ht="15.75" customHeight="1">
      <c r="O542" s="92"/>
    </row>
    <row r="543" spans="15:15" ht="15.75" customHeight="1">
      <c r="O543" s="92"/>
    </row>
    <row r="544" spans="15:15" ht="15.75" customHeight="1">
      <c r="O544" s="92"/>
    </row>
    <row r="545" spans="15:15" ht="15.75" customHeight="1">
      <c r="O545" s="92"/>
    </row>
    <row r="546" spans="15:15" ht="15.75" customHeight="1">
      <c r="O546" s="92"/>
    </row>
    <row r="547" spans="15:15" ht="15.75" customHeight="1">
      <c r="O547" s="92"/>
    </row>
    <row r="548" spans="15:15" ht="15.75" customHeight="1">
      <c r="O548" s="92"/>
    </row>
    <row r="549" spans="15:15" ht="15.75" customHeight="1">
      <c r="O549" s="92"/>
    </row>
    <row r="550" spans="15:15" ht="15.75" customHeight="1">
      <c r="O550" s="92"/>
    </row>
    <row r="551" spans="15:15" ht="15.75" customHeight="1">
      <c r="O551" s="92"/>
    </row>
    <row r="552" spans="15:15" ht="15.75" customHeight="1">
      <c r="O552" s="92"/>
    </row>
    <row r="553" spans="15:15" ht="15.75" customHeight="1">
      <c r="O553" s="92"/>
    </row>
    <row r="554" spans="15:15" ht="15.75" customHeight="1">
      <c r="O554" s="92"/>
    </row>
    <row r="555" spans="15:15" ht="15.75" customHeight="1">
      <c r="O555" s="92"/>
    </row>
    <row r="556" spans="15:15" ht="15.75" customHeight="1">
      <c r="O556" s="92"/>
    </row>
    <row r="557" spans="15:15" ht="15.75" customHeight="1">
      <c r="O557" s="92"/>
    </row>
    <row r="558" spans="15:15" ht="15.75" customHeight="1">
      <c r="O558" s="92"/>
    </row>
    <row r="559" spans="15:15" ht="15.75" customHeight="1">
      <c r="O559" s="92"/>
    </row>
    <row r="560" spans="15:15" ht="15.75" customHeight="1">
      <c r="O560" s="92"/>
    </row>
    <row r="561" spans="15:15" ht="15.75" customHeight="1">
      <c r="O561" s="92"/>
    </row>
    <row r="562" spans="15:15" ht="15.75" customHeight="1">
      <c r="O562" s="92"/>
    </row>
    <row r="563" spans="15:15" ht="15.75" customHeight="1">
      <c r="O563" s="92"/>
    </row>
    <row r="564" spans="15:15" ht="15.75" customHeight="1">
      <c r="O564" s="92"/>
    </row>
    <row r="565" spans="15:15" ht="15.75" customHeight="1">
      <c r="O565" s="92"/>
    </row>
    <row r="566" spans="15:15" ht="15.75" customHeight="1">
      <c r="O566" s="92"/>
    </row>
    <row r="567" spans="15:15" ht="15.75" customHeight="1">
      <c r="O567" s="92"/>
    </row>
    <row r="568" spans="15:15" ht="15.75" customHeight="1">
      <c r="O568" s="92"/>
    </row>
    <row r="569" spans="15:15" ht="15.75" customHeight="1">
      <c r="O569" s="92"/>
    </row>
    <row r="570" spans="15:15" ht="15.75" customHeight="1">
      <c r="O570" s="92"/>
    </row>
    <row r="571" spans="15:15" ht="15.75" customHeight="1">
      <c r="O571" s="92"/>
    </row>
    <row r="572" spans="15:15" ht="15.75" customHeight="1">
      <c r="O572" s="92"/>
    </row>
    <row r="573" spans="15:15" ht="15.75" customHeight="1">
      <c r="O573" s="92"/>
    </row>
    <row r="574" spans="15:15" ht="15.75" customHeight="1">
      <c r="O574" s="92"/>
    </row>
    <row r="575" spans="15:15" ht="15.75" customHeight="1">
      <c r="O575" s="92"/>
    </row>
    <row r="576" spans="15:15" ht="15.75" customHeight="1">
      <c r="O576" s="92"/>
    </row>
    <row r="577" spans="15:15" ht="15.75" customHeight="1">
      <c r="O577" s="92"/>
    </row>
    <row r="578" spans="15:15" ht="15.75" customHeight="1">
      <c r="O578" s="92"/>
    </row>
    <row r="579" spans="15:15" ht="15.75" customHeight="1">
      <c r="O579" s="92"/>
    </row>
    <row r="580" spans="15:15" ht="15.75" customHeight="1">
      <c r="O580" s="92"/>
    </row>
    <row r="581" spans="15:15" ht="15.75" customHeight="1">
      <c r="O581" s="92"/>
    </row>
    <row r="582" spans="15:15" ht="15.75" customHeight="1">
      <c r="O582" s="92"/>
    </row>
    <row r="583" spans="15:15" ht="15.75" customHeight="1">
      <c r="O583" s="92"/>
    </row>
    <row r="584" spans="15:15" ht="15.75" customHeight="1">
      <c r="O584" s="92"/>
    </row>
    <row r="585" spans="15:15" ht="15.75" customHeight="1">
      <c r="O585" s="92"/>
    </row>
    <row r="586" spans="15:15" ht="15.75" customHeight="1">
      <c r="O586" s="92"/>
    </row>
    <row r="587" spans="15:15" ht="15.75" customHeight="1">
      <c r="O587" s="92"/>
    </row>
    <row r="588" spans="15:15" ht="15.75" customHeight="1">
      <c r="O588" s="92"/>
    </row>
    <row r="589" spans="15:15" ht="15.75" customHeight="1">
      <c r="O589" s="92"/>
    </row>
    <row r="590" spans="15:15" ht="15.75" customHeight="1">
      <c r="O590" s="92"/>
    </row>
    <row r="591" spans="15:15" ht="15.75" customHeight="1">
      <c r="O591" s="92"/>
    </row>
    <row r="592" spans="15:15" ht="15.75" customHeight="1">
      <c r="O592" s="92"/>
    </row>
    <row r="593" spans="15:15" ht="15.75" customHeight="1">
      <c r="O593" s="92"/>
    </row>
    <row r="594" spans="15:15" ht="15.75" customHeight="1">
      <c r="O594" s="92"/>
    </row>
    <row r="595" spans="15:15" ht="15.75" customHeight="1">
      <c r="O595" s="92"/>
    </row>
    <row r="596" spans="15:15" ht="15.75" customHeight="1">
      <c r="O596" s="92"/>
    </row>
    <row r="597" spans="15:15" ht="15.75" customHeight="1">
      <c r="O597" s="92"/>
    </row>
    <row r="598" spans="15:15" ht="15.75" customHeight="1">
      <c r="O598" s="92"/>
    </row>
    <row r="599" spans="15:15" ht="15.75" customHeight="1">
      <c r="O599" s="92"/>
    </row>
    <row r="600" spans="15:15" ht="15.75" customHeight="1">
      <c r="O600" s="92"/>
    </row>
    <row r="601" spans="15:15" ht="15.75" customHeight="1">
      <c r="O601" s="92"/>
    </row>
    <row r="602" spans="15:15" ht="15.75" customHeight="1">
      <c r="O602" s="92"/>
    </row>
    <row r="603" spans="15:15" ht="15.75" customHeight="1">
      <c r="O603" s="92"/>
    </row>
    <row r="604" spans="15:15" ht="15.75" customHeight="1">
      <c r="O604" s="92"/>
    </row>
    <row r="605" spans="15:15" ht="15.75" customHeight="1">
      <c r="O605" s="92"/>
    </row>
    <row r="606" spans="15:15" ht="15.75" customHeight="1">
      <c r="O606" s="92"/>
    </row>
    <row r="607" spans="15:15" ht="15.75" customHeight="1">
      <c r="O607" s="92"/>
    </row>
    <row r="608" spans="15:15" ht="15.75" customHeight="1">
      <c r="O608" s="92"/>
    </row>
    <row r="609" spans="15:15" ht="15.75" customHeight="1">
      <c r="O609" s="92"/>
    </row>
    <row r="610" spans="15:15" ht="15.75" customHeight="1">
      <c r="O610" s="92"/>
    </row>
    <row r="611" spans="15:15" ht="15.75" customHeight="1">
      <c r="O611" s="92"/>
    </row>
    <row r="612" spans="15:15" ht="15.75" customHeight="1">
      <c r="O612" s="92"/>
    </row>
    <row r="613" spans="15:15" ht="15.75" customHeight="1">
      <c r="O613" s="92"/>
    </row>
    <row r="614" spans="15:15" ht="15.75" customHeight="1">
      <c r="O614" s="92"/>
    </row>
    <row r="615" spans="15:15" ht="15.75" customHeight="1">
      <c r="O615" s="92"/>
    </row>
    <row r="616" spans="15:15" ht="15.75" customHeight="1">
      <c r="O616" s="92"/>
    </row>
    <row r="617" spans="15:15" ht="15.75" customHeight="1">
      <c r="O617" s="92"/>
    </row>
    <row r="618" spans="15:15" ht="15.75" customHeight="1">
      <c r="O618" s="92"/>
    </row>
    <row r="619" spans="15:15" ht="15.75" customHeight="1">
      <c r="O619" s="92"/>
    </row>
    <row r="620" spans="15:15" ht="15.75" customHeight="1">
      <c r="O620" s="92"/>
    </row>
    <row r="621" spans="15:15" ht="15.75" customHeight="1">
      <c r="O621" s="92"/>
    </row>
    <row r="622" spans="15:15" ht="15.75" customHeight="1">
      <c r="O622" s="92"/>
    </row>
    <row r="623" spans="15:15" ht="15.75" customHeight="1">
      <c r="O623" s="92"/>
    </row>
    <row r="624" spans="15:15" ht="15.75" customHeight="1">
      <c r="O624" s="92"/>
    </row>
    <row r="625" spans="15:15" ht="15.75" customHeight="1">
      <c r="O625" s="92"/>
    </row>
    <row r="626" spans="15:15" ht="15.75" customHeight="1">
      <c r="O626" s="92"/>
    </row>
    <row r="627" spans="15:15" ht="15.75" customHeight="1">
      <c r="O627" s="92"/>
    </row>
    <row r="628" spans="15:15" ht="15.75" customHeight="1">
      <c r="O628" s="92"/>
    </row>
    <row r="629" spans="15:15" ht="15.75" customHeight="1">
      <c r="O629" s="92"/>
    </row>
    <row r="630" spans="15:15" ht="15.75" customHeight="1">
      <c r="O630" s="92"/>
    </row>
    <row r="631" spans="15:15" ht="15.75" customHeight="1">
      <c r="O631" s="92"/>
    </row>
    <row r="632" spans="15:15" ht="15.75" customHeight="1">
      <c r="O632" s="92"/>
    </row>
    <row r="633" spans="15:15" ht="15.75" customHeight="1">
      <c r="O633" s="92"/>
    </row>
    <row r="634" spans="15:15" ht="15.75" customHeight="1">
      <c r="O634" s="92"/>
    </row>
    <row r="635" spans="15:15" ht="15.75" customHeight="1">
      <c r="O635" s="92"/>
    </row>
    <row r="636" spans="15:15" ht="15.75" customHeight="1">
      <c r="O636" s="92"/>
    </row>
    <row r="637" spans="15:15" ht="15.75" customHeight="1">
      <c r="O637" s="92"/>
    </row>
    <row r="638" spans="15:15" ht="15.75" customHeight="1">
      <c r="O638" s="92"/>
    </row>
    <row r="639" spans="15:15" ht="15.75" customHeight="1">
      <c r="O639" s="92"/>
    </row>
    <row r="640" spans="15:15" ht="15.75" customHeight="1">
      <c r="O640" s="92"/>
    </row>
    <row r="641" spans="15:15" ht="15.75" customHeight="1">
      <c r="O641" s="92"/>
    </row>
    <row r="642" spans="15:15" ht="15.75" customHeight="1">
      <c r="O642" s="92"/>
    </row>
    <row r="643" spans="15:15" ht="15.75" customHeight="1">
      <c r="O643" s="92"/>
    </row>
    <row r="644" spans="15:15" ht="15.75" customHeight="1">
      <c r="O644" s="92"/>
    </row>
    <row r="645" spans="15:15" ht="15.75" customHeight="1">
      <c r="O645" s="92"/>
    </row>
    <row r="646" spans="15:15" ht="15.75" customHeight="1">
      <c r="O646" s="92"/>
    </row>
    <row r="647" spans="15:15" ht="15.75" customHeight="1">
      <c r="O647" s="92"/>
    </row>
    <row r="648" spans="15:15" ht="15.75" customHeight="1">
      <c r="O648" s="92"/>
    </row>
    <row r="649" spans="15:15" ht="15.75" customHeight="1">
      <c r="O649" s="92"/>
    </row>
    <row r="650" spans="15:15" ht="15.75" customHeight="1">
      <c r="O650" s="92"/>
    </row>
    <row r="651" spans="15:15" ht="15.75" customHeight="1">
      <c r="O651" s="92"/>
    </row>
    <row r="652" spans="15:15" ht="15.75" customHeight="1">
      <c r="O652" s="92"/>
    </row>
    <row r="653" spans="15:15" ht="15.75" customHeight="1">
      <c r="O653" s="92"/>
    </row>
    <row r="654" spans="15:15" ht="15.75" customHeight="1">
      <c r="O654" s="92"/>
    </row>
    <row r="655" spans="15:15" ht="15.75" customHeight="1">
      <c r="O655" s="92"/>
    </row>
    <row r="656" spans="15:15" ht="15.75" customHeight="1">
      <c r="O656" s="92"/>
    </row>
    <row r="657" spans="15:15" ht="15.75" customHeight="1">
      <c r="O657" s="92"/>
    </row>
    <row r="658" spans="15:15" ht="15.75" customHeight="1">
      <c r="O658" s="92"/>
    </row>
    <row r="659" spans="15:15" ht="15.75" customHeight="1">
      <c r="O659" s="92"/>
    </row>
    <row r="660" spans="15:15" ht="15.75" customHeight="1">
      <c r="O660" s="92"/>
    </row>
    <row r="661" spans="15:15" ht="15.75" customHeight="1">
      <c r="O661" s="92"/>
    </row>
    <row r="662" spans="15:15" ht="15.75" customHeight="1">
      <c r="O662" s="92"/>
    </row>
    <row r="663" spans="15:15" ht="15.75" customHeight="1">
      <c r="O663" s="92"/>
    </row>
    <row r="664" spans="15:15" ht="15.75" customHeight="1">
      <c r="O664" s="92"/>
    </row>
    <row r="665" spans="15:15" ht="15.75" customHeight="1">
      <c r="O665" s="92"/>
    </row>
    <row r="666" spans="15:15" ht="15.75" customHeight="1">
      <c r="O666" s="92"/>
    </row>
    <row r="667" spans="15:15" ht="15.75" customHeight="1">
      <c r="O667" s="92"/>
    </row>
    <row r="668" spans="15:15" ht="15.75" customHeight="1">
      <c r="O668" s="92"/>
    </row>
    <row r="669" spans="15:15" ht="15.75" customHeight="1">
      <c r="O669" s="92"/>
    </row>
    <row r="670" spans="15:15" ht="15.75" customHeight="1">
      <c r="O670" s="92"/>
    </row>
    <row r="671" spans="15:15" ht="15.75" customHeight="1">
      <c r="O671" s="92"/>
    </row>
    <row r="672" spans="15:15" ht="15.75" customHeight="1">
      <c r="O672" s="92"/>
    </row>
    <row r="673" spans="15:15" ht="15.75" customHeight="1">
      <c r="O673" s="92"/>
    </row>
    <row r="674" spans="15:15" ht="15.75" customHeight="1">
      <c r="O674" s="92"/>
    </row>
    <row r="675" spans="15:15" ht="15.75" customHeight="1">
      <c r="O675" s="92"/>
    </row>
    <row r="676" spans="15:15" ht="15.75" customHeight="1">
      <c r="O676" s="92"/>
    </row>
    <row r="677" spans="15:15" ht="15.75" customHeight="1">
      <c r="O677" s="92"/>
    </row>
    <row r="678" spans="15:15" ht="15.75" customHeight="1">
      <c r="O678" s="92"/>
    </row>
    <row r="679" spans="15:15" ht="15.75" customHeight="1">
      <c r="O679" s="92"/>
    </row>
    <row r="680" spans="15:15" ht="15.75" customHeight="1">
      <c r="O680" s="92"/>
    </row>
    <row r="681" spans="15:15" ht="15.75" customHeight="1">
      <c r="O681" s="92"/>
    </row>
    <row r="682" spans="15:15" ht="15.75" customHeight="1">
      <c r="O682" s="92"/>
    </row>
    <row r="683" spans="15:15" ht="15.75" customHeight="1">
      <c r="O683" s="92"/>
    </row>
    <row r="684" spans="15:15" ht="15.75" customHeight="1">
      <c r="O684" s="92"/>
    </row>
    <row r="685" spans="15:15" ht="15.75" customHeight="1">
      <c r="O685" s="92"/>
    </row>
    <row r="686" spans="15:15" ht="15.75" customHeight="1">
      <c r="O686" s="92"/>
    </row>
    <row r="687" spans="15:15" ht="15.75" customHeight="1">
      <c r="O687" s="92"/>
    </row>
    <row r="688" spans="15:15" ht="15.75" customHeight="1">
      <c r="O688" s="92"/>
    </row>
    <row r="689" spans="15:15" ht="15.75" customHeight="1">
      <c r="O689" s="92"/>
    </row>
    <row r="690" spans="15:15" ht="15.75" customHeight="1">
      <c r="O690" s="92"/>
    </row>
    <row r="691" spans="15:15" ht="15.75" customHeight="1">
      <c r="O691" s="92"/>
    </row>
    <row r="692" spans="15:15" ht="15.75" customHeight="1">
      <c r="O692" s="92"/>
    </row>
    <row r="693" spans="15:15" ht="15.75" customHeight="1">
      <c r="O693" s="92"/>
    </row>
    <row r="694" spans="15:15" ht="15.75" customHeight="1">
      <c r="O694" s="92"/>
    </row>
    <row r="695" spans="15:15" ht="15.75" customHeight="1">
      <c r="O695" s="92"/>
    </row>
    <row r="696" spans="15:15" ht="15.75" customHeight="1">
      <c r="O696" s="92"/>
    </row>
    <row r="697" spans="15:15" ht="15.75" customHeight="1">
      <c r="O697" s="92"/>
    </row>
    <row r="698" spans="15:15" ht="15.75" customHeight="1">
      <c r="O698" s="92"/>
    </row>
    <row r="699" spans="15:15" ht="15.75" customHeight="1">
      <c r="O699" s="92"/>
    </row>
    <row r="700" spans="15:15" ht="15.75" customHeight="1">
      <c r="O700" s="92"/>
    </row>
    <row r="701" spans="15:15" ht="15.75" customHeight="1">
      <c r="O701" s="92"/>
    </row>
    <row r="702" spans="15:15" ht="15.75" customHeight="1">
      <c r="O702" s="92"/>
    </row>
    <row r="703" spans="15:15" ht="15.75" customHeight="1">
      <c r="O703" s="92"/>
    </row>
    <row r="704" spans="15:15" ht="15.75" customHeight="1">
      <c r="O704" s="92"/>
    </row>
    <row r="705" spans="15:15" ht="15.75" customHeight="1">
      <c r="O705" s="92"/>
    </row>
    <row r="706" spans="15:15" ht="15.75" customHeight="1">
      <c r="O706" s="92"/>
    </row>
    <row r="707" spans="15:15" ht="15.75" customHeight="1">
      <c r="O707" s="92"/>
    </row>
    <row r="708" spans="15:15" ht="15.75" customHeight="1">
      <c r="O708" s="92"/>
    </row>
    <row r="709" spans="15:15" ht="15.75" customHeight="1">
      <c r="O709" s="92"/>
    </row>
    <row r="710" spans="15:15" ht="15.75" customHeight="1">
      <c r="O710" s="92"/>
    </row>
    <row r="711" spans="15:15" ht="15.75" customHeight="1">
      <c r="O711" s="92"/>
    </row>
    <row r="712" spans="15:15" ht="15.75" customHeight="1">
      <c r="O712" s="92"/>
    </row>
    <row r="713" spans="15:15" ht="15.75" customHeight="1">
      <c r="O713" s="92"/>
    </row>
    <row r="714" spans="15:15" ht="15.75" customHeight="1">
      <c r="O714" s="92"/>
    </row>
    <row r="715" spans="15:15" ht="15.75" customHeight="1">
      <c r="O715" s="92"/>
    </row>
    <row r="716" spans="15:15" ht="15.75" customHeight="1">
      <c r="O716" s="92"/>
    </row>
    <row r="717" spans="15:15" ht="15.75" customHeight="1">
      <c r="O717" s="92"/>
    </row>
    <row r="718" spans="15:15" ht="15.75" customHeight="1">
      <c r="O718" s="92"/>
    </row>
    <row r="719" spans="15:15" ht="15.75" customHeight="1">
      <c r="O719" s="92"/>
    </row>
    <row r="720" spans="15:15" ht="15.75" customHeight="1">
      <c r="O720" s="92"/>
    </row>
    <row r="721" spans="15:15" ht="15.75" customHeight="1">
      <c r="O721" s="92"/>
    </row>
    <row r="722" spans="15:15" ht="15.75" customHeight="1">
      <c r="O722" s="92"/>
    </row>
    <row r="723" spans="15:15" ht="15.75" customHeight="1">
      <c r="O723" s="92"/>
    </row>
    <row r="724" spans="15:15" ht="15.75" customHeight="1">
      <c r="O724" s="92"/>
    </row>
    <row r="725" spans="15:15" ht="15.75" customHeight="1">
      <c r="O725" s="92"/>
    </row>
    <row r="726" spans="15:15" ht="15.75" customHeight="1">
      <c r="O726" s="92"/>
    </row>
    <row r="727" spans="15:15" ht="15.75" customHeight="1">
      <c r="O727" s="92"/>
    </row>
    <row r="728" spans="15:15" ht="15.75" customHeight="1">
      <c r="O728" s="92"/>
    </row>
    <row r="729" spans="15:15" ht="15.75" customHeight="1">
      <c r="O729" s="92"/>
    </row>
    <row r="730" spans="15:15" ht="15.75" customHeight="1">
      <c r="O730" s="92"/>
    </row>
    <row r="731" spans="15:15" ht="15.75" customHeight="1">
      <c r="O731" s="92"/>
    </row>
    <row r="732" spans="15:15" ht="15.75" customHeight="1">
      <c r="O732" s="92"/>
    </row>
    <row r="733" spans="15:15" ht="15.75" customHeight="1">
      <c r="O733" s="92"/>
    </row>
    <row r="734" spans="15:15" ht="15.75" customHeight="1">
      <c r="O734" s="92"/>
    </row>
    <row r="735" spans="15:15" ht="15.75" customHeight="1">
      <c r="O735" s="92"/>
    </row>
    <row r="736" spans="15:15" ht="15.75" customHeight="1">
      <c r="O736" s="92"/>
    </row>
    <row r="737" spans="15:15" ht="15.75" customHeight="1">
      <c r="O737" s="92"/>
    </row>
    <row r="738" spans="15:15" ht="15.75" customHeight="1">
      <c r="O738" s="92"/>
    </row>
    <row r="739" spans="15:15" ht="15.75" customHeight="1">
      <c r="O739" s="92"/>
    </row>
    <row r="740" spans="15:15" ht="15.75" customHeight="1">
      <c r="O740" s="92"/>
    </row>
    <row r="741" spans="15:15" ht="15.75" customHeight="1">
      <c r="O741" s="92"/>
    </row>
    <row r="742" spans="15:15" ht="15.75" customHeight="1">
      <c r="O742" s="92"/>
    </row>
    <row r="743" spans="15:15" ht="15.75" customHeight="1">
      <c r="O743" s="92"/>
    </row>
    <row r="744" spans="15:15" ht="15.75" customHeight="1">
      <c r="O744" s="92"/>
    </row>
    <row r="745" spans="15:15" ht="15.75" customHeight="1">
      <c r="O745" s="92"/>
    </row>
    <row r="746" spans="15:15" ht="15.75" customHeight="1">
      <c r="O746" s="92"/>
    </row>
    <row r="747" spans="15:15" ht="15.75" customHeight="1">
      <c r="O747" s="92"/>
    </row>
    <row r="748" spans="15:15" ht="15.75" customHeight="1">
      <c r="O748" s="92"/>
    </row>
    <row r="749" spans="15:15" ht="15.75" customHeight="1">
      <c r="O749" s="92"/>
    </row>
    <row r="750" spans="15:15" ht="15.75" customHeight="1">
      <c r="O750" s="92"/>
    </row>
    <row r="751" spans="15:15" ht="15.75" customHeight="1">
      <c r="O751" s="92"/>
    </row>
    <row r="752" spans="15:15" ht="15.75" customHeight="1">
      <c r="O752" s="92"/>
    </row>
    <row r="753" spans="15:15" ht="15.75" customHeight="1">
      <c r="O753" s="92"/>
    </row>
    <row r="754" spans="15:15" ht="15.75" customHeight="1">
      <c r="O754" s="92"/>
    </row>
    <row r="755" spans="15:15" ht="15.75" customHeight="1">
      <c r="O755" s="92"/>
    </row>
    <row r="756" spans="15:15" ht="15.75" customHeight="1">
      <c r="O756" s="92"/>
    </row>
    <row r="757" spans="15:15" ht="15.75" customHeight="1">
      <c r="O757" s="92"/>
    </row>
    <row r="758" spans="15:15" ht="15.75" customHeight="1">
      <c r="O758" s="92"/>
    </row>
    <row r="759" spans="15:15" ht="15.75" customHeight="1">
      <c r="O759" s="92"/>
    </row>
    <row r="760" spans="15:15" ht="15.75" customHeight="1">
      <c r="O760" s="92"/>
    </row>
    <row r="761" spans="15:15" ht="15.75" customHeight="1">
      <c r="O761" s="92"/>
    </row>
    <row r="762" spans="15:15" ht="15.75" customHeight="1">
      <c r="O762" s="92"/>
    </row>
    <row r="763" spans="15:15" ht="15.75" customHeight="1">
      <c r="O763" s="92"/>
    </row>
    <row r="764" spans="15:15" ht="15.75" customHeight="1">
      <c r="O764" s="92"/>
    </row>
    <row r="765" spans="15:15" ht="15.75" customHeight="1">
      <c r="O765" s="92"/>
    </row>
    <row r="766" spans="15:15" ht="15.75" customHeight="1">
      <c r="O766" s="92"/>
    </row>
    <row r="767" spans="15:15" ht="15.75" customHeight="1">
      <c r="O767" s="92"/>
    </row>
    <row r="768" spans="15:15" ht="15.75" customHeight="1">
      <c r="O768" s="92"/>
    </row>
    <row r="769" spans="15:15" ht="15.75" customHeight="1">
      <c r="O769" s="92"/>
    </row>
    <row r="770" spans="15:15" ht="15.75" customHeight="1">
      <c r="O770" s="92"/>
    </row>
    <row r="771" spans="15:15" ht="15.75" customHeight="1">
      <c r="O771" s="92"/>
    </row>
    <row r="772" spans="15:15" ht="15.75" customHeight="1">
      <c r="O772" s="92"/>
    </row>
    <row r="773" spans="15:15" ht="15.75" customHeight="1">
      <c r="O773" s="92"/>
    </row>
    <row r="774" spans="15:15" ht="15.75" customHeight="1">
      <c r="O774" s="92"/>
    </row>
    <row r="775" spans="15:15" ht="15.75" customHeight="1">
      <c r="O775" s="92"/>
    </row>
    <row r="776" spans="15:15" ht="15.75" customHeight="1">
      <c r="O776" s="92"/>
    </row>
    <row r="777" spans="15:15" ht="15.75" customHeight="1">
      <c r="O777" s="92"/>
    </row>
    <row r="778" spans="15:15" ht="15.75" customHeight="1">
      <c r="O778" s="92"/>
    </row>
    <row r="779" spans="15:15" ht="15.75" customHeight="1">
      <c r="O779" s="92"/>
    </row>
    <row r="780" spans="15:15" ht="15.75" customHeight="1">
      <c r="O780" s="92"/>
    </row>
    <row r="781" spans="15:15" ht="15.75" customHeight="1">
      <c r="O781" s="92"/>
    </row>
    <row r="782" spans="15:15" ht="15.75" customHeight="1">
      <c r="O782" s="92"/>
    </row>
    <row r="783" spans="15:15" ht="15.75" customHeight="1">
      <c r="O783" s="92"/>
    </row>
    <row r="784" spans="15:15" ht="15.75" customHeight="1">
      <c r="O784" s="92"/>
    </row>
    <row r="785" spans="15:15" ht="15.75" customHeight="1">
      <c r="O785" s="92"/>
    </row>
    <row r="786" spans="15:15" ht="15.75" customHeight="1">
      <c r="O786" s="92"/>
    </row>
    <row r="787" spans="15:15" ht="15.75" customHeight="1">
      <c r="O787" s="92"/>
    </row>
    <row r="788" spans="15:15" ht="15.75" customHeight="1">
      <c r="O788" s="92"/>
    </row>
    <row r="789" spans="15:15" ht="15.75" customHeight="1">
      <c r="O789" s="92"/>
    </row>
    <row r="790" spans="15:15" ht="15.75" customHeight="1">
      <c r="O790" s="92"/>
    </row>
    <row r="791" spans="15:15" ht="15.75" customHeight="1">
      <c r="O791" s="92"/>
    </row>
    <row r="792" spans="15:15" ht="15.75" customHeight="1">
      <c r="O792" s="92"/>
    </row>
    <row r="793" spans="15:15" ht="15.75" customHeight="1">
      <c r="O793" s="92"/>
    </row>
    <row r="794" spans="15:15" ht="15.75" customHeight="1">
      <c r="O794" s="92"/>
    </row>
    <row r="795" spans="15:15" ht="15.75" customHeight="1">
      <c r="O795" s="92"/>
    </row>
    <row r="796" spans="15:15" ht="15.75" customHeight="1">
      <c r="O796" s="92"/>
    </row>
    <row r="797" spans="15:15" ht="15.75" customHeight="1">
      <c r="O797" s="92"/>
    </row>
    <row r="798" spans="15:15" ht="15.75" customHeight="1">
      <c r="O798" s="92"/>
    </row>
    <row r="799" spans="15:15" ht="15.75" customHeight="1">
      <c r="O799" s="92"/>
    </row>
    <row r="800" spans="15:15" ht="15.75" customHeight="1">
      <c r="O800" s="92"/>
    </row>
    <row r="801" spans="15:15" ht="15.75" customHeight="1">
      <c r="O801" s="92"/>
    </row>
    <row r="802" spans="15:15" ht="15.75" customHeight="1">
      <c r="O802" s="92"/>
    </row>
    <row r="803" spans="15:15" ht="15.75" customHeight="1">
      <c r="O803" s="92"/>
    </row>
    <row r="804" spans="15:15" ht="15.75" customHeight="1">
      <c r="O804" s="92"/>
    </row>
    <row r="805" spans="15:15" ht="15.75" customHeight="1">
      <c r="O805" s="92"/>
    </row>
    <row r="806" spans="15:15" ht="15.75" customHeight="1">
      <c r="O806" s="92"/>
    </row>
    <row r="807" spans="15:15" ht="15.75" customHeight="1">
      <c r="O807" s="92"/>
    </row>
    <row r="808" spans="15:15" ht="15.75" customHeight="1">
      <c r="O808" s="92"/>
    </row>
    <row r="809" spans="15:15" ht="15.75" customHeight="1">
      <c r="O809" s="92"/>
    </row>
    <row r="810" spans="15:15" ht="15.75" customHeight="1">
      <c r="O810" s="92"/>
    </row>
    <row r="811" spans="15:15" ht="15.75" customHeight="1">
      <c r="O811" s="92"/>
    </row>
    <row r="812" spans="15:15" ht="15.75" customHeight="1">
      <c r="O812" s="92"/>
    </row>
    <row r="813" spans="15:15" ht="15.75" customHeight="1">
      <c r="O813" s="92"/>
    </row>
    <row r="814" spans="15:15" ht="15.75" customHeight="1">
      <c r="O814" s="92"/>
    </row>
    <row r="815" spans="15:15" ht="15.75" customHeight="1">
      <c r="O815" s="92"/>
    </row>
    <row r="816" spans="15:15" ht="15.75" customHeight="1">
      <c r="O816" s="92"/>
    </row>
    <row r="817" spans="15:15" ht="15.75" customHeight="1">
      <c r="O817" s="92"/>
    </row>
    <row r="818" spans="15:15" ht="15.75" customHeight="1">
      <c r="O818" s="92"/>
    </row>
    <row r="819" spans="15:15" ht="15.75" customHeight="1">
      <c r="O819" s="92"/>
    </row>
    <row r="820" spans="15:15" ht="15.75" customHeight="1">
      <c r="O820" s="92"/>
    </row>
    <row r="821" spans="15:15" ht="15.75" customHeight="1">
      <c r="O821" s="92"/>
    </row>
    <row r="822" spans="15:15" ht="15.75" customHeight="1">
      <c r="O822" s="92"/>
    </row>
    <row r="823" spans="15:15" ht="15.75" customHeight="1">
      <c r="O823" s="92"/>
    </row>
    <row r="824" spans="15:15" ht="15.75" customHeight="1">
      <c r="O824" s="92"/>
    </row>
    <row r="825" spans="15:15" ht="15.75" customHeight="1">
      <c r="O825" s="92"/>
    </row>
    <row r="826" spans="15:15" ht="15.75" customHeight="1">
      <c r="O826" s="92"/>
    </row>
    <row r="827" spans="15:15" ht="15.75" customHeight="1">
      <c r="O827" s="92"/>
    </row>
    <row r="828" spans="15:15" ht="15.75" customHeight="1">
      <c r="O828" s="92"/>
    </row>
    <row r="829" spans="15:15" ht="15.75" customHeight="1">
      <c r="O829" s="92"/>
    </row>
    <row r="830" spans="15:15" ht="15.75" customHeight="1">
      <c r="O830" s="92"/>
    </row>
    <row r="831" spans="15:15" ht="15.75" customHeight="1">
      <c r="O831" s="92"/>
    </row>
    <row r="832" spans="15:15" ht="15.75" customHeight="1">
      <c r="O832" s="92"/>
    </row>
    <row r="833" spans="15:15" ht="15.75" customHeight="1">
      <c r="O833" s="92"/>
    </row>
    <row r="834" spans="15:15" ht="15.75" customHeight="1">
      <c r="O834" s="92"/>
    </row>
    <row r="835" spans="15:15" ht="15.75" customHeight="1">
      <c r="O835" s="92"/>
    </row>
    <row r="836" spans="15:15" ht="15.75" customHeight="1">
      <c r="O836" s="92"/>
    </row>
    <row r="837" spans="15:15" ht="15.75" customHeight="1">
      <c r="O837" s="92"/>
    </row>
    <row r="838" spans="15:15" ht="15.75" customHeight="1">
      <c r="O838" s="92"/>
    </row>
    <row r="839" spans="15:15" ht="15.75" customHeight="1">
      <c r="O839" s="92"/>
    </row>
    <row r="840" spans="15:15" ht="15.75" customHeight="1">
      <c r="O840" s="92"/>
    </row>
    <row r="841" spans="15:15" ht="15.75" customHeight="1">
      <c r="O841" s="92"/>
    </row>
    <row r="842" spans="15:15" ht="15.75" customHeight="1">
      <c r="O842" s="92"/>
    </row>
    <row r="843" spans="15:15" ht="15.75" customHeight="1">
      <c r="O843" s="92"/>
    </row>
    <row r="844" spans="15:15" ht="15.75" customHeight="1">
      <c r="O844" s="92"/>
    </row>
    <row r="845" spans="15:15" ht="15.75" customHeight="1">
      <c r="O845" s="92"/>
    </row>
    <row r="846" spans="15:15" ht="15.75" customHeight="1">
      <c r="O846" s="92"/>
    </row>
    <row r="847" spans="15:15" ht="15.75" customHeight="1">
      <c r="O847" s="92"/>
    </row>
    <row r="848" spans="15:15" ht="15.75" customHeight="1">
      <c r="O848" s="92"/>
    </row>
    <row r="849" spans="15:15" ht="15.75" customHeight="1">
      <c r="O849" s="92"/>
    </row>
    <row r="850" spans="15:15" ht="15.75" customHeight="1">
      <c r="O850" s="92"/>
    </row>
    <row r="851" spans="15:15" ht="15.75" customHeight="1">
      <c r="O851" s="92"/>
    </row>
    <row r="852" spans="15:15" ht="15.75" customHeight="1">
      <c r="O852" s="92"/>
    </row>
    <row r="853" spans="15:15" ht="15.75" customHeight="1">
      <c r="O853" s="92"/>
    </row>
    <row r="854" spans="15:15" ht="15.75" customHeight="1">
      <c r="O854" s="92"/>
    </row>
    <row r="855" spans="15:15" ht="15.75" customHeight="1">
      <c r="O855" s="92"/>
    </row>
    <row r="856" spans="15:15" ht="15.75" customHeight="1">
      <c r="O856" s="92"/>
    </row>
    <row r="857" spans="15:15" ht="15.75" customHeight="1">
      <c r="O857" s="92"/>
    </row>
    <row r="858" spans="15:15" ht="15.75" customHeight="1">
      <c r="O858" s="92"/>
    </row>
    <row r="859" spans="15:15" ht="15.75" customHeight="1">
      <c r="O859" s="92"/>
    </row>
    <row r="860" spans="15:15" ht="15.75" customHeight="1">
      <c r="O860" s="92"/>
    </row>
    <row r="861" spans="15:15" ht="15.75" customHeight="1">
      <c r="O861" s="92"/>
    </row>
    <row r="862" spans="15:15" ht="15.75" customHeight="1">
      <c r="O862" s="92"/>
    </row>
    <row r="863" spans="15:15" ht="15.75" customHeight="1">
      <c r="O863" s="92"/>
    </row>
    <row r="864" spans="15:15" ht="15.75" customHeight="1">
      <c r="O864" s="92"/>
    </row>
    <row r="865" spans="15:15" ht="15.75" customHeight="1">
      <c r="O865" s="92"/>
    </row>
    <row r="866" spans="15:15" ht="15.75" customHeight="1">
      <c r="O866" s="92"/>
    </row>
    <row r="867" spans="15:15" ht="15.75" customHeight="1">
      <c r="O867" s="92"/>
    </row>
    <row r="868" spans="15:15" ht="15.75" customHeight="1">
      <c r="O868" s="92"/>
    </row>
    <row r="869" spans="15:15" ht="15.75" customHeight="1">
      <c r="O869" s="92"/>
    </row>
    <row r="870" spans="15:15" ht="15.75" customHeight="1">
      <c r="O870" s="92"/>
    </row>
    <row r="871" spans="15:15" ht="15.75" customHeight="1">
      <c r="O871" s="92"/>
    </row>
    <row r="872" spans="15:15" ht="15.75" customHeight="1">
      <c r="O872" s="92"/>
    </row>
    <row r="873" spans="15:15" ht="15.75" customHeight="1">
      <c r="O873" s="92"/>
    </row>
    <row r="874" spans="15:15" ht="15.75" customHeight="1">
      <c r="O874" s="92"/>
    </row>
    <row r="875" spans="15:15" ht="15.75" customHeight="1">
      <c r="O875" s="92"/>
    </row>
    <row r="876" spans="15:15" ht="15.75" customHeight="1">
      <c r="O876" s="92"/>
    </row>
    <row r="877" spans="15:15" ht="15.75" customHeight="1">
      <c r="O877" s="92"/>
    </row>
    <row r="878" spans="15:15" ht="15.75" customHeight="1">
      <c r="O878" s="92"/>
    </row>
    <row r="879" spans="15:15" ht="15.75" customHeight="1">
      <c r="O879" s="92"/>
    </row>
    <row r="880" spans="15:15" ht="15.75" customHeight="1">
      <c r="O880" s="92"/>
    </row>
    <row r="881" spans="15:15" ht="15.75" customHeight="1">
      <c r="O881" s="92"/>
    </row>
    <row r="882" spans="15:15" ht="15.75" customHeight="1">
      <c r="O882" s="92"/>
    </row>
    <row r="883" spans="15:15" ht="15.75" customHeight="1">
      <c r="O883" s="92"/>
    </row>
    <row r="884" spans="15:15" ht="15.75" customHeight="1">
      <c r="O884" s="92"/>
    </row>
    <row r="885" spans="15:15" ht="15.75" customHeight="1">
      <c r="O885" s="92"/>
    </row>
    <row r="886" spans="15:15" ht="15.75" customHeight="1">
      <c r="O886" s="92"/>
    </row>
    <row r="887" spans="15:15" ht="15.75" customHeight="1">
      <c r="O887" s="92"/>
    </row>
    <row r="888" spans="15:15" ht="15.75" customHeight="1">
      <c r="O888" s="92"/>
    </row>
    <row r="889" spans="15:15" ht="15.75" customHeight="1">
      <c r="O889" s="92"/>
    </row>
    <row r="890" spans="15:15" ht="15.75" customHeight="1">
      <c r="O890" s="92"/>
    </row>
    <row r="891" spans="15:15" ht="15.75" customHeight="1">
      <c r="O891" s="92"/>
    </row>
    <row r="892" spans="15:15" ht="15.75" customHeight="1">
      <c r="O892" s="92"/>
    </row>
    <row r="893" spans="15:15" ht="15.75" customHeight="1">
      <c r="O893" s="92"/>
    </row>
    <row r="894" spans="15:15" ht="15.75" customHeight="1">
      <c r="O894" s="92"/>
    </row>
    <row r="895" spans="15:15" ht="15.75" customHeight="1">
      <c r="O895" s="92"/>
    </row>
    <row r="896" spans="15:15" ht="15.75" customHeight="1">
      <c r="O896" s="92"/>
    </row>
    <row r="897" spans="15:15" ht="15.75" customHeight="1">
      <c r="O897" s="92"/>
    </row>
    <row r="898" spans="15:15" ht="15.75" customHeight="1">
      <c r="O898" s="92"/>
    </row>
    <row r="899" spans="15:15" ht="15.75" customHeight="1">
      <c r="O899" s="92"/>
    </row>
    <row r="900" spans="15:15" ht="15.75" customHeight="1">
      <c r="O900" s="92"/>
    </row>
    <row r="901" spans="15:15" ht="15.75" customHeight="1">
      <c r="O901" s="92"/>
    </row>
    <row r="902" spans="15:15" ht="15.75" customHeight="1">
      <c r="O902" s="92"/>
    </row>
    <row r="903" spans="15:15" ht="15.75" customHeight="1">
      <c r="O903" s="92"/>
    </row>
    <row r="904" spans="15:15" ht="15.75" customHeight="1">
      <c r="O904" s="92"/>
    </row>
    <row r="905" spans="15:15" ht="15.75" customHeight="1">
      <c r="O905" s="92"/>
    </row>
    <row r="906" spans="15:15" ht="15.75" customHeight="1">
      <c r="O906" s="92"/>
    </row>
    <row r="907" spans="15:15" ht="15.75" customHeight="1">
      <c r="O907" s="92"/>
    </row>
    <row r="908" spans="15:15" ht="15.75" customHeight="1">
      <c r="O908" s="92"/>
    </row>
    <row r="909" spans="15:15" ht="15.75" customHeight="1">
      <c r="O909" s="92"/>
    </row>
    <row r="910" spans="15:15" ht="15.75" customHeight="1">
      <c r="O910" s="92"/>
    </row>
    <row r="911" spans="15:15" ht="15.75" customHeight="1">
      <c r="O911" s="92"/>
    </row>
    <row r="912" spans="15:15" ht="15.75" customHeight="1">
      <c r="O912" s="92"/>
    </row>
    <row r="913" spans="15:15" ht="15.75" customHeight="1">
      <c r="O913" s="92"/>
    </row>
    <row r="914" spans="15:15" ht="15.75" customHeight="1">
      <c r="O914" s="92"/>
    </row>
    <row r="915" spans="15:15" ht="15.75" customHeight="1">
      <c r="O915" s="92"/>
    </row>
    <row r="916" spans="15:15" ht="15.75" customHeight="1">
      <c r="O916" s="92"/>
    </row>
    <row r="917" spans="15:15" ht="15.75" customHeight="1">
      <c r="O917" s="92"/>
    </row>
    <row r="918" spans="15:15" ht="15.75" customHeight="1">
      <c r="O918" s="92"/>
    </row>
    <row r="919" spans="15:15" ht="15.75" customHeight="1">
      <c r="O919" s="92"/>
    </row>
    <row r="920" spans="15:15" ht="15.75" customHeight="1">
      <c r="O920" s="92"/>
    </row>
    <row r="921" spans="15:15" ht="15.75" customHeight="1">
      <c r="O921" s="92"/>
    </row>
    <row r="922" spans="15:15" ht="15.75" customHeight="1">
      <c r="O922" s="92"/>
    </row>
    <row r="923" spans="15:15" ht="15.75" customHeight="1">
      <c r="O923" s="92"/>
    </row>
    <row r="924" spans="15:15" ht="15.75" customHeight="1">
      <c r="O924" s="92"/>
    </row>
    <row r="925" spans="15:15" ht="15.75" customHeight="1">
      <c r="O925" s="92"/>
    </row>
    <row r="926" spans="15:15" ht="15.75" customHeight="1">
      <c r="O926" s="92"/>
    </row>
    <row r="927" spans="15:15" ht="15.75" customHeight="1">
      <c r="O927" s="92"/>
    </row>
    <row r="928" spans="15:15" ht="15.75" customHeight="1">
      <c r="O928" s="92"/>
    </row>
    <row r="929" spans="15:15" ht="15.75" customHeight="1">
      <c r="O929" s="92"/>
    </row>
    <row r="930" spans="15:15" ht="15.75" customHeight="1">
      <c r="O930" s="92"/>
    </row>
    <row r="931" spans="15:15" ht="15.75" customHeight="1">
      <c r="O931" s="92"/>
    </row>
    <row r="932" spans="15:15" ht="15.75" customHeight="1">
      <c r="O932" s="92"/>
    </row>
    <row r="933" spans="15:15" ht="15.75" customHeight="1">
      <c r="O933" s="92"/>
    </row>
    <row r="934" spans="15:15" ht="15.75" customHeight="1">
      <c r="O934" s="92"/>
    </row>
    <row r="935" spans="15:15" ht="15.75" customHeight="1">
      <c r="O935" s="92"/>
    </row>
    <row r="936" spans="15:15" ht="15.75" customHeight="1">
      <c r="O936" s="92"/>
    </row>
    <row r="937" spans="15:15" ht="15.75" customHeight="1">
      <c r="O937" s="92"/>
    </row>
    <row r="938" spans="15:15" ht="15.75" customHeight="1">
      <c r="O938" s="92"/>
    </row>
    <row r="939" spans="15:15" ht="15.75" customHeight="1">
      <c r="O939" s="92"/>
    </row>
    <row r="940" spans="15:15" ht="15.75" customHeight="1">
      <c r="O940" s="92"/>
    </row>
    <row r="941" spans="15:15" ht="15.75" customHeight="1">
      <c r="O941" s="92"/>
    </row>
    <row r="942" spans="15:15" ht="15.75" customHeight="1">
      <c r="O942" s="92"/>
    </row>
    <row r="943" spans="15:15" ht="15.75" customHeight="1">
      <c r="O943" s="92"/>
    </row>
    <row r="944" spans="15:15" ht="15.75" customHeight="1">
      <c r="O944" s="92"/>
    </row>
    <row r="945" spans="15:15" ht="15.75" customHeight="1">
      <c r="O945" s="92"/>
    </row>
    <row r="946" spans="15:15" ht="15.75" customHeight="1">
      <c r="O946" s="92"/>
    </row>
    <row r="947" spans="15:15" ht="15.75" customHeight="1">
      <c r="O947" s="92"/>
    </row>
    <row r="948" spans="15:15" ht="15.75" customHeight="1">
      <c r="O948" s="92"/>
    </row>
    <row r="949" spans="15:15" ht="15.75" customHeight="1">
      <c r="O949" s="92"/>
    </row>
    <row r="950" spans="15:15" ht="15.75" customHeight="1">
      <c r="O950" s="92"/>
    </row>
    <row r="951" spans="15:15" ht="15.75" customHeight="1">
      <c r="O951" s="92"/>
    </row>
    <row r="952" spans="15:15" ht="15.75" customHeight="1">
      <c r="O952" s="92"/>
    </row>
    <row r="953" spans="15:15" ht="15.75" customHeight="1">
      <c r="O953" s="92"/>
    </row>
    <row r="954" spans="15:15" ht="15.75" customHeight="1">
      <c r="O954" s="92"/>
    </row>
    <row r="955" spans="15:15" ht="15.75" customHeight="1">
      <c r="O955" s="92"/>
    </row>
    <row r="956" spans="15:15" ht="15.75" customHeight="1">
      <c r="O956" s="92"/>
    </row>
    <row r="957" spans="15:15" ht="15.75" customHeight="1">
      <c r="O957" s="92"/>
    </row>
    <row r="958" spans="15:15" ht="15.75" customHeight="1">
      <c r="O958" s="92"/>
    </row>
    <row r="959" spans="15:15" ht="15.75" customHeight="1">
      <c r="O959" s="92"/>
    </row>
    <row r="960" spans="15:15" ht="15.75" customHeight="1">
      <c r="O960" s="92"/>
    </row>
    <row r="961" spans="15:15" ht="15.75" customHeight="1">
      <c r="O961" s="92"/>
    </row>
    <row r="962" spans="15:15" ht="15.75" customHeight="1">
      <c r="O962" s="92"/>
    </row>
    <row r="963" spans="15:15" ht="15.75" customHeight="1">
      <c r="O963" s="92"/>
    </row>
    <row r="964" spans="15:15" ht="15.75" customHeight="1">
      <c r="O964" s="92"/>
    </row>
    <row r="965" spans="15:15" ht="15.75" customHeight="1">
      <c r="O965" s="92"/>
    </row>
    <row r="966" spans="15:15" ht="15.75" customHeight="1">
      <c r="O966" s="92"/>
    </row>
    <row r="967" spans="15:15" ht="15.75" customHeight="1">
      <c r="O967" s="92"/>
    </row>
    <row r="968" spans="15:15" ht="15.75" customHeight="1">
      <c r="O968" s="92"/>
    </row>
    <row r="969" spans="15:15" ht="15.75" customHeight="1">
      <c r="O969" s="92"/>
    </row>
    <row r="970" spans="15:15" ht="15.75" customHeight="1">
      <c r="O970" s="92"/>
    </row>
    <row r="971" spans="15:15" ht="15.75" customHeight="1">
      <c r="O971" s="92"/>
    </row>
    <row r="972" spans="15:15" ht="15.75" customHeight="1">
      <c r="O972" s="92"/>
    </row>
    <row r="973" spans="15:15" ht="15.75" customHeight="1">
      <c r="O973" s="92"/>
    </row>
    <row r="974" spans="15:15" ht="15.75" customHeight="1">
      <c r="O974" s="92"/>
    </row>
    <row r="975" spans="15:15" ht="15.75" customHeight="1">
      <c r="O975" s="92"/>
    </row>
    <row r="976" spans="15:15" ht="15.75" customHeight="1">
      <c r="O976" s="92"/>
    </row>
    <row r="977" spans="15:15" ht="15.75" customHeight="1">
      <c r="O977" s="92"/>
    </row>
    <row r="978" spans="15:15" ht="15.75" customHeight="1">
      <c r="O978" s="92"/>
    </row>
    <row r="979" spans="15:15" ht="15.75" customHeight="1">
      <c r="O979" s="92"/>
    </row>
    <row r="980" spans="15:15" ht="15.75" customHeight="1">
      <c r="O980" s="92"/>
    </row>
    <row r="981" spans="15:15" ht="15.75" customHeight="1">
      <c r="O981" s="92"/>
    </row>
    <row r="982" spans="15:15" ht="15.75" customHeight="1">
      <c r="O982" s="92"/>
    </row>
    <row r="983" spans="15:15" ht="15.75" customHeight="1">
      <c r="O983" s="92"/>
    </row>
    <row r="984" spans="15:15" ht="15.75" customHeight="1">
      <c r="O984" s="92"/>
    </row>
    <row r="985" spans="15:15" ht="15.75" customHeight="1">
      <c r="O985" s="92"/>
    </row>
    <row r="986" spans="15:15" ht="15.75" customHeight="1">
      <c r="O986" s="92"/>
    </row>
    <row r="987" spans="15:15" ht="15.75" customHeight="1">
      <c r="O987" s="92"/>
    </row>
    <row r="988" spans="15:15" ht="15.75" customHeight="1">
      <c r="O988" s="92"/>
    </row>
    <row r="989" spans="15:15" ht="15.75" customHeight="1">
      <c r="O989" s="92"/>
    </row>
    <row r="990" spans="15:15" ht="15.75" customHeight="1">
      <c r="O990" s="92"/>
    </row>
    <row r="991" spans="15:15" ht="15.75" customHeight="1">
      <c r="O991" s="92"/>
    </row>
    <row r="992" spans="15:15" ht="15.75" customHeight="1">
      <c r="O992" s="92"/>
    </row>
    <row r="993" spans="15:15" ht="15.75" customHeight="1">
      <c r="O993" s="92"/>
    </row>
  </sheetData>
  <customSheetViews>
    <customSheetView guid="{FA039B71-8583-434B-AF5C-F7A0DD0543E2}" filter="1" showAutoFilter="1">
      <pageMargins left="0.7" right="0.7" top="0.75" bottom="0.75" header="0.3" footer="0.3"/>
      <autoFilter ref="A9:Z134" xr:uid="{63DFA551-D3FB-FF4B-BEDD-9D3F7353A276}">
        <filterColumn colId="20">
          <filters>
            <filter val="1,000.00 TL"/>
            <filter val="1,100.00 TL"/>
            <filter val="1,125.00 TL"/>
            <filter val="1,140.00 TL"/>
            <filter val="1,182.50 TL"/>
            <filter val="1,200.00 TL"/>
            <filter val="1,230.00 TL"/>
            <filter val="1,250.00 TL"/>
            <filter val="1,367.00 TL"/>
            <filter val="1,375.00 TL"/>
            <filter val="1,380.00 TL"/>
            <filter val="1,600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5.00 TL"/>
            <filter val="1,900.00 TL"/>
            <filter val="1.00 TL"/>
            <filter val="10,500.00 TL"/>
            <filter val="140.00 TL"/>
            <filter val="150.00 TL"/>
            <filter val="16,800.00 TL"/>
            <filter val="163.13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90.00 TL"/>
            <filter val="4,000.00 TL"/>
            <filter val="4,600.00 TL"/>
            <filter val="4,800.00 TL"/>
            <filter val="415.00 TL"/>
            <filter val="428.00 TL"/>
            <filter val="45.00 TL"/>
            <filter val="500.00 TL"/>
            <filter val="520.00 TL"/>
            <filter val="540.00 TL"/>
            <filter val="550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9,245.60 TL"/>
            <filter val="900.00 TL"/>
            <filter val="93.75 TL"/>
            <filter val="95.00 TL"/>
            <filter val="950.00 TL"/>
          </filters>
        </filterColumn>
      </autoFilter>
    </customSheetView>
    <customSheetView guid="{2A32A583-5FFF-4329-A9AB-FB460B8875F5}" filter="1" showAutoFilter="1">
      <pageMargins left="0.7" right="0.7" top="0.75" bottom="0.75" header="0.3" footer="0.3"/>
      <autoFilter ref="A9:Z193" xr:uid="{7FC55D9A-9A3E-E541-9774-2B23663F7879}">
        <filterColumn colId="15">
          <filters>
            <filter val="TRUE"/>
            <filter val="FALSE"/>
          </filters>
        </filterColumn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D9CA35BC-DA14-46BF-9E20-F47B49B00140}" filter="1" showAutoFilter="1">
      <pageMargins left="0.7" right="0.7" top="0.75" bottom="0.75" header="0.3" footer="0.3"/>
      <autoFilter ref="A9:Z193" xr:uid="{32A018FE-29A8-634D-AB2E-6050CF9D63E8}">
        <filterColumn colId="15">
          <filters>
            <filter val="TRUE"/>
            <filter val="FALSE"/>
          </filters>
        </filterColumn>
        <filterColumn colId="19">
          <filters blank="1"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B16C0C81-5C81-4689-AD36-9DAE16331E67}" filter="1" showAutoFilter="1">
      <pageMargins left="0.7" right="0.7" top="0.75" bottom="0.75" header="0.3" footer="0.3"/>
      <autoFilter ref="A9:Z134" xr:uid="{CBB9AD98-09E7-8242-AF3B-DD87841CBAB0}">
        <filterColumn colId="20">
          <filters>
            <filter val="1,000.00 TL"/>
            <filter val="1,100.00 TL"/>
            <filter val="1,125.00 TL"/>
            <filter val="1,140.00 TL"/>
            <filter val="1,182.50 TL"/>
            <filter val="1,200.00 TL"/>
            <filter val="1,230.00 TL"/>
            <filter val="1,250.00 TL"/>
            <filter val="1,367.00 TL"/>
            <filter val="1,375.00 TL"/>
            <filter val="1,380.00 TL"/>
            <filter val="1,600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5.00 TL"/>
            <filter val="1,900.00 TL"/>
            <filter val="1.00 TL"/>
            <filter val="10,500.00 TL"/>
            <filter val="140.00 TL"/>
            <filter val="150.00 TL"/>
            <filter val="16,800.00 TL"/>
            <filter val="163.13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90.00 TL"/>
            <filter val="4,000.00 TL"/>
            <filter val="4,600.00 TL"/>
            <filter val="4,800.00 TL"/>
            <filter val="415.00 TL"/>
            <filter val="428.00 TL"/>
            <filter val="45.00 TL"/>
            <filter val="500.00 TL"/>
            <filter val="520.00 TL"/>
            <filter val="540.00 TL"/>
            <filter val="550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9,245.60 TL"/>
            <filter val="900.00 TL"/>
            <filter val="93.75 TL"/>
            <filter val="95.00 TL"/>
            <filter val="950.00 TL"/>
          </filters>
        </filterColumn>
      </autoFilter>
    </customSheetView>
    <customSheetView guid="{757812E9-7DA1-4C19-BA75-50F8D6FE80DA}" filter="1" showAutoFilter="1">
      <pageMargins left="0.7" right="0.7" top="0.75" bottom="0.75" header="0.3" footer="0.3"/>
      <autoFilter ref="A9:Z193" xr:uid="{991AC7F5-5E1F-6B43-844D-BFB3287B0C48}">
        <filterColumn colId="19">
          <filters blank="1"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1B6A235E-C50E-41E4-AD09-55C78D2BFD3B}" filter="1" showAutoFilter="1">
      <pageMargins left="0.7" right="0.7" top="0.75" bottom="0.75" header="0.3" footer="0.3"/>
      <autoFilter ref="A9:Z193" xr:uid="{93455D86-D9E0-6845-84F9-DF23F8D107A2}"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ADDEB23E-DB36-4807-A89B-0D9099286A16}" filter="1" showAutoFilter="1">
      <pageMargins left="0.7" right="0.7" top="0.75" bottom="0.75" header="0.3" footer="0.3"/>
      <autoFilter ref="A9:Z193" xr:uid="{3C956423-62D1-524D-B096-C38987EC9A21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oy Aynası"/>
            <filter val="Branda -Sizin için Yenileniyoruz-"/>
            <filter val="Bu Benim Kartı"/>
            <filter val="Bu Benim Kartı 50Kırmızı-50Sarı"/>
            <filter val="Emniyeli Merdiven 5 Basamaklı Metal"/>
            <filter val="Enerji Etiketi"/>
            <filter val="Folyo Baskı+Uygulama (Robot Süpürge İçin)"/>
            <filter val="Folyo Uygulama"/>
            <filter val="Fön Makinesi Tutucu"/>
            <filter val="Hava Kabarcıklı Ambalaj Malzemesi 100x50mt 50m2"/>
            <filter val="İlk Yardım Çantası İY070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 (Bugün Kargoa Verilmesi Çok Önemli)"/>
            <filter val="Kargo  Cebi 19x26 cm"/>
            <filter val="Kartvizit (Mehmet Sarıgül)"/>
            <filter val="Kaşe   Ufuk Akkuş - Ayşe Gül Sandıklı-"/>
            <filter val="Kaşe -- Simge Türkmen"/>
            <filter val="Kaşe İsim Kaşesi (Arzu Nur Cıvak-Mehmet Sarıgül)"/>
            <filter val="Kaz Ayağı (10'Lu Paket)"/>
            <filter val="Kg Etiketi Sticker 14x14"/>
            <filter val="Kırlangıç Bayrak Dubalı-Stokları Eritiyoruz-"/>
            <filter val="Kırmızı folyo uygulama"/>
            <filter val="Kırmızı Teşhir Noktası -Kağıt 2500'lü"/>
            <filter val="Klavye Koruyucu"/>
            <filter val="Kulakiçi Kulaklık Stantı -Menteşeli"/>
            <filter val="Light Box  180 cm x 380 cm 322 cm"/>
            <filter val="Light Box 243cm x 224 cm"/>
            <filter val="Logolu A4 Asetat"/>
            <filter val="Logolu Ajanda (Rüzgar Gülü)"/>
            <filter val="Logolu Karton Bardak (Koli)"/>
            <filter val="Logolu Koli Bandı"/>
            <filter val="Logolu Tükenmez Kalem"/>
            <filter val="Mağaza İçi Balon Süsleme"/>
            <filter val="Maped 85110 Expert Maket Bıçağı"/>
            <filter val="Maped 85910 Expert Maket Bıçağı Yedeği"/>
            <filter val="Mas 670 Koli Bant Makinası 2'50Mm (Abs Hm.)"/>
            <filter val="Numberlink 1-40 Arası"/>
            <filter val="Numberlink 1-80 Arası"/>
            <filter val="Panda H-1024 İthal Anahtar Dolabı 24'lü"/>
            <filter val="Personel İsimliği - Satış Danışmanı"/>
            <filter val="Plastik Bardak (Koli Olarak)"/>
            <filter val="Plastik Cırt Kelepçe Beyaz 30cm"/>
            <filter val="Plastik Etiketlik+Teleskopik Yaylı Ayak"/>
            <filter val="Plastik Etiletlik+Teleskopik Yaylı Çubuk (Etiketlik Rengi Kırmızı Olucak)"/>
            <filter val="Plastik Kelepçe Beyaz 30cm"/>
            <filter val="Plastik Koruma(Bu Benim Kartı Konulacak)"/>
            <filter val="Pleksi Föylük A4 L Tipi"/>
            <filter val="Pleksi Harddisk Ayağı"/>
            <filter val="Pleksi Kahve Stanı"/>
            <filter val="Pleksi Raf Bariyeri 120cm"/>
            <filter val="Pleksi Üzeri UV Baskı 3mm Vidalı Olucak (Detayları Göndericem)"/>
            <filter val="Pomotör İsimliği Pelksi Mıknatıslı"/>
            <filter val="Promotor Pleksi isimlik"/>
            <filter val="Reyon Bariyeri 100cm"/>
            <filter val="Saç Düzleştirici Tutucu"/>
            <filter val="Sarı A4 Kağıt (Paket Olarak)"/>
            <filter val="Şeffaf Koli Bandı"/>
            <filter val="Spiralli Kablo 4 Metre"/>
            <filter val="Strech Film 50cmx300Mt 17 Micron"/>
            <filter val="Strech Film Şeffaf"/>
            <filter val="Teleskopik Yaylı Ayak"/>
            <filter val="Temizlik Personel 5 Gün (Faturaya Farklı Yazılıcak --MAĞAZA BİLGİ VERECEK)"/>
            <filter val="Termal Etiket 100x100 500 Sarım"/>
            <filter val="Termal Etiket 40x20 1000 sarım"/>
            <filter val="Teşhir Tablası + Tahtası"/>
            <filter val="Tost Makinesi Ayracı (Logolu Olucak)"/>
            <filter val="TV Güvenlik Teli"/>
            <filter val="Ve-Ge Bufalo Koli Bandı 45x100 Şeffaf"/>
          </filters>
        </filterColumn>
      </autoFilter>
    </customSheetView>
    <customSheetView guid="{0ED2A28D-785A-4BE2-B00C-51195ADD54B4}" filter="1" showAutoFilter="1">
      <pageMargins left="0.7" right="0.7" top="0.75" bottom="0.75" header="0.3" footer="0.3"/>
      <autoFilter ref="A9:Z193" xr:uid="{A2F585CA-0414-444F-828B-BDD4FA29D29D}">
        <filterColumn colId="19">
          <filters blank="1">
            <filter val="RE02024000000202-İade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E1D3DF5B-EEE5-4541-9EE8-3CF33782D022}" filter="1" showAutoFilter="1">
      <pageMargins left="0.7" right="0.7" top="0.75" bottom="0.75" header="0.3" footer="0.3"/>
      <autoFilter ref="A9:Z193" xr:uid="{65AC1BA3-82EE-D54E-8667-64D693138C6E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oy Aynası"/>
            <filter val="Branda -Sizin için Yenileniyoruz-"/>
            <filter val="Bu Benim Kartı"/>
            <filter val="Bu Benim Kartı 50Kırmızı-50Sarı"/>
            <filter val="Emniyeli Merdiven 5 Basamaklı Metal"/>
            <filter val="Enerji Etiketi"/>
            <filter val="Folyo Baskı+Uygulama (Robot Süpürge İçin)"/>
            <filter val="Folyo Uygulama"/>
            <filter val="Fön Makinesi Tutucu"/>
            <filter val="Hava Kabarcıklı Ambalaj Malzemesi 100x50mt 50m2"/>
            <filter val="İlk Yardım Çantası İY070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 (Bugün Kargoa Verilmesi Çok Önemli)"/>
            <filter val="Kargo  Cebi 19x26 cm"/>
            <filter val="Kartvizit (Mehmet Sarıgül)"/>
            <filter val="Kaşe   Ufuk Akkuş - Ayşe Gül Sandıklı-"/>
            <filter val="Kaşe -- Simge Türkmen"/>
            <filter val="Kaşe İsim Kaşesi (Arzu Nur Cıvak-Mehmet Sarıgül)"/>
            <filter val="Kaz Ayağı (10'Lu Paket)"/>
            <filter val="Kg Etiketi Sticker 14x14"/>
            <filter val="Kırlangıç Bayrak Dubalı-Stokları Eritiyoruz-"/>
            <filter val="Kırmızı folyo uygulama"/>
            <filter val="Kırmızı Teşhir Noktası -Kağıt 2500'lü"/>
            <filter val="Klavye Koruyucu"/>
            <filter val="Kulakiçi Kulaklık Stantı -Menteşeli"/>
            <filter val="Light Box  180 cm x 380 cm 322 cm"/>
            <filter val="Light Box 243cm x 224 cm"/>
            <filter val="Logolu A4 Asetat"/>
            <filter val="Logolu Ajanda (Rüzgar Gülü)"/>
            <filter val="Logolu Karton Bardak (Koli)"/>
            <filter val="Logolu Koli Bandı"/>
            <filter val="Logolu Tükenmez Kalem"/>
            <filter val="Mağaza İçi Balon Süsleme"/>
            <filter val="Maped 85110 Expert Maket Bıçağı"/>
            <filter val="Maped 85910 Expert Maket Bıçağı Yedeği"/>
            <filter val="Mas 670 Koli Bant Makinası 2'50Mm (Abs Hm.)"/>
            <filter val="Numberlink 1-40 Arası"/>
            <filter val="Numberlink 1-80 Arası"/>
            <filter val="Panda H-1024 İthal Anahtar Dolabı 24'lü"/>
            <filter val="Personel İsimliği - Satış Danışmanı"/>
            <filter val="Plastik Bardak (Koli Olarak)"/>
            <filter val="Plastik Cırt Kelepçe Beyaz 30cm"/>
            <filter val="Plastik Etiketlik+Teleskopik Yaylı Ayak"/>
            <filter val="Plastik Etiletlik+Teleskopik Yaylı Çubuk (Etiketlik Rengi Kırmızı Olucak)"/>
            <filter val="Plastik Kelepçe Beyaz 30cm"/>
            <filter val="Plastik Koruma(Bu Benim Kartı Konulacak)"/>
            <filter val="Pleksi Föylük A4 L Tipi"/>
            <filter val="Pleksi Harddisk Ayağı"/>
            <filter val="Pleksi Kahve Stanı"/>
            <filter val="Pleksi Raf Bariyeri 120cm"/>
            <filter val="Pleksi Üzeri UV Baskı 3mm Vidalı Olucak (Detayları Göndericem)"/>
            <filter val="Pomotör İsimliği Pelksi Mıknatıslı"/>
            <filter val="Promotor Pleksi isimlik"/>
            <filter val="Reyon Bariyeri 100cm"/>
            <filter val="Saç Düzleştirici Tutucu"/>
            <filter val="Sarı A4 Kağıt (Paket Olarak)"/>
            <filter val="Şeffaf Koli Bandı"/>
            <filter val="Spiralli Kablo 4 Metre"/>
            <filter val="Strech Film 50cmx300Mt 17 Micron"/>
            <filter val="Strech Film Şeffaf"/>
            <filter val="Teleskopik Yaylı Ayak"/>
            <filter val="Temizlik Personel 5 Gün (Faturaya Farklı Yazılıcak --MAĞAZA BİLGİ VERECEK)"/>
            <filter val="Termal Etiket 40x20 1000 sarım"/>
            <filter val="Teşhir Tablası + Tahtası"/>
            <filter val="Tost Makinesi Ayracı (Logolu Olucak)"/>
            <filter val="TV Güvenlik Teli"/>
            <filter val="Ve-Ge Bufalo Koli Bandı 45x100 Şeffaf"/>
          </filters>
        </filterColumn>
      </autoFilter>
    </customSheetView>
    <customSheetView guid="{12C2EF42-B18E-481F-9C22-86D0B652447F}" filter="1" showAutoFilter="1">
      <pageMargins left="0.7" right="0.7" top="0.75" bottom="0.75" header="0.3" footer="0.3"/>
      <autoFilter ref="A9:Z193" xr:uid="{0A21CC0B-B9D4-7646-BB86-A6107F8B271A}">
        <filterColumn colId="19">
          <filters>
            <filter val="RE02024000000202-İade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2F330B0C-BB40-4D95-9FAB-EBC1E02E543B}" filter="1" showAutoFilter="1">
      <pageMargins left="0.7" right="0.7" top="0.75" bottom="0.75" header="0.3" footer="0.3"/>
      <autoFilter ref="A9:Z134" xr:uid="{A5460B86-32E3-C442-A4F6-DC090C4A1C5B}">
        <filterColumn colId="20">
          <filters>
            <filter val="1,000.00 TL"/>
            <filter val="1,100.00 TL"/>
            <filter val="1,125.00 TL"/>
            <filter val="1,140.00 TL"/>
            <filter val="1,182.50 TL"/>
            <filter val="1,200.00 TL"/>
            <filter val="1,230.00 TL"/>
            <filter val="1,250.00 TL"/>
            <filter val="1,367.00 TL"/>
            <filter val="1,375.00 TL"/>
            <filter val="1,380.00 TL"/>
            <filter val="1,600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5.00 TL"/>
            <filter val="1,900.00 TL"/>
            <filter val="1.00 TL"/>
            <filter val="10,500.00 TL"/>
            <filter val="140.00 TL"/>
            <filter val="150.00 TL"/>
            <filter val="16,800.00 TL"/>
            <filter val="163.13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90.00 TL"/>
            <filter val="4,000.00 TL"/>
            <filter val="4,600.00 TL"/>
            <filter val="4,800.00 TL"/>
            <filter val="415.00 TL"/>
            <filter val="428.00 TL"/>
            <filter val="45.00 TL"/>
            <filter val="500.00 TL"/>
            <filter val="520.00 TL"/>
            <filter val="540.00 TL"/>
            <filter val="550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9,245.60 TL"/>
            <filter val="900.00 TL"/>
            <filter val="93.75 TL"/>
            <filter val="95.00 TL"/>
            <filter val="950.00 TL"/>
          </filters>
        </filterColumn>
      </autoFilter>
    </customSheetView>
    <customSheetView guid="{35D94E68-361A-447A-93C5-620C1CE60B05}" filter="1" showAutoFilter="1">
      <pageMargins left="0.7" right="0.7" top="0.75" bottom="0.75" header="0.3" footer="0.3"/>
      <autoFilter ref="A9:Z134" xr:uid="{CE0BBD28-AE51-7345-A71E-0101BC55B324}">
        <filterColumn colId="20">
          <filters>
            <filter val="1,000.00 TL"/>
            <filter val="1,100.00 TL"/>
            <filter val="1,125.00 TL"/>
            <filter val="1,140.00 TL"/>
            <filter val="1,182.50 TL"/>
            <filter val="1,200.00 TL"/>
            <filter val="1,230.00 TL"/>
            <filter val="1,250.00 TL"/>
            <filter val="1,367.00 TL"/>
            <filter val="1,375.00 TL"/>
            <filter val="1,380.00 TL"/>
            <filter val="1,600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5.00 TL"/>
            <filter val="1,900.00 TL"/>
            <filter val="1.00 TL"/>
            <filter val="10,500.00 TL"/>
            <filter val="140.00 TL"/>
            <filter val="150.00 TL"/>
            <filter val="16,800.00 TL"/>
            <filter val="163.13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90.00 TL"/>
            <filter val="4,000.00 TL"/>
            <filter val="4,600.00 TL"/>
            <filter val="4,800.00 TL"/>
            <filter val="415.00 TL"/>
            <filter val="428.00 TL"/>
            <filter val="45.00 TL"/>
            <filter val="500.00 TL"/>
            <filter val="520.00 TL"/>
            <filter val="540.00 TL"/>
            <filter val="550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9,245.60 TL"/>
            <filter val="900.00 TL"/>
            <filter val="93.75 TL"/>
            <filter val="95.00 TL"/>
            <filter val="950.00 TL"/>
          </filters>
        </filterColumn>
      </autoFilter>
    </customSheetView>
    <customSheetView guid="{1690381E-EDBA-489A-8E58-BB03EED6A56A}" filter="1" showAutoFilter="1">
      <pageMargins left="0.7" right="0.7" top="0.75" bottom="0.75" header="0.3" footer="0.3"/>
      <autoFilter ref="A9:Z193" xr:uid="{D8CE4621-121A-5047-B942-4D8E768386C2}">
        <filterColumn colId="15">
          <filters>
            <filter val="TRUE"/>
            <filter val="FALSE"/>
          </filters>
        </filterColumn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772B0D36-4A99-4024-A175-9F9DAD74B061}" filter="1" showAutoFilter="1">
      <pageMargins left="0.7" right="0.7" top="0.75" bottom="0.75" header="0.3" footer="0.3"/>
      <autoFilter ref="A9:Z193" xr:uid="{E7979FA3-214E-BF4D-A1F6-AF3A0E4810C7}">
        <filterColumn colId="15">
          <filters>
            <filter val="TRUE"/>
            <filter val="FALSE"/>
          </filters>
        </filterColumn>
        <filterColumn colId="19">
          <filters blank="1">
            <filter val="RE02024000000202-İade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A3D0C1B3-1214-411E-8919-2C9FA68EBA0B}" filter="1" showAutoFilter="1">
      <pageMargins left="0.7" right="0.7" top="0.75" bottom="0.75" header="0.3" footer="0.3"/>
      <autoFilter ref="A9:Z134" xr:uid="{864D6536-E00B-C345-BFB4-1935E7E90630}">
        <filterColumn colId="15">
          <filters>
            <filter val="TRUE"/>
          </filters>
        </filterColumn>
        <filterColumn colId="19">
          <filters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46"/>
            <filter val="RE02024000000252"/>
            <filter val="RE02024000000255"/>
            <filter val="RE02024000000256"/>
            <filter val="RE02024000000257"/>
            <filter val="RE02024000000259-RE02024000000261"/>
            <filter val="RE02024000000264"/>
            <filter val="RE02024000000265"/>
            <filter val="RE52024000000001 -RE02024000000280"/>
          </filters>
        </filterColumn>
      </autoFilter>
    </customSheetView>
    <customSheetView guid="{825CFE42-E38F-4327-A52B-EA014762B8A6}" filter="1" showAutoFilter="1">
      <pageMargins left="0.7" right="0.7" top="0.75" bottom="0.75" header="0.3" footer="0.3"/>
      <autoFilter ref="A9:Z193" xr:uid="{0A10C82F-0632-CD4C-8B6D-E696449C4DCF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oy Aynası"/>
            <filter val="Branda -Sizin için Yenileniyoruz-"/>
            <filter val="Bu Benim Kartı"/>
            <filter val="Bu Benim Kartı 50Kırmızı-50Sarı"/>
            <filter val="Emniyeli Merdiven 5 Basamaklı Metal"/>
            <filter val="Enerji Etiketi"/>
            <filter val="Folyo Baskı+Uygulama (Robot Süpürge İçin)"/>
            <filter val="Folyo Uygulama"/>
            <filter val="Fön Makinesi Tutucu"/>
            <filter val="Hava Kabarcıklı Ambalaj Malzemesi 100x50mt 50m2"/>
            <filter val="İlk Yardım Çantası İY070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 (Bugün Kargoa Verilmesi Çok Önemli)"/>
            <filter val="Kargo  Cebi 19x26 cm"/>
            <filter val="Kartvizit (Mehmet Sarıgül)"/>
            <filter val="Kaşe   Ufuk Akkuş - Ayşe Gül Sandıklı-"/>
            <filter val="Kaşe -- Simge Türkmen"/>
            <filter val="Kaşe İsim Kaşesi (Arzu Nur Cıvak-Mehmet Sarıgül)"/>
            <filter val="Kaz Ayağı (10'Lu Paket)"/>
            <filter val="Kg Etiketi Sticker 14x14"/>
            <filter val="Kırlangıç Bayrak Dubalı-Stokları Eritiyoruz-"/>
            <filter val="Kırmızı folyo uygulama"/>
            <filter val="Kırmızı Teşhir Noktası -Kağıt 2500'lü"/>
            <filter val="Klavye Koruyucu"/>
            <filter val="Kulakiçi Kulaklık Stantı -Menteşeli"/>
            <filter val="Light Box  180 cm x 380 cm 322 cm"/>
            <filter val="Light Box 243cm x 224 cm"/>
            <filter val="Logolu A4 Asetat"/>
            <filter val="Logolu Ajanda (Rüzgar Gülü)"/>
            <filter val="Logolu Karton Bardak (Koli)"/>
            <filter val="Logolu Koli Bandı"/>
            <filter val="Logolu Koli Bantı"/>
            <filter val="Logolu Tükenmez Kalem"/>
            <filter val="Mağaza İçi Balon Süsleme"/>
            <filter val="Maped 85110 Expert Maket Bıçağı"/>
            <filter val="Maped 85910 Expert Maket Bıçağı Yedeği"/>
            <filter val="Mas 670 Koli Bant Makinası 2'50Mm (Abs Hm.)"/>
            <filter val="Numberlink 1-40 Arası"/>
            <filter val="Numberlink 1-80 Arası"/>
            <filter val="Panda H-1024 İthal Anahtar Dolabı 24'lü"/>
            <filter val="Personel İsimliği - Satış Danışmanı"/>
            <filter val="Plastik Bardak (Koli Olarak)"/>
            <filter val="Plastik Cırt Kelepçe Beyaz 30cm"/>
            <filter val="Plastik Etiketlik+Teleskopik Yaylı Ayak"/>
            <filter val="Plastik Etiletlik+Teleskopik Yaylı Çubuk (Etiketlik Rengi Kırmızı Olucak)"/>
            <filter val="Plastik Kelepçe Beyaz 30cm"/>
            <filter val="Plastik Koruma(Bu Benim Kartı Konulacak)"/>
            <filter val="Pleksi Föylük A4 L Tipi"/>
            <filter val="Pleksi Harddisk Ayağı"/>
            <filter val="Pleksi Kahve Stanı"/>
            <filter val="Pleksi Raf Bariyeri 120cm"/>
            <filter val="Pleksi Üzeri UV Baskı 3mm Vidalı Olucak (Detayları Göndericem)"/>
            <filter val="Pomotör İsimliği Pelksi Mıknatıslı"/>
            <filter val="Promotor Pleksi isimlik"/>
            <filter val="Reyon Bariyeri 100cm"/>
            <filter val="Saç Düzleştirici Tutucu"/>
            <filter val="Sarı A4 Kağıt (Paket Olarak)"/>
            <filter val="Şeffaf Koli Bandı"/>
            <filter val="Spiralli Kablo 4 Metre"/>
            <filter val="Strech Film 50cmx300Mt 17 Micron"/>
            <filter val="Strech Film Şeffaf"/>
            <filter val="Teleskopik Yaylı Ayak"/>
            <filter val="Temizlik Personel 5 Gün (Faturaya Farklı Yazılıcak --MAĞAZA BİLGİ VERECEK)"/>
            <filter val="Termal Etiket 40x20 1000 sarım"/>
            <filter val="Teşhir Tablası + Tahtası"/>
            <filter val="Tost Makinesi Ayracı (Logolu Olucak)"/>
            <filter val="TV Güvenlik Teli"/>
            <filter val="Ve-Ge Bufalo Koli Bandı 45x100 Şeffaf"/>
          </filters>
        </filterColumn>
      </autoFilter>
    </customSheetView>
    <customSheetView guid="{25306CF5-0006-4DC6-A4C8-A5D7421F1EE6}" filter="1" showAutoFilter="1">
      <pageMargins left="0.7" right="0.7" top="0.75" bottom="0.75" header="0.3" footer="0.3"/>
      <autoFilter ref="A9:Z193" xr:uid="{6F8A5EF0-9F03-D947-AEF7-7A9732FF5647}">
        <filterColumn colId="20">
          <filters blank="1">
            <filter val="1,000.00 TL"/>
            <filter val="1,100.00 TL"/>
            <filter val="1,110.00 TL"/>
            <filter val="1,125.00 TL"/>
            <filter val="1,140.00 TL"/>
            <filter val="1,182.50 TL"/>
            <filter val="1,200.00 TL"/>
            <filter val="1,230.00 TL"/>
            <filter val="1,250.00 TL"/>
            <filter val="1,300.00 TL"/>
            <filter val="1,326.00 TL"/>
            <filter val="1,367.00 TL"/>
            <filter val="1,375.00 TL"/>
            <filter val="1,380.00 TL"/>
            <filter val="1,600.00 TL"/>
            <filter val="1,638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2.00 TL"/>
            <filter val="1,875.00 TL"/>
            <filter val="1,900.00 TL"/>
            <filter val="1,916.40 TL"/>
            <filter val="1.00 TL"/>
            <filter val="10,500.00 TL"/>
            <filter val="13,000.00 TL"/>
            <filter val="140.00 TL"/>
            <filter val="150.00 TL"/>
            <filter val="16,800.00 TL"/>
            <filter val="163.13 TL"/>
            <filter val="17,000.00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775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02.00 TL"/>
            <filter val="375.00 TL"/>
            <filter val="388.00 TL"/>
            <filter val="390.00 TL"/>
            <filter val="4,000.00 TL"/>
            <filter val="4,600.00 TL"/>
            <filter val="4,650.00 TL"/>
            <filter val="4,800.00 TL"/>
            <filter val="415.00 TL"/>
            <filter val="428.00 TL"/>
            <filter val="45.00 TL"/>
            <filter val="460.00 TL"/>
            <filter val="5,550.00 TL"/>
            <filter val="500.00 TL"/>
            <filter val="520.00 TL"/>
            <filter val="540.00 TL"/>
            <filter val="550.00 TL"/>
            <filter val="555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850.00 TL"/>
            <filter val="9,200.00 TL"/>
            <filter val="9,245.60 TL"/>
            <filter val="900.00 TL"/>
            <filter val="93.75 TL"/>
            <filter val="95.00 TL"/>
            <filter val="950.00 TL"/>
            <filter val="958.20 TL"/>
          </filters>
        </filterColumn>
      </autoFilter>
    </customSheetView>
    <customSheetView guid="{A88120E2-7AF7-4F3D-82AF-D97CC58D97AE}" filter="1" showAutoFilter="1">
      <pageMargins left="0.7" right="0.7" top="0.75" bottom="0.75" header="0.3" footer="0.3"/>
      <autoFilter ref="A9:Z193" xr:uid="{768F4F66-17F1-B14B-87E5-E70E498C7ABF}">
        <filterColumn colId="3">
          <filters>
            <filter val="Abkara"/>
            <filter val="Alanya"/>
            <filter val="Balıkesir"/>
            <filter val="Çorum"/>
            <filter val="Diyarbakır"/>
            <filter val="Eskişehir"/>
            <filter val="Isparta"/>
            <filter val="İstanbul"/>
            <filter val="Kahramanmaraş"/>
            <filter val="Konya"/>
            <filter val="Tekirdağ"/>
          </filters>
        </filterColumn>
      </autoFilter>
    </customSheetView>
    <customSheetView guid="{80969A39-7711-4B04-A97F-757E47D9C537}" filter="1" showAutoFilter="1">
      <pageMargins left="0.7" right="0.7" top="0.75" bottom="0.75" header="0.3" footer="0.3"/>
      <autoFilter ref="A9:Z193" xr:uid="{3F557370-65CA-F74A-9392-40AB01EFA5C1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oy Aynası"/>
            <filter val="Branda -Sizin için Yenileniyoruz-"/>
            <filter val="Bu Benim Kartı"/>
            <filter val="Bu Benim Kartı 50Kırmızı-50Sarı"/>
            <filter val="Emniyeli Merdiven 5 Basamaklı Metal"/>
            <filter val="Folyo Baskı+Uygulama (Robot Süpürge İçin)"/>
            <filter val="Folyo Uygulama"/>
            <filter val="Fön Makinesi Tutucu"/>
            <filter val="Hava Kabarcıklı Ambalaj Malzemesi 100x50mt 50m2"/>
            <filter val="İlk Yardım Çantası İY070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 (Bugün Kargoa Verilmesi Çok Önemli)"/>
            <filter val="Kargo  Cebi 19x26 cm"/>
            <filter val="Kartvizit (Mehmet Sarıgül)"/>
            <filter val="Kaşe   Ufuk Akkuş - Ayşe Gül Sandıklı-"/>
            <filter val="Kaşe -- Simge Türkmen"/>
            <filter val="Kaşe İsim Kaşesi (Arzu Nur Cıvak-Mehmet Sarıgül)"/>
            <filter val="Kaz Ayağı (10'Lu Paket)"/>
            <filter val="Kg Etiketi Sticker 14x14"/>
            <filter val="Kırlangıç Bayrak Dubalı-Stokları Eritiyoruz-"/>
            <filter val="Kırmızı folyo uygulama"/>
            <filter val="Kırmızı Teşhir Noktası -Kağıt 2500'lü"/>
            <filter val="Klavye Koruyucu"/>
            <filter val="Kulakiçi Kulaklık Stantı -Menteşeli"/>
            <filter val="Light Box  180 cm x 380 cm 322 cm"/>
            <filter val="Light Box 243cm x 224 cm"/>
            <filter val="Logolu A4 Asetat"/>
            <filter val="Logolu Ajanda (Rüzgar Gülü)"/>
            <filter val="Logolu Karton Bardak (Koli)"/>
            <filter val="Logolu Koli Bandı"/>
            <filter val="Logolu Tükenmez Kalem"/>
            <filter val="Mağaza İçi Balon Süsleme"/>
            <filter val="Maped 85110 Expert Maket Bıçağı"/>
            <filter val="Maped 85910 Expert Maket Bıçağı Yedeği"/>
            <filter val="Mas 670 Koli Bant Makinası 2'50Mm (Abs Hm.)"/>
            <filter val="Numberlink 1-40 Arası"/>
            <filter val="Numberlink 1-80 Arası"/>
            <filter val="Panda H-1024 İthal Anahtar Dolabı 24'lü"/>
            <filter val="Personel İsimliği - Satış Danışmanı"/>
            <filter val="Plastik Bardak (Koli Olarak)"/>
            <filter val="Plastik Cırt Kelepçe Beyaz 30cm"/>
            <filter val="Plastik Etiketlik+Teleskopik Yaylı Ayak"/>
            <filter val="Plastik Etiletlik+Teleskopik Yaylı Çubuk (Etiketlik Rengi Kırmızı Olucak)"/>
            <filter val="Plastik Kelepçe Beyaz 30cm"/>
            <filter val="Plastik Koruma(Bu Benim Kartı Konulacak)"/>
            <filter val="Pleksi Föylük A4 L Tipi"/>
            <filter val="Pleksi Harddisk Ayağı"/>
            <filter val="Pleksi Kahve Stanı"/>
            <filter val="Pleksi Raf Bariyeri 120cm"/>
            <filter val="Pleksi Üzeri UV Baskı 3mm Vidalı Olucak (Detayları Göndericem)"/>
            <filter val="Pomotör İsimliği Pelksi Mıknatıslı"/>
            <filter val="Pos Cihazı Rulosu 56x16"/>
            <filter val="Promotor Pleksi isimlik"/>
            <filter val="Reyon Bariyeri 100cm"/>
            <filter val="Saç Düzleştirici Tutucu"/>
            <filter val="Sarı A4 Kağıt (Paket Olarak)"/>
            <filter val="Şeffaf Koli Bandı"/>
            <filter val="Spiralli Kablo 4 Metre"/>
            <filter val="Strech Film 50cmx300Mt 17 Micron"/>
            <filter val="Strech Film Şeffaf"/>
            <filter val="Teleskopik Yaylı Ayak"/>
            <filter val="Temizlik Personel 5 Gün (Faturaya Farklı Yazılıcak --MAĞAZA BİLGİ VERECEK)"/>
            <filter val="Termal Etiket 40x20 1000 sarım"/>
            <filter val="Teşhir Tablası + Tahtası"/>
            <filter val="Tost Makinesi Ayracı (Logolu Olucak)"/>
            <filter val="TV Güvenlik Teli"/>
            <filter val="Ve-Ge Bufalo Koli Bandı 45x100 Şeffaf"/>
            <filter val="Yazar Kasa Rulosu 80x30"/>
          </filters>
        </filterColumn>
      </autoFilter>
    </customSheetView>
    <customSheetView guid="{543ECBD1-56F7-4935-9F65-00CA2C5C8704}" filter="1" showAutoFilter="1">
      <pageMargins left="0.7" right="0.7" top="0.75" bottom="0.75" header="0.3" footer="0.3"/>
      <autoFilter ref="A9:Z193" xr:uid="{A5A69EF6-DEAA-0341-A499-B4EED8F07A12}">
        <filterColumn colId="20">
          <filters blank="1">
            <filter val="1,000.00 TL"/>
            <filter val="1,100.00 TL"/>
            <filter val="1,110.00 TL"/>
            <filter val="1,125.00 TL"/>
            <filter val="1,140.00 TL"/>
            <filter val="1,182.50 TL"/>
            <filter val="1,200.00 TL"/>
            <filter val="1,230.00 TL"/>
            <filter val="1,250.00 TL"/>
            <filter val="1,300.00 TL"/>
            <filter val="1,326.00 TL"/>
            <filter val="1,367.00 TL"/>
            <filter val="1,375.00 TL"/>
            <filter val="1,380.00 TL"/>
            <filter val="1,600.00 TL"/>
            <filter val="1,638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2.00 TL"/>
            <filter val="1,875.00 TL"/>
            <filter val="1,900.00 TL"/>
            <filter val="1,916.40 TL"/>
            <filter val="1.00 TL"/>
            <filter val="10,500.00 TL"/>
            <filter val="13,000.00 TL"/>
            <filter val="140.00 TL"/>
            <filter val="150.00 TL"/>
            <filter val="16,800.00 TL"/>
            <filter val="163.13 TL"/>
            <filter val="17,000.00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775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02.00 TL"/>
            <filter val="375.00 TL"/>
            <filter val="388.00 TL"/>
            <filter val="390.00 TL"/>
            <filter val="4,000.00 TL"/>
            <filter val="4,600.00 TL"/>
            <filter val="4,650.00 TL"/>
            <filter val="4,800.00 TL"/>
            <filter val="415.00 TL"/>
            <filter val="428.00 TL"/>
            <filter val="45.00 TL"/>
            <filter val="460.00 TL"/>
            <filter val="5,550.00 TL"/>
            <filter val="500.00 TL"/>
            <filter val="520.00 TL"/>
            <filter val="540.00 TL"/>
            <filter val="550.00 TL"/>
            <filter val="555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850.00 TL"/>
            <filter val="9,200.00 TL"/>
            <filter val="9,245.60 TL"/>
            <filter val="900.00 TL"/>
            <filter val="93.75 TL"/>
            <filter val="95.00 TL"/>
            <filter val="950.00 TL"/>
            <filter val="958.20 TL"/>
          </filters>
        </filterColumn>
      </autoFilter>
    </customSheetView>
    <customSheetView guid="{9E0846C4-DD83-4D63-8234-28B35B617FA2}" filter="1" showAutoFilter="1">
      <pageMargins left="0.7" right="0.7" top="0.75" bottom="0.75" header="0.3" footer="0.3"/>
      <autoFilter ref="A9:Z193" xr:uid="{27BD22CC-D080-9F48-8FD9-1E045E016AE6}">
        <filterColumn colId="19">
          <filters blank="1">
            <filter val="RE02024000000202-İade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76FE80B7-048A-4848-BCC4-616193A540D1}" filter="1" showAutoFilter="1">
      <pageMargins left="0.7" right="0.7" top="0.75" bottom="0.75" header="0.3" footer="0.3"/>
      <autoFilter ref="A9:Z193" xr:uid="{87373D73-2E38-7345-BD06-0A8290ACB86C}">
        <filterColumn colId="15">
          <filters>
            <filter val="TRUE"/>
            <filter val="FALSE"/>
          </filters>
        </filterColumn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1CBC6901-7D50-44EB-AA0D-4607E4ED539B}" filter="1" showAutoFilter="1">
      <pageMargins left="0.7" right="0.7" top="0.75" bottom="0.75" header="0.3" footer="0.3"/>
      <autoFilter ref="A9:Z193" xr:uid="{F8B0679F-0640-F94E-AC6D-01A1EBF78FAD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oy Aynası"/>
            <filter val="Branda -Sizin için Yenileniyoruz-"/>
            <filter val="Bu Benim Kartı"/>
            <filter val="Bu Benim Kartı 50Kırmızı-50Sarı"/>
            <filter val="Emniyeli Merdiven 5 Basamaklı Metal"/>
            <filter val="Folyo Baskı+Uygulama (Robot Süpürge İçin)"/>
            <filter val="Folyo Uygulama"/>
            <filter val="Fön Makinesi Tutucu"/>
            <filter val="Hava Kabarcıklı Ambalaj Malzemesi 100x50mt 50m2"/>
            <filter val="İlk Yardım Çantası İY070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 (Bugün Kargoa Verilmesi Çok Önemli)"/>
            <filter val="Kargo  Cebi 19x26 cm"/>
            <filter val="Kartvizit (Mehmet Sarıgül)"/>
            <filter val="Kaşe   Ufuk Akkuş - Ayşe Gül Sandıklı-"/>
            <filter val="Kaşe -- Simge Türkmen"/>
            <filter val="Kaşe İsim Kaşesi (Arzu Nur Cıvak-Mehmet Sarıgül)"/>
            <filter val="Kaz Ayağı (10'Lu Paket)"/>
            <filter val="Kg Etiketi Sticker 14x14"/>
            <filter val="Kırlangıç Bayrak Dubalı-Stokları Eritiyoruz-"/>
            <filter val="Kırmızı folyo uygulama"/>
            <filter val="Kırmızı Teşhir Noktası -Kağıt 2500'lü"/>
            <filter val="Klavye Koruyucu"/>
            <filter val="Kulakiçi Kulaklık Stantı -Menteşeli"/>
            <filter val="Light Box  180 cm x 380 cm 322 cm"/>
            <filter val="Light Box 243cm x 224 cm"/>
            <filter val="Logolu A4 Asetat"/>
            <filter val="Logolu Ajanda (Rüzgar Gülü)"/>
            <filter val="Logolu Karton Bardak (Koli)"/>
            <filter val="Logolu Koli Bandı"/>
            <filter val="Logolu Tükenmez Kalem"/>
            <filter val="Mağaza İçi Balon Süsleme"/>
            <filter val="Maped 85110 Expert Maket Bıçağı"/>
            <filter val="Maped 85910 Expert Maket Bıçağı Yedeği"/>
            <filter val="Mas 670 Koli Bant Makinası 2'50Mm (Abs Hm.)"/>
            <filter val="Numberlink 1-40 Arası"/>
            <filter val="Numberlink 1-80 Arası"/>
            <filter val="Panda H-1024 İthal Anahtar Dolabı 24'lü"/>
            <filter val="Patago Tutucu"/>
            <filter val="Personel İsimliği - Satış Danışmanı"/>
            <filter val="Plastik Bardak (Koli Olarak)"/>
            <filter val="Plastik Cırt Kelepçe Beyaz 30cm"/>
            <filter val="Plastik Etiketlik+Teleskopik Yaylı Ayak"/>
            <filter val="Plastik Etiletlik+Teleskopik Yaylı Çubuk (Etiketlik Rengi Kırmızı Olucak)"/>
            <filter val="Plastik Kelepçe Beyaz 30cm"/>
            <filter val="Plastik Koruma(Bu Benim Kartı Konulacak)"/>
            <filter val="Pleksi Föylük A4 L Tipi"/>
            <filter val="Pleksi Harddisk Ayağı"/>
            <filter val="Pleksi Kahve Stanı"/>
            <filter val="Pleksi Raf Bariyeri 120cm"/>
            <filter val="Pleksi Üzeri UV Baskı 3mm Vidalı Olucak (Detayları Göndericem)"/>
            <filter val="Pomotör İsimliği Pelksi Mıknatıslı"/>
            <filter val="Promotor Pleksi isimlik"/>
            <filter val="Reyon Bariyeri 100cm"/>
            <filter val="Saç Düzleştirici Tutucu"/>
            <filter val="Sarı A4 Kağıt (Paket Olarak)"/>
            <filter val="Şeffaf Koli Bandı"/>
            <filter val="Spiralli Kablo 4 Metre"/>
            <filter val="Strech Film 50cmx300Mt 17 Micron"/>
            <filter val="Strech Film Şeffaf"/>
            <filter val="Teleskopik Yaylı Ayak"/>
            <filter val="Temizlik Personel 5 Gün (Faturaya Farklı Yazılıcak --MAĞAZA BİLGİ VERECEK)"/>
            <filter val="Termal Etiket 40x20 1000 sarım"/>
            <filter val="Teşhir Tablası + Tahtası"/>
            <filter val="Tost Makinesi Ayracı (Logolu Olucak)"/>
            <filter val="TV Güvenlik Teli"/>
            <filter val="Ve-Ge Bufalo Koli Bandı 45x100 Şeffaf"/>
          </filters>
        </filterColumn>
      </autoFilter>
    </customSheetView>
    <customSheetView guid="{C050A20F-9133-4310-B977-731B60776A95}" filter="1" showAutoFilter="1">
      <pageMargins left="0.7" right="0.7" top="0.75" bottom="0.75" header="0.3" footer="0.3"/>
      <autoFilter ref="A9:Z193" xr:uid="{1FD27477-034E-A34A-8D13-2C58622EA026}">
        <filterColumn colId="20">
          <filters>
            <filter val="1,000.00 TL"/>
            <filter val="1,100.00 TL"/>
            <filter val="1,110.00 TL"/>
            <filter val="1,125.00 TL"/>
            <filter val="1,140.00 TL"/>
            <filter val="1,182.50 TL"/>
            <filter val="1,200.00 TL"/>
            <filter val="1,230.00 TL"/>
            <filter val="1,250.00 TL"/>
            <filter val="1,300.00 TL"/>
            <filter val="1,326.00 TL"/>
            <filter val="1,367.00 TL"/>
            <filter val="1,375.00 TL"/>
            <filter val="1,380.00 TL"/>
            <filter val="1,600.00 TL"/>
            <filter val="1,638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2.00 TL"/>
            <filter val="1,875.00 TL"/>
            <filter val="1,900.00 TL"/>
            <filter val="1,916.40 TL"/>
            <filter val="1.00 TL"/>
            <filter val="10,500.00 TL"/>
            <filter val="13,000.00 TL"/>
            <filter val="140.00 TL"/>
            <filter val="150.00 TL"/>
            <filter val="16,800.00 TL"/>
            <filter val="163.13 TL"/>
            <filter val="17,000.00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775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02.00 TL"/>
            <filter val="375.00 TL"/>
            <filter val="388.00 TL"/>
            <filter val="390.00 TL"/>
            <filter val="4,000.00 TL"/>
            <filter val="4,600.00 TL"/>
            <filter val="4,650.00 TL"/>
            <filter val="4,800.00 TL"/>
            <filter val="415.00 TL"/>
            <filter val="428.00 TL"/>
            <filter val="45.00 TL"/>
            <filter val="460.00 TL"/>
            <filter val="5,550.00 TL"/>
            <filter val="500.00 TL"/>
            <filter val="520.00 TL"/>
            <filter val="540.00 TL"/>
            <filter val="550.00 TL"/>
            <filter val="555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850.00 TL"/>
            <filter val="9,200.00 TL"/>
            <filter val="9,245.60 TL"/>
            <filter val="900.00 TL"/>
            <filter val="93.75 TL"/>
            <filter val="95.00 TL"/>
            <filter val="950.00 TL"/>
            <filter val="958.20 TL"/>
          </filters>
        </filterColumn>
      </autoFilter>
    </customSheetView>
    <customSheetView guid="{FE3E62DE-4CB7-4BB9-873B-C0E5A641A3C7}" filter="1" showAutoFilter="1">
      <pageMargins left="0.7" right="0.7" top="0.75" bottom="0.75" header="0.3" footer="0.3"/>
      <autoFilter ref="A9:Z193" xr:uid="{FDA5B2B9-3122-7747-A554-8BBAE1EC847A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oy Aynası"/>
            <filter val="Branda -Sizin için Yenileniyoruz-"/>
            <filter val="Bu Benim Kartı"/>
            <filter val="Bu Benim Kartı 50Kırmızı-50Sarı"/>
            <filter val="Emniyeli Merdiven 5 Basamaklı Metal"/>
            <filter val="Enerji Etiketi"/>
            <filter val="Folyo Baskı+Uygulama (Robot Süpürge İçin)"/>
            <filter val="Folyo Uygulama"/>
            <filter val="Fön Makinesi Tutucu"/>
            <filter val="Hava Kabarcıklı Ambalaj Malzemesi 100x50mt 50m2"/>
            <filter val="İlk Yardım Çantası İY070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 (Bugün Kargoa Verilmesi Çok Önemli)"/>
            <filter val="Kargo  Cebi 19x26 cm"/>
            <filter val="Kartvizit (Mehmet Sarıgül)"/>
            <filter val="Kaşe   Ufuk Akkuş - Ayşe Gül Sandıklı-"/>
            <filter val="Kaşe -- Simge Türkmen"/>
            <filter val="Kaşe İsim Kaşesi (Arzu Nur Cıvak-Mehmet Sarıgül)"/>
            <filter val="Kaz Ayağı (10'Lu Paket)"/>
            <filter val="Kg Etiketi Sticker 14x14"/>
            <filter val="Kırlangıç Bayrak Dubalı-Stokları Eritiyoruz-"/>
            <filter val="Kırmızı folyo uygulama"/>
            <filter val="Kırmızı Teşhir Noktası -Kağıt 2500'lü"/>
            <filter val="Klavye Koruyucu"/>
            <filter val="Kulakiçi Kulaklık Stantı -Menteşeli"/>
            <filter val="Light Box  180 cm x 380 cm 322 cm"/>
            <filter val="Light Box 243cm x 224 cm"/>
            <filter val="Logolu A4 Asetat"/>
            <filter val="Logolu Ajanda (Rüzgar Gülü)"/>
            <filter val="Logolu Karton Bardak (Koli)"/>
            <filter val="Logolu Koli Bandı"/>
            <filter val="Logolu Tükenmez Kalem"/>
            <filter val="Mağaza İçi Balon Süsleme"/>
            <filter val="Maped 85110 Expert Maket Bıçağı"/>
            <filter val="Maped 85910 Expert Maket Bıçağı Yedeği"/>
            <filter val="Mas 670 Koli Bant Makinası 2'50Mm (Abs Hm.)"/>
            <filter val="Numberlink 1-40 Arası"/>
            <filter val="Numberlink 1-80 Arası"/>
            <filter val="Panda H-1024 İthal Anahtar Dolabı 24'lü"/>
            <filter val="Personel İsimliği - Satış Danışmanı"/>
            <filter val="Plastik Bardak (Koli Olarak)"/>
            <filter val="Plastik Cırt Kelepçe Beyaz 30cm"/>
            <filter val="Plastik Etiketlik+Teleskopik Yaylı Ayak"/>
            <filter val="Plastik Etiletlik+Teleskopik Yaylı Çubuk (Etiketlik Rengi Kırmızı Olucak)"/>
            <filter val="Plastik Kelepçe Beyaz 30cm"/>
            <filter val="Plastik Koruma(Bu Benim Kartı Konulacak)"/>
            <filter val="Pleksi Föylük A4 L Tipi"/>
            <filter val="Pleksi Harddisk Ayağı"/>
            <filter val="Pleksi Kahve Stanı"/>
            <filter val="Pleksi Raf Bariyeri 120cm"/>
            <filter val="Pleksi Üzeri UV Baskı 3mm Vidalı Olucak (Detayları Göndericem)"/>
            <filter val="Pomotör İsimliği Pelksi Mıknatıslı"/>
            <filter val="Promotor Pleksi isimlik"/>
            <filter val="Reyon Bariyeri 100cm"/>
            <filter val="Saç Düzleştirici Tutucu"/>
            <filter val="Sarı A4 Kağıt (Paket Olarak)"/>
            <filter val="Şeffaf Koli Bandı"/>
            <filter val="Spiralli Kablo 4 Metre"/>
            <filter val="Strech Film 50cmx300Mt 17 Micron"/>
            <filter val="Strech Film Şeffaf"/>
            <filter val="Teleskopik Yaylı Ayak"/>
            <filter val="Temizlik Personel 5 Gün (Faturaya Farklı Yazılıcak --MAĞAZA BİLGİ VERECEK)"/>
            <filter val="Termal Etiket 40x20 1000 sarım"/>
            <filter val="Teşhir Tablası + Tahtası"/>
            <filter val="Tost Makinesi Ayracı (Logolu Olucak)"/>
            <filter val="TV Güvenlik Teli"/>
            <filter val="Ve-Ge Bufalo Koli Bandı 45x100 Şeffaf"/>
          </filters>
        </filterColumn>
      </autoFilter>
    </customSheetView>
    <customSheetView guid="{C9E4DC5B-6C9B-4228-AF8D-36B7DDB94531}" filter="1" showAutoFilter="1">
      <pageMargins left="0.7" right="0.7" top="0.75" bottom="0.75" header="0.3" footer="0.3"/>
      <autoFilter ref="A9:Z193" xr:uid="{CADBD86A-A935-474C-99D0-C596F470400C}">
        <filterColumn colId="19">
          <filters blank="1">
            <filter val="RE02024000000202-İade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F86C0712-89BA-473B-A384-E1088865C57F}" filter="1" showAutoFilter="1">
      <pageMargins left="0.7" right="0.7" top="0.75" bottom="0.75" header="0.3" footer="0.3"/>
      <autoFilter ref="A9:Z134" xr:uid="{969249AA-6F59-5741-8FC7-999E183BAB57}">
        <filterColumn colId="15">
          <filters>
            <filter val="TRUE"/>
          </filters>
        </filterColumn>
      </autoFilter>
    </customSheetView>
    <customSheetView guid="{A4760FDB-C58C-418D-A922-86433F2607BD}" filter="1" showAutoFilter="1">
      <pageMargins left="0.7" right="0.7" top="0.75" bottom="0.75" header="0.3" footer="0.3"/>
      <autoFilter ref="A9:Z193" xr:uid="{5B413057-2DAA-5A4A-8199-ED3EA80A7C40}">
        <filterColumn colId="4">
          <filters>
            <filter val="Kentpark"/>
          </filters>
        </filterColumn>
      </autoFilter>
    </customSheetView>
    <customSheetView guid="{C001D0BF-773D-48AF-8B1B-6C89B000FA58}" filter="1" showAutoFilter="1">
      <pageMargins left="0.7" right="0.7" top="0.75" bottom="0.75" header="0.3" footer="0.3"/>
      <autoFilter ref="A9:Z193" xr:uid="{04825556-245F-D948-AF08-6C8F2E041D89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oy Aynası"/>
            <filter val="Branda -Sizin için Yenileniyoruz-"/>
            <filter val="Bu Benim Kartı"/>
            <filter val="Bu Benim Kartı 50Kırmızı-50Sarı"/>
            <filter val="Emniyeli Merdiven 5 Basamaklı Metal"/>
            <filter val="Enerji Etiketi"/>
            <filter val="Folyo Baskı+Uygulama (Robot Süpürge İçin)"/>
            <filter val="Folyo Uygulama"/>
            <filter val="Fön Makinesi Tutucu"/>
            <filter val="Hava Kabarcıklı Ambalaj Malzemesi 100x50mt 50m2"/>
            <filter val="İlk Yardım Çantası İY070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 (Bugün Kargoa Verilmesi Çok Önemli)"/>
            <filter val="Kargo  Cebi 19x26 cm"/>
            <filter val="Kartvizit (Mehmet Sarıgül)"/>
            <filter val="Kaşe   Ufuk Akkuş - Ayşe Gül Sandıklı-"/>
            <filter val="Kaşe -- Simge Türkmen"/>
            <filter val="Kaşe İsim Kaşesi (Arzu Nur Cıvak-Mehmet Sarıgül)"/>
            <filter val="Kaz Ayağı (10'Lu Paket)"/>
            <filter val="Kg Etiketi Sticker 14x14"/>
            <filter val="Kırlangıç Bayrak Dubalı-Stokları Eritiyoruz-"/>
            <filter val="Kırmızı folyo uygulama"/>
            <filter val="Kırmızı Teşhir Noktası -Kağıt 2500'lü"/>
            <filter val="Klavye Koruyucu"/>
            <filter val="Kulakiçi Kulaklık Stantı -Menteşeli"/>
            <filter val="Light Box  180 cm x 380 cm 322 cm"/>
            <filter val="Light Box 243cm x 224 cm"/>
            <filter val="Logolu A4 Asetat"/>
            <filter val="Logolu Ajanda (Rüzgar Gülü)"/>
            <filter val="Logolu Karton Bardak (Koli)"/>
            <filter val="Logolu Koli Bandı"/>
            <filter val="Logolu Tükenmez Kalem"/>
            <filter val="Mağaza İçi Balon Süsleme"/>
            <filter val="Maped 85110 Expert Maket Bıçağı"/>
            <filter val="Maped 85910 Expert Maket Bıçağı Yedeği"/>
            <filter val="Mas 670 Koli Bant Makinası 2'50Mm (Abs Hm.)"/>
            <filter val="Numberlink 1-40 Arası"/>
            <filter val="Numberlink 1-80 Arası"/>
            <filter val="Panda H-1024 İthal Anahtar Dolabı 24'lü"/>
            <filter val="Personel İsimliği - Satış Danışmanı"/>
            <filter val="Plastik Bardak (Koli Olarak)"/>
            <filter val="Plastik Cırt Kelepçe Beyaz 30cm"/>
            <filter val="Plastik Etiketlik+Teleskopik Yaylı Ayak"/>
            <filter val="Plastik Etiletlik+Teleskopik Yaylı Çubuk (Etiketlik Rengi Kırmızı Olucak)"/>
            <filter val="Plastik Kelepçe Beyaz 30cm"/>
            <filter val="Plastik Koruma(Bu Benim Kartı Konulacak)"/>
            <filter val="Pleksi Föylük A4 L Tipi"/>
            <filter val="Pleksi Harddisk Ayağı"/>
            <filter val="Pleksi Kahve Stanı"/>
            <filter val="Pleksi Raf Bariyeri 120cm"/>
            <filter val="Pleksi Üzeri UV Baskı 3mm Vidalı Olucak (Detayları Göndericem)"/>
            <filter val="Pomotör İsimliği Pelksi Mıknatıslı"/>
            <filter val="Promotor Pleksi isimlik"/>
            <filter val="Reyon Bariyeri 100cm"/>
            <filter val="Saç Düzleştirici Tutucu"/>
            <filter val="Sarı A4 Kağıt (Paket Olarak)"/>
            <filter val="Şeffaf Koli Bandı"/>
            <filter val="Spiralli Kablo 4 Metre"/>
            <filter val="Strech Film 50cmx300Mt 17 Micron"/>
            <filter val="Strech Film Şeffaf"/>
            <filter val="Teleskopik Yaylı Ayak"/>
            <filter val="Temizlik Personel 5 Gün (Faturaya Farklı Yazılıcak --MAĞAZA BİLGİ VERECEK)"/>
            <filter val="Termal Etiket 100x100 500 Sarım"/>
            <filter val="Termal Etiket 40x20 1000 sarım"/>
            <filter val="Teşhir Tablası + Tahtası"/>
            <filter val="Tost Makinesi Ayracı (Logolu Olucak)"/>
            <filter val="TV Güvenlik Teli"/>
            <filter val="Ve-Ge Bufalo Koli Bandı 45x100 Şeffaf"/>
          </filters>
        </filterColumn>
      </autoFilter>
    </customSheetView>
    <customSheetView guid="{183C6621-82E3-4B2D-9ED7-BFB1F0F7BFEB}" filter="1" showAutoFilter="1">
      <pageMargins left="0.7" right="0.7" top="0.75" bottom="0.75" header="0.3" footer="0.3"/>
      <autoFilter ref="A9:Z193" xr:uid="{7C5E22B3-14B0-F749-9C7C-B7AA4C882DDB}">
        <filterColumn colId="20">
          <filters blank="1">
            <filter val="1,000.00 TL"/>
            <filter val="1,100.00 TL"/>
            <filter val="1,110.00 TL"/>
            <filter val="1,125.00 TL"/>
            <filter val="1,140.00 TL"/>
            <filter val="1,182.50 TL"/>
            <filter val="1,200.00 TL"/>
            <filter val="1,230.00 TL"/>
            <filter val="1,250.00 TL"/>
            <filter val="1,300.00 TL"/>
            <filter val="1,326.00 TL"/>
            <filter val="1,367.00 TL"/>
            <filter val="1,375.00 TL"/>
            <filter val="1,380.00 TL"/>
            <filter val="1,600.00 TL"/>
            <filter val="1,638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2.00 TL"/>
            <filter val="1,875.00 TL"/>
            <filter val="1,900.00 TL"/>
            <filter val="1,916.40 TL"/>
            <filter val="1.00 TL"/>
            <filter val="10,500.00 TL"/>
            <filter val="13,000.00 TL"/>
            <filter val="140.00 TL"/>
            <filter val="150.00 TL"/>
            <filter val="16,800.00 TL"/>
            <filter val="163.13 TL"/>
            <filter val="17,000.00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775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02.00 TL"/>
            <filter val="375.00 TL"/>
            <filter val="388.00 TL"/>
            <filter val="390.00 TL"/>
            <filter val="4,000.00 TL"/>
            <filter val="4,600.00 TL"/>
            <filter val="4,650.00 TL"/>
            <filter val="4,800.00 TL"/>
            <filter val="415.00 TL"/>
            <filter val="428.00 TL"/>
            <filter val="45.00 TL"/>
            <filter val="460.00 TL"/>
            <filter val="5,550.00 TL"/>
            <filter val="500.00 TL"/>
            <filter val="520.00 TL"/>
            <filter val="540.00 TL"/>
            <filter val="550.00 TL"/>
            <filter val="555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850.00 TL"/>
            <filter val="9,200.00 TL"/>
            <filter val="9,245.60 TL"/>
            <filter val="900.00 TL"/>
            <filter val="93.75 TL"/>
            <filter val="95.00 TL"/>
            <filter val="950.00 TL"/>
            <filter val="958.20 TL"/>
          </filters>
        </filterColumn>
      </autoFilter>
    </customSheetView>
    <customSheetView guid="{ACB92755-C1ED-41B0-9FE6-1BAF8DFF0F22}" filter="1" showAutoFilter="1">
      <pageMargins left="0.7" right="0.7" top="0.75" bottom="0.75" header="0.3" footer="0.3"/>
      <autoFilter ref="A9:Z134" xr:uid="{7DA3FDE2-FD79-4B47-80C9-751192B38247}">
        <filterColumn colId="20">
          <filters>
            <filter val="1,000.00 TL"/>
            <filter val="1,100.00 TL"/>
            <filter val="1,125.00 TL"/>
            <filter val="1,140.00 TL"/>
            <filter val="1,182.50 TL"/>
            <filter val="1,200.00 TL"/>
            <filter val="1,230.00 TL"/>
            <filter val="1,250.00 TL"/>
            <filter val="1,367.00 TL"/>
            <filter val="1,375.00 TL"/>
            <filter val="1,380.00 TL"/>
            <filter val="1,600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5.00 TL"/>
            <filter val="1,900.00 TL"/>
            <filter val="1.00 TL"/>
            <filter val="10,500.00 TL"/>
            <filter val="140.00 TL"/>
            <filter val="150.00 TL"/>
            <filter val="16,800.00 TL"/>
            <filter val="163.13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90.00 TL"/>
            <filter val="4,000.00 TL"/>
            <filter val="4,600.00 TL"/>
            <filter val="4,800.00 TL"/>
            <filter val="415.00 TL"/>
            <filter val="428.00 TL"/>
            <filter val="45.00 TL"/>
            <filter val="500.00 TL"/>
            <filter val="520.00 TL"/>
            <filter val="540.00 TL"/>
            <filter val="550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9,245.60 TL"/>
            <filter val="900.00 TL"/>
            <filter val="93.75 TL"/>
            <filter val="95.00 TL"/>
            <filter val="950.00 TL"/>
          </filters>
        </filterColumn>
      </autoFilter>
    </customSheetView>
    <customSheetView guid="{A36A2149-2DF3-489A-A1FC-4611D7C761EC}" filter="1" showAutoFilter="1">
      <pageMargins left="0.7" right="0.7" top="0.75" bottom="0.75" header="0.3" footer="0.3"/>
      <autoFilter ref="A9:Z193" xr:uid="{3C2C968C-8947-1D4C-82B3-D9EEF4725F22}">
        <filterColumn colId="15">
          <filters>
            <filter val="TRUE"/>
            <filter val="FALSE"/>
          </filters>
        </filterColumn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7437F761-9395-498F-AB0E-3225806203DA}" filter="1" showAutoFilter="1">
      <pageMargins left="0.7" right="0.7" top="0.75" bottom="0.75" header="0.3" footer="0.3"/>
      <autoFilter ref="A9:Z193" xr:uid="{3299AB97-AFFE-E34F-BCB1-8F14E4604A69}">
        <filterColumn colId="15">
          <filters>
            <filter val="TRUE"/>
            <filter val="FALSE"/>
          </filters>
        </filterColumn>
        <filterColumn colId="19">
          <filters blank="1"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9E93544A-5152-4ABF-B1AB-D7952726683C}" filter="1" showAutoFilter="1">
      <pageMargins left="0.7" right="0.7" top="0.75" bottom="0.75" header="0.3" footer="0.3"/>
      <autoFilter ref="A9:Z134" xr:uid="{D10008A3-C49A-8D4F-964D-C7AF817141F6}">
        <filterColumn colId="15">
          <filters>
            <filter val="TRUE"/>
          </filters>
        </filterColumn>
        <filterColumn colId="19">
          <filters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46"/>
            <filter val="RE02024000000252"/>
            <filter val="RE02024000000255"/>
            <filter val="RE02024000000256"/>
            <filter val="RE02024000000257"/>
            <filter val="RE02024000000259-RE02024000000261"/>
            <filter val="RE02024000000264"/>
            <filter val="RE02024000000265"/>
            <filter val="RE52024000000001 -RE02024000000280"/>
          </filters>
        </filterColumn>
      </autoFilter>
    </customSheetView>
    <customSheetView guid="{CEF88DD0-1604-4B95-9A0A-613F636F67B5}" filter="1" showAutoFilter="1">
      <pageMargins left="0.7" right="0.7" top="0.75" bottom="0.75" header="0.3" footer="0.3"/>
      <autoFilter ref="A9:Z193" xr:uid="{746DC751-0EFC-8C47-9E63-80F4AEE6D4C3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oy Aynası"/>
            <filter val="Branda -Sizin için Yenileniyoruz-"/>
            <filter val="Bu Benim Kartı"/>
            <filter val="Bu Benim Kartı 50Kırmızı-50Sarı"/>
            <filter val="Emniyeli Merdiven 5 Basamaklı Metal"/>
            <filter val="Enerji Etiketi"/>
            <filter val="Folyo Baskı+Uygulama (Robot Süpürge İçin)"/>
            <filter val="Folyo Uygulama"/>
            <filter val="Fön Makinesi Tutucu"/>
            <filter val="Hava Kabarcıklı Ambalaj Malzemesi 100x50mt 50m2"/>
            <filter val="İlk Yardım Çantası İY070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 (Bugün Kargoa Verilmesi Çok Önemli)"/>
            <filter val="Kargo  Cebi 19x26 cm"/>
            <filter val="Kartvizit (Mehmet Sarıgül)"/>
            <filter val="Kaşe   Ufuk Akkuş - Ayşe Gül Sandıklı-"/>
            <filter val="Kaşe -- Simge Türkmen"/>
            <filter val="Kaşe İsim Kaşesi (Arzu Nur Cıvak-Mehmet Sarıgül)"/>
            <filter val="Kaz Ayağı (10'Lu Paket)"/>
            <filter val="Kg Etiketi Sticker 14x14"/>
            <filter val="Kırlangıç Bayrak Dubalı-Stokları Eritiyoruz-"/>
            <filter val="Kırmızı folyo uygulama"/>
            <filter val="Kırmızı Teşhir Noktası -Kağıt 2500'lü"/>
            <filter val="Klavye Koruyucu"/>
            <filter val="Kulakiçi Kulaklık Stantı -Menteşeli"/>
            <filter val="Light Box  180 cm x 380 cm 322 cm"/>
            <filter val="Light Box 243cm x 224 cm"/>
            <filter val="Logolu A4 Asetat"/>
            <filter val="Logolu Ajanda (Rüzgar Gülü)"/>
            <filter val="Logolu Karton Bardak (Koli)"/>
            <filter val="Logolu Koli Bandı"/>
            <filter val="Logolu Tükenmez Kalem"/>
            <filter val="Mağaza İçi Balon Süsleme"/>
            <filter val="Maped 85110 Expert Maket Bıçağı"/>
            <filter val="Maped 85910 Expert Maket Bıçağı Yedeği"/>
            <filter val="Mas 670 Koli Bant Makinası 2'50Mm (Abs Hm.)"/>
            <filter val="Numberlink 1-40 Arası"/>
            <filter val="Numberlink 1-80 Arası"/>
            <filter val="Panda H-1024 İthal Anahtar Dolabı 24'lü"/>
            <filter val="Personel İsimliği - Satış Danışmanı"/>
            <filter val="Plastik Bardak (Koli Olarak)"/>
            <filter val="Plastik Cırt Kelepçe Beyaz 30cm"/>
            <filter val="Plastik Etiketlik+Teleskopik Yaylı Ayak"/>
            <filter val="Plastik Etiletlik+Teleskopik Yaylı Çubuk (Etiketlik Rengi Kırmızı Olucak)"/>
            <filter val="Plastik Kelepçe Beyaz 30cm"/>
            <filter val="Plastik Koruma(Bu Benim Kartı Konulacak)"/>
            <filter val="Pleksi Föylük A4 L Tipi"/>
            <filter val="Pleksi Harddisk Ayağı"/>
            <filter val="Pleksi Kahve Stanı"/>
            <filter val="Pleksi Raf Bariyeri 120cm"/>
            <filter val="Pleksi Üzeri UV Baskı 3mm Vidalı Olucak (Detayları Göndericem)"/>
            <filter val="Pomotör İsimliği Pelksi Mıknatıslı"/>
            <filter val="Promotor Pleksi isimlik"/>
            <filter val="Reyon Bariyeri 100cm"/>
            <filter val="Saç Düzleştirici Tutucu"/>
            <filter val="Sarı A4 Kağıt (Paket Olarak)"/>
            <filter val="Şeffaf Koli Bandı"/>
            <filter val="Spiralli Kablo 4 Metre"/>
            <filter val="Strech Film 50cmx300Mt 17 Micron"/>
            <filter val="Strech Film Şeffaf"/>
            <filter val="Teleskopik Yaylı Ayak"/>
            <filter val="Temizlik Personel 5 Gün (Faturaya Farklı Yazılıcak --MAĞAZA BİLGİ VERECEK)"/>
            <filter val="Termal Etiket 100x100 500 Sarım"/>
            <filter val="Termal Etiket 40x20 1000 sarım"/>
            <filter val="Teşhir Tablası + Tahtası"/>
            <filter val="Tost Makinesi Ayracı (Logolu Olucak)"/>
            <filter val="TV Güvenlik Teli"/>
            <filter val="Ve-Ge Bufalo Koli Bandı 45x100 Şeffaf"/>
          </filters>
        </filterColumn>
      </autoFilter>
    </customSheetView>
    <customSheetView guid="{40633660-D14D-4507-8AAB-2F75448D5D64}" filter="1" showAutoFilter="1">
      <pageMargins left="0.7" right="0.7" top="0.75" bottom="0.75" header="0.3" footer="0.3"/>
      <autoFilter ref="A9:Z193" xr:uid="{FA6E0223-220A-7046-8659-5957DC7CD582}">
        <filterColumn colId="4">
          <filters>
            <filter val="10 Burda"/>
            <filter val="Ahl"/>
            <filter val="Alanya"/>
            <filter val="Atlantis"/>
            <filter val="AtlasPark"/>
            <filter val="Bornova"/>
            <filter val="Brandium"/>
            <filter val="Forum Bornova"/>
            <filter val="Gordion"/>
            <filter val="Güneşli"/>
            <filter val="Hilltown"/>
            <filter val="İstmarina"/>
            <filter val="Kenpark"/>
            <filter val="Kentmeydanı"/>
            <filter val="Kulecity"/>
            <filter val="Maltepe Park"/>
            <filter val="MarkAntalya"/>
            <filter val="Marmara Forum"/>
            <filter val="Marmarapark"/>
            <filter val="Metromall"/>
            <filter val="Meydan"/>
            <filter val="Nilpark"/>
            <filter val="Özdilekpark"/>
            <filter val="Panora"/>
            <filter val="Vega"/>
            <filter val="Zorlu"/>
          </filters>
        </filterColumn>
      </autoFilter>
    </customSheetView>
    <customSheetView guid="{0A9FF2CA-86CF-426B-92D4-4C55EEEA773B}" filter="1" showAutoFilter="1">
      <pageMargins left="0.7" right="0.7" top="0.75" bottom="0.75" header="0.3" footer="0.3"/>
      <autoFilter ref="A9:Z193" xr:uid="{8F447F89-A5A0-2B45-963C-370FA430EFEB}">
        <filterColumn colId="20">
          <filters blank="1">
            <filter val="1,000.00 TL"/>
            <filter val="1,100.00 TL"/>
            <filter val="1,110.00 TL"/>
            <filter val="1,125.00 TL"/>
            <filter val="1,140.00 TL"/>
            <filter val="1,182.50 TL"/>
            <filter val="1,200.00 TL"/>
            <filter val="1,230.00 TL"/>
            <filter val="1,250.00 TL"/>
            <filter val="1,300.00 TL"/>
            <filter val="1,326.00 TL"/>
            <filter val="1,367.00 TL"/>
            <filter val="1,375.00 TL"/>
            <filter val="1,380.00 TL"/>
            <filter val="1,600.00 TL"/>
            <filter val="1,638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2.00 TL"/>
            <filter val="1,875.00 TL"/>
            <filter val="1,900.00 TL"/>
            <filter val="1,916.40 TL"/>
            <filter val="1.00 TL"/>
            <filter val="10,500.00 TL"/>
            <filter val="13,000.00 TL"/>
            <filter val="140.00 TL"/>
            <filter val="150.00 TL"/>
            <filter val="16,800.00 TL"/>
            <filter val="163.13 TL"/>
            <filter val="17,000.00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775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02.00 TL"/>
            <filter val="375.00 TL"/>
            <filter val="388.00 TL"/>
            <filter val="390.00 TL"/>
            <filter val="4,000.00 TL"/>
            <filter val="4,600.00 TL"/>
            <filter val="4,650.00 TL"/>
            <filter val="4,800.00 TL"/>
            <filter val="415.00 TL"/>
            <filter val="428.00 TL"/>
            <filter val="45.00 TL"/>
            <filter val="460.00 TL"/>
            <filter val="5,550.00 TL"/>
            <filter val="500.00 TL"/>
            <filter val="520.00 TL"/>
            <filter val="540.00 TL"/>
            <filter val="550.00 TL"/>
            <filter val="555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850.00 TL"/>
            <filter val="9,200.00 TL"/>
            <filter val="9,245.60 TL"/>
            <filter val="900.00 TL"/>
            <filter val="93.75 TL"/>
            <filter val="95.00 TL"/>
            <filter val="950.00 TL"/>
            <filter val="958.20 TL"/>
          </filters>
        </filterColumn>
      </autoFilter>
    </customSheetView>
    <customSheetView guid="{9E0B948C-EB72-420A-9C5C-053E1B928BCC}" filter="1" showAutoFilter="1">
      <pageMargins left="0.7" right="0.7" top="0.75" bottom="0.75" header="0.3" footer="0.3"/>
      <autoFilter ref="A9:Z193" xr:uid="{DA8ADAD2-1F75-C14A-9527-B6B0F3E22AA7}">
        <filterColumn colId="20">
          <filters blank="1">
            <filter val="1,000.00 TL"/>
            <filter val="1,100.00 TL"/>
            <filter val="1,110.00 TL"/>
            <filter val="1,125.00 TL"/>
            <filter val="1,140.00 TL"/>
            <filter val="1,182.50 TL"/>
            <filter val="1,200.00 TL"/>
            <filter val="1,230.00 TL"/>
            <filter val="1,250.00 TL"/>
            <filter val="1,300.00 TL"/>
            <filter val="1,326.00 TL"/>
            <filter val="1,367.00 TL"/>
            <filter val="1,375.00 TL"/>
            <filter val="1,380.00 TL"/>
            <filter val="1,600.00 TL"/>
            <filter val="1,638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2.00 TL"/>
            <filter val="1,875.00 TL"/>
            <filter val="1,900.00 TL"/>
            <filter val="1,916.40 TL"/>
            <filter val="1.00 TL"/>
            <filter val="10,500.00 TL"/>
            <filter val="13,000.00 TL"/>
            <filter val="140.00 TL"/>
            <filter val="150.00 TL"/>
            <filter val="16,800.00 TL"/>
            <filter val="163.13 TL"/>
            <filter val="17,000.00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775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02.00 TL"/>
            <filter val="375.00 TL"/>
            <filter val="388.00 TL"/>
            <filter val="390.00 TL"/>
            <filter val="4,000.00 TL"/>
            <filter val="4,600.00 TL"/>
            <filter val="4,650.00 TL"/>
            <filter val="4,800.00 TL"/>
            <filter val="415.00 TL"/>
            <filter val="428.00 TL"/>
            <filter val="45.00 TL"/>
            <filter val="460.00 TL"/>
            <filter val="5,550.00 TL"/>
            <filter val="500.00 TL"/>
            <filter val="520.00 TL"/>
            <filter val="540.00 TL"/>
            <filter val="550.00 TL"/>
            <filter val="555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850.00 TL"/>
            <filter val="9,200.00 TL"/>
            <filter val="9,245.60 TL"/>
            <filter val="900.00 TL"/>
            <filter val="93.75 TL"/>
            <filter val="95.00 TL"/>
            <filter val="950.00 TL"/>
            <filter val="958.20 TL"/>
          </filters>
        </filterColumn>
      </autoFilter>
    </customSheetView>
    <customSheetView guid="{27F7A4B9-CEF3-48FF-B387-0C81D33048BC}" filter="1" showAutoFilter="1">
      <pageMargins left="0.7" right="0.7" top="0.75" bottom="0.75" header="0.3" footer="0.3"/>
      <autoFilter ref="A9:Z193" xr:uid="{0D839675-EFEE-3042-8C26-7CA6C71CCFF0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oy Aynası"/>
            <filter val="Branda -Sizin için Yenileniyoruz-"/>
            <filter val="Bu Benim Kartı"/>
            <filter val="Bu Benim Kartı 50Kırmızı-50Sarı"/>
            <filter val="Emniyeli Merdiven 5 Basamaklı Metal"/>
            <filter val="Enerji Etiketi"/>
            <filter val="Folyo Baskı+Uygulama (Robot Süpürge İçin)"/>
            <filter val="Folyo Uygulama"/>
            <filter val="Fön Makinesi Tutucu"/>
            <filter val="Hava Kabarcıklı Ambalaj Malzemesi 100x50mt 50m2"/>
            <filter val="İlk Yardım Çantası İY070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 (Bugün Kargoa Verilmesi Çok Önemli)"/>
            <filter val="Kargo  Cebi 19x26 cm"/>
            <filter val="Kartvizit (Mehmet Sarıgül)"/>
            <filter val="Kaşe   Ufuk Akkuş - Ayşe Gül Sandıklı-"/>
            <filter val="Kaşe -- Simge Türkmen"/>
            <filter val="Kaşe İsim Kaşesi (Arzu Nur Cıvak-Mehmet Sarıgül)"/>
            <filter val="Kaz Ayağı (10'Lu Paket)"/>
            <filter val="Kg Etiketi Sticker 14x14"/>
            <filter val="Kırlangıç Bayrak Dubalı-Stokları Eritiyoruz-"/>
            <filter val="Kırmızı folyo uygulama"/>
            <filter val="Kırmızı Teşhir Noktası -Kağıt 2500'lü"/>
            <filter val="Klavye Koruyucu"/>
            <filter val="Kulakiçi Kulaklık Stantı -Menteşeli"/>
            <filter val="Light Box  180 cm x 380 cm 322 cm"/>
            <filter val="Light Box 243cm x 224 cm"/>
            <filter val="Logolu A4 Asetat"/>
            <filter val="Logolu Ajanda (Rüzgar Gülü)"/>
            <filter val="Logolu Karton Bardak (Koli)"/>
            <filter val="Logolu Koli Bandı"/>
            <filter val="Logolu Tükenmez Kalem"/>
            <filter val="Mağaza İçi Balon Süsleme"/>
            <filter val="Maped 85110 Expert Maket Bıçağı"/>
            <filter val="Maped 85910 Expert Maket Bıçağı Yedeği"/>
            <filter val="Mas 670 Koli Bant Makinası 2'50Mm (Abs Hm.)"/>
            <filter val="Numberlink 1-40 Arası"/>
            <filter val="Numberlink 1-80 Arası"/>
            <filter val="Panda H-1024 İthal Anahtar Dolabı 24'lü"/>
            <filter val="Personel İsimliği - Satış Danışmanı"/>
            <filter val="Plastik Bardak (Koli Olarak)"/>
            <filter val="Plastik Cırt Kelepçe Beyaz 30cm"/>
            <filter val="Plastik Etiketlik+Teleskopik Yaylı Ayak"/>
            <filter val="Plastik Etiletlik+Teleskopik Yaylı Çubuk (Etiketlik Rengi Kırmızı Olucak)"/>
            <filter val="Plastik Kelepçe Beyaz 30cm"/>
            <filter val="Plastik Koruma(Bu Benim Kartı Konulacak)"/>
            <filter val="Pleksi Föylük A4 L Tipi"/>
            <filter val="Pleksi Harddisk Ayağı"/>
            <filter val="Pleksi Kahve Stanı"/>
            <filter val="Pleksi Raf Bariyeri 120cm"/>
            <filter val="Pleksi Üzeri UV Baskı 3mm Vidalı Olucak (Detayları Göndericem)"/>
            <filter val="Pomotör İsimliği Pelksi Mıknatıslı"/>
            <filter val="Promotor Pleksi isimlik"/>
            <filter val="Reyon Bariyeri 100cm"/>
            <filter val="Saç Düzleştirici Tutucu"/>
            <filter val="Sarı A4 Kağıt (Paket Olarak)"/>
            <filter val="Şeffaf Koli Bandı"/>
            <filter val="Spiralli Kablo 4 Metre"/>
            <filter val="Strech Film 50cmx300Mt 17 Micron"/>
            <filter val="Strech Film Şeffaf"/>
            <filter val="Teleskopik Yaylı Ayak"/>
            <filter val="Temizlik Personel 5 Gün (Faturaya Farklı Yazılıcak --MAĞAZA BİLGİ VERECEK)"/>
            <filter val="Termal Etiket 100x100 500 Sarım"/>
            <filter val="Termal Etiket 40x20 1000 sarım"/>
            <filter val="Teşhir Tablası + Tahtası"/>
            <filter val="Tost Makinesi Ayracı (Logolu Olucak)"/>
            <filter val="TV Güvenlik Teli"/>
            <filter val="Ve-Ge Bufalo Koli Bandı 45x100 Şeffaf"/>
          </filters>
        </filterColumn>
      </autoFilter>
    </customSheetView>
    <customSheetView guid="{A9E68A40-045E-4079-81E3-E0D0F4B43B67}" filter="1" showAutoFilter="1">
      <pageMargins left="0.7" right="0.7" top="0.75" bottom="0.75" header="0.3" footer="0.3"/>
      <autoFilter ref="A9:Z134" xr:uid="{8881B376-5BAB-104F-9833-8BA3E7DBC839}">
        <filterColumn colId="20">
          <filters>
            <filter val="1,000.00 TL"/>
            <filter val="1,100.00 TL"/>
            <filter val="1,125.00 TL"/>
            <filter val="1,140.00 TL"/>
            <filter val="1,182.50 TL"/>
            <filter val="1,200.00 TL"/>
            <filter val="1,230.00 TL"/>
            <filter val="1,250.00 TL"/>
            <filter val="1,367.00 TL"/>
            <filter val="1,375.00 TL"/>
            <filter val="1,380.00 TL"/>
            <filter val="1,600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5.00 TL"/>
            <filter val="1,900.00 TL"/>
            <filter val="1.00 TL"/>
            <filter val="10,500.00 TL"/>
            <filter val="140.00 TL"/>
            <filter val="150.00 TL"/>
            <filter val="16,800.00 TL"/>
            <filter val="163.13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90.00 TL"/>
            <filter val="4,000.00 TL"/>
            <filter val="4,600.00 TL"/>
            <filter val="4,800.00 TL"/>
            <filter val="415.00 TL"/>
            <filter val="428.00 TL"/>
            <filter val="45.00 TL"/>
            <filter val="500.00 TL"/>
            <filter val="520.00 TL"/>
            <filter val="540.00 TL"/>
            <filter val="550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9,245.60 TL"/>
            <filter val="900.00 TL"/>
            <filter val="93.75 TL"/>
            <filter val="95.00 TL"/>
            <filter val="950.00 TL"/>
          </filters>
        </filterColumn>
      </autoFilter>
    </customSheetView>
    <customSheetView guid="{139BD26D-4FE1-4361-9793-2F125181BAFF}" filter="1" showAutoFilter="1">
      <pageMargins left="0.7" right="0.7" top="0.75" bottom="0.75" header="0.3" footer="0.3"/>
      <autoFilter ref="A9:Z193" xr:uid="{FA392AB4-9F67-004A-84BE-90F7E9C1A8DA}">
        <filterColumn colId="15">
          <filters>
            <filter val="TRUE"/>
            <filter val="FALSE"/>
          </filters>
        </filterColumn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4E6C842E-1AE5-4266-A760-0DBC8ED32795}" filter="1" showAutoFilter="1">
      <pageMargins left="0.7" right="0.7" top="0.75" bottom="0.75" header="0.3" footer="0.3"/>
      <autoFilter ref="A9:Z193" xr:uid="{D65C9C32-8271-564A-B7D8-A0DBB215B985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oy Aynası"/>
            <filter val="Branda -Sizin için Yenileniyoruz-"/>
            <filter val="Bu Benim Kartı"/>
            <filter val="Bu Benim Kartı 50Kırmızı-50Sarı"/>
            <filter val="Emniyeli Merdiven 5 Basamaklı Metal"/>
            <filter val="Enerji Etiketi"/>
            <filter val="Folyo Baskı+Uygulama (Robot Süpürge İçin)"/>
            <filter val="Folyo Uygulama"/>
            <filter val="Fön Makinesi Tutucu"/>
            <filter val="Hava Kabarcıklı Ambalaj Malzemesi 100x50mt 50m2"/>
            <filter val="İlk Yardım Çantası İY070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 (Bugün Kargoa Verilmesi Çok Önemli)"/>
            <filter val="Kargo  Cebi 19x26 cm"/>
            <filter val="Kartvizit (Mehmet Sarıgül)"/>
            <filter val="Kaşe   Ufuk Akkuş - Ayşe Gül Sandıklı-"/>
            <filter val="Kaşe -- Simge Türkmen"/>
            <filter val="Kaşe İsim Kaşesi (Arzu Nur Cıvak-Mehmet Sarıgül)"/>
            <filter val="Kaz Ayağı (10'Lu Paket)"/>
            <filter val="Kg Etiketi Sticker 14x14"/>
            <filter val="Kırlangıç Bayrak Dubalı-Stokları Eritiyoruz-"/>
            <filter val="Kırmızı folyo uygulama"/>
            <filter val="Kırmızı Teşhir Noktası -Kağıt 2500'lü"/>
            <filter val="Klavye Koruyucu"/>
            <filter val="Kulakiçi Kulaklık Stantı -Menteşeli"/>
            <filter val="Light Box  180 cm x 380 cm 322 cm"/>
            <filter val="Light Box 243cm x 224 cm"/>
            <filter val="Logolu A4 Asetat"/>
            <filter val="Logolu Ajanda (Rüzgar Gülü)"/>
            <filter val="Logolu Karton Bardak (Koli)"/>
            <filter val="Logolu Koli Bandı"/>
            <filter val="Logolu Tükenmez Kalem"/>
            <filter val="Mağaza İçi Balon Süsleme"/>
            <filter val="Maped 85110 Expert Maket Bıçağı"/>
            <filter val="Maped 85910 Expert Maket Bıçağı Yedeği"/>
            <filter val="Mas 670 Koli Bant Makinası 2'50Mm (Abs Hm.)"/>
            <filter val="Numberlink 1-40 Arası"/>
            <filter val="Numberlink 1-80 Arası"/>
            <filter val="Panda H-1024 İthal Anahtar Dolabı 24'lü"/>
            <filter val="Personel İsimliği - Satış Danışmanı"/>
            <filter val="Plastik Bardak (Koli Olarak)"/>
            <filter val="Plastik Cırt Kelepçe Beyaz 30cm"/>
            <filter val="Plastik Etiketlik+Teleskopik Yaylı Ayak"/>
            <filter val="Plastik Etiletlik+Teleskopik Yaylı Çubuk (Etiketlik Rengi Kırmızı Olucak)"/>
            <filter val="Plastik Kelepçe Beyaz 30cm"/>
            <filter val="Plastik Koruma(Bu Benim Kartı Konulacak)"/>
            <filter val="Pleksi Föylük A4 L Tipi"/>
            <filter val="Pleksi Harddisk Ayağı"/>
            <filter val="Pleksi Kahve Stanı"/>
            <filter val="Pleksi Raf Bariyeri 120cm"/>
            <filter val="Pleksi Üzeri UV Baskı 3mm Vidalı Olucak (Detayları Göndericem)"/>
            <filter val="Pomotör İsimliği Pelksi Mıknatıslı"/>
            <filter val="Promotor Pleksi isimlik"/>
            <filter val="Reyon Bariyeri 100cm"/>
            <filter val="Saç Düzleştirici Tutucu"/>
            <filter val="Sarı A4 Kağıt (Paket Olarak)"/>
            <filter val="Şeffaf Koli Bandı"/>
            <filter val="Spiralli Kablo 4 Metre"/>
            <filter val="Strech Film 50cmx300Mt 17 Micron"/>
            <filter val="Strech Film Şeffaf"/>
            <filter val="Teleskopik Yaylı Ayak"/>
            <filter val="Temizlik Personel 5 Gün (Faturaya Farklı Yazılıcak --MAĞAZA BİLGİ VERECEK)"/>
            <filter val="Termal Etiket 100x100 500 Sarım"/>
            <filter val="Termal Etiket 40x20 1000 sarım"/>
            <filter val="Teşhir Tablası + Tahtası"/>
            <filter val="Tost Makinesi Ayracı (Logolu Olucak)"/>
            <filter val="TV Güvenlik Teli"/>
            <filter val="Ve-Ge Bufalo Koli Bandı 45x100 Şeffaf"/>
          </filters>
        </filterColumn>
      </autoFilter>
    </customSheetView>
    <customSheetView guid="{DB57DBB9-B5E7-4A59-84CA-95C2D93DEADE}" filter="1" showAutoFilter="1">
      <pageMargins left="0.7" right="0.7" top="0.75" bottom="0.75" header="0.3" footer="0.3"/>
      <autoFilter ref="A9:Z134" xr:uid="{A9D0631C-7B94-814A-A76C-EB5248E0D261}">
        <filterColumn colId="15">
          <filters>
            <filter val="TRUE"/>
          </filters>
        </filterColumn>
        <filterColumn colId="19">
          <filters>
            <filter val="Fatura Kesilmedi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46"/>
            <filter val="RE02024000000252"/>
            <filter val="RE02024000000255"/>
            <filter val="RE02024000000256"/>
            <filter val="RE02024000000257"/>
            <filter val="RE02024000000259-RE02024000000261"/>
            <filter val="RE02024000000264"/>
            <filter val="RE02024000000265"/>
            <filter val="RE52024000000001 -RE02024000000280"/>
          </filters>
        </filterColumn>
      </autoFilter>
    </customSheetView>
    <customSheetView guid="{3C5DF5A7-F8C5-4A07-878A-4359CC650494}" filter="1" showAutoFilter="1">
      <pageMargins left="0.7" right="0.7" top="0.75" bottom="0.75" header="0.3" footer="0.3"/>
      <autoFilter ref="A9:Z193" xr:uid="{8D43824F-688A-AE42-9460-A2BBDBA26D2D}">
        <filterColumn colId="15">
          <filters>
            <filter val="TRUE"/>
            <filter val="FALSE"/>
          </filters>
        </filterColumn>
        <filterColumn colId="19">
          <filters blank="1">
            <filter val="RE02024000000202-İade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33795E09-EF38-4617-B78D-EEB628861E32}" filter="1" showAutoFilter="1">
      <pageMargins left="0.7" right="0.7" top="0.75" bottom="0.75" header="0.3" footer="0.3"/>
      <autoFilter ref="A9:Z134" xr:uid="{5712CDDA-7A59-9741-A2B2-B293C17C17D5}">
        <filterColumn colId="20">
          <filters>
            <filter val="1,000.00 TL"/>
            <filter val="1,100.00 TL"/>
            <filter val="1,125.00 TL"/>
            <filter val="1,140.00 TL"/>
            <filter val="1,182.50 TL"/>
            <filter val="1,200.00 TL"/>
            <filter val="1,230.00 TL"/>
            <filter val="1,250.00 TL"/>
            <filter val="1,367.00 TL"/>
            <filter val="1,375.00 TL"/>
            <filter val="1,380.00 TL"/>
            <filter val="1,600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5.00 TL"/>
            <filter val="1,900.00 TL"/>
            <filter val="1.00 TL"/>
            <filter val="10,500.00 TL"/>
            <filter val="140.00 TL"/>
            <filter val="150.00 TL"/>
            <filter val="16,800.00 TL"/>
            <filter val="163.13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90.00 TL"/>
            <filter val="4,000.00 TL"/>
            <filter val="4,600.00 TL"/>
            <filter val="4,800.00 TL"/>
            <filter val="415.00 TL"/>
            <filter val="428.00 TL"/>
            <filter val="45.00 TL"/>
            <filter val="500.00 TL"/>
            <filter val="520.00 TL"/>
            <filter val="540.00 TL"/>
            <filter val="550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9,245.60 TL"/>
            <filter val="900.00 TL"/>
            <filter val="93.75 TL"/>
            <filter val="95.00 TL"/>
            <filter val="950.00 TL"/>
          </filters>
        </filterColumn>
      </autoFilter>
    </customSheetView>
    <customSheetView guid="{E6449D9D-6C38-411F-8A7E-4B5317648CE0}" filter="1" showAutoFilter="1">
      <pageMargins left="0.7" right="0.7" top="0.75" bottom="0.75" header="0.3" footer="0.3"/>
      <autoFilter ref="A9:Z134" xr:uid="{586C136B-A04C-C048-B7CF-CE5478F70F2A}">
        <filterColumn colId="15">
          <filters>
            <filter val="TRUE"/>
          </filters>
        </filterColumn>
        <filterColumn colId="19">
          <filters>
            <filter val="Fatura Kesilmedi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46"/>
            <filter val="RE02024000000252"/>
            <filter val="RE02024000000255"/>
            <filter val="RE02024000000256"/>
            <filter val="RE02024000000257"/>
            <filter val="RE02024000000259-RE02024000000261"/>
            <filter val="RE02024000000264"/>
            <filter val="RE02024000000265"/>
            <filter val="RE52024000000001 -RE02024000000280"/>
          </filters>
        </filterColumn>
      </autoFilter>
    </customSheetView>
    <customSheetView guid="{69F5DADC-0A3A-4234-A006-4F48C4C2962F}" filter="1" showAutoFilter="1">
      <pageMargins left="0.7" right="0.7" top="0.75" bottom="0.75" header="0.3" footer="0.3"/>
      <autoFilter ref="A9:Z193" xr:uid="{13181064-0B68-634E-9217-B3CF685F5BA7}">
        <filterColumn colId="15">
          <filters>
            <filter val="TRUE"/>
            <filter val="FALSE"/>
          </filters>
        </filterColumn>
        <filterColumn colId="19">
          <filters blank="1"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6F320276-7114-4A70-86CC-9F74A1A4E0CE}" filter="1" showAutoFilter="1">
      <pageMargins left="0.7" right="0.7" top="0.75" bottom="0.75" header="0.3" footer="0.3"/>
      <autoFilter ref="A9:Z193" xr:uid="{47BB1C1D-2574-E945-BF4C-CD5EFCCD1D7A}">
        <filterColumn colId="19">
          <filters blank="1"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B3D4C310-1F9A-4D29-8990-F87EA5BBA591}" filter="1" showAutoFilter="1">
      <pageMargins left="0.7" right="0.7" top="0.75" bottom="0.75" header="0.3" footer="0.3"/>
      <autoFilter ref="A9:Z193" xr:uid="{EDF19874-D173-CB4E-85BD-F5DB5E7D57F0}">
        <filterColumn colId="20">
          <filters blank="1">
            <filter val="1,000.00 TL"/>
            <filter val="1,100.00 TL"/>
            <filter val="1,110.00 TL"/>
            <filter val="1,125.00 TL"/>
            <filter val="1,140.00 TL"/>
            <filter val="1,182.50 TL"/>
            <filter val="1,200.00 TL"/>
            <filter val="1,230.00 TL"/>
            <filter val="1,250.00 TL"/>
            <filter val="1,300.00 TL"/>
            <filter val="1,326.00 TL"/>
            <filter val="1,367.00 TL"/>
            <filter val="1,375.00 TL"/>
            <filter val="1,380.00 TL"/>
            <filter val="1,600.00 TL"/>
            <filter val="1,638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2.00 TL"/>
            <filter val="1,875.00 TL"/>
            <filter val="1,900.00 TL"/>
            <filter val="1,916.40 TL"/>
            <filter val="1.00 TL"/>
            <filter val="10,500.00 TL"/>
            <filter val="13,000.00 TL"/>
            <filter val="140.00 TL"/>
            <filter val="150.00 TL"/>
            <filter val="16,800.00 TL"/>
            <filter val="163.13 TL"/>
            <filter val="17,000.00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775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02.00 TL"/>
            <filter val="375.00 TL"/>
            <filter val="388.00 TL"/>
            <filter val="390.00 TL"/>
            <filter val="4,000.00 TL"/>
            <filter val="4,600.00 TL"/>
            <filter val="4,650.00 TL"/>
            <filter val="4,800.00 TL"/>
            <filter val="415.00 TL"/>
            <filter val="428.00 TL"/>
            <filter val="45.00 TL"/>
            <filter val="460.00 TL"/>
            <filter val="5,550.00 TL"/>
            <filter val="500.00 TL"/>
            <filter val="520.00 TL"/>
            <filter val="540.00 TL"/>
            <filter val="550.00 TL"/>
            <filter val="555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850.00 TL"/>
            <filter val="9,200.00 TL"/>
            <filter val="9,245.60 TL"/>
            <filter val="900.00 TL"/>
            <filter val="93.75 TL"/>
            <filter val="95.00 TL"/>
            <filter val="950.00 TL"/>
            <filter val="958.20 TL"/>
          </filters>
        </filterColumn>
      </autoFilter>
    </customSheetView>
    <customSheetView guid="{7F05F71F-C270-427E-8BEF-5953501912D4}" filter="1" showAutoFilter="1">
      <pageMargins left="0.7" right="0.7" top="0.75" bottom="0.75" header="0.3" footer="0.3"/>
      <autoFilter ref="A9:Z193" xr:uid="{2DD31C48-F586-1B41-B0CE-6C79CC129E9B}">
        <filterColumn colId="15">
          <filters>
            <filter val="TRUE"/>
            <filter val="FALSE"/>
          </filters>
        </filterColumn>
        <filterColumn colId="19">
          <filters blank="1">
            <filter val="RE02024000000202-İade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C13C60AA-B3BC-4446-AA19-480F740F36DD}" filter="1" showAutoFilter="1">
      <pageMargins left="0.7" right="0.7" top="0.75" bottom="0.75" header="0.3" footer="0.3"/>
      <autoFilter ref="A9:Z193" xr:uid="{06455D7D-9CD4-784D-9BDB-4CCE0D1D559F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oy Aynası"/>
            <filter val="Branda -Sizin için Yenileniyoruz-"/>
            <filter val="Bu Benim Kartı"/>
            <filter val="Bu Benim Kartı 50Kırmızı-50Sarı"/>
            <filter val="Emniyeli Merdiven 5 Basamaklı Metal"/>
            <filter val="Enerji Etiketi"/>
            <filter val="Folyo Baskı+Uygulama (Robot Süpürge İçin)"/>
            <filter val="Folyo Uygulama"/>
            <filter val="Fön Makinesi Tutucu"/>
            <filter val="Hava Kabarcıklı Ambalaj Malzemesi 100x50mt 50m2"/>
            <filter val="İlk Yardım Çantası İY070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 (Bugün Kargoa Verilmesi Çok Önemli)"/>
            <filter val="Kargo  Cebi 19x26 cm"/>
            <filter val="Kartvizit (Mehmet Sarıgül)"/>
            <filter val="Kaşe   Ufuk Akkuş - Ayşe Gül Sandıklı-"/>
            <filter val="Kaşe -- Simge Türkmen"/>
            <filter val="Kaşe İsim Kaşesi (Arzu Nur Cıvak-Mehmet Sarıgül)"/>
            <filter val="Kaz Ayağı (10'Lu Paket)"/>
            <filter val="Kg Etiketi Sticker 14x14"/>
            <filter val="Kırlangıç Bayrak Dubalı-Stokları Eritiyoruz-"/>
            <filter val="Kırmızı folyo uygulama"/>
            <filter val="Kırmızı Teşhir Noktası -Kağıt 2500'lü"/>
            <filter val="Klavye Koruyucu"/>
            <filter val="Kulakiçi Kulaklık Stantı -Menteşeli"/>
            <filter val="Light Box  180 cm x 380 cm 322 cm"/>
            <filter val="Light Box 243cm x 224 cm"/>
            <filter val="Logolu A4 Asetat"/>
            <filter val="Logolu Ajanda (Rüzgar Gülü)"/>
            <filter val="Logolu Karton Bardak (Koli)"/>
            <filter val="Logolu Koli Bandı"/>
            <filter val="Logolu Tükenmez Kalem"/>
            <filter val="Mağaza İçi Balon Süsleme"/>
            <filter val="Maped 85110 Expert Maket Bıçağı"/>
            <filter val="Maped 85910 Expert Maket Bıçağı Yedeği"/>
            <filter val="Mas 670 Koli Bant Makinası 2'50Mm (Abs Hm.)"/>
            <filter val="Numberlink 1-40 Arası"/>
            <filter val="Numberlink 1-80 Arası"/>
            <filter val="Panda H-1024 İthal Anahtar Dolabı 24'lü"/>
            <filter val="Personel İsimliği - Satış Danışmanı"/>
            <filter val="Plastik Bardak (Koli Olarak)"/>
            <filter val="Plastik Cırt Kelepçe Beyaz 30cm"/>
            <filter val="Plastik Etiketlik+Teleskopik Yaylı Ayak"/>
            <filter val="Plastik Etiletlik+Teleskopik Yaylı Çubuk (Etiketlik Rengi Kırmızı Olucak)"/>
            <filter val="Plastik Kelepçe Beyaz 30cm"/>
            <filter val="Plastik Koruma(Bu Benim Kartı Konulacak)"/>
            <filter val="Pleksi Föylük A4 L Tipi"/>
            <filter val="Pleksi Harddisk Ayağı"/>
            <filter val="Pleksi Kahve Stanı"/>
            <filter val="Pleksi Raf Bariyeri 120cm"/>
            <filter val="Pleksi Üzeri UV Baskı 3mm Vidalı Olucak (Detayları Göndericem)"/>
            <filter val="Pomotör İsimliği Pelksi Mıknatıslı"/>
            <filter val="Promotor Pleksi isimlik"/>
            <filter val="Reyon Bariyeri 100cm"/>
            <filter val="Saç Düzleştirici Tutucu"/>
            <filter val="Sarı A4 Kağıt (Paket Olarak)"/>
            <filter val="Şeffaf Koli Bandı"/>
            <filter val="Spiralli Kablo 4 Metre"/>
            <filter val="Strech Film 50cmx300Mt 17 Micron"/>
            <filter val="Strech Film Şeffaf"/>
            <filter val="Teleskopik Yaylı Ayak"/>
            <filter val="Temizlik Personel 5 Gün (Faturaya Farklı Yazılıcak --MAĞAZA BİLGİ VERECEK)"/>
            <filter val="Termal Etiket 100x100 500 Sarım"/>
            <filter val="Termal Etiket 40x20 1000 sarım"/>
            <filter val="Teşhir Tablası + Tahtası"/>
            <filter val="Tost Makinesi Ayracı (Logolu Olucak)"/>
            <filter val="TV Güvenlik Teli"/>
            <filter val="Ve-Ge Bufalo Koli Bandı 45x100 Şeffaf"/>
          </filters>
        </filterColumn>
      </autoFilter>
    </customSheetView>
    <customSheetView guid="{5E99A4E2-D6CC-43EC-AAD2-4BA9DF4A6F39}" filter="1" showAutoFilter="1">
      <pageMargins left="0.7" right="0.7" top="0.75" bottom="0.75" header="0.3" footer="0.3"/>
      <autoFilter ref="A9:Z193" xr:uid="{C8B9598B-5BC4-DB4C-8B00-5871DB85E652}">
        <filterColumn colId="19">
          <filters>
            <filter val="RE02024000000202-İade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E16DDF1D-967D-4E29-861E-E839B69883ED}" filter="1" showAutoFilter="1">
      <pageMargins left="0.7" right="0.7" top="0.75" bottom="0.75" header="0.3" footer="0.3"/>
      <autoFilter ref="A9:Z134" xr:uid="{683F402B-8E46-1646-B89A-3108D14C9A12}">
        <filterColumn colId="15">
          <filters>
            <filter val="TRUE"/>
          </filters>
        </filterColumn>
        <filterColumn colId="19">
          <filters>
            <filter val="Fatura Kesilmedi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46"/>
            <filter val="RE02024000000252"/>
            <filter val="RE02024000000255"/>
            <filter val="RE02024000000256"/>
            <filter val="RE02024000000257"/>
            <filter val="RE02024000000259-RE02024000000261"/>
            <filter val="RE02024000000264"/>
            <filter val="RE02024000000265"/>
            <filter val="RE52024000000001 -RE02024000000280"/>
          </filters>
        </filterColumn>
      </autoFilter>
    </customSheetView>
    <customSheetView guid="{CB82114B-CA35-4C6F-AC7B-23D8D17266C7}" filter="1" showAutoFilter="1">
      <pageMargins left="0.7" right="0.7" top="0.75" bottom="0.75" header="0.3" footer="0.3"/>
      <autoFilter ref="A9:Z134" xr:uid="{5D8E1435-1A7A-E94C-B48F-515297126CF2}">
        <filterColumn colId="20">
          <filters>
            <filter val="1,000.00 TL"/>
            <filter val="1,100.00 TL"/>
            <filter val="1,125.00 TL"/>
            <filter val="1,140.00 TL"/>
            <filter val="1,182.50 TL"/>
            <filter val="1,200.00 TL"/>
            <filter val="1,230.00 TL"/>
            <filter val="1,250.00 TL"/>
            <filter val="1,367.00 TL"/>
            <filter val="1,375.00 TL"/>
            <filter val="1,380.00 TL"/>
            <filter val="1,600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5.00 TL"/>
            <filter val="1,900.00 TL"/>
            <filter val="1.00 TL"/>
            <filter val="10,500.00 TL"/>
            <filter val="140.00 TL"/>
            <filter val="150.00 TL"/>
            <filter val="16,800.00 TL"/>
            <filter val="163.13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90.00 TL"/>
            <filter val="4,000.00 TL"/>
            <filter val="4,600.00 TL"/>
            <filter val="4,800.00 TL"/>
            <filter val="415.00 TL"/>
            <filter val="428.00 TL"/>
            <filter val="45.00 TL"/>
            <filter val="500.00 TL"/>
            <filter val="520.00 TL"/>
            <filter val="540.00 TL"/>
            <filter val="550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9,245.60 TL"/>
            <filter val="900.00 TL"/>
            <filter val="93.75 TL"/>
            <filter val="95.00 TL"/>
            <filter val="950.00 TL"/>
          </filters>
        </filterColumn>
      </autoFilter>
    </customSheetView>
    <customSheetView guid="{0B0580CB-5201-44AB-95E0-AAB9E5DAEEB3}" filter="1" showAutoFilter="1">
      <pageMargins left="0.7" right="0.7" top="0.75" bottom="0.75" header="0.3" footer="0.3"/>
      <autoFilter ref="A9:Z193" xr:uid="{0765811F-F9DB-A140-80C0-2742C082EF09}">
        <filterColumn colId="20">
          <filters blank="1">
            <filter val="1,000.00 TL"/>
            <filter val="1,100.00 TL"/>
            <filter val="1,110.00 TL"/>
            <filter val="1,125.00 TL"/>
            <filter val="1,140.00 TL"/>
            <filter val="1,182.50 TL"/>
            <filter val="1,200.00 TL"/>
            <filter val="1,230.00 TL"/>
            <filter val="1,250.00 TL"/>
            <filter val="1,300.00 TL"/>
            <filter val="1,326.00 TL"/>
            <filter val="1,367.00 TL"/>
            <filter val="1,375.00 TL"/>
            <filter val="1,380.00 TL"/>
            <filter val="1,600.00 TL"/>
            <filter val="1,638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2.00 TL"/>
            <filter val="1,875.00 TL"/>
            <filter val="1,900.00 TL"/>
            <filter val="1,916.40 TL"/>
            <filter val="1.00 TL"/>
            <filter val="10,500.00 TL"/>
            <filter val="13,000.00 TL"/>
            <filter val="140.00 TL"/>
            <filter val="150.00 TL"/>
            <filter val="16,800.00 TL"/>
            <filter val="163.13 TL"/>
            <filter val="17,000.00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775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02.00 TL"/>
            <filter val="375.00 TL"/>
            <filter val="388.00 TL"/>
            <filter val="390.00 TL"/>
            <filter val="4,000.00 TL"/>
            <filter val="4,600.00 TL"/>
            <filter val="4,650.00 TL"/>
            <filter val="4,800.00 TL"/>
            <filter val="415.00 TL"/>
            <filter val="428.00 TL"/>
            <filter val="45.00 TL"/>
            <filter val="460.00 TL"/>
            <filter val="5,550.00 TL"/>
            <filter val="500.00 TL"/>
            <filter val="520.00 TL"/>
            <filter val="540.00 TL"/>
            <filter val="550.00 TL"/>
            <filter val="555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850.00 TL"/>
            <filter val="9,200.00 TL"/>
            <filter val="9,245.60 TL"/>
            <filter val="900.00 TL"/>
            <filter val="93.75 TL"/>
            <filter val="95.00 TL"/>
            <filter val="950.00 TL"/>
            <filter val="958.20 TL"/>
          </filters>
        </filterColumn>
      </autoFilter>
    </customSheetView>
    <customSheetView guid="{E661CD77-B31F-4C3C-8CD5-3A6BB7A3C70D}" filter="1" showAutoFilter="1">
      <pageMargins left="0.7" right="0.7" top="0.75" bottom="0.75" header="0.3" footer="0.3"/>
      <autoFilter ref="A9:Z193" xr:uid="{9A3452BE-0180-A341-AF92-DE0A0CD4F717}">
        <filterColumn colId="15">
          <filters>
            <filter val="TRUE"/>
            <filter val="FALSE"/>
          </filters>
        </filterColumn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3F0A35D3-9A77-4A14-9499-EF36E3940A95}" filter="1" showAutoFilter="1">
      <pageMargins left="0.7" right="0.7" top="0.75" bottom="0.75" header="0.3" footer="0.3"/>
      <autoFilter ref="A9:Z193" xr:uid="{0D4DEF8F-54B7-C045-B889-83AFB55DDB96}">
        <filterColumn colId="15">
          <filters>
            <filter val="TRUE"/>
            <filter val="FALSE"/>
          </filters>
        </filterColumn>
        <filterColumn colId="19">
          <filters blank="1">
            <filter val="RE02024000000202-İade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2207CBB1-B653-4DCA-B373-BDA845BB1154}" filter="1" showAutoFilter="1">
      <pageMargins left="0.7" right="0.7" top="0.75" bottom="0.75" header="0.3" footer="0.3"/>
      <autoFilter ref="A9:Z193" xr:uid="{AFE452F8-D08D-4A44-BA62-3EA95EEA6495}"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7F26427E-2CC3-4738-8D6F-9D9F2F09086A}" filter="1" showAutoFilter="1">
      <pageMargins left="0.7" right="0.7" top="0.75" bottom="0.75" header="0.3" footer="0.3"/>
      <autoFilter ref="A9:Z134" xr:uid="{985E9E09-202D-2649-A0C7-18DC255522BF}">
        <filterColumn colId="15">
          <filters>
            <filter val="TRUE"/>
          </filters>
        </filterColumn>
        <filterColumn colId="19">
          <filters>
            <filter val="Fatura Kesilmedi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46"/>
            <filter val="RE02024000000252"/>
            <filter val="RE02024000000255"/>
            <filter val="RE02024000000256"/>
            <filter val="RE02024000000257"/>
            <filter val="RE02024000000259-RE02024000000261"/>
            <filter val="RE02024000000264"/>
            <filter val="RE02024000000265"/>
            <filter val="RE52024000000001 -RE02024000000280"/>
          </filters>
        </filterColumn>
      </autoFilter>
    </customSheetView>
    <customSheetView guid="{7590A8FA-0E93-447D-94B9-753650E86DD0}" filter="1" showAutoFilter="1">
      <pageMargins left="0.7" right="0.7" top="0.75" bottom="0.75" header="0.3" footer="0.3"/>
      <autoFilter ref="A9:Z193" xr:uid="{1B9F24D7-A44F-3E42-9803-F25BE04AB0FB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oy Aynası"/>
            <filter val="Branda -Sizin için Yenileniyoruz-"/>
            <filter val="Bu Benim Kartı"/>
            <filter val="Bu Benim Kartı 50Kırmızı-50Sarı"/>
            <filter val="Emniyeli Merdiven 5 Basamaklı Metal"/>
            <filter val="Folyo Baskı+Uygulama (Robot Süpürge İçin)"/>
            <filter val="Folyo Uygulama"/>
            <filter val="Fön Makinesi Tutucu"/>
            <filter val="Hava Kabarcıklı Ambalaj Malzemesi 100x50mt 50m2"/>
            <filter val="İlk Yardım Çantası İY070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"/>
            <filter val="Kağıt Alarm Etiketi (Bugün Kargoa Verilmesi Çok Önemli)"/>
            <filter val="Kargo  Cebi 19x26 cm"/>
            <filter val="Kartvizit (Mehmet Sarıgül)"/>
            <filter val="Kaşe   Ufuk Akkuş - Ayşe Gül Sandıklı-"/>
            <filter val="Kaşe -- Simge Türkmen"/>
            <filter val="Kaşe İsim Kaşesi (Arzu Nur Cıvak-Mehmet Sarıgül)"/>
            <filter val="Kaz Ayağı (10'Lu Paket)"/>
            <filter val="Kg Etiketi Sticker 14x14"/>
            <filter val="Kırlangıç Bayrak Dubalı-Stokları Eritiyoruz-"/>
            <filter val="Kırmızı folyo uygulama"/>
            <filter val="Kırmızı Teşhir Noktası -Kağıt 2500'lü"/>
            <filter val="Klavye Koruyucu"/>
            <filter val="Kulakiçi Kulaklık Stantı -Menteşeli"/>
            <filter val="Light Box  180 cm x 380 cm 322 cm"/>
            <filter val="Light Box 243cm x 224 cm"/>
            <filter val="Logolu A4 Asetat"/>
            <filter val="Logolu Ajanda (Rüzgar Gülü)"/>
            <filter val="Logolu Karton Bardak (Koli)"/>
            <filter val="Logolu Koli Bandı"/>
            <filter val="Logolu Tükenmez Kalem"/>
            <filter val="Mağaza İçi Balon Süsleme"/>
            <filter val="Maped 85110 Expert Maket Bıçağı"/>
            <filter val="Maped 85910 Expert Maket Bıçağı Yedeği"/>
            <filter val="Mas 670 Koli Bant Makinası 2'50Mm (Abs Hm.)"/>
            <filter val="Numberlink 1-40 Arası"/>
            <filter val="Numberlink 1-80 Arası"/>
            <filter val="Panda H-1024 İthal Anahtar Dolabı 24'lü"/>
            <filter val="Personel İsimliği - Satış Danışmanı"/>
            <filter val="Plastik Bardak (Koli Olarak)"/>
            <filter val="Plastik Cırt Kelepçe Beyaz 30cm"/>
            <filter val="Plastik Etiketlik+Teleskopik Yaylı Ayak"/>
            <filter val="Plastik Etiletlik+Teleskopik Yaylı Çubuk (Etiketlik Rengi Kırmızı Olucak)"/>
            <filter val="Plastik Kelepçe Beyaz 30cm"/>
            <filter val="Plastik Koruma(Bu Benim Kartı Konulacak)"/>
            <filter val="Pleksi Föylük A4 L Tipi"/>
            <filter val="Pleksi Harddisk Ayağı"/>
            <filter val="Pleksi Kahve Stanı"/>
            <filter val="Pleksi Raf Bariyeri 120cm"/>
            <filter val="Pleksi Üzeri UV Baskı 3mm Vidalı Olucak (Detayları Göndericem)"/>
            <filter val="Pomotör İsimliği Pelksi Mıknatıslı"/>
            <filter val="Promotor Pleksi isimlik"/>
            <filter val="Reyon Bariyeri 100cm"/>
            <filter val="Saç Düzleştirici Tutucu"/>
            <filter val="Sarı A4 Kağıt (Paket Olarak)"/>
            <filter val="Şeffaf Koli Bandı"/>
            <filter val="Spiralli Kablo 4 Metre"/>
            <filter val="Strech Film 50cmx300Mt 17 Micron"/>
            <filter val="Strech Film Şeffaf"/>
            <filter val="Teleskopik Yaylı Ayak"/>
            <filter val="Temizlik Personel 5 Gün (Faturaya Farklı Yazılıcak --MAĞAZA BİLGİ VERECEK)"/>
            <filter val="Termal Etiket 40x20 1000 sarım"/>
            <filter val="Teşhir Tablası + Tahtası"/>
            <filter val="Tost Makinesi Ayracı (Logolu Olucak)"/>
            <filter val="TV Güvenlik Teli"/>
            <filter val="Ve-Ge Bufalo Koli Bandı 45x100 Şeffaf"/>
          </filters>
        </filterColumn>
      </autoFilter>
    </customSheetView>
    <customSheetView guid="{65C673E0-AE30-4C3F-B678-27F9F5878965}" filter="1" showAutoFilter="1">
      <pageMargins left="0.7" right="0.7" top="0.75" bottom="0.75" header="0.3" footer="0.3"/>
      <autoFilter ref="A9:Z193" xr:uid="{9B4BA710-FA81-BE42-82E9-B291CE201E44}">
        <filterColumn colId="15">
          <filters>
            <filter val="TRUE"/>
            <filter val="FALSE"/>
          </filters>
        </filterColumn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94E5D8CF-5BBA-467F-AB30-9DE7DCBAA5C0}" filter="1" showAutoFilter="1">
      <pageMargins left="0.7" right="0.7" top="0.75" bottom="0.75" header="0.3" footer="0.3"/>
      <autoFilter ref="A9:Z193" xr:uid="{7B5BAF68-CF82-9C4C-A84F-E8C54647238B}">
        <filterColumn colId="20">
          <filters blank="1">
            <filter val="1,000.00 TL"/>
            <filter val="1,100.00 TL"/>
            <filter val="1,110.00 TL"/>
            <filter val="1,125.00 TL"/>
            <filter val="1,140.00 TL"/>
            <filter val="1,182.50 TL"/>
            <filter val="1,200.00 TL"/>
            <filter val="1,230.00 TL"/>
            <filter val="1,250.00 TL"/>
            <filter val="1,300.00 TL"/>
            <filter val="1,326.00 TL"/>
            <filter val="1,367.00 TL"/>
            <filter val="1,375.00 TL"/>
            <filter val="1,380.00 TL"/>
            <filter val="1,600.00 TL"/>
            <filter val="1,638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2.00 TL"/>
            <filter val="1,875.00 TL"/>
            <filter val="1,900.00 TL"/>
            <filter val="1,916.40 TL"/>
            <filter val="1.00 TL"/>
            <filter val="10,500.00 TL"/>
            <filter val="13,000.00 TL"/>
            <filter val="140.00 TL"/>
            <filter val="150.00 TL"/>
            <filter val="16,800.00 TL"/>
            <filter val="163.13 TL"/>
            <filter val="17,000.00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775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02.00 TL"/>
            <filter val="375.00 TL"/>
            <filter val="388.00 TL"/>
            <filter val="390.00 TL"/>
            <filter val="4,000.00 TL"/>
            <filter val="4,600.00 TL"/>
            <filter val="4,650.00 TL"/>
            <filter val="4,800.00 TL"/>
            <filter val="415.00 TL"/>
            <filter val="428.00 TL"/>
            <filter val="45.00 TL"/>
            <filter val="460.00 TL"/>
            <filter val="5,550.00 TL"/>
            <filter val="500.00 TL"/>
            <filter val="520.00 TL"/>
            <filter val="540.00 TL"/>
            <filter val="550.00 TL"/>
            <filter val="555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850.00 TL"/>
            <filter val="9,200.00 TL"/>
            <filter val="9,245.60 TL"/>
            <filter val="900.00 TL"/>
            <filter val="93.75 TL"/>
            <filter val="95.00 TL"/>
            <filter val="950.00 TL"/>
            <filter val="958.20 TL"/>
          </filters>
        </filterColumn>
      </autoFilter>
    </customSheetView>
    <customSheetView guid="{9ADA2EDB-7AFD-44B0-9D9F-59CB6B5BA861}" filter="1" showAutoFilter="1">
      <pageMargins left="0.7" right="0.7" top="0.75" bottom="0.75" header="0.3" footer="0.3"/>
      <autoFilter ref="C7:X134" xr:uid="{C21407AF-ED3E-4C4A-A960-A5BEF7E1E88C}"/>
    </customSheetView>
    <customSheetView guid="{94D2D6FF-EAA2-40FA-89DA-C0792B4DEC2F}" filter="1" showAutoFilter="1">
      <pageMargins left="0.7" right="0.7" top="0.75" bottom="0.75" header="0.3" footer="0.3"/>
      <autoFilter ref="A9:Z193" xr:uid="{94398293-6F33-CB44-9F38-2CD5F933625E}">
        <filterColumn colId="15">
          <filters>
            <filter val="TRUE"/>
            <filter val="FALSE"/>
          </filters>
        </filterColumn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88809CA9-5E40-46D7-B1E4-FD64890E3C54}" filter="1" showAutoFilter="1">
      <pageMargins left="0.7" right="0.7" top="0.75" bottom="0.75" header="0.3" footer="0.3"/>
      <autoFilter ref="A9:Z193" xr:uid="{2A870E39-FB1D-964A-B1DE-4A5BCA147CC3}">
        <filterColumn colId="15">
          <filters>
            <filter val="TRUE"/>
            <filter val="FALSE"/>
          </filters>
        </filterColumn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87A433BC-F3FD-4BA7-BD7F-4194C598DDE6}" filter="1" showAutoFilter="1">
      <pageMargins left="0.7" right="0.7" top="0.75" bottom="0.75" header="0.3" footer="0.3"/>
      <autoFilter ref="A9:Z193" xr:uid="{709F46B8-9420-9744-99AB-08CA0F95B003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oy Aynası"/>
            <filter val="Branda -Sizin için Yenileniyoruz-"/>
            <filter val="Bu Benim Kartı"/>
            <filter val="Bu Benim Kartı 50Kırmızı-50Sarı"/>
            <filter val="Emniyeli Merdiven 5 Basamaklı Metal"/>
            <filter val="Folyo Baskı+Uygulama (Robot Süpürge İçin)"/>
            <filter val="Folyo Uygulama"/>
            <filter val="Fön Makinesi Tutucu"/>
            <filter val="Hava Kabarcıklı Ambalaj Malzemesi 100x50mt 50m2"/>
            <filter val="İlk Yardım Çantası İY070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 (Bugün Kargoa Verilmesi Çok Önemli)"/>
            <filter val="Kargo  Cebi 19x26 cm"/>
            <filter val="Kargo Cebi"/>
            <filter val="Kartvizit (Mehmet Sarıgül)"/>
            <filter val="Kaşe   Ufuk Akkuş - Ayşe Gül Sandıklı-"/>
            <filter val="Kaşe -- Simge Türkmen"/>
            <filter val="Kaşe İsim Kaşesi (Arzu Nur Cıvak-Mehmet Sarıgül)"/>
            <filter val="Kaz Ayağı (10'Lu Paket)"/>
            <filter val="Kg Etiketi Sticker 14x14"/>
            <filter val="Kırlangıç Bayrak Dubalı-Stokları Eritiyoruz-"/>
            <filter val="Kırmızı folyo uygulama"/>
            <filter val="Kırmızı Teşhir Noktası -Kağıt 2500'lü"/>
            <filter val="Klavye Koruyucu"/>
            <filter val="Kulakiçi Kulaklık Stantı -Menteşeli"/>
            <filter val="Light Box  180 cm x 380 cm 322 cm"/>
            <filter val="Light Box 243cm x 224 cm"/>
            <filter val="Logolu A4 Asetat"/>
            <filter val="Logolu Ajanda (Rüzgar Gülü)"/>
            <filter val="Logolu Karton Bardak (Koli)"/>
            <filter val="Logolu Koli Bandı"/>
            <filter val="Logolu Tükenmez Kalem"/>
            <filter val="Mağaza İçi Balon Süsleme"/>
            <filter val="Maped 85110 Expert Maket Bıçağı"/>
            <filter val="Maped 85910 Expert Maket Bıçağı Yedeği"/>
            <filter val="Mas 670 Koli Bant Makinası 2'50Mm (Abs Hm.)"/>
            <filter val="Numberlink 1-40 Arası"/>
            <filter val="Numberlink 1-80 Arası"/>
            <filter val="Panda H-1024 İthal Anahtar Dolabı 24'lü"/>
            <filter val="Personel İsimliği - Satış Danışmanı"/>
            <filter val="Plastik Bardak (Koli Olarak)"/>
            <filter val="Plastik Cırt Kelepçe Beyaz 30cm"/>
            <filter val="Plastik Etiketlik+Teleskopik Yaylı Ayak"/>
            <filter val="Plastik Etiletlik+Teleskopik Yaylı Çubuk (Etiketlik Rengi Kırmızı Olucak)"/>
            <filter val="Plastik Kelepçe Beyaz 30cm"/>
            <filter val="Plastik Koruma(Bu Benim Kartı Konulacak)"/>
            <filter val="Pleksi Föylük A4 L Tipi"/>
            <filter val="Pleksi Harddisk Ayağı"/>
            <filter val="Pleksi Kahve Stanı"/>
            <filter val="Pleksi Raf Bariyeri 120cm"/>
            <filter val="Pleksi Üzeri UV Baskı 3mm Vidalı Olucak (Detayları Göndericem)"/>
            <filter val="Pomotör İsimliği Pelksi Mıknatıslı"/>
            <filter val="Promotor Pleksi isimlik"/>
            <filter val="Reyon Bariyeri 100cm"/>
            <filter val="Saç Düzleştirici Tutucu"/>
            <filter val="Sarı A4 Kağıt (Paket Olarak)"/>
            <filter val="Şeffaf Koli Bandı"/>
            <filter val="Spiralli Kablo 4 Metre"/>
            <filter val="Strech Film 50cmx300Mt 17 Micron"/>
            <filter val="Strech Film Şeffaf"/>
            <filter val="Teleskopik Yaylı Ayak"/>
            <filter val="Temizlik Personel 5 Gün (Faturaya Farklı Yazılıcak --MAĞAZA BİLGİ VERECEK)"/>
            <filter val="Termal Etiket 40x20 1000 sarım"/>
            <filter val="Teşhir Tablası + Tahtası"/>
            <filter val="Tost Makinesi Ayracı (Logolu Olucak)"/>
            <filter val="TV Güvenlik Teli"/>
            <filter val="Ve-Ge Bufalo Koli Bandı 45x100 Şeffaf"/>
          </filters>
        </filterColumn>
      </autoFilter>
    </customSheetView>
    <customSheetView guid="{9DA415C6-D16E-4ADE-8A63-89A6B22E7D22}" filter="1" showAutoFilter="1">
      <pageMargins left="0.7" right="0.7" top="0.75" bottom="0.75" header="0.3" footer="0.3"/>
      <autoFilter ref="A9:Z193" xr:uid="{2BA455DF-23CF-3A46-B575-79C1BDBB8F61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oy Aynası"/>
            <filter val="Branda -Sizin için Yenileniyoruz-"/>
            <filter val="Bu Benim Kartı"/>
            <filter val="Bu Benim Kartı 50Kırmızı-50Sarı"/>
            <filter val="Emniyeli Merdiven 5 Basamaklı Metal"/>
            <filter val="Enerji Etiketi"/>
            <filter val="Folyo Baskı+Uygulama (Robot Süpürge İçin)"/>
            <filter val="Folyo Uygulama"/>
            <filter val="Fön Makinesi Tutucu"/>
            <filter val="Hava Kabarcıklı Ambalaj Malzemesi 100x50mt 50m2"/>
            <filter val="İlk Yardım Çantası İY070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 (Bugün Kargoa Verilmesi Çok Önemli)"/>
            <filter val="Kargo  Cebi 19x26 cm"/>
            <filter val="Kartvizit (Mehmet Sarıgül)"/>
            <filter val="Kaşe   Ufuk Akkuş - Ayşe Gül Sandıklı-"/>
            <filter val="Kaşe -- Simge Türkmen"/>
            <filter val="Kaşe İsim Kaşesi (Arzu Nur Cıvak-Mehmet Sarıgül)"/>
            <filter val="Kaz Ayağı (10'Lu Paket)"/>
            <filter val="Kg Etiketi Sticker 14x14"/>
            <filter val="Kırlangıç Bayrak Dubalı-Stokları Eritiyoruz-"/>
            <filter val="Kırmızı folyo uygulama"/>
            <filter val="Kırmızı Teşhir Noktası -Kağıt 2500'lü"/>
            <filter val="Klavye Koruyucu"/>
            <filter val="Kulakiçi Kulaklık Stantı -Menteşeli"/>
            <filter val="Light Box  180 cm x 380 cm 322 cm"/>
            <filter val="Light Box 243cm x 224 cm"/>
            <filter val="Logolu A4 Asetat"/>
            <filter val="Logolu Ajanda (Rüzgar Gülü)"/>
            <filter val="Logolu Karton Bardak"/>
            <filter val="Logolu Karton Bardak (Koli)"/>
            <filter val="Logolu Koli Bandı"/>
            <filter val="Logolu Tükenmez Kalem"/>
            <filter val="Mağaza İçi Balon Süsleme"/>
            <filter val="Maped 85110 Expert Maket Bıçağı"/>
            <filter val="Maped 85910 Expert Maket Bıçağı Yedeği"/>
            <filter val="Mas 670 Koli Bant Makinası 2'50Mm (Abs Hm.)"/>
            <filter val="Numberlink 1-40 Arası"/>
            <filter val="Numberlink 1-80 Arası"/>
            <filter val="Panda H-1024 İthal Anahtar Dolabı 24'lü"/>
            <filter val="Personel İsimliği - Satış Danışmanı"/>
            <filter val="Plastik Bardak (Koli Olarak)"/>
            <filter val="Plastik Cırt Kelepçe Beyaz 30cm"/>
            <filter val="Plastik Etiketlik+Teleskopik Yaylı Ayak"/>
            <filter val="Plastik Etiletlik+Teleskopik Yaylı Çubuk (Etiketlik Rengi Kırmızı Olucak)"/>
            <filter val="Plastik Kelepçe Beyaz 30cm"/>
            <filter val="Plastik Koruma(Bu Benim Kartı Konulacak)"/>
            <filter val="Pleksi Föylük A4 L Tipi"/>
            <filter val="Pleksi Harddisk Ayağı"/>
            <filter val="Pleksi Kahve Stanı"/>
            <filter val="Pleksi Raf Bariyeri 120cm"/>
            <filter val="Pleksi Üzeri UV Baskı 3mm Vidalı Olucak (Detayları Göndericem)"/>
            <filter val="Pomotör İsimliği Pelksi Mıknatıslı"/>
            <filter val="Promotor Pleksi isimlik"/>
            <filter val="Reyon Bariyeri 100cm"/>
            <filter val="Saç Düzleştirici Tutucu"/>
            <filter val="Sarı A4 Kağıt (Paket Olarak)"/>
            <filter val="Şeffaf Koli Bandı"/>
            <filter val="Spiralli Kablo 4 Metre"/>
            <filter val="Strech Film 50cmx300Mt 17 Micron"/>
            <filter val="Strech Film Şeffaf"/>
            <filter val="Teleskopik Yaylı Ayak"/>
            <filter val="Temizlik Personel 5 Gün (Faturaya Farklı Yazılıcak --MAĞAZA BİLGİ VERECEK)"/>
            <filter val="Termal Etiket 100x100 500 Sarım"/>
            <filter val="Termal Etiket 40x20 1000 sarım"/>
            <filter val="Teşhir Tablası + Tahtası"/>
            <filter val="Tost Makinesi Ayracı (Logolu Olucak)"/>
            <filter val="TV Güvenlik Teli"/>
            <filter val="Ve-Ge Bufalo Koli Bandı 45x100 Şeffaf"/>
          </filters>
        </filterColumn>
      </autoFilter>
    </customSheetView>
    <customSheetView guid="{3468AD09-8B5E-4744-B88A-12C4F47AC98C}" filter="1" showAutoFilter="1">
      <pageMargins left="0.7" right="0.7" top="0.75" bottom="0.75" header="0.3" footer="0.3"/>
      <autoFilter ref="A9:Z193" xr:uid="{76284DB9-0365-5E43-A27C-7C9F809FE768}">
        <filterColumn colId="15">
          <filters>
            <filter val="TRUE"/>
            <filter val="FALSE"/>
          </filters>
        </filterColumn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8DF69057-10E2-434E-9A26-117BB354D6B5}" filter="1" showAutoFilter="1">
      <pageMargins left="0.7" right="0.7" top="0.75" bottom="0.75" header="0.3" footer="0.3"/>
      <autoFilter ref="A9:Z193" xr:uid="{22297A5A-9347-1441-AF17-4CFEBD8629F4}">
        <filterColumn colId="15">
          <filters>
            <filter val="TRUE"/>
            <filter val="FALSE"/>
          </filters>
        </filterColumn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548648B0-7D60-4620-B645-B6C4B7E1F3D5}" filter="1" showAutoFilter="1">
      <pageMargins left="0.7" right="0.7" top="0.75" bottom="0.75" header="0.3" footer="0.3"/>
      <autoFilter ref="A9:Z134" xr:uid="{2FE3DC2B-F298-B342-9C89-37D6950C64D2}">
        <filterColumn colId="15">
          <filters>
            <filter val="TRUE"/>
          </filters>
        </filterColumn>
        <filterColumn colId="19">
          <filters>
            <filter val="RE02024000000202-İade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46"/>
            <filter val="RE02024000000252"/>
            <filter val="RE02024000000255"/>
            <filter val="RE02024000000256"/>
            <filter val="RE02024000000257"/>
            <filter val="RE02024000000259-RE02024000000261"/>
            <filter val="RE02024000000264"/>
            <filter val="RE02024000000265"/>
            <filter val="RE52024000000001 -RE02024000000280"/>
          </filters>
        </filterColumn>
      </autoFilter>
    </customSheetView>
    <customSheetView guid="{4FB5B25D-07EC-4AD4-89DF-44489CD85001}" filter="1" showAutoFilter="1">
      <pageMargins left="0.7" right="0.7" top="0.75" bottom="0.75" header="0.3" footer="0.3"/>
      <autoFilter ref="A9:Z193" xr:uid="{3388BECF-63DD-3745-90E9-3683649B305C}">
        <filterColumn colId="15">
          <filters>
            <filter val="TRUE"/>
            <filter val="FALSE"/>
          </filters>
        </filterColumn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0C67F4AD-E116-40FF-973D-584D89EF9B9A}" filter="1" showAutoFilter="1">
      <pageMargins left="0.7" right="0.7" top="0.75" bottom="0.75" header="0.3" footer="0.3"/>
      <autoFilter ref="A9:Z193" xr:uid="{D02ACF2F-C4C5-F14F-A3ED-AAA320252BD5}">
        <filterColumn colId="20">
          <filters blank="1">
            <filter val="1,000.00 TL"/>
            <filter val="1,100.00 TL"/>
            <filter val="1,110.00 TL"/>
            <filter val="1,125.00 TL"/>
            <filter val="1,140.00 TL"/>
            <filter val="1,182.50 TL"/>
            <filter val="1,200.00 TL"/>
            <filter val="1,230.00 TL"/>
            <filter val="1,250.00 TL"/>
            <filter val="1,300.00 TL"/>
            <filter val="1,326.00 TL"/>
            <filter val="1,367.00 TL"/>
            <filter val="1,375.00 TL"/>
            <filter val="1,380.00 TL"/>
            <filter val="1,600.00 TL"/>
            <filter val="1,638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2.00 TL"/>
            <filter val="1,875.00 TL"/>
            <filter val="1,900.00 TL"/>
            <filter val="1,916.40 TL"/>
            <filter val="1.00 TL"/>
            <filter val="10,500.00 TL"/>
            <filter val="13,000.00 TL"/>
            <filter val="140.00 TL"/>
            <filter val="150.00 TL"/>
            <filter val="16,800.00 TL"/>
            <filter val="163.13 TL"/>
            <filter val="17,000.00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775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02.00 TL"/>
            <filter val="375.00 TL"/>
            <filter val="388.00 TL"/>
            <filter val="390.00 TL"/>
            <filter val="4,000.00 TL"/>
            <filter val="4,600.00 TL"/>
            <filter val="4,650.00 TL"/>
            <filter val="4,800.00 TL"/>
            <filter val="415.00 TL"/>
            <filter val="428.00 TL"/>
            <filter val="45.00 TL"/>
            <filter val="460.00 TL"/>
            <filter val="5,550.00 TL"/>
            <filter val="500.00 TL"/>
            <filter val="520.00 TL"/>
            <filter val="540.00 TL"/>
            <filter val="550.00 TL"/>
            <filter val="555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850.00 TL"/>
            <filter val="9,200.00 TL"/>
            <filter val="9,245.60 TL"/>
            <filter val="900.00 TL"/>
            <filter val="93.75 TL"/>
            <filter val="95.00 TL"/>
            <filter val="950.00 TL"/>
            <filter val="958.20 TL"/>
          </filters>
        </filterColumn>
      </autoFilter>
    </customSheetView>
    <customSheetView guid="{86FE429F-8E61-4DC8-A433-B13AE04B64E6}" filter="1" showAutoFilter="1">
      <pageMargins left="0.7" right="0.7" top="0.75" bottom="0.75" header="0.3" footer="0.3"/>
      <autoFilter ref="A9:Z134" xr:uid="{204E53A3-6BBA-9A45-BF9F-820E08DEC144}">
        <filterColumn colId="6">
          <filters>
            <filter val="Apple Patago Fon Kağıdı  10,5 x 14,5 cm"/>
            <filter val="Balon Kalp"/>
            <filter val="Balon Kapı Süsleme"/>
            <filter val="Balonlu Naylon"/>
            <filter val="Beyaz Eşya Güvenlik Aparatı"/>
            <filter val="Blender Ucu Koruyucu"/>
            <filter val="Boy Aynası"/>
            <filter val="Folyo Uygulama"/>
            <filter val="Fön Makinesi Tutucu"/>
            <filter val="Güvenlik Etiketi 4,5cm"/>
            <filter val="İsim Kaşesi (Detayları Göndericem)"/>
            <filter val="İsimli  Ajanda Tuğba Şereflioğlu"/>
            <filter val="İsimli Ajanda Münise Kuzgun"/>
            <filter val="İsimlik Mıknatısı"/>
            <filter val="İsimlik Personel (1Teslimat Uzmanı-2Kasiyer-5Satış Danışmanı)"/>
            <filter val="isimlik Personel İsimliği - Satış Danışmanı-"/>
            <filter val="İsimlik Personel İsimliği(Detayları Göndericem)"/>
            <filter val="Kg Etiketi Sticker 14x14"/>
            <filter val="Kırmızı Teşhir Noktası -Kağıt 2500'lü"/>
            <filter val="Kulakiçi Kulaklık Stantı -Menteşeli"/>
            <filter val="Logolu A4 Asetat"/>
            <filter val="Logolu Karton Bardak"/>
            <filter val="Logolu Koli Bandı"/>
            <filter val="Logolu Koli Bantı"/>
            <filter val="Lojistik"/>
            <filter val="Mağaza İçi Balon Süsleme"/>
            <filter val="Personel İsimliği - Satış Danışmanı"/>
            <filter val="Plastik Etiketlik+Teleskopik Yaylı Ayak"/>
            <filter val="Plastik Koruma(Bu Benim Kartı Konulacak)"/>
            <filter val="Promotor Pleksi isimlik"/>
            <filter val="Saç Düzleştirici Tutucu"/>
            <filter val="Sarı A4 Kağıt (Paket Olarak)"/>
            <filter val="Strech Film Şeffaf"/>
            <filter val="Teleskopik Yaylı Ayak"/>
            <filter val="Temizlik Personel 5 Gün (Faturaya Farklı Yazılıcak --MAĞAZA BİLGİ VERECEK)"/>
            <filter val="Teşhir Tablası + Tahtası"/>
            <filter val="Yeni Tip Süpürge Tutucu"/>
          </filters>
        </filterColumn>
      </autoFilter>
    </customSheetView>
    <customSheetView guid="{3767EBB2-5EB8-4765-81A2-AE8F06D86EDB}" filter="1" showAutoFilter="1">
      <pageMargins left="0.7" right="0.7" top="0.75" bottom="0.75" header="0.3" footer="0.3"/>
      <autoFilter ref="A9:Z134" xr:uid="{FC7BFF6A-DD4C-0042-AFDB-E822972A5990}">
        <filterColumn colId="15">
          <filters>
            <filter val="TRUE"/>
          </filters>
        </filterColumn>
        <filterColumn colId="19">
          <filters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46"/>
            <filter val="RE02024000000252"/>
            <filter val="RE02024000000255"/>
            <filter val="RE02024000000256"/>
            <filter val="RE02024000000257"/>
            <filter val="RE02024000000259-RE02024000000261"/>
            <filter val="RE02024000000264"/>
            <filter val="RE02024000000265"/>
            <filter val="RE52024000000001 -RE02024000000280"/>
          </filters>
        </filterColumn>
        <filterColumn colId="20">
          <filters>
            <filter val="1,000.00 TL"/>
            <filter val="1,100.00 TL"/>
            <filter val="1,125.00 TL"/>
            <filter val="1,140.00 TL"/>
            <filter val="1,182.50 TL"/>
            <filter val="1,200.00 TL"/>
            <filter val="1,230.00 TL"/>
            <filter val="1,250.00 TL"/>
            <filter val="1,367.00 TL"/>
            <filter val="1,375.00 TL"/>
            <filter val="1,380.00 TL"/>
            <filter val="1,600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5.00 TL"/>
            <filter val="1,900.00 TL"/>
            <filter val="1.00 TL"/>
            <filter val="10,500.00 TL"/>
            <filter val="140.00 TL"/>
            <filter val="150.00 TL"/>
            <filter val="16,800.00 TL"/>
            <filter val="163.13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90.00 TL"/>
            <filter val="4,000.00 TL"/>
            <filter val="4,600.00 TL"/>
            <filter val="4,800.00 TL"/>
            <filter val="415.00 TL"/>
            <filter val="428.00 TL"/>
            <filter val="45.00 TL"/>
            <filter val="500.00 TL"/>
            <filter val="520.00 TL"/>
            <filter val="540.00 TL"/>
            <filter val="550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9,245.60 TL"/>
            <filter val="900.00 TL"/>
            <filter val="93.75 TL"/>
            <filter val="95.00 TL"/>
            <filter val="950.00 TL"/>
          </filters>
        </filterColumn>
      </autoFilter>
    </customSheetView>
    <customSheetView guid="{0673F5F7-2622-4210-8A6B-48BFA97FE39E}" filter="1" showAutoFilter="1">
      <pageMargins left="0.7" right="0.7" top="0.75" bottom="0.75" header="0.3" footer="0.3"/>
      <autoFilter ref="A9:Z193" xr:uid="{1713F8DA-6DCE-CA4B-81E2-F60557804184}">
        <filterColumn colId="15">
          <filters>
            <filter val="TRUE"/>
            <filter val="FALSE"/>
          </filters>
        </filterColumn>
        <filterColumn colId="19">
          <filters blank="1">
            <filter val="RE02024000000202-İade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FF771FF5-0C19-4FC1-8B9D-FCCC8E4FDA7F}" filter="1" showAutoFilter="1">
      <pageMargins left="0.7" right="0.7" top="0.75" bottom="0.75" header="0.3" footer="0.3"/>
      <autoFilter ref="A9:Z193" xr:uid="{868608EA-1AC4-954B-8CAC-F2FFBB6B4788}">
        <filterColumn colId="15">
          <filters>
            <filter val="TRUE"/>
            <filter val="FALSE"/>
          </filters>
        </filterColumn>
        <filterColumn colId="19">
          <filters blank="1">
            <filter val="RE02024000000202-İade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DB1300D5-F54A-4B75-91EB-D9AE03F73FEC}" filter="1" showAutoFilter="1">
      <pageMargins left="0.7" right="0.7" top="0.75" bottom="0.75" header="0.3" footer="0.3"/>
      <autoFilter ref="A9:Z193" xr:uid="{5FD71812-72EC-CD49-99BD-27BA2DF92F10}">
        <filterColumn colId="20">
          <filters blank="1">
            <filter val="1,000.00 TL"/>
            <filter val="1,100.00 TL"/>
            <filter val="1,110.00 TL"/>
            <filter val="1,125.00 TL"/>
            <filter val="1,140.00 TL"/>
            <filter val="1,182.50 TL"/>
            <filter val="1,200.00 TL"/>
            <filter val="1,230.00 TL"/>
            <filter val="1,250.00 TL"/>
            <filter val="1,300.00 TL"/>
            <filter val="1,326.00 TL"/>
            <filter val="1,367.00 TL"/>
            <filter val="1,375.00 TL"/>
            <filter val="1,380.00 TL"/>
            <filter val="1,600.00 TL"/>
            <filter val="1,638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2.00 TL"/>
            <filter val="1,875.00 TL"/>
            <filter val="1,900.00 TL"/>
            <filter val="1,916.40 TL"/>
            <filter val="1.00 TL"/>
            <filter val="10,500.00 TL"/>
            <filter val="13,000.00 TL"/>
            <filter val="140.00 TL"/>
            <filter val="150.00 TL"/>
            <filter val="16,800.00 TL"/>
            <filter val="163.13 TL"/>
            <filter val="17,000.00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775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02.00 TL"/>
            <filter val="375.00 TL"/>
            <filter val="388.00 TL"/>
            <filter val="390.00 TL"/>
            <filter val="4,000.00 TL"/>
            <filter val="4,600.00 TL"/>
            <filter val="4,650.00 TL"/>
            <filter val="4,800.00 TL"/>
            <filter val="415.00 TL"/>
            <filter val="428.00 TL"/>
            <filter val="45.00 TL"/>
            <filter val="460.00 TL"/>
            <filter val="5,550.00 TL"/>
            <filter val="500.00 TL"/>
            <filter val="520.00 TL"/>
            <filter val="540.00 TL"/>
            <filter val="550.00 TL"/>
            <filter val="555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850.00 TL"/>
            <filter val="9,200.00 TL"/>
            <filter val="9,245.60 TL"/>
            <filter val="900.00 TL"/>
            <filter val="93.75 TL"/>
            <filter val="95.00 TL"/>
            <filter val="950.00 TL"/>
            <filter val="958.20 TL"/>
          </filters>
        </filterColumn>
      </autoFilter>
    </customSheetView>
    <customSheetView guid="{B27C7FFC-97C5-4667-ACD6-B05987D28B49}" filter="1" showAutoFilter="1">
      <pageMargins left="0.7" right="0.7" top="0.75" bottom="0.75" header="0.3" footer="0.3"/>
      <autoFilter ref="A9:Z134" xr:uid="{38A6E71E-4BEB-3D47-B6E6-234BEC3368AF}">
        <filterColumn colId="15">
          <filters>
            <filter val="TRUE"/>
          </filters>
        </filterColumn>
        <filterColumn colId="19">
          <filters>
            <filter val="Fatura Kesilmedi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46"/>
            <filter val="RE02024000000252"/>
            <filter val="RE02024000000255"/>
            <filter val="RE02024000000256"/>
            <filter val="RE02024000000257"/>
            <filter val="RE02024000000259-RE02024000000261"/>
            <filter val="RE02024000000264"/>
            <filter val="RE02024000000265"/>
            <filter val="RE52024000000001 -RE02024000000280"/>
          </filters>
        </filterColumn>
      </autoFilter>
    </customSheetView>
    <customSheetView guid="{AFB8BB9B-1F1F-4D6C-BA97-ADFEFAB4CECC}" filter="1" showAutoFilter="1">
      <pageMargins left="0.7" right="0.7" top="0.75" bottom="0.75" header="0.3" footer="0.3"/>
      <autoFilter ref="A9:Z193" xr:uid="{ACF137FA-ACE3-B841-976A-50427945BBC1}">
        <filterColumn colId="6">
          <filters>
            <filter val="Balon Kalp"/>
            <filter val="Balon Kapı Süsleme"/>
            <filter val="Balonlu Naylon"/>
            <filter val="Fön Makinesi Tutucu"/>
            <filter val="Güvenlik Etiketi 4,5cm"/>
            <filter val="İsim Kaşesi (Detayları Göndericem)"/>
            <filter val="isimlik Personel İsimliği - Satış Danışmanı-"/>
            <filter val="İsimlik Personel İsimliği(Detayları Göndericem)"/>
            <filter val="İsimlik Personel İsimliği(İsimli İstendi)"/>
            <filter val="Kağıt Alarm Etiketi (Bugün Kargoa Verilmesi Çok Önemli)"/>
            <filter val="Kargo  Cebi 19x26 cm"/>
            <filter val="Kartvizit (Mehmet Sarıgül)"/>
            <filter val="Kaşe İsim Kaşesi (Arzu Nur Cıvak-Mehmet Sarıgül)"/>
            <filter val="Kaz Ayağı (10'Lu Paket)"/>
            <filter val="Kırlangıç Bayrak Dubalı-Stokları Eritiyoruz-"/>
            <filter val="Kırmızı folyo uygulama"/>
            <filter val="Light Box  180 cm x 380 cm 322 cm"/>
            <filter val="Light Box 243cm x 224 cm"/>
            <filter val="Logolu A4 Asetat"/>
            <filter val="Logolu Ajanda (Rüzgar Gülü)"/>
            <filter val="Logolu Karton Bardak (Koli)"/>
            <filter val="Logolu Koli Bandı"/>
            <filter val="Mağaza İçi Balon Süsleme"/>
            <filter val="Plastik Bardak (Koli Olarak)"/>
            <filter val="Plastik Etiletlik+Teleskopik Yaylı Çubuk (Etiketlik Rengi Kırmızı Olucak)"/>
            <filter val="Plastik Kelepçe Beyaz 30cm"/>
            <filter val="Pleksi Kahve Stanı"/>
            <filter val="Pleksi Raf Bariyeri 120cm"/>
            <filter val="Pleksi Üzeri UV Baskı 3mm Vidalı Olucak (Detayları Göndericem)"/>
            <filter val="Şeffaf Koli Bandı"/>
            <filter val="Termal Etiket 100x100 500 Sarım"/>
            <filter val="Tost Makinesi Ayracı (Logolu Olucak)"/>
          </filters>
        </filterColumn>
      </autoFilter>
    </customSheetView>
    <customSheetView guid="{35CA1A2D-FFBE-4615-96BB-101481E767E8}" filter="1" showAutoFilter="1">
      <pageMargins left="0.7" right="0.7" top="0.75" bottom="0.75" header="0.3" footer="0.3"/>
      <autoFilter ref="A9:Z193" xr:uid="{1D2F8EC9-94E8-8442-9516-B8FD59530B8D}">
        <filterColumn colId="19">
          <filters blank="1">
            <filter val="Fatura Kesilmedi"/>
            <filter val="RE02024000000144"/>
            <filter val="RE02024000000145"/>
            <filter val="RE02024000000146"/>
            <filter val="RE02024000000147"/>
            <filter val="RE02024000000148"/>
            <filter val="RE02024000000149"/>
            <filter val="RE02024000000150"/>
            <filter val="RE02024000000153"/>
            <filter val="RE02024000000154"/>
            <filter val="RE02024000000156"/>
            <filter val="RE02024000000157"/>
            <filter val="RE02024000000158"/>
            <filter val="RE02024000000159"/>
            <filter val="RE02024000000160"/>
            <filter val="RE02024000000161"/>
            <filter val="RE02024000000162"/>
            <filter val="RE02024000000163"/>
            <filter val="RE02024000000164"/>
            <filter val="RE02024000000166"/>
            <filter val="RE02024000000167"/>
            <filter val="RE02024000000168"/>
            <filter val="RE02024000000169"/>
            <filter val="RE02024000000170"/>
            <filter val="RE02024000000171"/>
            <filter val="RE02024000000172"/>
            <filter val="RE02024000000176"/>
            <filter val="RE02024000000177"/>
            <filter val="RE02024000000178"/>
            <filter val="RE02024000000179"/>
            <filter val="RE02024000000180"/>
            <filter val="RE02024000000181"/>
            <filter val="RE02024000000182"/>
            <filter val="RE02024000000183"/>
            <filter val="RE02024000000184"/>
            <filter val="RE02024000000185"/>
            <filter val="RE02024000000186"/>
            <filter val="RE02024000000187"/>
            <filter val="RE02024000000188"/>
            <filter val="RE02024000000189"/>
            <filter val="RE02024000000190"/>
            <filter val="RE02024000000191"/>
            <filter val="RE02024000000192"/>
            <filter val="RE02024000000193"/>
            <filter val="RE02024000000194"/>
            <filter val="RE02024000000195"/>
            <filter val="RE02024000000196"/>
            <filter val="RE02024000000197"/>
            <filter val="RE02024000000198"/>
            <filter val="RE02024000000199"/>
            <filter val="RE02024000000200"/>
            <filter val="RE02024000000201"/>
            <filter val="RE02024000000202-İade"/>
            <filter val="RE02024000000203"/>
            <filter val="RE02024000000204"/>
            <filter val="RE02024000000205"/>
            <filter val="RE02024000000206"/>
            <filter val="RE02024000000207"/>
            <filter val="RE02024000000208"/>
            <filter val="RE02024000000209"/>
            <filter val="RE02024000000211"/>
            <filter val="RE02024000000212"/>
            <filter val="RE02024000000213"/>
            <filter val="RE02024000000214"/>
            <filter val="RE02024000000215"/>
            <filter val="RE02024000000216"/>
            <filter val="RE02024000000217"/>
            <filter val="RE02024000000220"/>
            <filter val="RE02024000000221"/>
            <filter val="RE02024000000222"/>
            <filter val="RE02024000000224"/>
            <filter val="RE02024000000225"/>
            <filter val="RE02024000000226"/>
            <filter val="RE02024000000227"/>
            <filter val="RE02024000000228"/>
            <filter val="RE02024000000229"/>
            <filter val="RE02024000000230"/>
            <filter val="RE02024000000233"/>
            <filter val="RE02024000000237"/>
            <filter val="RE02024000000238"/>
            <filter val="RE02024000000239"/>
            <filter val="RE02024000000240"/>
            <filter val="RE02024000000241"/>
            <filter val="RE02024000000242"/>
            <filter val="RE02024000000243"/>
            <filter val="RE02024000000244"/>
            <filter val="RE02024000000245"/>
            <filter val="RE02024000000246"/>
            <filter val="RE02024000000247"/>
            <filter val="RE02024000000248"/>
            <filter val="RE02024000000249"/>
            <filter val="RE02024000000250"/>
            <filter val="RE02024000000251"/>
            <filter val="RE02024000000252"/>
            <filter val="RE02024000000253"/>
            <filter val="RE02024000000254"/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83452753-A2E5-4895-AC39-2857EB4185A4}" filter="1" showAutoFilter="1">
      <pageMargins left="0.7" right="0.7" top="0.75" bottom="0.75" header="0.3" footer="0.3"/>
      <autoFilter ref="A9:Z193" xr:uid="{68F508F9-9ECA-0C48-8E27-102F5D609DA3}">
        <filterColumn colId="20">
          <filters blank="1">
            <filter val="1,000.00 TL"/>
            <filter val="1,100.00 TL"/>
            <filter val="1,110.00 TL"/>
            <filter val="1,125.00 TL"/>
            <filter val="1,140.00 TL"/>
            <filter val="1,182.50 TL"/>
            <filter val="1,200.00 TL"/>
            <filter val="1,230.00 TL"/>
            <filter val="1,250.00 TL"/>
            <filter val="1,300.00 TL"/>
            <filter val="1,326.00 TL"/>
            <filter val="1,367.00 TL"/>
            <filter val="1,375.00 TL"/>
            <filter val="1,380.00 TL"/>
            <filter val="1,600.00 TL"/>
            <filter val="1,638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2.00 TL"/>
            <filter val="1,875.00 TL"/>
            <filter val="1,900.00 TL"/>
            <filter val="1,916.40 TL"/>
            <filter val="1.00 TL"/>
            <filter val="10,500.00 TL"/>
            <filter val="13,000.00 TL"/>
            <filter val="140.00 TL"/>
            <filter val="150.00 TL"/>
            <filter val="16,800.00 TL"/>
            <filter val="163.13 TL"/>
            <filter val="17,000.00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775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02.00 TL"/>
            <filter val="375.00 TL"/>
            <filter val="388.00 TL"/>
            <filter val="390.00 TL"/>
            <filter val="4,000.00 TL"/>
            <filter val="4,600.00 TL"/>
            <filter val="4,650.00 TL"/>
            <filter val="4,800.00 TL"/>
            <filter val="415.00 TL"/>
            <filter val="428.00 TL"/>
            <filter val="45.00 TL"/>
            <filter val="460.00 TL"/>
            <filter val="5,550.00 TL"/>
            <filter val="500.00 TL"/>
            <filter val="520.00 TL"/>
            <filter val="540.00 TL"/>
            <filter val="550.00 TL"/>
            <filter val="555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850.00 TL"/>
            <filter val="9,200.00 TL"/>
            <filter val="9,245.60 TL"/>
            <filter val="900.00 TL"/>
            <filter val="93.75 TL"/>
            <filter val="95.00 TL"/>
            <filter val="950.00 TL"/>
            <filter val="958.20 TL"/>
          </filters>
        </filterColumn>
      </autoFilter>
    </customSheetView>
    <customSheetView guid="{630CEB7A-F060-4ECB-AF0B-3275C72807C0}" filter="1" showAutoFilter="1">
      <pageMargins left="0.7" right="0.7" top="0.75" bottom="0.75" header="0.3" footer="0.3"/>
      <autoFilter ref="A9:Z193" xr:uid="{0EEB0865-0852-B84C-94ED-878C5D436FB3}">
        <filterColumn colId="15">
          <filters>
            <filter val="TRUE"/>
            <filter val="FALSE"/>
          </filters>
        </filterColumn>
        <filterColumn colId="19">
          <filters blank="1">
            <filter val="RE02024000000255"/>
            <filter val="RE02024000000256"/>
            <filter val="RE02024000000257"/>
            <filter val="RE02024000000258"/>
            <filter val="RE02024000000259-RE02024000000261"/>
            <filter val="RE02024000000262"/>
            <filter val="RE02024000000263"/>
            <filter val="RE02024000000264"/>
            <filter val="RE02024000000265"/>
            <filter val="RE02024000000266"/>
            <filter val="RE02024000000267"/>
            <filter val="RE02024000000268"/>
            <filter val="RE02024000000269"/>
            <filter val="RE02024000000270"/>
            <filter val="RE02024000000271"/>
            <filter val="RE02024000000272"/>
            <filter val="RE02024000000276"/>
            <filter val="RE02024000000279"/>
            <filter val="RE02024000000290"/>
            <filter val="RE02024000000291"/>
            <filter val="RE02024000000292"/>
            <filter val="RE52024000000001 -RE02024000000280"/>
          </filters>
        </filterColumn>
      </autoFilter>
    </customSheetView>
    <customSheetView guid="{45DD3965-6A36-4C34-A9FC-BB77A7D9D8C7}" filter="1" showAutoFilter="1">
      <pageMargins left="0.7" right="0.7" top="0.75" bottom="0.75" header="0.3" footer="0.3"/>
      <autoFilter ref="A9:Z193" xr:uid="{D8FAD73B-8772-CF4F-94CE-75E8BCB5DAA9}">
        <filterColumn colId="20">
          <filters blank="1">
            <filter val="1,000.00 TL"/>
            <filter val="1,100.00 TL"/>
            <filter val="1,110.00 TL"/>
            <filter val="1,125.00 TL"/>
            <filter val="1,140.00 TL"/>
            <filter val="1,182.50 TL"/>
            <filter val="1,200.00 TL"/>
            <filter val="1,230.00 TL"/>
            <filter val="1,250.00 TL"/>
            <filter val="1,300.00 TL"/>
            <filter val="1,326.00 TL"/>
            <filter val="1,367.00 TL"/>
            <filter val="1,375.00 TL"/>
            <filter val="1,380.00 TL"/>
            <filter val="1,600.00 TL"/>
            <filter val="1,638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2.00 TL"/>
            <filter val="1,875.00 TL"/>
            <filter val="1,900.00 TL"/>
            <filter val="1,916.40 TL"/>
            <filter val="1.00 TL"/>
            <filter val="10,500.00 TL"/>
            <filter val="13,000.00 TL"/>
            <filter val="140.00 TL"/>
            <filter val="150.00 TL"/>
            <filter val="16,800.00 TL"/>
            <filter val="163.13 TL"/>
            <filter val="17,000.00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775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02.00 TL"/>
            <filter val="375.00 TL"/>
            <filter val="388.00 TL"/>
            <filter val="390.00 TL"/>
            <filter val="4,000.00 TL"/>
            <filter val="4,600.00 TL"/>
            <filter val="4,650.00 TL"/>
            <filter val="4,800.00 TL"/>
            <filter val="415.00 TL"/>
            <filter val="428.00 TL"/>
            <filter val="45.00 TL"/>
            <filter val="460.00 TL"/>
            <filter val="5,550.00 TL"/>
            <filter val="500.00 TL"/>
            <filter val="520.00 TL"/>
            <filter val="540.00 TL"/>
            <filter val="550.00 TL"/>
            <filter val="555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850.00 TL"/>
            <filter val="9,200.00 TL"/>
            <filter val="9,245.60 TL"/>
            <filter val="900.00 TL"/>
            <filter val="93.75 TL"/>
            <filter val="95.00 TL"/>
            <filter val="950.00 TL"/>
            <filter val="958.20 TL"/>
          </filters>
        </filterColumn>
      </autoFilter>
    </customSheetView>
    <customSheetView guid="{2A629D90-DF55-42DE-9FE5-BBC34C3FB857}" filter="1" showAutoFilter="1">
      <pageMargins left="0.7" right="0.7" top="0.75" bottom="0.75" header="0.3" footer="0.3"/>
      <autoFilter ref="A9:Z134" xr:uid="{5225E010-1F19-9141-8AB3-8AA49213266D}">
        <filterColumn colId="20">
          <filters>
            <filter val="1,000.00 TL"/>
            <filter val="1,100.00 TL"/>
            <filter val="1,125.00 TL"/>
            <filter val="1,140.00 TL"/>
            <filter val="1,182.50 TL"/>
            <filter val="1,200.00 TL"/>
            <filter val="1,230.00 TL"/>
            <filter val="1,250.00 TL"/>
            <filter val="1,367.00 TL"/>
            <filter val="1,375.00 TL"/>
            <filter val="1,380.00 TL"/>
            <filter val="1,600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5.00 TL"/>
            <filter val="1,900.00 TL"/>
            <filter val="1.00 TL"/>
            <filter val="10,500.00 TL"/>
            <filter val="140.00 TL"/>
            <filter val="150.00 TL"/>
            <filter val="16,800.00 TL"/>
            <filter val="163.13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90.00 TL"/>
            <filter val="4,000.00 TL"/>
            <filter val="4,600.00 TL"/>
            <filter val="4,800.00 TL"/>
            <filter val="415.00 TL"/>
            <filter val="428.00 TL"/>
            <filter val="45.00 TL"/>
            <filter val="500.00 TL"/>
            <filter val="520.00 TL"/>
            <filter val="540.00 TL"/>
            <filter val="550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9,245.60 TL"/>
            <filter val="900.00 TL"/>
            <filter val="93.75 TL"/>
            <filter val="95.00 TL"/>
            <filter val="950.00 TL"/>
          </filters>
        </filterColumn>
      </autoFilter>
    </customSheetView>
    <customSheetView guid="{AB3EE88F-CAD3-4D5E-B2FF-371DDEE3ECEF}" filter="1" showAutoFilter="1">
      <pageMargins left="0.7" right="0.7" top="0.75" bottom="0.75" header="0.3" footer="0.3"/>
      <autoFilter ref="A9:Z134" xr:uid="{86A847BB-B6B0-564C-A4CF-0724869095D5}">
        <filterColumn colId="20">
          <filters>
            <filter val="1,000.00 TL"/>
            <filter val="1,100.00 TL"/>
            <filter val="1,125.00 TL"/>
            <filter val="1,140.00 TL"/>
            <filter val="1,182.50 TL"/>
            <filter val="1,200.00 TL"/>
            <filter val="1,230.00 TL"/>
            <filter val="1,250.00 TL"/>
            <filter val="1,367.00 TL"/>
            <filter val="1,375.00 TL"/>
            <filter val="1,380.00 TL"/>
            <filter val="1,600.00 TL"/>
            <filter val="1,700.00 TL"/>
            <filter val="1,710.00 TL"/>
            <filter val="1,720.00 TL"/>
            <filter val="1,750.00 TL"/>
            <filter val="1,764.00 TL"/>
            <filter val="1,800.00 TL"/>
            <filter val="1,827.50 TL"/>
            <filter val="1,850.00 TL"/>
            <filter val="1,860.00 TL"/>
            <filter val="1,875.00 TL"/>
            <filter val="1,900.00 TL"/>
            <filter val="1.00 TL"/>
            <filter val="10,500.00 TL"/>
            <filter val="140.00 TL"/>
            <filter val="150.00 TL"/>
            <filter val="16,800.00 TL"/>
            <filter val="163.13 TL"/>
            <filter val="2,000.00 TL"/>
            <filter val="2,065.00 TL"/>
            <filter val="2,100.00 TL"/>
            <filter val="2,125.00 TL"/>
            <filter val="2,250.00 TL"/>
            <filter val="2,300.00 TL"/>
            <filter val="2,375.00 TL"/>
            <filter val="2,400.00 TL"/>
            <filter val="2,850.00 TL"/>
            <filter val="2,874.60 TL"/>
            <filter val="250.00 TL"/>
            <filter val="255.00 TL"/>
            <filter val="278.00 TL"/>
            <filter val="280.00 TL"/>
            <filter val="3,000.00 TL"/>
            <filter val="3,150.00 TL"/>
            <filter val="3,250.00 TL"/>
            <filter val="3,420.00 TL"/>
            <filter val="3,480.00 TL"/>
            <filter val="3,509.96 TL"/>
            <filter val="3,528.00 TL"/>
            <filter val="3,850.00 TL"/>
            <filter val="300.00 TL"/>
            <filter val="390.00 TL"/>
            <filter val="4,000.00 TL"/>
            <filter val="4,600.00 TL"/>
            <filter val="4,800.00 TL"/>
            <filter val="415.00 TL"/>
            <filter val="428.00 TL"/>
            <filter val="45.00 TL"/>
            <filter val="500.00 TL"/>
            <filter val="520.00 TL"/>
            <filter val="540.00 TL"/>
            <filter val="550.00 TL"/>
            <filter val="560.00 TL"/>
            <filter val="60.00 TL"/>
            <filter val="600.00 TL"/>
            <filter val="640.00 TL"/>
            <filter val="695.50 TL"/>
            <filter val="720.00 TL"/>
            <filter val="75.00 TL"/>
            <filter val="750.00 TL"/>
            <filter val="755.00 TL"/>
            <filter val="780.00 TL"/>
            <filter val="8,340.00 TL"/>
            <filter val="800.00 TL"/>
            <filter val="830.00 TL"/>
            <filter val="9,245.60 TL"/>
            <filter val="900.00 TL"/>
            <filter val="93.75 TL"/>
            <filter val="95.00 TL"/>
            <filter val="950.00 TL"/>
          </filters>
        </filterColumn>
      </autoFilter>
    </customSheetView>
  </customSheetViews>
  <mergeCells count="7">
    <mergeCell ref="U8:V8"/>
    <mergeCell ref="W8:X8"/>
    <mergeCell ref="A1:T1"/>
    <mergeCell ref="L8:M8"/>
    <mergeCell ref="N8:O8"/>
    <mergeCell ref="P8:Q8"/>
    <mergeCell ref="S8:T8"/>
  </mergeCells>
  <conditionalFormatting sqref="E2 E7:E8 B8:D8 F8 H8:I8 K8:W8">
    <cfRule type="notContainsBlanks" dxfId="23" priority="1">
      <formula>LEN(TRIM(E2))&gt;0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44"/>
  <sheetViews>
    <sheetView tabSelected="1" workbookViewId="0">
      <selection activeCell="C16" sqref="C16"/>
    </sheetView>
  </sheetViews>
  <sheetFormatPr baseColWidth="10" defaultColWidth="14.5" defaultRowHeight="15" customHeight="1"/>
  <cols>
    <col min="1" max="1" width="4.5" customWidth="1"/>
    <col min="2" max="2" width="11.83203125" hidden="1" customWidth="1"/>
    <col min="3" max="3" width="16" customWidth="1"/>
    <col min="4" max="4" width="16.5" customWidth="1"/>
    <col min="5" max="6" width="19.5" customWidth="1"/>
    <col min="7" max="7" width="82.1640625" customWidth="1"/>
    <col min="8" max="8" width="10.83203125" customWidth="1"/>
    <col min="9" max="9" width="7.5" customWidth="1"/>
    <col min="10" max="10" width="10.33203125" customWidth="1"/>
    <col min="11" max="11" width="11.5" customWidth="1"/>
    <col min="12" max="12" width="7" customWidth="1"/>
    <col min="13" max="13" width="12.5" customWidth="1"/>
    <col min="14" max="14" width="5.33203125" customWidth="1"/>
    <col min="15" max="15" width="4.6640625" customWidth="1"/>
    <col min="16" max="16" width="5.5" customWidth="1"/>
    <col min="17" max="17" width="22.33203125" customWidth="1"/>
    <col min="18" max="18" width="17.83203125" customWidth="1"/>
    <col min="19" max="19" width="5" customWidth="1"/>
    <col min="20" max="20" width="51.1640625" customWidth="1"/>
  </cols>
  <sheetData>
    <row r="1" spans="1:24" ht="75.75" customHeight="1">
      <c r="A1" s="534" t="s">
        <v>642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28"/>
      <c r="U1" s="1"/>
    </row>
    <row r="2" spans="1:24" ht="16">
      <c r="A2" s="1"/>
      <c r="B2" s="3"/>
      <c r="C2" s="93" t="s">
        <v>1</v>
      </c>
      <c r="D2" s="14">
        <v>550000</v>
      </c>
      <c r="E2" s="6">
        <f>D3/D2</f>
        <v>0.77344090909090912</v>
      </c>
      <c r="F2" s="125" t="s">
        <v>643</v>
      </c>
      <c r="G2" s="7">
        <v>45322</v>
      </c>
      <c r="H2" s="1"/>
      <c r="I2" s="1"/>
      <c r="J2" s="8"/>
      <c r="K2" s="8"/>
      <c r="L2" s="1"/>
      <c r="M2" s="1"/>
      <c r="N2" s="9"/>
      <c r="O2" s="10"/>
      <c r="P2" s="1"/>
      <c r="Q2" s="126"/>
      <c r="R2" s="1"/>
      <c r="S2" s="1"/>
      <c r="T2" s="1"/>
      <c r="U2" s="1"/>
    </row>
    <row r="3" spans="1:24" ht="16">
      <c r="A3" s="1"/>
      <c r="B3" s="11"/>
      <c r="C3" s="94" t="s">
        <v>2</v>
      </c>
      <c r="D3" s="14">
        <f>SUM(K10:K147)</f>
        <v>425392.5</v>
      </c>
      <c r="E3" s="14" t="s">
        <v>3</v>
      </c>
      <c r="F3" s="14" t="s">
        <v>3</v>
      </c>
      <c r="G3" s="1"/>
      <c r="H3" s="1"/>
      <c r="I3" s="1"/>
      <c r="J3" s="8"/>
      <c r="K3" s="8"/>
      <c r="L3" s="1"/>
      <c r="M3" s="1"/>
      <c r="N3" s="9"/>
      <c r="O3" s="10"/>
      <c r="P3" s="1"/>
      <c r="Q3" s="126"/>
      <c r="R3" s="1"/>
      <c r="S3" s="1"/>
      <c r="T3" s="1"/>
      <c r="U3" s="1"/>
    </row>
    <row r="4" spans="1:24" ht="16">
      <c r="A4" s="1"/>
      <c r="B4" s="1"/>
      <c r="C4" s="95" t="s">
        <v>4</v>
      </c>
      <c r="D4" s="17">
        <f ca="1">(D5-TODAY())</f>
        <v>-614</v>
      </c>
      <c r="E4" s="17" t="s">
        <v>5</v>
      </c>
      <c r="F4" s="1"/>
      <c r="G4" s="18"/>
      <c r="H4" s="1"/>
      <c r="I4" s="1"/>
      <c r="J4" s="8"/>
      <c r="K4" s="8"/>
      <c r="L4" s="1"/>
      <c r="M4" s="1"/>
      <c r="N4" s="9"/>
      <c r="O4" s="10"/>
      <c r="P4" s="1"/>
      <c r="Q4" s="126"/>
      <c r="R4" s="1"/>
      <c r="S4" s="1"/>
      <c r="T4" s="1"/>
      <c r="U4" s="1"/>
    </row>
    <row r="5" spans="1:24" ht="16">
      <c r="A5" s="1"/>
      <c r="B5" s="1"/>
      <c r="C5" s="96" t="s">
        <v>6</v>
      </c>
      <c r="D5" s="97">
        <v>45412</v>
      </c>
      <c r="E5" s="21"/>
      <c r="F5" s="1"/>
      <c r="G5" s="18"/>
      <c r="H5" s="1"/>
      <c r="I5" s="1"/>
      <c r="J5" s="8"/>
      <c r="K5" s="8"/>
      <c r="L5" s="1"/>
      <c r="M5" s="1"/>
      <c r="N5" s="9"/>
      <c r="O5" s="10"/>
      <c r="P5" s="1"/>
      <c r="Q5" s="126"/>
      <c r="R5" s="1"/>
      <c r="S5" s="1"/>
      <c r="T5" s="1"/>
      <c r="U5" s="1"/>
    </row>
    <row r="6" spans="1:24" ht="22">
      <c r="A6" s="1"/>
      <c r="B6" s="22" t="s">
        <v>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  <c r="P6" s="23"/>
      <c r="Q6" s="127"/>
      <c r="R6" s="26"/>
      <c r="S6" s="26"/>
      <c r="T6" s="27"/>
      <c r="U6" s="1"/>
    </row>
    <row r="7" spans="1:24" ht="16">
      <c r="A7" s="1"/>
      <c r="B7" s="28"/>
      <c r="C7" s="29" t="s">
        <v>8</v>
      </c>
      <c r="D7" s="30">
        <v>6130636884</v>
      </c>
      <c r="E7" s="31"/>
      <c r="F7" s="1"/>
      <c r="G7" s="18"/>
      <c r="H7" s="1"/>
      <c r="I7" s="1"/>
      <c r="J7" s="8"/>
      <c r="K7" s="8"/>
      <c r="L7" s="1"/>
      <c r="M7" s="1"/>
      <c r="N7" s="9"/>
      <c r="O7" s="10"/>
      <c r="P7" s="1"/>
      <c r="Q7" s="126"/>
      <c r="R7" s="1"/>
      <c r="S7" s="1"/>
      <c r="T7" s="1"/>
      <c r="U7" s="1"/>
    </row>
    <row r="8" spans="1:24" ht="24" customHeight="1">
      <c r="A8" s="1"/>
      <c r="B8" s="32"/>
      <c r="C8" s="31"/>
      <c r="D8" s="33"/>
      <c r="E8" s="31" t="s">
        <v>9</v>
      </c>
      <c r="F8" s="31"/>
      <c r="G8" s="18"/>
      <c r="H8" s="31"/>
      <c r="I8" s="31"/>
      <c r="J8" s="34"/>
      <c r="K8" s="31"/>
      <c r="L8" s="531" t="s">
        <v>10</v>
      </c>
      <c r="M8" s="528"/>
      <c r="N8" s="532" t="s">
        <v>11</v>
      </c>
      <c r="O8" s="528"/>
      <c r="P8" s="533" t="s">
        <v>12</v>
      </c>
      <c r="Q8" s="528"/>
      <c r="R8" s="35" t="s">
        <v>13</v>
      </c>
      <c r="S8" s="527" t="s">
        <v>14</v>
      </c>
      <c r="T8" s="528"/>
      <c r="U8" s="527" t="s">
        <v>15</v>
      </c>
      <c r="V8" s="528"/>
      <c r="W8" s="527" t="s">
        <v>16</v>
      </c>
      <c r="X8" s="528"/>
    </row>
    <row r="9" spans="1:24" ht="15.75" customHeight="1">
      <c r="A9" s="98"/>
      <c r="B9" s="99"/>
      <c r="C9" s="38" t="s">
        <v>18</v>
      </c>
      <c r="D9" s="38" t="s">
        <v>19</v>
      </c>
      <c r="E9" s="38" t="s">
        <v>20</v>
      </c>
      <c r="F9" s="38" t="s">
        <v>21</v>
      </c>
      <c r="G9" s="38" t="s">
        <v>2018</v>
      </c>
      <c r="H9" s="38" t="s">
        <v>22</v>
      </c>
      <c r="I9" s="38"/>
      <c r="J9" s="40"/>
      <c r="K9" s="41" t="s">
        <v>23</v>
      </c>
      <c r="L9" s="42"/>
      <c r="M9" s="43"/>
      <c r="N9" s="43"/>
      <c r="O9" s="44"/>
      <c r="P9" s="45"/>
      <c r="Q9" s="128"/>
      <c r="R9" s="46"/>
      <c r="S9" s="47"/>
      <c r="T9" s="48"/>
      <c r="U9" s="100" t="s">
        <v>24</v>
      </c>
      <c r="V9" s="100" t="s">
        <v>25</v>
      </c>
      <c r="W9" s="49"/>
      <c r="X9" s="49"/>
    </row>
    <row r="10" spans="1:24" ht="15.75" customHeight="1">
      <c r="A10" s="1"/>
      <c r="B10" s="32"/>
      <c r="C10" s="82">
        <v>45383</v>
      </c>
      <c r="D10" s="53" t="s">
        <v>104</v>
      </c>
      <c r="E10" s="53" t="s">
        <v>296</v>
      </c>
      <c r="F10" s="53" t="s">
        <v>297</v>
      </c>
      <c r="G10" s="53" t="s">
        <v>644</v>
      </c>
      <c r="H10" s="53" t="s">
        <v>30</v>
      </c>
      <c r="I10" s="53">
        <v>15</v>
      </c>
      <c r="J10" s="54">
        <v>180</v>
      </c>
      <c r="K10" s="54">
        <f>J10:J11*I10</f>
        <v>2700</v>
      </c>
      <c r="L10" s="55" t="b">
        <v>1</v>
      </c>
      <c r="M10" s="56">
        <v>10420240903</v>
      </c>
      <c r="N10" s="57" t="b">
        <v>1</v>
      </c>
      <c r="O10" s="58" t="s">
        <v>31</v>
      </c>
      <c r="P10" s="59" t="b">
        <v>1</v>
      </c>
      <c r="Q10" s="129"/>
      <c r="R10" s="60"/>
      <c r="S10" s="47" t="b">
        <v>1</v>
      </c>
      <c r="T10" s="61" t="s">
        <v>645</v>
      </c>
      <c r="U10" s="54">
        <f>15*75</f>
        <v>1125</v>
      </c>
      <c r="V10" s="54">
        <f t="shared" ref="V10:V16" si="0">K10-U10</f>
        <v>1575</v>
      </c>
      <c r="W10" s="49"/>
      <c r="X10" s="49"/>
    </row>
    <row r="11" spans="1:24" ht="15.75" customHeight="1">
      <c r="A11" s="1"/>
      <c r="B11" s="32"/>
      <c r="C11" s="82">
        <v>45383</v>
      </c>
      <c r="D11" s="53" t="s">
        <v>397</v>
      </c>
      <c r="E11" s="53" t="s">
        <v>646</v>
      </c>
      <c r="F11" s="53" t="s">
        <v>647</v>
      </c>
      <c r="G11" s="53" t="s">
        <v>648</v>
      </c>
      <c r="H11" s="53" t="s">
        <v>30</v>
      </c>
      <c r="I11" s="53">
        <v>1</v>
      </c>
      <c r="J11" s="54">
        <v>1100</v>
      </c>
      <c r="K11" s="54">
        <f>J11*I11</f>
        <v>1100</v>
      </c>
      <c r="L11" s="55" t="b">
        <v>1</v>
      </c>
      <c r="M11" s="56">
        <v>10420240910</v>
      </c>
      <c r="N11" s="57" t="b">
        <v>1</v>
      </c>
      <c r="O11" s="58" t="s">
        <v>31</v>
      </c>
      <c r="P11" s="59" t="b">
        <v>1</v>
      </c>
      <c r="Q11" s="129"/>
      <c r="R11" s="60"/>
      <c r="S11" s="47" t="b">
        <v>1</v>
      </c>
      <c r="T11" s="61" t="s">
        <v>649</v>
      </c>
      <c r="U11" s="54">
        <f>1*650</f>
        <v>650</v>
      </c>
      <c r="V11" s="54">
        <f t="shared" si="0"/>
        <v>450</v>
      </c>
      <c r="W11" s="49"/>
      <c r="X11" s="49"/>
    </row>
    <row r="12" spans="1:24" ht="15.75" customHeight="1">
      <c r="A12" s="1"/>
      <c r="B12" s="32"/>
      <c r="C12" s="52">
        <v>45383</v>
      </c>
      <c r="D12" s="53" t="s">
        <v>397</v>
      </c>
      <c r="E12" s="53" t="s">
        <v>646</v>
      </c>
      <c r="F12" s="53" t="s">
        <v>647</v>
      </c>
      <c r="G12" s="53" t="s">
        <v>650</v>
      </c>
      <c r="H12" s="53" t="s">
        <v>30</v>
      </c>
      <c r="I12" s="53">
        <v>1</v>
      </c>
      <c r="J12" s="54">
        <v>1350</v>
      </c>
      <c r="K12" s="54">
        <f>J11:J13*I12</f>
        <v>1350</v>
      </c>
      <c r="L12" s="55" t="b">
        <v>1</v>
      </c>
      <c r="M12" s="56">
        <v>10420241111</v>
      </c>
      <c r="N12" s="57" t="b">
        <v>1</v>
      </c>
      <c r="O12" s="58" t="s">
        <v>31</v>
      </c>
      <c r="P12" s="59" t="b">
        <v>1</v>
      </c>
      <c r="Q12" s="129"/>
      <c r="R12" s="60"/>
      <c r="S12" s="47" t="b">
        <v>1</v>
      </c>
      <c r="T12" s="61" t="s">
        <v>651</v>
      </c>
      <c r="U12" s="54">
        <f>1*600</f>
        <v>600</v>
      </c>
      <c r="V12" s="54">
        <f t="shared" si="0"/>
        <v>750</v>
      </c>
      <c r="W12" s="49"/>
      <c r="X12" s="49"/>
    </row>
    <row r="13" spans="1:24" ht="15.75" customHeight="1">
      <c r="A13" s="1"/>
      <c r="B13" s="32"/>
      <c r="C13" s="82">
        <v>45383</v>
      </c>
      <c r="D13" s="53" t="s">
        <v>104</v>
      </c>
      <c r="E13" s="53" t="s">
        <v>296</v>
      </c>
      <c r="F13" s="53" t="s">
        <v>297</v>
      </c>
      <c r="G13" s="53" t="s">
        <v>652</v>
      </c>
      <c r="H13" s="53" t="s">
        <v>30</v>
      </c>
      <c r="I13" s="53">
        <v>1</v>
      </c>
      <c r="J13" s="54">
        <v>2850</v>
      </c>
      <c r="K13" s="54">
        <f t="shared" ref="K13:K14" si="1">J13:J15*I13</f>
        <v>2850</v>
      </c>
      <c r="L13" s="55" t="b">
        <v>1</v>
      </c>
      <c r="M13" s="56">
        <v>10420241118</v>
      </c>
      <c r="N13" s="57" t="b">
        <v>1</v>
      </c>
      <c r="O13" s="58" t="s">
        <v>31</v>
      </c>
      <c r="P13" s="59" t="b">
        <v>1</v>
      </c>
      <c r="Q13" s="129"/>
      <c r="R13" s="60"/>
      <c r="S13" s="47" t="b">
        <v>1</v>
      </c>
      <c r="T13" s="61" t="s">
        <v>653</v>
      </c>
      <c r="U13" s="54">
        <f>1*1850</f>
        <v>1850</v>
      </c>
      <c r="V13" s="54">
        <f t="shared" si="0"/>
        <v>1000</v>
      </c>
      <c r="W13" s="49"/>
      <c r="X13" s="49"/>
    </row>
    <row r="14" spans="1:24" ht="15.75" customHeight="1">
      <c r="A14" s="1"/>
      <c r="B14" s="32"/>
      <c r="C14" s="82">
        <v>45383</v>
      </c>
      <c r="D14" s="53" t="s">
        <v>104</v>
      </c>
      <c r="E14" s="53" t="s">
        <v>296</v>
      </c>
      <c r="F14" s="53" t="s">
        <v>297</v>
      </c>
      <c r="G14" s="74" t="s">
        <v>72</v>
      </c>
      <c r="H14" s="74" t="s">
        <v>30</v>
      </c>
      <c r="I14" s="74">
        <v>1</v>
      </c>
      <c r="J14" s="73">
        <v>860</v>
      </c>
      <c r="K14" s="54">
        <f t="shared" si="1"/>
        <v>860</v>
      </c>
      <c r="L14" s="55" t="b">
        <v>1</v>
      </c>
      <c r="M14" s="56">
        <v>170420241238</v>
      </c>
      <c r="N14" s="57" t="b">
        <v>1</v>
      </c>
      <c r="O14" s="58"/>
      <c r="P14" s="59" t="b">
        <v>1</v>
      </c>
      <c r="Q14" s="129"/>
      <c r="R14" s="60"/>
      <c r="S14" s="47" t="b">
        <v>1</v>
      </c>
      <c r="T14" s="61" t="s">
        <v>654</v>
      </c>
      <c r="U14" s="54">
        <v>500</v>
      </c>
      <c r="V14" s="54">
        <f t="shared" si="0"/>
        <v>360</v>
      </c>
      <c r="W14" s="49"/>
      <c r="X14" s="49"/>
    </row>
    <row r="15" spans="1:24" ht="15.75" customHeight="1">
      <c r="A15" s="1"/>
      <c r="B15" s="32"/>
      <c r="C15" s="82">
        <v>45383</v>
      </c>
      <c r="D15" s="66" t="s">
        <v>51</v>
      </c>
      <c r="E15" s="67" t="s">
        <v>201</v>
      </c>
      <c r="F15" s="67" t="s">
        <v>202</v>
      </c>
      <c r="G15" s="67" t="s">
        <v>236</v>
      </c>
      <c r="H15" s="67" t="s">
        <v>30</v>
      </c>
      <c r="I15" s="67">
        <v>36</v>
      </c>
      <c r="J15" s="68">
        <v>140</v>
      </c>
      <c r="K15" s="54">
        <f t="shared" ref="K15:K17" si="2">J15:J16*I15</f>
        <v>5040</v>
      </c>
      <c r="L15" s="55" t="b">
        <v>1</v>
      </c>
      <c r="M15" s="56">
        <v>10420241131</v>
      </c>
      <c r="N15" s="57" t="b">
        <v>1</v>
      </c>
      <c r="O15" s="58"/>
      <c r="P15" s="59" t="b">
        <v>1</v>
      </c>
      <c r="Q15" s="129"/>
      <c r="R15" s="60"/>
      <c r="S15" s="47" t="b">
        <v>1</v>
      </c>
      <c r="T15" s="61" t="s">
        <v>655</v>
      </c>
      <c r="U15" s="54">
        <f>36*105</f>
        <v>3780</v>
      </c>
      <c r="V15" s="54">
        <f t="shared" si="0"/>
        <v>1260</v>
      </c>
      <c r="W15" s="49"/>
      <c r="X15" s="49"/>
    </row>
    <row r="16" spans="1:24" ht="15.75" customHeight="1">
      <c r="A16" s="1"/>
      <c r="B16" s="32"/>
      <c r="C16" s="82">
        <v>45383</v>
      </c>
      <c r="D16" s="66" t="s">
        <v>51</v>
      </c>
      <c r="E16" s="67" t="s">
        <v>201</v>
      </c>
      <c r="F16" s="67" t="s">
        <v>202</v>
      </c>
      <c r="G16" s="67" t="s">
        <v>512</v>
      </c>
      <c r="H16" s="69" t="s">
        <v>30</v>
      </c>
      <c r="I16" s="69">
        <v>10</v>
      </c>
      <c r="J16" s="70">
        <v>495</v>
      </c>
      <c r="K16" s="54">
        <f t="shared" si="2"/>
        <v>4950</v>
      </c>
      <c r="L16" s="55" t="b">
        <v>1</v>
      </c>
      <c r="M16" s="56">
        <v>10420241131</v>
      </c>
      <c r="N16" s="57" t="b">
        <v>1</v>
      </c>
      <c r="O16" s="58"/>
      <c r="P16" s="59" t="b">
        <v>1</v>
      </c>
      <c r="Q16" s="129"/>
      <c r="R16" s="60"/>
      <c r="S16" s="47" t="b">
        <v>1</v>
      </c>
      <c r="T16" s="61" t="s">
        <v>655</v>
      </c>
      <c r="U16" s="54">
        <f>10*350</f>
        <v>3500</v>
      </c>
      <c r="V16" s="54">
        <f t="shared" si="0"/>
        <v>1450</v>
      </c>
      <c r="W16" s="49"/>
      <c r="X16" s="49"/>
    </row>
    <row r="17" spans="1:24" ht="15.75" customHeight="1">
      <c r="A17" s="1"/>
      <c r="B17" s="32"/>
      <c r="C17" s="82">
        <v>45352</v>
      </c>
      <c r="D17" s="66" t="s">
        <v>144</v>
      </c>
      <c r="E17" s="67" t="s">
        <v>122</v>
      </c>
      <c r="F17" s="67" t="s">
        <v>582</v>
      </c>
      <c r="G17" s="67" t="s">
        <v>656</v>
      </c>
      <c r="H17" s="69" t="s">
        <v>30</v>
      </c>
      <c r="I17" s="69">
        <v>12</v>
      </c>
      <c r="J17" s="70">
        <v>460</v>
      </c>
      <c r="K17" s="54">
        <f t="shared" si="2"/>
        <v>5520</v>
      </c>
      <c r="L17" s="55" t="b">
        <v>1</v>
      </c>
      <c r="M17" s="56">
        <v>10420231540</v>
      </c>
      <c r="N17" s="57" t="b">
        <v>1</v>
      </c>
      <c r="O17" s="58" t="s">
        <v>31</v>
      </c>
      <c r="P17" s="59" t="b">
        <v>1</v>
      </c>
      <c r="Q17" s="129"/>
      <c r="R17" s="60"/>
      <c r="S17" s="47" t="b">
        <v>1</v>
      </c>
      <c r="T17" s="61" t="s">
        <v>657</v>
      </c>
      <c r="U17" s="54">
        <f>12*300</f>
        <v>3600</v>
      </c>
      <c r="V17" s="54">
        <f>K18-U17</f>
        <v>1920</v>
      </c>
      <c r="W17" s="49"/>
      <c r="X17" s="49"/>
    </row>
    <row r="18" spans="1:24" ht="15.75" customHeight="1">
      <c r="A18" s="1"/>
      <c r="B18" s="32"/>
      <c r="C18" s="82">
        <v>45383</v>
      </c>
      <c r="D18" s="53" t="s">
        <v>262</v>
      </c>
      <c r="E18" s="53" t="s">
        <v>263</v>
      </c>
      <c r="F18" s="53" t="s">
        <v>658</v>
      </c>
      <c r="G18" s="53" t="s">
        <v>68</v>
      </c>
      <c r="H18" s="53" t="s">
        <v>30</v>
      </c>
      <c r="I18" s="53">
        <v>1</v>
      </c>
      <c r="J18" s="54">
        <v>2149</v>
      </c>
      <c r="K18" s="54">
        <f>J17*I17</f>
        <v>5520</v>
      </c>
      <c r="L18" s="55" t="b">
        <v>1</v>
      </c>
      <c r="M18" s="56">
        <v>10420241708</v>
      </c>
      <c r="N18" s="57" t="b">
        <v>1</v>
      </c>
      <c r="O18" s="58"/>
      <c r="P18" s="59" t="b">
        <v>1</v>
      </c>
      <c r="Q18" s="129"/>
      <c r="R18" s="60"/>
      <c r="S18" s="47" t="b">
        <v>1</v>
      </c>
      <c r="T18" s="61" t="s">
        <v>659</v>
      </c>
      <c r="U18" s="54">
        <f>3000*0.3194</f>
        <v>958.2</v>
      </c>
      <c r="V18" s="54" t="e">
        <f>#REF!-U18</f>
        <v>#REF!</v>
      </c>
      <c r="W18" s="49"/>
      <c r="X18" s="49"/>
    </row>
    <row r="19" spans="1:24" ht="15.75" customHeight="1">
      <c r="A19" s="1"/>
      <c r="B19" s="32"/>
      <c r="C19" s="82">
        <v>45383</v>
      </c>
      <c r="D19" s="53" t="s">
        <v>262</v>
      </c>
      <c r="E19" s="53" t="s">
        <v>263</v>
      </c>
      <c r="F19" s="53" t="s">
        <v>658</v>
      </c>
      <c r="G19" s="53" t="s">
        <v>650</v>
      </c>
      <c r="H19" s="53" t="s">
        <v>30</v>
      </c>
      <c r="I19" s="53">
        <v>1</v>
      </c>
      <c r="J19" s="54">
        <v>1200</v>
      </c>
      <c r="K19" s="54">
        <f t="shared" ref="K19:K31" si="3">J19:J20*I19</f>
        <v>1200</v>
      </c>
      <c r="L19" s="55" t="b">
        <v>1</v>
      </c>
      <c r="M19" s="56">
        <v>10420241709</v>
      </c>
      <c r="N19" s="57" t="b">
        <v>1</v>
      </c>
      <c r="O19" s="58" t="s">
        <v>31</v>
      </c>
      <c r="P19" s="59" t="b">
        <v>1</v>
      </c>
      <c r="Q19" s="129"/>
      <c r="R19" s="60"/>
      <c r="S19" s="47" t="b">
        <v>1</v>
      </c>
      <c r="T19" s="61" t="s">
        <v>660</v>
      </c>
      <c r="U19" s="54">
        <f>1*600</f>
        <v>600</v>
      </c>
      <c r="V19" s="54">
        <f t="shared" ref="V19:V94" si="4">K19-U19</f>
        <v>600</v>
      </c>
      <c r="W19" s="49"/>
      <c r="X19" s="49"/>
    </row>
    <row r="20" spans="1:24" ht="15.75" customHeight="1">
      <c r="A20" s="1"/>
      <c r="B20" s="32"/>
      <c r="C20" s="82">
        <v>45383</v>
      </c>
      <c r="D20" s="53" t="s">
        <v>345</v>
      </c>
      <c r="E20" s="53" t="s">
        <v>342</v>
      </c>
      <c r="F20" s="53" t="s">
        <v>343</v>
      </c>
      <c r="G20" s="53" t="s">
        <v>68</v>
      </c>
      <c r="H20" s="53" t="s">
        <v>30</v>
      </c>
      <c r="I20" s="53">
        <v>3000</v>
      </c>
      <c r="J20" s="54">
        <v>0.75</v>
      </c>
      <c r="K20" s="54">
        <f t="shared" si="3"/>
        <v>2250</v>
      </c>
      <c r="L20" s="55" t="b">
        <v>1</v>
      </c>
      <c r="M20" s="56">
        <v>10420241710</v>
      </c>
      <c r="N20" s="57" t="b">
        <v>1</v>
      </c>
      <c r="O20" s="58" t="s">
        <v>31</v>
      </c>
      <c r="P20" s="59" t="b">
        <v>1</v>
      </c>
      <c r="Q20" s="129"/>
      <c r="R20" s="60"/>
      <c r="S20" s="47" t="b">
        <v>1</v>
      </c>
      <c r="T20" s="61" t="s">
        <v>661</v>
      </c>
      <c r="U20" s="54">
        <f>3000*0.3194</f>
        <v>958.2</v>
      </c>
      <c r="V20" s="54">
        <f t="shared" si="4"/>
        <v>1291.8</v>
      </c>
      <c r="W20" s="49"/>
      <c r="X20" s="49"/>
    </row>
    <row r="21" spans="1:24" ht="15.75" customHeight="1">
      <c r="A21" s="1"/>
      <c r="B21" s="32"/>
      <c r="C21" s="82">
        <v>45383</v>
      </c>
      <c r="D21" s="53" t="s">
        <v>51</v>
      </c>
      <c r="E21" s="53" t="s">
        <v>66</v>
      </c>
      <c r="F21" s="53" t="s">
        <v>67</v>
      </c>
      <c r="G21" s="53" t="s">
        <v>147</v>
      </c>
      <c r="H21" s="53" t="s">
        <v>30</v>
      </c>
      <c r="I21" s="53">
        <v>1</v>
      </c>
      <c r="J21" s="54">
        <v>700</v>
      </c>
      <c r="K21" s="54">
        <f t="shared" si="3"/>
        <v>700</v>
      </c>
      <c r="L21" s="55" t="b">
        <v>1</v>
      </c>
      <c r="M21" s="56">
        <v>10420241716</v>
      </c>
      <c r="N21" s="57" t="b">
        <v>1</v>
      </c>
      <c r="O21" s="58" t="s">
        <v>31</v>
      </c>
      <c r="P21" s="59" t="b">
        <v>1</v>
      </c>
      <c r="Q21" s="129"/>
      <c r="R21" s="60"/>
      <c r="S21" s="47" t="b">
        <v>1</v>
      </c>
      <c r="T21" s="61" t="s">
        <v>662</v>
      </c>
      <c r="U21" s="54">
        <f>1000*0.32</f>
        <v>320</v>
      </c>
      <c r="V21" s="54">
        <f t="shared" si="4"/>
        <v>380</v>
      </c>
      <c r="W21" s="49"/>
      <c r="X21" s="49"/>
    </row>
    <row r="22" spans="1:24" ht="15.75" customHeight="1">
      <c r="A22" s="1"/>
      <c r="B22" s="32"/>
      <c r="C22" s="82">
        <v>45383</v>
      </c>
      <c r="D22" s="53" t="s">
        <v>51</v>
      </c>
      <c r="E22" s="53" t="s">
        <v>66</v>
      </c>
      <c r="F22" s="53" t="s">
        <v>67</v>
      </c>
      <c r="G22" s="53" t="s">
        <v>663</v>
      </c>
      <c r="H22" s="53" t="s">
        <v>30</v>
      </c>
      <c r="I22" s="53">
        <v>1</v>
      </c>
      <c r="J22" s="54">
        <v>775</v>
      </c>
      <c r="K22" s="54">
        <f t="shared" si="3"/>
        <v>775</v>
      </c>
      <c r="L22" s="55" t="b">
        <v>1</v>
      </c>
      <c r="M22" s="56">
        <v>10420241716</v>
      </c>
      <c r="N22" s="57" t="b">
        <v>1</v>
      </c>
      <c r="O22" s="58" t="s">
        <v>31</v>
      </c>
      <c r="P22" s="59" t="b">
        <v>1</v>
      </c>
      <c r="Q22" s="129"/>
      <c r="R22" s="60"/>
      <c r="S22" s="47" t="b">
        <v>1</v>
      </c>
      <c r="T22" s="61" t="s">
        <v>662</v>
      </c>
      <c r="U22" s="54">
        <f>1000*0.4</f>
        <v>400</v>
      </c>
      <c r="V22" s="54">
        <f t="shared" si="4"/>
        <v>375</v>
      </c>
      <c r="W22" s="49"/>
      <c r="X22" s="49"/>
    </row>
    <row r="23" spans="1:24" ht="13.5" customHeight="1">
      <c r="A23" s="1"/>
      <c r="B23" s="32"/>
      <c r="C23" s="71" t="s">
        <v>664</v>
      </c>
      <c r="D23" s="53" t="s">
        <v>433</v>
      </c>
      <c r="E23" s="53">
        <v>10</v>
      </c>
      <c r="F23" s="53" t="s">
        <v>435</v>
      </c>
      <c r="G23" s="53" t="s">
        <v>142</v>
      </c>
      <c r="H23" s="53" t="s">
        <v>30</v>
      </c>
      <c r="I23" s="53">
        <v>1500</v>
      </c>
      <c r="J23" s="54">
        <v>1</v>
      </c>
      <c r="K23" s="54">
        <f t="shared" si="3"/>
        <v>1500</v>
      </c>
      <c r="L23" s="55" t="b">
        <v>1</v>
      </c>
      <c r="M23" s="56">
        <v>10420241724</v>
      </c>
      <c r="N23" s="57" t="b">
        <v>1</v>
      </c>
      <c r="O23" s="58" t="s">
        <v>31</v>
      </c>
      <c r="P23" s="59" t="b">
        <v>1</v>
      </c>
      <c r="Q23" s="129"/>
      <c r="R23" s="60"/>
      <c r="S23" s="47" t="b">
        <v>1</v>
      </c>
      <c r="T23" s="61" t="s">
        <v>665</v>
      </c>
      <c r="U23" s="54">
        <f>1500*0.82</f>
        <v>1230</v>
      </c>
      <c r="V23" s="54">
        <f t="shared" si="4"/>
        <v>270</v>
      </c>
      <c r="W23" s="49"/>
      <c r="X23" s="49"/>
    </row>
    <row r="24" spans="1:24" ht="15.75" customHeight="1">
      <c r="A24" s="1"/>
      <c r="B24" s="32"/>
      <c r="C24" s="71" t="s">
        <v>664</v>
      </c>
      <c r="D24" s="53" t="s">
        <v>433</v>
      </c>
      <c r="E24" s="53">
        <v>10</v>
      </c>
      <c r="F24" s="53" t="s">
        <v>435</v>
      </c>
      <c r="G24" s="53" t="s">
        <v>666</v>
      </c>
      <c r="H24" s="53" t="s">
        <v>30</v>
      </c>
      <c r="I24" s="53">
        <v>24</v>
      </c>
      <c r="J24" s="54">
        <v>185</v>
      </c>
      <c r="K24" s="54">
        <f t="shared" si="3"/>
        <v>4440</v>
      </c>
      <c r="L24" s="55" t="b">
        <v>1</v>
      </c>
      <c r="M24" s="56">
        <v>10420241724</v>
      </c>
      <c r="N24" s="57" t="b">
        <v>1</v>
      </c>
      <c r="O24" s="58" t="s">
        <v>31</v>
      </c>
      <c r="P24" s="59" t="b">
        <v>1</v>
      </c>
      <c r="Q24" s="129"/>
      <c r="R24" s="60"/>
      <c r="S24" s="47" t="b">
        <v>1</v>
      </c>
      <c r="T24" s="61" t="s">
        <v>667</v>
      </c>
      <c r="U24" s="54">
        <f>24*125</f>
        <v>3000</v>
      </c>
      <c r="V24" s="54">
        <f t="shared" si="4"/>
        <v>1440</v>
      </c>
      <c r="W24" s="49"/>
      <c r="X24" s="49"/>
    </row>
    <row r="25" spans="1:24" ht="15.75" customHeight="1">
      <c r="A25" s="1"/>
      <c r="B25" s="32"/>
      <c r="C25" s="71" t="s">
        <v>664</v>
      </c>
      <c r="D25" s="53" t="s">
        <v>433</v>
      </c>
      <c r="E25" s="53">
        <v>10</v>
      </c>
      <c r="F25" s="53" t="s">
        <v>435</v>
      </c>
      <c r="G25" s="53" t="s">
        <v>236</v>
      </c>
      <c r="H25" s="53" t="s">
        <v>30</v>
      </c>
      <c r="I25" s="53">
        <v>6</v>
      </c>
      <c r="J25" s="54">
        <v>140</v>
      </c>
      <c r="K25" s="54">
        <f t="shared" si="3"/>
        <v>840</v>
      </c>
      <c r="L25" s="55" t="b">
        <v>1</v>
      </c>
      <c r="M25" s="56">
        <v>10420241724</v>
      </c>
      <c r="N25" s="57" t="b">
        <v>1</v>
      </c>
      <c r="O25" s="58" t="s">
        <v>31</v>
      </c>
      <c r="P25" s="59" t="b">
        <v>1</v>
      </c>
      <c r="Q25" s="129"/>
      <c r="R25" s="60"/>
      <c r="S25" s="47" t="b">
        <v>1</v>
      </c>
      <c r="T25" s="61" t="s">
        <v>667</v>
      </c>
      <c r="U25" s="54">
        <f>6*105</f>
        <v>630</v>
      </c>
      <c r="V25" s="54">
        <f t="shared" si="4"/>
        <v>210</v>
      </c>
      <c r="W25" s="49"/>
      <c r="X25" s="49"/>
    </row>
    <row r="26" spans="1:24" ht="15.75" customHeight="1">
      <c r="A26" s="1"/>
      <c r="B26" s="32"/>
      <c r="C26" s="71" t="s">
        <v>664</v>
      </c>
      <c r="D26" s="53" t="s">
        <v>433</v>
      </c>
      <c r="E26" s="53">
        <v>10</v>
      </c>
      <c r="F26" s="53" t="s">
        <v>435</v>
      </c>
      <c r="G26" s="53" t="s">
        <v>668</v>
      </c>
      <c r="H26" s="53" t="s">
        <v>30</v>
      </c>
      <c r="I26" s="53">
        <v>2</v>
      </c>
      <c r="J26" s="54">
        <v>100</v>
      </c>
      <c r="K26" s="54">
        <f t="shared" si="3"/>
        <v>200</v>
      </c>
      <c r="L26" s="55" t="b">
        <v>1</v>
      </c>
      <c r="M26" s="56">
        <v>10420241724</v>
      </c>
      <c r="N26" s="57" t="b">
        <v>1</v>
      </c>
      <c r="O26" s="58" t="s">
        <v>31</v>
      </c>
      <c r="P26" s="59" t="b">
        <v>1</v>
      </c>
      <c r="Q26" s="129"/>
      <c r="R26" s="60"/>
      <c r="S26" s="47" t="b">
        <v>1</v>
      </c>
      <c r="T26" s="61" t="s">
        <v>667</v>
      </c>
      <c r="U26" s="54">
        <f>2*47.5</f>
        <v>95</v>
      </c>
      <c r="V26" s="54">
        <f t="shared" si="4"/>
        <v>105</v>
      </c>
      <c r="W26" s="49"/>
      <c r="X26" s="49"/>
    </row>
    <row r="27" spans="1:24" ht="15.75" customHeight="1">
      <c r="A27" s="1"/>
      <c r="B27" s="32"/>
      <c r="C27" s="71" t="s">
        <v>664</v>
      </c>
      <c r="D27" s="53" t="s">
        <v>212</v>
      </c>
      <c r="E27" s="53" t="s">
        <v>213</v>
      </c>
      <c r="F27" s="53" t="s">
        <v>669</v>
      </c>
      <c r="G27" s="53" t="s">
        <v>670</v>
      </c>
      <c r="H27" s="53" t="s">
        <v>30</v>
      </c>
      <c r="I27" s="53">
        <v>2</v>
      </c>
      <c r="J27" s="54">
        <v>800</v>
      </c>
      <c r="K27" s="54">
        <f t="shared" si="3"/>
        <v>1600</v>
      </c>
      <c r="L27" s="55" t="b">
        <v>1</v>
      </c>
      <c r="M27" s="56">
        <v>10420241756</v>
      </c>
      <c r="N27" s="57" t="b">
        <v>1</v>
      </c>
      <c r="O27" s="58" t="s">
        <v>31</v>
      </c>
      <c r="P27" s="59" t="b">
        <v>1</v>
      </c>
      <c r="Q27" s="129"/>
      <c r="R27" s="60"/>
      <c r="S27" s="47" t="b">
        <v>1</v>
      </c>
      <c r="T27" s="61" t="s">
        <v>671</v>
      </c>
      <c r="U27" s="54">
        <f>2*450</f>
        <v>900</v>
      </c>
      <c r="V27" s="54">
        <f t="shared" si="4"/>
        <v>700</v>
      </c>
      <c r="W27" s="49"/>
      <c r="X27" s="49"/>
    </row>
    <row r="28" spans="1:24" ht="14.25" customHeight="1">
      <c r="A28" s="1"/>
      <c r="B28" s="32"/>
      <c r="C28" s="71" t="s">
        <v>672</v>
      </c>
      <c r="D28" s="53" t="s">
        <v>104</v>
      </c>
      <c r="E28" s="53" t="s">
        <v>673</v>
      </c>
      <c r="F28" s="53" t="s">
        <v>674</v>
      </c>
      <c r="G28" s="53" t="s">
        <v>436</v>
      </c>
      <c r="H28" s="53" t="s">
        <v>30</v>
      </c>
      <c r="I28" s="53">
        <v>50</v>
      </c>
      <c r="J28" s="54">
        <v>120</v>
      </c>
      <c r="K28" s="54">
        <f t="shared" si="3"/>
        <v>6000</v>
      </c>
      <c r="L28" s="55" t="b">
        <v>1</v>
      </c>
      <c r="M28" s="56">
        <v>20420241154</v>
      </c>
      <c r="N28" s="57" t="b">
        <v>1</v>
      </c>
      <c r="O28" s="58" t="s">
        <v>31</v>
      </c>
      <c r="P28" s="59" t="b">
        <v>1</v>
      </c>
      <c r="Q28" s="130" t="s">
        <v>675</v>
      </c>
      <c r="R28" s="60"/>
      <c r="S28" s="47" t="b">
        <v>1</v>
      </c>
      <c r="T28" s="61" t="s">
        <v>676</v>
      </c>
      <c r="U28" s="54">
        <f>50*90</f>
        <v>4500</v>
      </c>
      <c r="V28" s="54">
        <f t="shared" si="4"/>
        <v>1500</v>
      </c>
      <c r="W28" s="49"/>
      <c r="X28" s="49"/>
    </row>
    <row r="29" spans="1:24" ht="15.75" customHeight="1">
      <c r="A29" s="1"/>
      <c r="B29" s="32"/>
      <c r="C29" s="71" t="s">
        <v>672</v>
      </c>
      <c r="D29" s="53" t="s">
        <v>345</v>
      </c>
      <c r="E29" s="53" t="s">
        <v>342</v>
      </c>
      <c r="F29" s="53" t="s">
        <v>343</v>
      </c>
      <c r="G29" s="53" t="s">
        <v>677</v>
      </c>
      <c r="H29" s="53" t="s">
        <v>30</v>
      </c>
      <c r="I29" s="53">
        <v>30</v>
      </c>
      <c r="J29" s="54">
        <v>100</v>
      </c>
      <c r="K29" s="54">
        <f t="shared" si="3"/>
        <v>3000</v>
      </c>
      <c r="L29" s="55" t="b">
        <v>1</v>
      </c>
      <c r="M29" s="56">
        <v>20420241328</v>
      </c>
      <c r="N29" s="57" t="b">
        <v>1</v>
      </c>
      <c r="O29" s="58" t="s">
        <v>31</v>
      </c>
      <c r="P29" s="59" t="b">
        <v>1</v>
      </c>
      <c r="Q29" s="129"/>
      <c r="R29" s="60"/>
      <c r="S29" s="47" t="b">
        <v>1</v>
      </c>
      <c r="T29" s="61" t="s">
        <v>678</v>
      </c>
      <c r="U29" s="54">
        <f>30*32</f>
        <v>960</v>
      </c>
      <c r="V29" s="54">
        <f t="shared" si="4"/>
        <v>2040</v>
      </c>
      <c r="W29" s="49"/>
      <c r="X29" s="49"/>
    </row>
    <row r="30" spans="1:24" ht="15.75" customHeight="1">
      <c r="A30" s="1"/>
      <c r="B30" s="32"/>
      <c r="C30" s="71" t="s">
        <v>672</v>
      </c>
      <c r="D30" s="53" t="s">
        <v>418</v>
      </c>
      <c r="E30" s="53" t="s">
        <v>42</v>
      </c>
      <c r="F30" s="66" t="s">
        <v>209</v>
      </c>
      <c r="G30" s="67" t="s">
        <v>679</v>
      </c>
      <c r="H30" s="67" t="s">
        <v>30</v>
      </c>
      <c r="I30" s="67">
        <v>12</v>
      </c>
      <c r="J30" s="68">
        <v>105</v>
      </c>
      <c r="K30" s="54">
        <f t="shared" si="3"/>
        <v>1260</v>
      </c>
      <c r="L30" s="55" t="b">
        <v>1</v>
      </c>
      <c r="M30" s="56">
        <v>20420241414</v>
      </c>
      <c r="N30" s="57" t="b">
        <v>1</v>
      </c>
      <c r="O30" s="58" t="s">
        <v>31</v>
      </c>
      <c r="P30" s="59" t="b">
        <v>1</v>
      </c>
      <c r="Q30" s="129">
        <v>206080734547</v>
      </c>
      <c r="R30" s="60"/>
      <c r="S30" s="47" t="b">
        <v>1</v>
      </c>
      <c r="T30" s="61" t="s">
        <v>680</v>
      </c>
      <c r="U30" s="54">
        <f>12*75</f>
        <v>900</v>
      </c>
      <c r="V30" s="54">
        <f t="shared" si="4"/>
        <v>360</v>
      </c>
      <c r="W30" s="49"/>
      <c r="X30" s="49"/>
    </row>
    <row r="31" spans="1:24" ht="15.75" customHeight="1">
      <c r="A31" s="1"/>
      <c r="B31" s="32"/>
      <c r="C31" s="71" t="s">
        <v>672</v>
      </c>
      <c r="D31" s="53" t="s">
        <v>171</v>
      </c>
      <c r="E31" s="53" t="s">
        <v>137</v>
      </c>
      <c r="F31" s="66" t="s">
        <v>681</v>
      </c>
      <c r="G31" s="69" t="s">
        <v>682</v>
      </c>
      <c r="H31" s="69" t="s">
        <v>30</v>
      </c>
      <c r="I31" s="69">
        <v>15</v>
      </c>
      <c r="J31" s="70">
        <v>215</v>
      </c>
      <c r="K31" s="54">
        <f t="shared" si="3"/>
        <v>3225</v>
      </c>
      <c r="L31" s="55" t="b">
        <v>1</v>
      </c>
      <c r="M31" s="56">
        <v>20420241439</v>
      </c>
      <c r="N31" s="57" t="b">
        <v>1</v>
      </c>
      <c r="O31" s="58" t="s">
        <v>31</v>
      </c>
      <c r="P31" s="59" t="b">
        <v>1</v>
      </c>
      <c r="Q31" s="129"/>
      <c r="R31" s="60"/>
      <c r="S31" s="47" t="b">
        <v>1</v>
      </c>
      <c r="T31" s="61" t="s">
        <v>683</v>
      </c>
      <c r="U31" s="54">
        <f>15*120</f>
        <v>1800</v>
      </c>
      <c r="V31" s="54">
        <f t="shared" si="4"/>
        <v>1425</v>
      </c>
      <c r="W31" s="49"/>
      <c r="X31" s="49"/>
    </row>
    <row r="32" spans="1:24" ht="15.75" customHeight="1">
      <c r="A32" s="1"/>
      <c r="B32" s="32"/>
      <c r="C32" s="71" t="s">
        <v>684</v>
      </c>
      <c r="D32" s="53" t="s">
        <v>51</v>
      </c>
      <c r="E32" s="53" t="s">
        <v>372</v>
      </c>
      <c r="F32" s="66" t="s">
        <v>373</v>
      </c>
      <c r="G32" s="69" t="s">
        <v>685</v>
      </c>
      <c r="H32" s="69" t="s">
        <v>30</v>
      </c>
      <c r="I32" s="69">
        <v>1</v>
      </c>
      <c r="J32" s="70">
        <v>3600</v>
      </c>
      <c r="K32" s="54">
        <f t="shared" ref="K32:K33" si="5">J32:J34*I32</f>
        <v>3600</v>
      </c>
      <c r="L32" s="55" t="b">
        <v>1</v>
      </c>
      <c r="M32" s="56">
        <v>30420241837</v>
      </c>
      <c r="N32" s="57" t="b">
        <v>1</v>
      </c>
      <c r="O32" s="58" t="s">
        <v>39</v>
      </c>
      <c r="P32" s="59" t="b">
        <v>1</v>
      </c>
      <c r="Q32" s="129" t="s">
        <v>686</v>
      </c>
      <c r="R32" s="60"/>
      <c r="S32" s="47" t="b">
        <v>1</v>
      </c>
      <c r="T32" s="61" t="s">
        <v>687</v>
      </c>
      <c r="U32" s="54">
        <v>2400</v>
      </c>
      <c r="V32" s="54">
        <f t="shared" si="4"/>
        <v>1200</v>
      </c>
      <c r="W32" s="49"/>
      <c r="X32" s="49"/>
    </row>
    <row r="33" spans="1:24" ht="15.75" customHeight="1">
      <c r="A33" s="1"/>
      <c r="B33" s="32"/>
      <c r="C33" s="71" t="s">
        <v>684</v>
      </c>
      <c r="D33" s="53" t="s">
        <v>51</v>
      </c>
      <c r="E33" s="53" t="s">
        <v>372</v>
      </c>
      <c r="F33" s="66" t="s">
        <v>373</v>
      </c>
      <c r="G33" s="69" t="s">
        <v>688</v>
      </c>
      <c r="H33" s="69" t="s">
        <v>30</v>
      </c>
      <c r="I33" s="69">
        <v>30</v>
      </c>
      <c r="J33" s="70">
        <v>35</v>
      </c>
      <c r="K33" s="54">
        <f t="shared" si="5"/>
        <v>1050</v>
      </c>
      <c r="L33" s="55" t="b">
        <v>1</v>
      </c>
      <c r="M33" s="56"/>
      <c r="N33" s="57" t="b">
        <v>1</v>
      </c>
      <c r="O33" s="58" t="s">
        <v>39</v>
      </c>
      <c r="P33" s="59" t="b">
        <v>1</v>
      </c>
      <c r="Q33" s="129" t="s">
        <v>689</v>
      </c>
      <c r="R33" s="60"/>
      <c r="S33" s="47" t="b">
        <v>1</v>
      </c>
      <c r="T33" s="61" t="s">
        <v>687</v>
      </c>
      <c r="U33" s="54">
        <f>30*25</f>
        <v>750</v>
      </c>
      <c r="V33" s="54">
        <f t="shared" si="4"/>
        <v>300</v>
      </c>
      <c r="W33" s="49"/>
      <c r="X33" s="49"/>
    </row>
    <row r="34" spans="1:24" ht="15.75" customHeight="1">
      <c r="A34" s="1"/>
      <c r="B34" s="32"/>
      <c r="C34" s="71" t="s">
        <v>684</v>
      </c>
      <c r="D34" s="53" t="s">
        <v>104</v>
      </c>
      <c r="E34" s="53" t="s">
        <v>486</v>
      </c>
      <c r="F34" s="66" t="s">
        <v>241</v>
      </c>
      <c r="G34" s="69" t="s">
        <v>690</v>
      </c>
      <c r="H34" s="69" t="s">
        <v>30</v>
      </c>
      <c r="I34" s="69">
        <v>15</v>
      </c>
      <c r="J34" s="70">
        <v>95</v>
      </c>
      <c r="K34" s="54">
        <f t="shared" ref="K34:K36" si="6">J34:J35*I34</f>
        <v>1425</v>
      </c>
      <c r="L34" s="55" t="b">
        <v>1</v>
      </c>
      <c r="M34" s="56">
        <v>30420241838</v>
      </c>
      <c r="N34" s="57" t="b">
        <v>1</v>
      </c>
      <c r="O34" s="58" t="s">
        <v>31</v>
      </c>
      <c r="P34" s="59" t="b">
        <v>1</v>
      </c>
      <c r="Q34" s="129">
        <v>210880147517</v>
      </c>
      <c r="R34" s="60"/>
      <c r="S34" s="47" t="b">
        <v>1</v>
      </c>
      <c r="T34" s="61" t="s">
        <v>691</v>
      </c>
      <c r="U34" s="54">
        <f>15*40</f>
        <v>600</v>
      </c>
      <c r="V34" s="54">
        <f t="shared" si="4"/>
        <v>825</v>
      </c>
      <c r="W34" s="49"/>
      <c r="X34" s="49"/>
    </row>
    <row r="35" spans="1:24" ht="15.75" customHeight="1">
      <c r="A35" s="1"/>
      <c r="B35" s="32"/>
      <c r="C35" s="71" t="s">
        <v>684</v>
      </c>
      <c r="D35" s="53" t="s">
        <v>104</v>
      </c>
      <c r="E35" s="53" t="s">
        <v>486</v>
      </c>
      <c r="F35" s="66" t="s">
        <v>241</v>
      </c>
      <c r="G35" s="69" t="s">
        <v>692</v>
      </c>
      <c r="H35" s="69" t="s">
        <v>30</v>
      </c>
      <c r="I35" s="69">
        <v>1</v>
      </c>
      <c r="J35" s="70">
        <v>3600</v>
      </c>
      <c r="K35" s="54">
        <f t="shared" si="6"/>
        <v>3600</v>
      </c>
      <c r="L35" s="55" t="b">
        <v>1</v>
      </c>
      <c r="M35" s="56">
        <v>30420241840</v>
      </c>
      <c r="N35" s="57" t="b">
        <v>1</v>
      </c>
      <c r="O35" s="58"/>
      <c r="P35" s="59" t="b">
        <v>1</v>
      </c>
      <c r="Q35" s="129"/>
      <c r="R35" s="60"/>
      <c r="S35" s="47" t="b">
        <v>1</v>
      </c>
      <c r="T35" s="61" t="s">
        <v>693</v>
      </c>
      <c r="U35" s="54">
        <v>1064</v>
      </c>
      <c r="V35" s="54">
        <f t="shared" si="4"/>
        <v>2536</v>
      </c>
      <c r="W35" s="49"/>
      <c r="X35" s="49"/>
    </row>
    <row r="36" spans="1:24" ht="15.75" customHeight="1">
      <c r="A36" s="1"/>
      <c r="B36" s="32"/>
      <c r="C36" s="71" t="s">
        <v>684</v>
      </c>
      <c r="D36" s="53" t="s">
        <v>104</v>
      </c>
      <c r="E36" s="53" t="s">
        <v>486</v>
      </c>
      <c r="F36" s="66" t="s">
        <v>241</v>
      </c>
      <c r="G36" s="69" t="s">
        <v>694</v>
      </c>
      <c r="H36" s="69" t="s">
        <v>30</v>
      </c>
      <c r="I36" s="69">
        <v>10</v>
      </c>
      <c r="J36" s="70">
        <v>100</v>
      </c>
      <c r="K36" s="54">
        <f t="shared" si="6"/>
        <v>1000</v>
      </c>
      <c r="L36" s="55" t="b">
        <v>1</v>
      </c>
      <c r="M36" s="56">
        <v>30420241841</v>
      </c>
      <c r="N36" s="57" t="b">
        <v>1</v>
      </c>
      <c r="O36" s="58"/>
      <c r="P36" s="59" t="b">
        <v>1</v>
      </c>
      <c r="Q36" s="129"/>
      <c r="R36" s="60"/>
      <c r="S36" s="47" t="b">
        <v>1</v>
      </c>
      <c r="T36" s="61" t="s">
        <v>693</v>
      </c>
      <c r="U36" s="54">
        <f>10*35</f>
        <v>350</v>
      </c>
      <c r="V36" s="54">
        <f t="shared" si="4"/>
        <v>650</v>
      </c>
      <c r="W36" s="49"/>
      <c r="X36" s="49"/>
    </row>
    <row r="37" spans="1:24" ht="15.75" customHeight="1">
      <c r="A37" s="1"/>
      <c r="B37" s="32"/>
      <c r="C37" s="71" t="s">
        <v>684</v>
      </c>
      <c r="D37" s="53" t="s">
        <v>51</v>
      </c>
      <c r="E37" s="53" t="s">
        <v>137</v>
      </c>
      <c r="F37" s="66" t="s">
        <v>695</v>
      </c>
      <c r="G37" s="69" t="s">
        <v>696</v>
      </c>
      <c r="H37" s="69" t="s">
        <v>30</v>
      </c>
      <c r="I37" s="69">
        <v>1</v>
      </c>
      <c r="J37" s="70">
        <v>3600</v>
      </c>
      <c r="K37" s="54">
        <f t="shared" ref="K37:K39" si="7">J37:J39*I37</f>
        <v>3600</v>
      </c>
      <c r="L37" s="55" t="b">
        <v>1</v>
      </c>
      <c r="M37" s="56">
        <v>30420241842</v>
      </c>
      <c r="N37" s="57" t="b">
        <v>1</v>
      </c>
      <c r="O37" s="58" t="s">
        <v>39</v>
      </c>
      <c r="P37" s="59" t="b">
        <v>1</v>
      </c>
      <c r="Q37" s="129" t="s">
        <v>697</v>
      </c>
      <c r="R37" s="60"/>
      <c r="S37" s="47" t="b">
        <v>1</v>
      </c>
      <c r="T37" s="61" t="s">
        <v>698</v>
      </c>
      <c r="U37" s="54">
        <v>2400</v>
      </c>
      <c r="V37" s="54">
        <f t="shared" si="4"/>
        <v>1200</v>
      </c>
      <c r="W37" s="49"/>
      <c r="X37" s="49"/>
    </row>
    <row r="38" spans="1:24" ht="15.75" customHeight="1">
      <c r="A38" s="1"/>
      <c r="B38" s="32"/>
      <c r="C38" s="71" t="s">
        <v>699</v>
      </c>
      <c r="D38" s="53" t="s">
        <v>51</v>
      </c>
      <c r="E38" s="53" t="s">
        <v>137</v>
      </c>
      <c r="F38" s="66" t="s">
        <v>695</v>
      </c>
      <c r="G38" s="69" t="s">
        <v>700</v>
      </c>
      <c r="H38" s="69" t="s">
        <v>30</v>
      </c>
      <c r="I38" s="69">
        <v>50</v>
      </c>
      <c r="J38" s="70">
        <v>35</v>
      </c>
      <c r="K38" s="54">
        <f t="shared" si="7"/>
        <v>1750</v>
      </c>
      <c r="L38" s="55" t="b">
        <v>1</v>
      </c>
      <c r="M38" s="56">
        <v>150420241620</v>
      </c>
      <c r="N38" s="57" t="b">
        <v>1</v>
      </c>
      <c r="O38" s="58" t="s">
        <v>39</v>
      </c>
      <c r="P38" s="59" t="b">
        <v>1</v>
      </c>
      <c r="Q38" s="129" t="s">
        <v>701</v>
      </c>
      <c r="R38" s="60"/>
      <c r="S38" s="47" t="b">
        <v>1</v>
      </c>
      <c r="T38" s="61" t="s">
        <v>698</v>
      </c>
      <c r="U38" s="54">
        <f>50*25</f>
        <v>1250</v>
      </c>
      <c r="V38" s="54">
        <f t="shared" si="4"/>
        <v>500</v>
      </c>
      <c r="W38" s="49"/>
      <c r="X38" s="49"/>
    </row>
    <row r="39" spans="1:24" ht="15.75" customHeight="1">
      <c r="A39" s="1"/>
      <c r="B39" s="32"/>
      <c r="C39" s="71" t="s">
        <v>684</v>
      </c>
      <c r="D39" s="53" t="s">
        <v>51</v>
      </c>
      <c r="E39" s="53" t="s">
        <v>335</v>
      </c>
      <c r="F39" s="66" t="s">
        <v>702</v>
      </c>
      <c r="G39" s="69" t="s">
        <v>703</v>
      </c>
      <c r="H39" s="69" t="s">
        <v>30</v>
      </c>
      <c r="I39" s="69">
        <v>1</v>
      </c>
      <c r="J39" s="70">
        <v>1750</v>
      </c>
      <c r="K39" s="54">
        <f t="shared" si="7"/>
        <v>1750</v>
      </c>
      <c r="L39" s="55" t="b">
        <v>1</v>
      </c>
      <c r="M39" s="56">
        <v>30420241842</v>
      </c>
      <c r="N39" s="57" t="b">
        <v>1</v>
      </c>
      <c r="O39" s="58"/>
      <c r="P39" s="59" t="b">
        <v>1</v>
      </c>
      <c r="Q39" s="129"/>
      <c r="R39" s="60"/>
      <c r="S39" s="47" t="b">
        <v>1</v>
      </c>
      <c r="T39" s="61" t="s">
        <v>704</v>
      </c>
      <c r="U39" s="54">
        <v>750</v>
      </c>
      <c r="V39" s="54">
        <f t="shared" si="4"/>
        <v>1000</v>
      </c>
      <c r="W39" s="49"/>
      <c r="X39" s="49"/>
    </row>
    <row r="40" spans="1:24" ht="15.75" customHeight="1">
      <c r="A40" s="1"/>
      <c r="B40" s="32"/>
      <c r="C40" s="71" t="s">
        <v>705</v>
      </c>
      <c r="D40" s="53" t="s">
        <v>433</v>
      </c>
      <c r="E40" s="53" t="s">
        <v>706</v>
      </c>
      <c r="F40" s="66" t="s">
        <v>707</v>
      </c>
      <c r="G40" s="131" t="s">
        <v>708</v>
      </c>
      <c r="H40" s="69" t="s">
        <v>30</v>
      </c>
      <c r="I40" s="69">
        <v>4</v>
      </c>
      <c r="J40" s="70">
        <v>300</v>
      </c>
      <c r="K40" s="54">
        <f t="shared" ref="K40:K52" si="8">J40:J41*I40</f>
        <v>1200</v>
      </c>
      <c r="L40" s="55" t="b">
        <v>1</v>
      </c>
      <c r="M40" s="56">
        <v>50420241119</v>
      </c>
      <c r="N40" s="57" t="b">
        <v>1</v>
      </c>
      <c r="O40" s="58" t="s">
        <v>39</v>
      </c>
      <c r="P40" s="59" t="b">
        <v>1</v>
      </c>
      <c r="Q40" s="129">
        <v>210880147516</v>
      </c>
      <c r="R40" s="60"/>
      <c r="S40" s="47" t="b">
        <v>1</v>
      </c>
      <c r="T40" s="61" t="s">
        <v>709</v>
      </c>
      <c r="U40" s="54">
        <f>4*175</f>
        <v>700</v>
      </c>
      <c r="V40" s="54">
        <f t="shared" si="4"/>
        <v>500</v>
      </c>
      <c r="W40" s="49"/>
      <c r="X40" s="49"/>
    </row>
    <row r="41" spans="1:24" ht="15.75" customHeight="1">
      <c r="A41" s="1"/>
      <c r="B41" s="32"/>
      <c r="C41" s="71" t="s">
        <v>705</v>
      </c>
      <c r="D41" s="53" t="s">
        <v>98</v>
      </c>
      <c r="E41" s="53" t="s">
        <v>99</v>
      </c>
      <c r="F41" s="66" t="s">
        <v>100</v>
      </c>
      <c r="G41" s="69" t="s">
        <v>710</v>
      </c>
      <c r="H41" s="69" t="s">
        <v>30</v>
      </c>
      <c r="I41" s="69">
        <v>8</v>
      </c>
      <c r="J41" s="70">
        <v>5600</v>
      </c>
      <c r="K41" s="54">
        <f t="shared" si="8"/>
        <v>44800</v>
      </c>
      <c r="L41" s="55" t="b">
        <v>1</v>
      </c>
      <c r="M41" s="56">
        <v>50420241634</v>
      </c>
      <c r="N41" s="57" t="b">
        <v>1</v>
      </c>
      <c r="O41" s="58" t="s">
        <v>351</v>
      </c>
      <c r="P41" s="59" t="b">
        <v>1</v>
      </c>
      <c r="Q41" s="130" t="s">
        <v>711</v>
      </c>
      <c r="R41" s="60"/>
      <c r="S41" s="47" t="b">
        <v>1</v>
      </c>
      <c r="T41" s="61" t="s">
        <v>712</v>
      </c>
      <c r="U41" s="54">
        <v>10400</v>
      </c>
      <c r="V41" s="54">
        <f t="shared" si="4"/>
        <v>34400</v>
      </c>
      <c r="W41" s="49"/>
      <c r="X41" s="49"/>
    </row>
    <row r="42" spans="1:24" ht="15.75" customHeight="1">
      <c r="A42" s="1"/>
      <c r="B42" s="32"/>
      <c r="C42" s="71" t="s">
        <v>705</v>
      </c>
      <c r="D42" s="53" t="s">
        <v>98</v>
      </c>
      <c r="E42" s="53" t="s">
        <v>99</v>
      </c>
      <c r="F42" s="66" t="s">
        <v>100</v>
      </c>
      <c r="G42" s="69" t="s">
        <v>72</v>
      </c>
      <c r="H42" s="69" t="s">
        <v>30</v>
      </c>
      <c r="I42" s="69">
        <v>1</v>
      </c>
      <c r="J42" s="70">
        <v>2150</v>
      </c>
      <c r="K42" s="54">
        <f t="shared" si="8"/>
        <v>2150</v>
      </c>
      <c r="L42" s="55" t="b">
        <v>1</v>
      </c>
      <c r="M42" s="56">
        <v>50420241634</v>
      </c>
      <c r="N42" s="57" t="b">
        <v>1</v>
      </c>
      <c r="O42" s="58"/>
      <c r="P42" s="59" t="b">
        <v>1</v>
      </c>
      <c r="Q42" s="129"/>
      <c r="R42" s="60"/>
      <c r="S42" s="47" t="b">
        <v>1</v>
      </c>
      <c r="T42" s="61" t="s">
        <v>713</v>
      </c>
      <c r="U42" s="54">
        <v>1200</v>
      </c>
      <c r="V42" s="54">
        <f t="shared" si="4"/>
        <v>950</v>
      </c>
      <c r="W42" s="49"/>
      <c r="X42" s="49"/>
    </row>
    <row r="43" spans="1:24" ht="15.75" customHeight="1">
      <c r="A43" s="1"/>
      <c r="B43" s="32"/>
      <c r="C43" s="132" t="s">
        <v>714</v>
      </c>
      <c r="D43" s="67" t="s">
        <v>26</v>
      </c>
      <c r="E43" s="67" t="s">
        <v>36</v>
      </c>
      <c r="F43" s="67" t="s">
        <v>715</v>
      </c>
      <c r="G43" s="67" t="s">
        <v>101</v>
      </c>
      <c r="H43" s="67" t="s">
        <v>30</v>
      </c>
      <c r="I43" s="67">
        <v>15</v>
      </c>
      <c r="J43" s="68">
        <v>550</v>
      </c>
      <c r="K43" s="68">
        <f t="shared" si="8"/>
        <v>8250</v>
      </c>
      <c r="L43" s="55" t="b">
        <v>1</v>
      </c>
      <c r="M43" s="56">
        <v>50420241033</v>
      </c>
      <c r="N43" s="57" t="b">
        <v>1</v>
      </c>
      <c r="O43" s="58" t="s">
        <v>39</v>
      </c>
      <c r="P43" s="59" t="b">
        <v>1</v>
      </c>
      <c r="Q43" s="129"/>
      <c r="R43" s="60"/>
      <c r="S43" s="47" t="b">
        <v>1</v>
      </c>
      <c r="T43" s="61" t="s">
        <v>716</v>
      </c>
      <c r="U43" s="54">
        <f>15*400</f>
        <v>6000</v>
      </c>
      <c r="V43" s="54">
        <f t="shared" si="4"/>
        <v>2250</v>
      </c>
      <c r="W43" s="49"/>
      <c r="X43" s="49"/>
    </row>
    <row r="44" spans="1:24" ht="15.75" customHeight="1">
      <c r="A44" s="1"/>
      <c r="B44" s="32"/>
      <c r="C44" s="133" t="s">
        <v>714</v>
      </c>
      <c r="D44" s="69" t="s">
        <v>171</v>
      </c>
      <c r="E44" s="69" t="s">
        <v>137</v>
      </c>
      <c r="F44" s="69" t="s">
        <v>172</v>
      </c>
      <c r="G44" s="69" t="s">
        <v>717</v>
      </c>
      <c r="H44" s="69" t="s">
        <v>30</v>
      </c>
      <c r="I44" s="69">
        <v>250</v>
      </c>
      <c r="J44" s="70">
        <v>6.4</v>
      </c>
      <c r="K44" s="70">
        <f t="shared" si="8"/>
        <v>1600</v>
      </c>
      <c r="L44" s="55" t="b">
        <v>1</v>
      </c>
      <c r="M44" s="56">
        <v>50420241033</v>
      </c>
      <c r="N44" s="57" t="b">
        <v>1</v>
      </c>
      <c r="O44" s="58" t="s">
        <v>39</v>
      </c>
      <c r="P44" s="59" t="b">
        <v>1</v>
      </c>
      <c r="Q44" s="129">
        <v>206080734550</v>
      </c>
      <c r="R44" s="60"/>
      <c r="S44" s="47" t="b">
        <v>1</v>
      </c>
      <c r="T44" s="61" t="s">
        <v>718</v>
      </c>
      <c r="U44" s="54">
        <f>250*4.5</f>
        <v>1125</v>
      </c>
      <c r="V44" s="54">
        <f t="shared" si="4"/>
        <v>475</v>
      </c>
      <c r="W44" s="49"/>
      <c r="X44" s="49"/>
    </row>
    <row r="45" spans="1:24" ht="15.75" customHeight="1">
      <c r="A45" s="1"/>
      <c r="B45" s="32"/>
      <c r="C45" s="71" t="s">
        <v>719</v>
      </c>
      <c r="D45" s="53" t="s">
        <v>104</v>
      </c>
      <c r="E45" s="53" t="s">
        <v>61</v>
      </c>
      <c r="F45" s="66" t="s">
        <v>181</v>
      </c>
      <c r="G45" s="69" t="s">
        <v>68</v>
      </c>
      <c r="H45" s="69" t="s">
        <v>30</v>
      </c>
      <c r="I45" s="69">
        <v>6000</v>
      </c>
      <c r="J45" s="70">
        <v>0.75</v>
      </c>
      <c r="K45" s="54">
        <f t="shared" si="8"/>
        <v>4500</v>
      </c>
      <c r="L45" s="55" t="b">
        <v>1</v>
      </c>
      <c r="M45" s="56">
        <v>60420241121</v>
      </c>
      <c r="N45" s="57" t="b">
        <v>1</v>
      </c>
      <c r="O45" s="58" t="s">
        <v>529</v>
      </c>
      <c r="P45" s="59" t="b">
        <v>1</v>
      </c>
      <c r="Q45" s="129"/>
      <c r="R45" s="60"/>
      <c r="S45" s="47" t="b">
        <v>1</v>
      </c>
      <c r="T45" s="61" t="s">
        <v>720</v>
      </c>
      <c r="U45" s="54">
        <f>6000*0.3194</f>
        <v>1916.4</v>
      </c>
      <c r="V45" s="54">
        <f t="shared" si="4"/>
        <v>2583.6</v>
      </c>
      <c r="W45" s="49"/>
      <c r="X45" s="49"/>
    </row>
    <row r="46" spans="1:24" ht="15.75" customHeight="1">
      <c r="A46" s="1"/>
      <c r="B46" s="32"/>
      <c r="C46" s="71" t="s">
        <v>719</v>
      </c>
      <c r="D46" s="53" t="s">
        <v>104</v>
      </c>
      <c r="E46" s="53" t="s">
        <v>61</v>
      </c>
      <c r="F46" s="66" t="s">
        <v>314</v>
      </c>
      <c r="G46" s="69" t="s">
        <v>721</v>
      </c>
      <c r="H46" s="69" t="s">
        <v>30</v>
      </c>
      <c r="I46" s="69">
        <v>1</v>
      </c>
      <c r="J46" s="70">
        <v>1100</v>
      </c>
      <c r="K46" s="54">
        <f t="shared" si="8"/>
        <v>1100</v>
      </c>
      <c r="L46" s="55" t="b">
        <v>1</v>
      </c>
      <c r="M46" s="56">
        <v>60420241123</v>
      </c>
      <c r="N46" s="57" t="b">
        <v>1</v>
      </c>
      <c r="O46" s="58" t="s">
        <v>529</v>
      </c>
      <c r="P46" s="59" t="b">
        <v>1</v>
      </c>
      <c r="Q46" s="129">
        <v>213492016633</v>
      </c>
      <c r="R46" s="60"/>
      <c r="S46" s="47" t="b">
        <v>1</v>
      </c>
      <c r="T46" s="61" t="s">
        <v>722</v>
      </c>
      <c r="U46" s="54">
        <v>540</v>
      </c>
      <c r="V46" s="54">
        <f t="shared" si="4"/>
        <v>560</v>
      </c>
      <c r="W46" s="49"/>
      <c r="X46" s="49"/>
    </row>
    <row r="47" spans="1:24" ht="15.75" customHeight="1">
      <c r="A47" s="1"/>
      <c r="B47" s="32"/>
      <c r="C47" s="71" t="s">
        <v>719</v>
      </c>
      <c r="D47" s="53" t="s">
        <v>438</v>
      </c>
      <c r="E47" s="53" t="s">
        <v>439</v>
      </c>
      <c r="F47" s="66" t="s">
        <v>440</v>
      </c>
      <c r="G47" s="69" t="s">
        <v>650</v>
      </c>
      <c r="H47" s="69" t="s">
        <v>30</v>
      </c>
      <c r="I47" s="69">
        <v>5</v>
      </c>
      <c r="J47" s="70">
        <v>1250</v>
      </c>
      <c r="K47" s="54">
        <f t="shared" si="8"/>
        <v>6250</v>
      </c>
      <c r="L47" s="55" t="b">
        <v>1</v>
      </c>
      <c r="M47" s="56">
        <v>60420241213</v>
      </c>
      <c r="N47" s="57" t="b">
        <v>1</v>
      </c>
      <c r="O47" s="58" t="s">
        <v>39</v>
      </c>
      <c r="P47" s="59" t="b">
        <v>1</v>
      </c>
      <c r="Q47" s="129" t="s">
        <v>723</v>
      </c>
      <c r="R47" s="60"/>
      <c r="S47" s="47" t="b">
        <v>1</v>
      </c>
      <c r="T47" s="61" t="s">
        <v>724</v>
      </c>
      <c r="U47" s="54">
        <f>5*600</f>
        <v>3000</v>
      </c>
      <c r="V47" s="54">
        <f t="shared" si="4"/>
        <v>3250</v>
      </c>
      <c r="W47" s="49"/>
      <c r="X47" s="49"/>
    </row>
    <row r="48" spans="1:24" ht="15.75" customHeight="1">
      <c r="A48" s="101"/>
      <c r="B48" s="102"/>
      <c r="C48" s="71" t="s">
        <v>719</v>
      </c>
      <c r="D48" s="53" t="s">
        <v>51</v>
      </c>
      <c r="E48" s="53" t="s">
        <v>372</v>
      </c>
      <c r="F48" s="66" t="s">
        <v>725</v>
      </c>
      <c r="G48" s="69" t="s">
        <v>726</v>
      </c>
      <c r="H48" s="69" t="s">
        <v>30</v>
      </c>
      <c r="I48" s="69">
        <v>2</v>
      </c>
      <c r="J48" s="70">
        <v>300</v>
      </c>
      <c r="K48" s="54">
        <f t="shared" si="8"/>
        <v>600</v>
      </c>
      <c r="L48" s="55" t="b">
        <v>1</v>
      </c>
      <c r="M48" s="56">
        <v>60420241534</v>
      </c>
      <c r="N48" s="57" t="b">
        <v>1</v>
      </c>
      <c r="O48" s="58" t="s">
        <v>529</v>
      </c>
      <c r="P48" s="59" t="b">
        <v>1</v>
      </c>
      <c r="Q48" s="129">
        <v>213492018258</v>
      </c>
      <c r="R48" s="60"/>
      <c r="S48" s="47" t="b">
        <v>1</v>
      </c>
      <c r="T48" s="61" t="s">
        <v>727</v>
      </c>
      <c r="U48" s="54">
        <f>2*175</f>
        <v>350</v>
      </c>
      <c r="V48" s="54">
        <f t="shared" si="4"/>
        <v>250</v>
      </c>
      <c r="W48" s="49"/>
      <c r="X48" s="49"/>
    </row>
    <row r="49" spans="1:24" ht="15.75" customHeight="1">
      <c r="A49" s="101"/>
      <c r="B49" s="102"/>
      <c r="C49" s="71" t="s">
        <v>719</v>
      </c>
      <c r="D49" s="53" t="s">
        <v>212</v>
      </c>
      <c r="E49" s="53" t="s">
        <v>213</v>
      </c>
      <c r="F49" s="66" t="s">
        <v>728</v>
      </c>
      <c r="G49" s="69" t="s">
        <v>729</v>
      </c>
      <c r="H49" s="69" t="s">
        <v>30</v>
      </c>
      <c r="I49" s="69">
        <v>5</v>
      </c>
      <c r="J49" s="70">
        <v>800</v>
      </c>
      <c r="K49" s="54">
        <f t="shared" si="8"/>
        <v>4000</v>
      </c>
      <c r="L49" s="55" t="b">
        <v>1</v>
      </c>
      <c r="M49" s="56">
        <v>60420241534</v>
      </c>
      <c r="N49" s="57" t="b">
        <v>1</v>
      </c>
      <c r="O49" s="58" t="s">
        <v>529</v>
      </c>
      <c r="P49" s="59" t="b">
        <v>1</v>
      </c>
      <c r="Q49" s="129">
        <v>213492018267</v>
      </c>
      <c r="R49" s="60"/>
      <c r="S49" s="47" t="b">
        <v>1</v>
      </c>
      <c r="T49" s="61" t="s">
        <v>730</v>
      </c>
      <c r="U49" s="54">
        <f>5*450</f>
        <v>2250</v>
      </c>
      <c r="V49" s="54">
        <f t="shared" si="4"/>
        <v>1750</v>
      </c>
      <c r="W49" s="49"/>
      <c r="X49" s="49"/>
    </row>
    <row r="50" spans="1:24" ht="15.75" customHeight="1">
      <c r="A50" s="101"/>
      <c r="B50" s="32"/>
      <c r="C50" s="71" t="s">
        <v>719</v>
      </c>
      <c r="D50" s="53" t="s">
        <v>418</v>
      </c>
      <c r="E50" s="53" t="s">
        <v>565</v>
      </c>
      <c r="F50" s="66" t="s">
        <v>420</v>
      </c>
      <c r="G50" s="69" t="s">
        <v>731</v>
      </c>
      <c r="H50" s="69" t="s">
        <v>30</v>
      </c>
      <c r="I50" s="69">
        <v>10</v>
      </c>
      <c r="J50" s="70">
        <v>350</v>
      </c>
      <c r="K50" s="54">
        <f t="shared" si="8"/>
        <v>3500</v>
      </c>
      <c r="L50" s="55" t="b">
        <v>1</v>
      </c>
      <c r="M50" s="56">
        <v>60420241630</v>
      </c>
      <c r="N50" s="57" t="b">
        <v>1</v>
      </c>
      <c r="O50" s="58" t="s">
        <v>529</v>
      </c>
      <c r="P50" s="59" t="b">
        <v>1</v>
      </c>
      <c r="Q50" s="129"/>
      <c r="R50" s="60"/>
      <c r="S50" s="47" t="b">
        <v>1</v>
      </c>
      <c r="T50" s="61" t="s">
        <v>732</v>
      </c>
      <c r="U50" s="54">
        <v>3000</v>
      </c>
      <c r="V50" s="54">
        <f t="shared" si="4"/>
        <v>500</v>
      </c>
      <c r="W50" s="49"/>
      <c r="X50" s="49"/>
    </row>
    <row r="51" spans="1:24" ht="15.75" customHeight="1">
      <c r="A51" s="101"/>
      <c r="B51" s="32"/>
      <c r="C51" s="71" t="s">
        <v>719</v>
      </c>
      <c r="D51" s="53" t="s">
        <v>26</v>
      </c>
      <c r="E51" s="53" t="s">
        <v>386</v>
      </c>
      <c r="F51" s="66" t="s">
        <v>733</v>
      </c>
      <c r="G51" s="69" t="s">
        <v>321</v>
      </c>
      <c r="H51" s="69" t="s">
        <v>30</v>
      </c>
      <c r="I51" s="69">
        <v>84</v>
      </c>
      <c r="J51" s="70">
        <v>30</v>
      </c>
      <c r="K51" s="54">
        <f t="shared" si="8"/>
        <v>2520</v>
      </c>
      <c r="L51" s="55" t="b">
        <v>1</v>
      </c>
      <c r="M51" s="56">
        <v>60420241632</v>
      </c>
      <c r="N51" s="57" t="b">
        <v>1</v>
      </c>
      <c r="O51" s="58"/>
      <c r="P51" s="59" t="b">
        <v>1</v>
      </c>
      <c r="Q51" s="129">
        <v>206080734554</v>
      </c>
      <c r="R51" s="60"/>
      <c r="S51" s="47" t="b">
        <v>1</v>
      </c>
      <c r="T51" s="61" t="s">
        <v>734</v>
      </c>
      <c r="U51" s="54">
        <f>84*21</f>
        <v>1764</v>
      </c>
      <c r="V51" s="54">
        <f t="shared" si="4"/>
        <v>756</v>
      </c>
      <c r="W51" s="49"/>
      <c r="X51" s="49"/>
    </row>
    <row r="52" spans="1:24" ht="15.75" customHeight="1">
      <c r="A52" s="101"/>
      <c r="B52" s="32"/>
      <c r="C52" s="71" t="s">
        <v>735</v>
      </c>
      <c r="D52" s="53" t="s">
        <v>104</v>
      </c>
      <c r="E52" s="53" t="s">
        <v>736</v>
      </c>
      <c r="F52" s="66" t="s">
        <v>737</v>
      </c>
      <c r="G52" s="69" t="s">
        <v>49</v>
      </c>
      <c r="H52" s="69" t="s">
        <v>30</v>
      </c>
      <c r="I52" s="69">
        <v>10</v>
      </c>
      <c r="J52" s="70">
        <v>695</v>
      </c>
      <c r="K52" s="54">
        <f t="shared" si="8"/>
        <v>6950</v>
      </c>
      <c r="L52" s="55" t="b">
        <v>1</v>
      </c>
      <c r="M52" s="56">
        <v>90420242114</v>
      </c>
      <c r="N52" s="57" t="b">
        <v>1</v>
      </c>
      <c r="O52" s="58" t="s">
        <v>39</v>
      </c>
      <c r="P52" s="59" t="b">
        <v>1</v>
      </c>
      <c r="Q52" s="129">
        <v>104984829972</v>
      </c>
      <c r="R52" s="60"/>
      <c r="S52" s="47" t="b">
        <v>1</v>
      </c>
      <c r="T52" s="61" t="s">
        <v>738</v>
      </c>
      <c r="U52" s="54">
        <f>10000*0.46</f>
        <v>4600</v>
      </c>
      <c r="V52" s="54">
        <f t="shared" si="4"/>
        <v>2350</v>
      </c>
      <c r="W52" s="49"/>
      <c r="X52" s="49"/>
    </row>
    <row r="53" spans="1:24" ht="15.75" customHeight="1">
      <c r="A53" s="101"/>
      <c r="B53" s="32"/>
      <c r="C53" s="71" t="s">
        <v>735</v>
      </c>
      <c r="D53" s="53" t="s">
        <v>104</v>
      </c>
      <c r="E53" s="53" t="s">
        <v>739</v>
      </c>
      <c r="F53" s="66" t="s">
        <v>740</v>
      </c>
      <c r="G53" s="69" t="s">
        <v>741</v>
      </c>
      <c r="H53" s="69" t="s">
        <v>30</v>
      </c>
      <c r="I53" s="69">
        <v>1</v>
      </c>
      <c r="J53" s="70">
        <v>5750</v>
      </c>
      <c r="K53" s="54">
        <f>J53:J55*I53</f>
        <v>5750</v>
      </c>
      <c r="L53" s="55" t="b">
        <v>1</v>
      </c>
      <c r="M53" s="56">
        <v>90420242118</v>
      </c>
      <c r="N53" s="57" t="b">
        <v>1</v>
      </c>
      <c r="O53" s="58"/>
      <c r="P53" s="59" t="b">
        <v>1</v>
      </c>
      <c r="Q53" s="129"/>
      <c r="R53" s="60"/>
      <c r="S53" s="47" t="b">
        <v>1</v>
      </c>
      <c r="T53" s="61" t="s">
        <v>742</v>
      </c>
      <c r="U53" s="54">
        <v>950</v>
      </c>
      <c r="V53" s="54">
        <f t="shared" si="4"/>
        <v>4800</v>
      </c>
      <c r="W53" s="49"/>
      <c r="X53" s="49"/>
    </row>
    <row r="54" spans="1:24" ht="15.75" customHeight="1">
      <c r="A54" s="101"/>
      <c r="B54" s="32"/>
      <c r="C54" s="71" t="s">
        <v>735</v>
      </c>
      <c r="D54" s="53" t="s">
        <v>104</v>
      </c>
      <c r="E54" s="53" t="s">
        <v>739</v>
      </c>
      <c r="F54" s="66" t="s">
        <v>740</v>
      </c>
      <c r="G54" s="69" t="s">
        <v>72</v>
      </c>
      <c r="H54" s="69" t="s">
        <v>30</v>
      </c>
      <c r="I54" s="69">
        <v>1</v>
      </c>
      <c r="J54" s="70">
        <v>1150</v>
      </c>
      <c r="K54" s="54">
        <v>1150</v>
      </c>
      <c r="L54" s="55" t="b">
        <v>1</v>
      </c>
      <c r="M54" s="56">
        <v>90420242118</v>
      </c>
      <c r="N54" s="57" t="b">
        <v>1</v>
      </c>
      <c r="O54" s="58"/>
      <c r="P54" s="59" t="b">
        <v>1</v>
      </c>
      <c r="Q54" s="129"/>
      <c r="R54" s="60"/>
      <c r="S54" s="47" t="b">
        <v>1</v>
      </c>
      <c r="T54" s="61" t="s">
        <v>742</v>
      </c>
      <c r="U54" s="54">
        <v>500</v>
      </c>
      <c r="V54" s="54">
        <f t="shared" si="4"/>
        <v>650</v>
      </c>
      <c r="W54" s="49"/>
      <c r="X54" s="49"/>
    </row>
    <row r="55" spans="1:24" ht="15.75" customHeight="1">
      <c r="A55" s="101"/>
      <c r="B55" s="32"/>
      <c r="C55" s="71" t="s">
        <v>699</v>
      </c>
      <c r="D55" s="53" t="s">
        <v>104</v>
      </c>
      <c r="E55" s="53" t="s">
        <v>743</v>
      </c>
      <c r="F55" s="66" t="s">
        <v>744</v>
      </c>
      <c r="G55" s="69" t="s">
        <v>142</v>
      </c>
      <c r="H55" s="69" t="s">
        <v>30</v>
      </c>
      <c r="I55" s="69">
        <v>3000</v>
      </c>
      <c r="J55" s="70">
        <v>1</v>
      </c>
      <c r="K55" s="54">
        <f t="shared" ref="K55:K63" si="9">J55:J56*I55</f>
        <v>3000</v>
      </c>
      <c r="L55" s="55" t="b">
        <v>1</v>
      </c>
      <c r="M55" s="56">
        <v>150420240911</v>
      </c>
      <c r="N55" s="57" t="b">
        <v>1</v>
      </c>
      <c r="O55" s="58" t="s">
        <v>39</v>
      </c>
      <c r="P55" s="59" t="b">
        <v>1</v>
      </c>
      <c r="Q55" s="129">
        <v>905693223673</v>
      </c>
      <c r="R55" s="60"/>
      <c r="S55" s="47" t="b">
        <v>1</v>
      </c>
      <c r="T55" s="61" t="s">
        <v>745</v>
      </c>
      <c r="U55" s="54">
        <f>3000*0.82</f>
        <v>2460</v>
      </c>
      <c r="V55" s="54">
        <f t="shared" si="4"/>
        <v>540</v>
      </c>
      <c r="W55" s="49"/>
      <c r="X55" s="49"/>
    </row>
    <row r="56" spans="1:24" ht="15.75" customHeight="1">
      <c r="A56" s="101"/>
      <c r="B56" s="32"/>
      <c r="C56" s="71" t="s">
        <v>699</v>
      </c>
      <c r="D56" s="53" t="s">
        <v>463</v>
      </c>
      <c r="E56" s="53" t="s">
        <v>463</v>
      </c>
      <c r="F56" s="66" t="s">
        <v>464</v>
      </c>
      <c r="G56" s="69" t="s">
        <v>746</v>
      </c>
      <c r="H56" s="69" t="s">
        <v>30</v>
      </c>
      <c r="I56" s="69">
        <v>10</v>
      </c>
      <c r="J56" s="70">
        <v>755</v>
      </c>
      <c r="K56" s="54">
        <f t="shared" si="9"/>
        <v>7550</v>
      </c>
      <c r="L56" s="55" t="b">
        <v>1</v>
      </c>
      <c r="M56" s="56">
        <v>150420240921</v>
      </c>
      <c r="N56" s="57" t="b">
        <v>1</v>
      </c>
      <c r="O56" s="58" t="s">
        <v>351</v>
      </c>
      <c r="P56" s="59" t="b">
        <v>1</v>
      </c>
      <c r="Q56" s="129"/>
      <c r="R56" s="60"/>
      <c r="S56" s="47" t="b">
        <v>1</v>
      </c>
      <c r="T56" s="61" t="s">
        <v>747</v>
      </c>
      <c r="U56" s="54">
        <v>4000</v>
      </c>
      <c r="V56" s="54">
        <f t="shared" si="4"/>
        <v>3550</v>
      </c>
      <c r="W56" s="49"/>
      <c r="X56" s="49"/>
    </row>
    <row r="57" spans="1:24" ht="15.75" customHeight="1">
      <c r="A57" s="101"/>
      <c r="B57" s="32"/>
      <c r="C57" s="71" t="s">
        <v>699</v>
      </c>
      <c r="D57" s="53" t="s">
        <v>463</v>
      </c>
      <c r="E57" s="53" t="s">
        <v>463</v>
      </c>
      <c r="F57" s="66" t="s">
        <v>464</v>
      </c>
      <c r="G57" s="69" t="s">
        <v>748</v>
      </c>
      <c r="H57" s="69" t="s">
        <v>30</v>
      </c>
      <c r="I57" s="69">
        <v>10</v>
      </c>
      <c r="J57" s="70">
        <v>865</v>
      </c>
      <c r="K57" s="54">
        <f t="shared" si="9"/>
        <v>8650</v>
      </c>
      <c r="L57" s="55" t="b">
        <v>1</v>
      </c>
      <c r="M57" s="56">
        <v>150420240921</v>
      </c>
      <c r="N57" s="57" t="b">
        <v>1</v>
      </c>
      <c r="O57" s="58" t="s">
        <v>351</v>
      </c>
      <c r="P57" s="59" t="b">
        <v>1</v>
      </c>
      <c r="Q57" s="129"/>
      <c r="R57" s="60"/>
      <c r="S57" s="47" t="b">
        <v>1</v>
      </c>
      <c r="T57" s="61" t="s">
        <v>749</v>
      </c>
      <c r="U57" s="54">
        <f>10*350</f>
        <v>3500</v>
      </c>
      <c r="V57" s="54">
        <f t="shared" si="4"/>
        <v>5150</v>
      </c>
      <c r="W57" s="49"/>
      <c r="X57" s="49"/>
    </row>
    <row r="58" spans="1:24" ht="15.75" customHeight="1">
      <c r="A58" s="101"/>
      <c r="B58" s="32"/>
      <c r="C58" s="71" t="s">
        <v>699</v>
      </c>
      <c r="D58" s="53" t="s">
        <v>750</v>
      </c>
      <c r="E58" s="53" t="s">
        <v>751</v>
      </c>
      <c r="F58" s="66" t="s">
        <v>752</v>
      </c>
      <c r="G58" s="69" t="s">
        <v>467</v>
      </c>
      <c r="H58" s="69" t="s">
        <v>30</v>
      </c>
      <c r="I58" s="69">
        <v>4</v>
      </c>
      <c r="J58" s="70">
        <v>675</v>
      </c>
      <c r="K58" s="54">
        <f t="shared" si="9"/>
        <v>2700</v>
      </c>
      <c r="L58" s="55" t="b">
        <v>1</v>
      </c>
      <c r="M58" s="56">
        <v>150420240934</v>
      </c>
      <c r="N58" s="57" t="b">
        <v>1</v>
      </c>
      <c r="O58" s="58" t="s">
        <v>351</v>
      </c>
      <c r="P58" s="59" t="b">
        <v>1</v>
      </c>
      <c r="Q58" s="129"/>
      <c r="R58" s="60"/>
      <c r="S58" s="47" t="b">
        <v>1</v>
      </c>
      <c r="T58" s="61" t="s">
        <v>753</v>
      </c>
      <c r="U58" s="54">
        <f>4*385</f>
        <v>1540</v>
      </c>
      <c r="V58" s="54">
        <f t="shared" si="4"/>
        <v>1160</v>
      </c>
      <c r="W58" s="49"/>
      <c r="X58" s="49"/>
    </row>
    <row r="59" spans="1:24" ht="15.75" customHeight="1">
      <c r="A59" s="101"/>
      <c r="B59" s="32"/>
      <c r="C59" s="71" t="s">
        <v>699</v>
      </c>
      <c r="D59" s="53" t="s">
        <v>194</v>
      </c>
      <c r="E59" s="53" t="s">
        <v>195</v>
      </c>
      <c r="F59" s="66" t="s">
        <v>754</v>
      </c>
      <c r="G59" s="69" t="s">
        <v>142</v>
      </c>
      <c r="H59" s="69" t="s">
        <v>30</v>
      </c>
      <c r="I59" s="69">
        <v>1500</v>
      </c>
      <c r="J59" s="70">
        <v>1</v>
      </c>
      <c r="K59" s="54">
        <f t="shared" si="9"/>
        <v>1500</v>
      </c>
      <c r="L59" s="55" t="b">
        <v>1</v>
      </c>
      <c r="M59" s="56">
        <v>150420241051</v>
      </c>
      <c r="N59" s="57" t="b">
        <v>1</v>
      </c>
      <c r="O59" s="58" t="s">
        <v>39</v>
      </c>
      <c r="P59" s="59" t="b">
        <v>1</v>
      </c>
      <c r="Q59" s="129">
        <v>905693226202</v>
      </c>
      <c r="R59" s="60"/>
      <c r="S59" s="47" t="b">
        <v>1</v>
      </c>
      <c r="T59" s="61" t="s">
        <v>755</v>
      </c>
      <c r="U59" s="54">
        <f>1500*0.8</f>
        <v>1200</v>
      </c>
      <c r="V59" s="54">
        <f t="shared" si="4"/>
        <v>300</v>
      </c>
      <c r="W59" s="49"/>
      <c r="X59" s="49"/>
    </row>
    <row r="60" spans="1:24" ht="15.75" customHeight="1">
      <c r="A60" s="101"/>
      <c r="B60" s="32"/>
      <c r="C60" s="71" t="s">
        <v>699</v>
      </c>
      <c r="D60" s="53" t="s">
        <v>194</v>
      </c>
      <c r="E60" s="53" t="s">
        <v>195</v>
      </c>
      <c r="F60" s="66" t="s">
        <v>754</v>
      </c>
      <c r="G60" s="69" t="s">
        <v>756</v>
      </c>
      <c r="H60" s="69" t="s">
        <v>30</v>
      </c>
      <c r="I60" s="69">
        <v>12</v>
      </c>
      <c r="J60" s="70">
        <v>175</v>
      </c>
      <c r="K60" s="54">
        <f t="shared" si="9"/>
        <v>2100</v>
      </c>
      <c r="L60" s="55" t="b">
        <v>1</v>
      </c>
      <c r="M60" s="56">
        <v>150420241051</v>
      </c>
      <c r="N60" s="57" t="b">
        <v>1</v>
      </c>
      <c r="O60" s="58" t="s">
        <v>39</v>
      </c>
      <c r="P60" s="59" t="b">
        <v>1</v>
      </c>
      <c r="Q60" s="129">
        <v>211579133378</v>
      </c>
      <c r="R60" s="60"/>
      <c r="S60" s="47" t="b">
        <v>1</v>
      </c>
      <c r="T60" s="61" t="s">
        <v>757</v>
      </c>
      <c r="U60" s="54">
        <f>12*145</f>
        <v>1740</v>
      </c>
      <c r="V60" s="54">
        <f t="shared" si="4"/>
        <v>360</v>
      </c>
      <c r="W60" s="49"/>
      <c r="X60" s="49"/>
    </row>
    <row r="61" spans="1:24" ht="15.75" customHeight="1">
      <c r="A61" s="101"/>
      <c r="B61" s="32"/>
      <c r="C61" s="71" t="s">
        <v>699</v>
      </c>
      <c r="D61" s="53" t="s">
        <v>171</v>
      </c>
      <c r="E61" s="53" t="s">
        <v>137</v>
      </c>
      <c r="F61" s="66" t="s">
        <v>172</v>
      </c>
      <c r="G61" s="69" t="s">
        <v>758</v>
      </c>
      <c r="H61" s="69" t="s">
        <v>30</v>
      </c>
      <c r="I61" s="69">
        <v>25</v>
      </c>
      <c r="J61" s="70">
        <v>300</v>
      </c>
      <c r="K61" s="54">
        <f t="shared" si="9"/>
        <v>7500</v>
      </c>
      <c r="L61" s="55" t="b">
        <v>1</v>
      </c>
      <c r="M61" s="56">
        <v>150420241523</v>
      </c>
      <c r="N61" s="57" t="b">
        <v>1</v>
      </c>
      <c r="O61" s="58" t="s">
        <v>39</v>
      </c>
      <c r="P61" s="59" t="b">
        <v>1</v>
      </c>
      <c r="Q61" s="129">
        <v>174560945764</v>
      </c>
      <c r="R61" s="60"/>
      <c r="S61" s="47" t="b">
        <v>1</v>
      </c>
      <c r="T61" s="61" t="s">
        <v>759</v>
      </c>
      <c r="U61" s="54">
        <f>25*145</f>
        <v>3625</v>
      </c>
      <c r="V61" s="54">
        <f t="shared" si="4"/>
        <v>3875</v>
      </c>
      <c r="W61" s="49"/>
      <c r="X61" s="49"/>
    </row>
    <row r="62" spans="1:24" ht="15.75" customHeight="1">
      <c r="A62" s="101"/>
      <c r="B62" s="32"/>
      <c r="C62" s="71" t="s">
        <v>699</v>
      </c>
      <c r="D62" s="53" t="s">
        <v>171</v>
      </c>
      <c r="E62" s="53" t="s">
        <v>137</v>
      </c>
      <c r="F62" s="66" t="s">
        <v>172</v>
      </c>
      <c r="G62" s="69" t="s">
        <v>760</v>
      </c>
      <c r="H62" s="69" t="s">
        <v>30</v>
      </c>
      <c r="I62" s="69">
        <v>20</v>
      </c>
      <c r="J62" s="70">
        <v>115</v>
      </c>
      <c r="K62" s="54">
        <f t="shared" si="9"/>
        <v>2300</v>
      </c>
      <c r="L62" s="55" t="b">
        <v>1</v>
      </c>
      <c r="M62" s="56">
        <v>150420241523</v>
      </c>
      <c r="N62" s="57" t="b">
        <v>1</v>
      </c>
      <c r="O62" s="58" t="s">
        <v>39</v>
      </c>
      <c r="P62" s="59" t="b">
        <v>1</v>
      </c>
      <c r="Q62" s="129"/>
      <c r="R62" s="60"/>
      <c r="S62" s="47" t="b">
        <v>1</v>
      </c>
      <c r="T62" s="61" t="s">
        <v>759</v>
      </c>
      <c r="U62" s="54">
        <f>20*75</f>
        <v>1500</v>
      </c>
      <c r="V62" s="54">
        <f t="shared" si="4"/>
        <v>800</v>
      </c>
      <c r="W62" s="49"/>
      <c r="X62" s="49"/>
    </row>
    <row r="63" spans="1:24" ht="15.75" customHeight="1">
      <c r="A63" s="101"/>
      <c r="B63" s="32"/>
      <c r="C63" s="71" t="s">
        <v>699</v>
      </c>
      <c r="D63" s="53" t="s">
        <v>51</v>
      </c>
      <c r="E63" s="53" t="s">
        <v>89</v>
      </c>
      <c r="F63" s="66" t="s">
        <v>178</v>
      </c>
      <c r="G63" s="69" t="s">
        <v>761</v>
      </c>
      <c r="H63" s="69" t="s">
        <v>30</v>
      </c>
      <c r="I63" s="69">
        <v>1</v>
      </c>
      <c r="J63" s="70">
        <v>395</v>
      </c>
      <c r="K63" s="54">
        <f t="shared" si="9"/>
        <v>395</v>
      </c>
      <c r="L63" s="55" t="b">
        <v>1</v>
      </c>
      <c r="M63" s="56">
        <v>150420241700</v>
      </c>
      <c r="N63" s="57" t="b">
        <v>1</v>
      </c>
      <c r="O63" s="58" t="s">
        <v>762</v>
      </c>
      <c r="P63" s="59" t="b">
        <v>1</v>
      </c>
      <c r="Q63" s="129"/>
      <c r="R63" s="60"/>
      <c r="S63" s="47" t="b">
        <v>1</v>
      </c>
      <c r="T63" s="61" t="s">
        <v>763</v>
      </c>
      <c r="U63" s="54">
        <v>210</v>
      </c>
      <c r="V63" s="54">
        <f t="shared" si="4"/>
        <v>185</v>
      </c>
      <c r="W63" s="49"/>
      <c r="X63" s="49"/>
    </row>
    <row r="64" spans="1:24" ht="16.5" customHeight="1">
      <c r="A64" s="101"/>
      <c r="B64" s="32"/>
      <c r="C64" s="71" t="s">
        <v>699</v>
      </c>
      <c r="D64" s="53" t="s">
        <v>51</v>
      </c>
      <c r="E64" s="53" t="s">
        <v>594</v>
      </c>
      <c r="F64" s="66" t="s">
        <v>764</v>
      </c>
      <c r="G64" s="69" t="s">
        <v>765</v>
      </c>
      <c r="H64" s="69" t="s">
        <v>30</v>
      </c>
      <c r="I64" s="69">
        <v>1</v>
      </c>
      <c r="J64" s="70">
        <v>1250</v>
      </c>
      <c r="K64" s="54">
        <f t="shared" ref="K64:K65" si="10">J64:J66*I64</f>
        <v>1250</v>
      </c>
      <c r="L64" s="55" t="b">
        <v>1</v>
      </c>
      <c r="M64" s="56">
        <v>150420241700</v>
      </c>
      <c r="N64" s="57" t="b">
        <v>1</v>
      </c>
      <c r="O64" s="58" t="s">
        <v>39</v>
      </c>
      <c r="P64" s="59" t="b">
        <v>1</v>
      </c>
      <c r="Q64" s="129" t="s">
        <v>766</v>
      </c>
      <c r="R64" s="60"/>
      <c r="S64" s="47" t="b">
        <v>1</v>
      </c>
      <c r="T64" s="61" t="s">
        <v>767</v>
      </c>
      <c r="U64" s="54">
        <v>800</v>
      </c>
      <c r="V64" s="54">
        <f t="shared" si="4"/>
        <v>450</v>
      </c>
      <c r="W64" s="49"/>
      <c r="X64" s="49"/>
    </row>
    <row r="65" spans="1:24" ht="16.5" customHeight="1">
      <c r="A65" s="101"/>
      <c r="B65" s="32"/>
      <c r="C65" s="71" t="s">
        <v>699</v>
      </c>
      <c r="D65" s="53" t="s">
        <v>51</v>
      </c>
      <c r="E65" s="53" t="s">
        <v>594</v>
      </c>
      <c r="F65" s="66" t="s">
        <v>764</v>
      </c>
      <c r="G65" s="69" t="s">
        <v>768</v>
      </c>
      <c r="H65" s="69" t="s">
        <v>30</v>
      </c>
      <c r="I65" s="69">
        <v>75</v>
      </c>
      <c r="J65" s="70">
        <v>35</v>
      </c>
      <c r="K65" s="54">
        <f t="shared" si="10"/>
        <v>2625</v>
      </c>
      <c r="L65" s="55" t="b">
        <v>1</v>
      </c>
      <c r="M65" s="56">
        <v>150420241700</v>
      </c>
      <c r="N65" s="57" t="b">
        <v>1</v>
      </c>
      <c r="O65" s="58" t="s">
        <v>39</v>
      </c>
      <c r="P65" s="59" t="b">
        <v>1</v>
      </c>
      <c r="Q65" s="129" t="s">
        <v>701</v>
      </c>
      <c r="R65" s="60"/>
      <c r="S65" s="47" t="b">
        <v>1</v>
      </c>
      <c r="T65" s="61" t="s">
        <v>767</v>
      </c>
      <c r="U65" s="54">
        <f>50*25</f>
        <v>1250</v>
      </c>
      <c r="V65" s="54">
        <f t="shared" si="4"/>
        <v>1375</v>
      </c>
      <c r="W65" s="49"/>
      <c r="X65" s="49"/>
    </row>
    <row r="66" spans="1:24" ht="16.5" customHeight="1">
      <c r="A66" s="101"/>
      <c r="B66" s="32"/>
      <c r="C66" s="71" t="s">
        <v>699</v>
      </c>
      <c r="D66" s="53" t="s">
        <v>418</v>
      </c>
      <c r="E66" s="53" t="s">
        <v>42</v>
      </c>
      <c r="F66" s="66" t="s">
        <v>209</v>
      </c>
      <c r="G66" s="69" t="s">
        <v>769</v>
      </c>
      <c r="H66" s="69" t="s">
        <v>30</v>
      </c>
      <c r="I66" s="69">
        <v>30</v>
      </c>
      <c r="J66" s="70">
        <v>30</v>
      </c>
      <c r="K66" s="54">
        <f>J66:J67*I66</f>
        <v>900</v>
      </c>
      <c r="L66" s="55" t="b">
        <v>1</v>
      </c>
      <c r="M66" s="56">
        <v>150420241700</v>
      </c>
      <c r="N66" s="57" t="b">
        <v>1</v>
      </c>
      <c r="O66" s="58" t="s">
        <v>31</v>
      </c>
      <c r="P66" s="59" t="b">
        <v>1</v>
      </c>
      <c r="Q66" s="129"/>
      <c r="R66" s="60"/>
      <c r="S66" s="47" t="b">
        <v>1</v>
      </c>
      <c r="T66" s="61" t="s">
        <v>770</v>
      </c>
      <c r="U66" s="54">
        <f>30*7</f>
        <v>210</v>
      </c>
      <c r="V66" s="54">
        <f t="shared" si="4"/>
        <v>690</v>
      </c>
      <c r="W66" s="49"/>
      <c r="X66" s="49"/>
    </row>
    <row r="67" spans="1:24" ht="15.75" customHeight="1">
      <c r="A67" s="101"/>
      <c r="B67" s="32"/>
      <c r="C67" s="71" t="s">
        <v>699</v>
      </c>
      <c r="D67" s="53" t="s">
        <v>418</v>
      </c>
      <c r="E67" s="53" t="s">
        <v>42</v>
      </c>
      <c r="F67" s="66" t="s">
        <v>209</v>
      </c>
      <c r="G67" s="69" t="s">
        <v>771</v>
      </c>
      <c r="H67" s="69" t="s">
        <v>30</v>
      </c>
      <c r="I67" s="69">
        <v>10</v>
      </c>
      <c r="J67" s="70">
        <v>75</v>
      </c>
      <c r="K67" s="54">
        <f t="shared" ref="K67:K68" si="11">J67:J69*I67</f>
        <v>750</v>
      </c>
      <c r="L67" s="55" t="b">
        <v>1</v>
      </c>
      <c r="M67" s="56">
        <v>150420241937</v>
      </c>
      <c r="N67" s="57" t="b">
        <v>1</v>
      </c>
      <c r="O67" s="58" t="s">
        <v>31</v>
      </c>
      <c r="P67" s="59" t="b">
        <v>1</v>
      </c>
      <c r="Q67" s="129"/>
      <c r="R67" s="60"/>
      <c r="S67" s="47" t="b">
        <v>1</v>
      </c>
      <c r="T67" s="61" t="s">
        <v>772</v>
      </c>
      <c r="U67" s="54">
        <f>10*45</f>
        <v>450</v>
      </c>
      <c r="V67" s="54">
        <f t="shared" si="4"/>
        <v>300</v>
      </c>
      <c r="W67" s="49"/>
      <c r="X67" s="49"/>
    </row>
    <row r="68" spans="1:24" ht="15.75" customHeight="1">
      <c r="A68" s="101"/>
      <c r="B68" s="32"/>
      <c r="C68" s="71" t="s">
        <v>773</v>
      </c>
      <c r="D68" s="53" t="s">
        <v>418</v>
      </c>
      <c r="E68" s="53" t="s">
        <v>42</v>
      </c>
      <c r="F68" s="66" t="s">
        <v>209</v>
      </c>
      <c r="G68" s="69" t="s">
        <v>774</v>
      </c>
      <c r="H68" s="69" t="s">
        <v>30</v>
      </c>
      <c r="I68" s="69">
        <v>9</v>
      </c>
      <c r="J68" s="70">
        <v>105</v>
      </c>
      <c r="K68" s="54">
        <f t="shared" si="11"/>
        <v>945</v>
      </c>
      <c r="L68" s="55" t="b">
        <v>1</v>
      </c>
      <c r="M68" s="56">
        <v>150420241353</v>
      </c>
      <c r="N68" s="57" t="b">
        <v>1</v>
      </c>
      <c r="O68" s="58" t="s">
        <v>31</v>
      </c>
      <c r="P68" s="59" t="b">
        <v>1</v>
      </c>
      <c r="Q68" s="129"/>
      <c r="R68" s="60"/>
      <c r="S68" s="47" t="b">
        <v>1</v>
      </c>
      <c r="T68" s="61" t="s">
        <v>770</v>
      </c>
      <c r="U68" s="54">
        <f>10*75</f>
        <v>750</v>
      </c>
      <c r="V68" s="54">
        <f t="shared" si="4"/>
        <v>195</v>
      </c>
      <c r="W68" s="49"/>
      <c r="X68" s="49"/>
    </row>
    <row r="69" spans="1:24" ht="15.75" customHeight="1">
      <c r="A69" s="101"/>
      <c r="B69" s="32"/>
      <c r="C69" s="71" t="s">
        <v>773</v>
      </c>
      <c r="D69" s="53" t="s">
        <v>51</v>
      </c>
      <c r="E69" s="53" t="s">
        <v>594</v>
      </c>
      <c r="F69" s="66" t="s">
        <v>764</v>
      </c>
      <c r="G69" s="69" t="s">
        <v>775</v>
      </c>
      <c r="H69" s="69" t="s">
        <v>30</v>
      </c>
      <c r="I69" s="69">
        <v>4</v>
      </c>
      <c r="J69" s="70">
        <v>250</v>
      </c>
      <c r="K69" s="54">
        <f t="shared" ref="K69:K93" si="12">J69:J70*I69</f>
        <v>1000</v>
      </c>
      <c r="L69" s="55" t="b">
        <v>1</v>
      </c>
      <c r="M69" s="56">
        <v>160420241158</v>
      </c>
      <c r="N69" s="57" t="b">
        <v>1</v>
      </c>
      <c r="O69" s="58" t="s">
        <v>351</v>
      </c>
      <c r="P69" s="59" t="b">
        <v>1</v>
      </c>
      <c r="Q69" s="129">
        <v>213492018255</v>
      </c>
      <c r="R69" s="60"/>
      <c r="S69" s="47" t="b">
        <v>1</v>
      </c>
      <c r="T69" s="61" t="s">
        <v>776</v>
      </c>
      <c r="U69" s="54">
        <f>4*175</f>
        <v>700</v>
      </c>
      <c r="V69" s="54">
        <f t="shared" si="4"/>
        <v>300</v>
      </c>
      <c r="W69" s="49"/>
      <c r="X69" s="49"/>
    </row>
    <row r="70" spans="1:24" ht="15.75" customHeight="1">
      <c r="A70" s="101"/>
      <c r="B70" s="32"/>
      <c r="C70" s="71" t="s">
        <v>773</v>
      </c>
      <c r="D70" s="53" t="s">
        <v>51</v>
      </c>
      <c r="E70" s="53" t="s">
        <v>89</v>
      </c>
      <c r="F70" s="66" t="s">
        <v>777</v>
      </c>
      <c r="G70" s="69" t="s">
        <v>778</v>
      </c>
      <c r="H70" s="69" t="s">
        <v>30</v>
      </c>
      <c r="I70" s="69">
        <v>20</v>
      </c>
      <c r="J70" s="70">
        <v>115</v>
      </c>
      <c r="K70" s="54">
        <f t="shared" si="12"/>
        <v>2300</v>
      </c>
      <c r="L70" s="55" t="b">
        <v>1</v>
      </c>
      <c r="M70" s="56">
        <v>160420241512</v>
      </c>
      <c r="N70" s="57" t="b">
        <v>1</v>
      </c>
      <c r="O70" s="58" t="s">
        <v>39</v>
      </c>
      <c r="P70" s="59" t="b">
        <v>1</v>
      </c>
      <c r="Q70" s="129">
        <v>174560949158</v>
      </c>
      <c r="R70" s="60"/>
      <c r="S70" s="47" t="b">
        <v>1</v>
      </c>
      <c r="T70" s="61" t="s">
        <v>779</v>
      </c>
      <c r="U70" s="54">
        <f>20*75</f>
        <v>1500</v>
      </c>
      <c r="V70" s="54">
        <f t="shared" si="4"/>
        <v>800</v>
      </c>
      <c r="W70" s="49"/>
      <c r="X70" s="49"/>
    </row>
    <row r="71" spans="1:24" ht="15.75" customHeight="1">
      <c r="A71" s="101"/>
      <c r="B71" s="32"/>
      <c r="C71" s="71" t="s">
        <v>773</v>
      </c>
      <c r="D71" s="53" t="s">
        <v>51</v>
      </c>
      <c r="E71" s="53" t="s">
        <v>66</v>
      </c>
      <c r="F71" s="66" t="s">
        <v>67</v>
      </c>
      <c r="G71" s="69" t="s">
        <v>780</v>
      </c>
      <c r="H71" s="69" t="s">
        <v>30</v>
      </c>
      <c r="I71" s="69">
        <v>75</v>
      </c>
      <c r="J71" s="70">
        <v>35</v>
      </c>
      <c r="K71" s="54">
        <f t="shared" si="12"/>
        <v>2625</v>
      </c>
      <c r="L71" s="55" t="b">
        <v>1</v>
      </c>
      <c r="M71" s="56">
        <v>160420241521</v>
      </c>
      <c r="N71" s="57" t="b">
        <v>1</v>
      </c>
      <c r="O71" s="58" t="s">
        <v>39</v>
      </c>
      <c r="P71" s="59" t="b">
        <v>1</v>
      </c>
      <c r="Q71" s="129" t="s">
        <v>781</v>
      </c>
      <c r="R71" s="60"/>
      <c r="S71" s="47" t="b">
        <v>1</v>
      </c>
      <c r="T71" s="61" t="s">
        <v>782</v>
      </c>
      <c r="U71" s="54">
        <f>75*25</f>
        <v>1875</v>
      </c>
      <c r="V71" s="54">
        <f t="shared" si="4"/>
        <v>750</v>
      </c>
      <c r="W71" s="49"/>
      <c r="X71" s="49"/>
    </row>
    <row r="72" spans="1:24" ht="15.75" customHeight="1">
      <c r="A72" s="101"/>
      <c r="B72" s="32"/>
      <c r="C72" s="71" t="s">
        <v>773</v>
      </c>
      <c r="D72" s="53" t="s">
        <v>51</v>
      </c>
      <c r="E72" s="53" t="s">
        <v>89</v>
      </c>
      <c r="F72" s="66" t="s">
        <v>90</v>
      </c>
      <c r="G72" s="69" t="s">
        <v>783</v>
      </c>
      <c r="H72" s="69" t="s">
        <v>30</v>
      </c>
      <c r="I72" s="69">
        <v>50</v>
      </c>
      <c r="J72" s="70">
        <v>90</v>
      </c>
      <c r="K72" s="54">
        <f t="shared" si="12"/>
        <v>4500</v>
      </c>
      <c r="L72" s="55" t="b">
        <v>1</v>
      </c>
      <c r="M72" s="56">
        <v>160420241646</v>
      </c>
      <c r="N72" s="57" t="b">
        <v>1</v>
      </c>
      <c r="O72" s="58" t="s">
        <v>529</v>
      </c>
      <c r="P72" s="59" t="b">
        <v>1</v>
      </c>
      <c r="Q72" s="129"/>
      <c r="R72" s="60"/>
      <c r="S72" s="47" t="b">
        <v>1</v>
      </c>
      <c r="T72" s="61" t="s">
        <v>784</v>
      </c>
      <c r="U72" s="54">
        <v>2500</v>
      </c>
      <c r="V72" s="54">
        <f t="shared" si="4"/>
        <v>2000</v>
      </c>
      <c r="W72" s="49"/>
      <c r="X72" s="49"/>
    </row>
    <row r="73" spans="1:24" ht="15.75" customHeight="1">
      <c r="A73" s="101"/>
      <c r="B73" s="32"/>
      <c r="C73" s="71" t="s">
        <v>773</v>
      </c>
      <c r="D73" s="53" t="s">
        <v>51</v>
      </c>
      <c r="E73" s="53" t="s">
        <v>201</v>
      </c>
      <c r="F73" s="66" t="s">
        <v>202</v>
      </c>
      <c r="G73" s="69" t="s">
        <v>785</v>
      </c>
      <c r="H73" s="69" t="s">
        <v>30</v>
      </c>
      <c r="I73" s="69">
        <v>1</v>
      </c>
      <c r="J73" s="70">
        <v>2750</v>
      </c>
      <c r="K73" s="54">
        <f t="shared" si="12"/>
        <v>2750</v>
      </c>
      <c r="L73" s="55" t="b">
        <v>1</v>
      </c>
      <c r="M73" s="56">
        <v>160420241648</v>
      </c>
      <c r="N73" s="57" t="b">
        <v>1</v>
      </c>
      <c r="O73" s="58" t="s">
        <v>529</v>
      </c>
      <c r="P73" s="59" t="b">
        <v>1</v>
      </c>
      <c r="Q73" s="129"/>
      <c r="R73" s="60"/>
      <c r="S73" s="47" t="b">
        <v>1</v>
      </c>
      <c r="T73" s="61" t="s">
        <v>786</v>
      </c>
      <c r="U73" s="54">
        <v>1000</v>
      </c>
      <c r="V73" s="54">
        <f t="shared" si="4"/>
        <v>1750</v>
      </c>
      <c r="W73" s="49"/>
      <c r="X73" s="49"/>
    </row>
    <row r="74" spans="1:24" ht="15.75" customHeight="1">
      <c r="A74" s="101"/>
      <c r="B74" s="32"/>
      <c r="C74" s="71" t="s">
        <v>773</v>
      </c>
      <c r="D74" s="53" t="s">
        <v>51</v>
      </c>
      <c r="E74" s="53" t="s">
        <v>201</v>
      </c>
      <c r="F74" s="66" t="s">
        <v>202</v>
      </c>
      <c r="G74" s="69" t="s">
        <v>787</v>
      </c>
      <c r="H74" s="69" t="s">
        <v>30</v>
      </c>
      <c r="I74" s="69">
        <v>1</v>
      </c>
      <c r="J74" s="70">
        <v>3400</v>
      </c>
      <c r="K74" s="54">
        <f t="shared" si="12"/>
        <v>3400</v>
      </c>
      <c r="L74" s="55" t="b">
        <v>1</v>
      </c>
      <c r="M74" s="56">
        <v>160420241648</v>
      </c>
      <c r="N74" s="57" t="b">
        <v>1</v>
      </c>
      <c r="O74" s="58" t="s">
        <v>529</v>
      </c>
      <c r="P74" s="59" t="b">
        <v>1</v>
      </c>
      <c r="Q74" s="129"/>
      <c r="R74" s="60"/>
      <c r="S74" s="47" t="b">
        <v>1</v>
      </c>
      <c r="T74" s="61" t="s">
        <v>786</v>
      </c>
      <c r="U74" s="54">
        <v>2250</v>
      </c>
      <c r="V74" s="54">
        <f t="shared" si="4"/>
        <v>1150</v>
      </c>
      <c r="W74" s="49"/>
      <c r="X74" s="49"/>
    </row>
    <row r="75" spans="1:24" ht="15.75" customHeight="1">
      <c r="A75" s="101"/>
      <c r="B75" s="32"/>
      <c r="C75" s="71" t="s">
        <v>773</v>
      </c>
      <c r="D75" s="53" t="s">
        <v>282</v>
      </c>
      <c r="E75" s="53" t="s">
        <v>788</v>
      </c>
      <c r="F75" s="66" t="s">
        <v>365</v>
      </c>
      <c r="G75" s="69" t="s">
        <v>789</v>
      </c>
      <c r="H75" s="69" t="s">
        <v>30</v>
      </c>
      <c r="I75" s="69">
        <v>5</v>
      </c>
      <c r="J75" s="70">
        <v>105</v>
      </c>
      <c r="K75" s="54">
        <f t="shared" si="12"/>
        <v>525</v>
      </c>
      <c r="L75" s="55" t="b">
        <v>1</v>
      </c>
      <c r="M75" s="56">
        <v>160420241820</v>
      </c>
      <c r="N75" s="57" t="b">
        <v>1</v>
      </c>
      <c r="O75" s="58" t="s">
        <v>31</v>
      </c>
      <c r="P75" s="59" t="b">
        <v>1</v>
      </c>
      <c r="Q75" s="129"/>
      <c r="R75" s="60"/>
      <c r="S75" s="47" t="b">
        <v>1</v>
      </c>
      <c r="T75" s="61" t="s">
        <v>790</v>
      </c>
      <c r="U75" s="54">
        <f>5*75</f>
        <v>375</v>
      </c>
      <c r="V75" s="54">
        <f t="shared" si="4"/>
        <v>150</v>
      </c>
      <c r="W75" s="49"/>
      <c r="X75" s="49"/>
    </row>
    <row r="76" spans="1:24" ht="15.75" customHeight="1">
      <c r="A76" s="101"/>
      <c r="B76" s="32"/>
      <c r="C76" s="71" t="s">
        <v>791</v>
      </c>
      <c r="D76" s="53" t="s">
        <v>194</v>
      </c>
      <c r="E76" s="53" t="s">
        <v>195</v>
      </c>
      <c r="F76" s="66" t="s">
        <v>754</v>
      </c>
      <c r="G76" s="69" t="s">
        <v>663</v>
      </c>
      <c r="H76" s="69" t="s">
        <v>30</v>
      </c>
      <c r="I76" s="69">
        <v>1</v>
      </c>
      <c r="J76" s="70">
        <v>775</v>
      </c>
      <c r="K76" s="54">
        <f t="shared" si="12"/>
        <v>775</v>
      </c>
      <c r="L76" s="55" t="b">
        <v>1</v>
      </c>
      <c r="M76" s="56">
        <v>170420241052</v>
      </c>
      <c r="N76" s="57" t="b">
        <v>1</v>
      </c>
      <c r="O76" s="58" t="s">
        <v>31</v>
      </c>
      <c r="P76" s="59" t="b">
        <v>1</v>
      </c>
      <c r="Q76" s="129"/>
      <c r="R76" s="60"/>
      <c r="S76" s="47" t="b">
        <v>1</v>
      </c>
      <c r="T76" s="61" t="s">
        <v>792</v>
      </c>
      <c r="U76" s="54">
        <f>1000*0.007</f>
        <v>7</v>
      </c>
      <c r="V76" s="54">
        <f t="shared" si="4"/>
        <v>768</v>
      </c>
      <c r="W76" s="49"/>
      <c r="X76" s="49"/>
    </row>
    <row r="77" spans="1:24" ht="15.75" customHeight="1">
      <c r="A77" s="101"/>
      <c r="B77" s="32"/>
      <c r="C77" s="71" t="s">
        <v>793</v>
      </c>
      <c r="D77" s="53" t="s">
        <v>51</v>
      </c>
      <c r="E77" s="53" t="s">
        <v>794</v>
      </c>
      <c r="F77" s="66" t="s">
        <v>202</v>
      </c>
      <c r="G77" s="69" t="s">
        <v>795</v>
      </c>
      <c r="H77" s="69" t="s">
        <v>30</v>
      </c>
      <c r="I77" s="69">
        <v>1</v>
      </c>
      <c r="J77" s="70">
        <v>1150</v>
      </c>
      <c r="K77" s="54">
        <f t="shared" si="12"/>
        <v>1150</v>
      </c>
      <c r="L77" s="55" t="b">
        <v>1</v>
      </c>
      <c r="M77" s="56">
        <v>180420241243</v>
      </c>
      <c r="N77" s="57" t="b">
        <v>1</v>
      </c>
      <c r="O77" s="58" t="s">
        <v>39</v>
      </c>
      <c r="P77" s="59" t="b">
        <v>1</v>
      </c>
      <c r="Q77" s="129" t="s">
        <v>796</v>
      </c>
      <c r="R77" s="60"/>
      <c r="S77" s="47" t="b">
        <v>1</v>
      </c>
      <c r="T77" s="61" t="s">
        <v>797</v>
      </c>
      <c r="U77" s="54">
        <v>700</v>
      </c>
      <c r="V77" s="54">
        <f t="shared" si="4"/>
        <v>450</v>
      </c>
      <c r="W77" s="49"/>
      <c r="X77" s="49"/>
    </row>
    <row r="78" spans="1:24" ht="15.75" customHeight="1">
      <c r="A78" s="101"/>
      <c r="B78" s="32"/>
      <c r="C78" s="71" t="s">
        <v>793</v>
      </c>
      <c r="D78" s="53" t="s">
        <v>397</v>
      </c>
      <c r="E78" s="53" t="s">
        <v>646</v>
      </c>
      <c r="F78" s="66" t="s">
        <v>647</v>
      </c>
      <c r="G78" s="69" t="s">
        <v>798</v>
      </c>
      <c r="H78" s="69" t="s">
        <v>30</v>
      </c>
      <c r="I78" s="69">
        <v>2</v>
      </c>
      <c r="J78" s="70">
        <v>1650</v>
      </c>
      <c r="K78" s="54">
        <f t="shared" si="12"/>
        <v>3300</v>
      </c>
      <c r="L78" s="55" t="b">
        <v>1</v>
      </c>
      <c r="M78" s="56">
        <v>180420241425</v>
      </c>
      <c r="N78" s="57" t="b">
        <v>1</v>
      </c>
      <c r="O78" s="58" t="s">
        <v>31</v>
      </c>
      <c r="P78" s="59" t="b">
        <v>1</v>
      </c>
      <c r="Q78" s="129"/>
      <c r="R78" s="60"/>
      <c r="S78" s="47" t="b">
        <v>1</v>
      </c>
      <c r="T78" s="61" t="s">
        <v>799</v>
      </c>
      <c r="U78" s="54">
        <v>650</v>
      </c>
      <c r="V78" s="54">
        <f t="shared" si="4"/>
        <v>2650</v>
      </c>
      <c r="W78" s="49"/>
      <c r="X78" s="49"/>
    </row>
    <row r="79" spans="1:24" ht="15.75" customHeight="1">
      <c r="A79" s="101"/>
      <c r="B79" s="32"/>
      <c r="C79" s="71" t="s">
        <v>793</v>
      </c>
      <c r="D79" s="53" t="s">
        <v>397</v>
      </c>
      <c r="E79" s="53" t="s">
        <v>646</v>
      </c>
      <c r="F79" s="66" t="s">
        <v>647</v>
      </c>
      <c r="G79" s="69" t="s">
        <v>800</v>
      </c>
      <c r="H79" s="69" t="s">
        <v>30</v>
      </c>
      <c r="I79" s="69">
        <v>3</v>
      </c>
      <c r="J79" s="70">
        <v>800</v>
      </c>
      <c r="K79" s="54">
        <f t="shared" si="12"/>
        <v>2400</v>
      </c>
      <c r="L79" s="55" t="b">
        <v>1</v>
      </c>
      <c r="M79" s="56">
        <v>180420241427</v>
      </c>
      <c r="N79" s="57" t="b">
        <v>1</v>
      </c>
      <c r="O79" s="58" t="s">
        <v>31</v>
      </c>
      <c r="P79" s="59" t="b">
        <v>1</v>
      </c>
      <c r="Q79" s="129"/>
      <c r="R79" s="60"/>
      <c r="S79" s="47" t="b">
        <v>1</v>
      </c>
      <c r="T79" s="61" t="s">
        <v>799</v>
      </c>
      <c r="U79" s="54">
        <f>3*450</f>
        <v>1350</v>
      </c>
      <c r="V79" s="54">
        <f t="shared" si="4"/>
        <v>1050</v>
      </c>
      <c r="W79" s="49"/>
      <c r="X79" s="49"/>
    </row>
    <row r="80" spans="1:24" ht="15.75" customHeight="1">
      <c r="A80" s="101"/>
      <c r="B80" s="32"/>
      <c r="C80" s="71" t="s">
        <v>793</v>
      </c>
      <c r="D80" s="53" t="s">
        <v>104</v>
      </c>
      <c r="E80" s="53" t="s">
        <v>158</v>
      </c>
      <c r="F80" s="66" t="s">
        <v>159</v>
      </c>
      <c r="G80" s="69" t="s">
        <v>49</v>
      </c>
      <c r="H80" s="69" t="s">
        <v>30</v>
      </c>
      <c r="I80" s="69">
        <v>10</v>
      </c>
      <c r="J80" s="70">
        <v>695</v>
      </c>
      <c r="K80" s="54">
        <f t="shared" si="12"/>
        <v>6950</v>
      </c>
      <c r="L80" s="55" t="b">
        <v>1</v>
      </c>
      <c r="M80" s="56">
        <v>180420241607</v>
      </c>
      <c r="N80" s="57" t="b">
        <v>1</v>
      </c>
      <c r="O80" s="58" t="s">
        <v>31</v>
      </c>
      <c r="P80" s="59" t="b">
        <v>1</v>
      </c>
      <c r="Q80" s="129"/>
      <c r="R80" s="60"/>
      <c r="S80" s="47" t="b">
        <v>1</v>
      </c>
      <c r="T80" s="61" t="s">
        <v>801</v>
      </c>
      <c r="U80" s="54">
        <f>10000*0.46</f>
        <v>4600</v>
      </c>
      <c r="V80" s="54">
        <f t="shared" si="4"/>
        <v>2350</v>
      </c>
      <c r="W80" s="49"/>
      <c r="X80" s="49"/>
    </row>
    <row r="81" spans="1:24" ht="15.75" customHeight="1">
      <c r="A81" s="1"/>
      <c r="B81" s="32"/>
      <c r="C81" s="71" t="s">
        <v>802</v>
      </c>
      <c r="D81" s="53" t="s">
        <v>108</v>
      </c>
      <c r="E81" s="53" t="s">
        <v>109</v>
      </c>
      <c r="F81" s="66" t="s">
        <v>110</v>
      </c>
      <c r="G81" s="69" t="s">
        <v>83</v>
      </c>
      <c r="H81" s="69" t="s">
        <v>30</v>
      </c>
      <c r="I81" s="69">
        <v>1000</v>
      </c>
      <c r="J81" s="70">
        <v>1.5</v>
      </c>
      <c r="K81" s="54">
        <f t="shared" si="12"/>
        <v>1500</v>
      </c>
      <c r="L81" s="55" t="b">
        <v>1</v>
      </c>
      <c r="M81" s="56">
        <v>190420241000</v>
      </c>
      <c r="N81" s="57" t="b">
        <v>1</v>
      </c>
      <c r="O81" s="58" t="s">
        <v>31</v>
      </c>
      <c r="P81" s="59" t="b">
        <v>1</v>
      </c>
      <c r="Q81" s="129"/>
      <c r="R81" s="60"/>
      <c r="S81" s="47" t="b">
        <v>1</v>
      </c>
      <c r="T81" s="61" t="s">
        <v>803</v>
      </c>
      <c r="U81" s="54">
        <f>1000*0.79</f>
        <v>790</v>
      </c>
      <c r="V81" s="54">
        <f t="shared" si="4"/>
        <v>710</v>
      </c>
      <c r="W81" s="49"/>
      <c r="X81" s="49"/>
    </row>
    <row r="82" spans="1:24" ht="15.75" customHeight="1">
      <c r="A82" s="101"/>
      <c r="B82" s="32"/>
      <c r="C82" s="71" t="s">
        <v>804</v>
      </c>
      <c r="D82" s="53" t="s">
        <v>263</v>
      </c>
      <c r="E82" s="53" t="s">
        <v>248</v>
      </c>
      <c r="F82" s="66" t="s">
        <v>451</v>
      </c>
      <c r="G82" s="69" t="s">
        <v>805</v>
      </c>
      <c r="H82" s="69" t="s">
        <v>30</v>
      </c>
      <c r="I82" s="69">
        <v>50</v>
      </c>
      <c r="J82" s="70">
        <v>45</v>
      </c>
      <c r="K82" s="54">
        <f t="shared" si="12"/>
        <v>2250</v>
      </c>
      <c r="L82" s="55" t="b">
        <v>1</v>
      </c>
      <c r="M82" s="56">
        <v>220420240908</v>
      </c>
      <c r="N82" s="57" t="b">
        <v>1</v>
      </c>
      <c r="O82" s="58" t="s">
        <v>31</v>
      </c>
      <c r="P82" s="59" t="b">
        <v>1</v>
      </c>
      <c r="Q82" s="129"/>
      <c r="R82" s="60"/>
      <c r="S82" s="47" t="b">
        <v>1</v>
      </c>
      <c r="T82" s="61" t="s">
        <v>806</v>
      </c>
      <c r="U82" s="54">
        <v>1250</v>
      </c>
      <c r="V82" s="54">
        <f t="shared" si="4"/>
        <v>1000</v>
      </c>
      <c r="W82" s="49"/>
      <c r="X82" s="49"/>
    </row>
    <row r="83" spans="1:24" ht="15.75" customHeight="1">
      <c r="A83" s="101"/>
      <c r="B83" s="32"/>
      <c r="C83" s="71" t="s">
        <v>804</v>
      </c>
      <c r="D83" s="53" t="s">
        <v>51</v>
      </c>
      <c r="E83" s="53" t="s">
        <v>52</v>
      </c>
      <c r="F83" s="66" t="s">
        <v>807</v>
      </c>
      <c r="G83" s="69" t="s">
        <v>808</v>
      </c>
      <c r="H83" s="69" t="s">
        <v>30</v>
      </c>
      <c r="I83" s="69">
        <v>20</v>
      </c>
      <c r="J83" s="70">
        <v>75</v>
      </c>
      <c r="K83" s="54">
        <f t="shared" si="12"/>
        <v>1500</v>
      </c>
      <c r="L83" s="55" t="b">
        <v>1</v>
      </c>
      <c r="M83" s="56">
        <v>220420241457</v>
      </c>
      <c r="N83" s="57" t="b">
        <v>1</v>
      </c>
      <c r="O83" s="58" t="s">
        <v>31</v>
      </c>
      <c r="P83" s="59" t="b">
        <v>1</v>
      </c>
      <c r="Q83" s="129"/>
      <c r="R83" s="60"/>
      <c r="S83" s="47" t="b">
        <v>1</v>
      </c>
      <c r="T83" s="61" t="s">
        <v>809</v>
      </c>
      <c r="U83" s="54">
        <v>840</v>
      </c>
      <c r="V83" s="54">
        <f t="shared" si="4"/>
        <v>660</v>
      </c>
      <c r="W83" s="49"/>
      <c r="X83" s="49"/>
    </row>
    <row r="84" spans="1:24" ht="15.75" customHeight="1">
      <c r="A84" s="101"/>
      <c r="B84" s="32"/>
      <c r="C84" s="71" t="s">
        <v>804</v>
      </c>
      <c r="D84" s="53" t="s">
        <v>51</v>
      </c>
      <c r="E84" s="53" t="s">
        <v>52</v>
      </c>
      <c r="F84" s="66" t="s">
        <v>807</v>
      </c>
      <c r="G84" s="69" t="s">
        <v>811</v>
      </c>
      <c r="H84" s="69" t="s">
        <v>30</v>
      </c>
      <c r="I84" s="69">
        <v>30</v>
      </c>
      <c r="J84" s="70">
        <v>165</v>
      </c>
      <c r="K84" s="54">
        <f t="shared" si="12"/>
        <v>4950</v>
      </c>
      <c r="L84" s="55" t="b">
        <v>1</v>
      </c>
      <c r="M84" s="56">
        <v>220420241457</v>
      </c>
      <c r="N84" s="57" t="b">
        <v>1</v>
      </c>
      <c r="O84" s="58" t="s">
        <v>31</v>
      </c>
      <c r="P84" s="59" t="b">
        <v>1</v>
      </c>
      <c r="Q84" s="129"/>
      <c r="R84" s="60"/>
      <c r="S84" s="47" t="b">
        <v>1</v>
      </c>
      <c r="T84" s="61" t="s">
        <v>812</v>
      </c>
      <c r="U84" s="54">
        <f>30*100</f>
        <v>3000</v>
      </c>
      <c r="V84" s="54">
        <f t="shared" si="4"/>
        <v>1950</v>
      </c>
      <c r="W84" s="49"/>
      <c r="X84" s="49"/>
    </row>
    <row r="85" spans="1:24" ht="15.75" customHeight="1">
      <c r="A85" s="101"/>
      <c r="B85" s="32"/>
      <c r="C85" s="71" t="s">
        <v>804</v>
      </c>
      <c r="D85" s="53" t="s">
        <v>51</v>
      </c>
      <c r="E85" s="53" t="s">
        <v>52</v>
      </c>
      <c r="F85" s="66" t="s">
        <v>807</v>
      </c>
      <c r="G85" s="69" t="s">
        <v>813</v>
      </c>
      <c r="H85" s="69" t="s">
        <v>30</v>
      </c>
      <c r="I85" s="69">
        <v>5</v>
      </c>
      <c r="J85" s="70">
        <v>1500</v>
      </c>
      <c r="K85" s="54">
        <f t="shared" si="12"/>
        <v>7500</v>
      </c>
      <c r="L85" s="55" t="b">
        <v>1</v>
      </c>
      <c r="M85" s="56">
        <v>220420241457</v>
      </c>
      <c r="N85" s="57" t="b">
        <v>1</v>
      </c>
      <c r="O85" s="58" t="s">
        <v>529</v>
      </c>
      <c r="P85" s="59" t="b">
        <v>1</v>
      </c>
      <c r="Q85" s="129"/>
      <c r="R85" s="60"/>
      <c r="S85" s="47" t="b">
        <v>1</v>
      </c>
      <c r="T85" s="61" t="s">
        <v>814</v>
      </c>
      <c r="U85" s="54">
        <f>5*920</f>
        <v>4600</v>
      </c>
      <c r="V85" s="54">
        <f t="shared" si="4"/>
        <v>2900</v>
      </c>
      <c r="W85" s="49"/>
      <c r="X85" s="49"/>
    </row>
    <row r="86" spans="1:24" ht="15.75" customHeight="1">
      <c r="A86" s="101"/>
      <c r="B86" s="32"/>
      <c r="C86" s="71" t="s">
        <v>804</v>
      </c>
      <c r="D86" s="53" t="s">
        <v>51</v>
      </c>
      <c r="E86" s="53" t="s">
        <v>52</v>
      </c>
      <c r="F86" s="66" t="s">
        <v>807</v>
      </c>
      <c r="G86" s="69" t="s">
        <v>815</v>
      </c>
      <c r="H86" s="69" t="s">
        <v>30</v>
      </c>
      <c r="I86" s="69">
        <v>5</v>
      </c>
      <c r="J86" s="70">
        <v>1150</v>
      </c>
      <c r="K86" s="54">
        <f t="shared" si="12"/>
        <v>5750</v>
      </c>
      <c r="L86" s="55" t="b">
        <v>1</v>
      </c>
      <c r="M86" s="56">
        <v>220420241457</v>
      </c>
      <c r="N86" s="57" t="b">
        <v>1</v>
      </c>
      <c r="O86" s="58" t="s">
        <v>529</v>
      </c>
      <c r="P86" s="59" t="b">
        <v>1</v>
      </c>
      <c r="Q86" s="129"/>
      <c r="R86" s="60"/>
      <c r="S86" s="47" t="b">
        <v>1</v>
      </c>
      <c r="T86" s="61" t="s">
        <v>814</v>
      </c>
      <c r="U86" s="54">
        <f>5*720</f>
        <v>3600</v>
      </c>
      <c r="V86" s="54">
        <f t="shared" si="4"/>
        <v>2150</v>
      </c>
      <c r="W86" s="49"/>
      <c r="X86" s="49"/>
    </row>
    <row r="87" spans="1:24" ht="15.75" customHeight="1">
      <c r="A87" s="101"/>
      <c r="B87" s="32"/>
      <c r="C87" s="71" t="s">
        <v>804</v>
      </c>
      <c r="D87" s="53" t="s">
        <v>51</v>
      </c>
      <c r="E87" s="53" t="s">
        <v>52</v>
      </c>
      <c r="F87" s="66" t="s">
        <v>807</v>
      </c>
      <c r="G87" s="69" t="s">
        <v>677</v>
      </c>
      <c r="H87" s="69" t="s">
        <v>30</v>
      </c>
      <c r="I87" s="69">
        <v>25</v>
      </c>
      <c r="J87" s="70">
        <v>100</v>
      </c>
      <c r="K87" s="54">
        <f t="shared" si="12"/>
        <v>2500</v>
      </c>
      <c r="L87" s="55" t="b">
        <v>1</v>
      </c>
      <c r="M87" s="56">
        <v>220420241457</v>
      </c>
      <c r="N87" s="57" t="b">
        <v>1</v>
      </c>
      <c r="O87" s="58"/>
      <c r="P87" s="59" t="b">
        <v>1</v>
      </c>
      <c r="Q87" s="129"/>
      <c r="R87" s="60"/>
      <c r="S87" s="47" t="b">
        <v>1</v>
      </c>
      <c r="T87" s="61" t="s">
        <v>812</v>
      </c>
      <c r="U87" s="54">
        <f>25*30</f>
        <v>750</v>
      </c>
      <c r="V87" s="54">
        <f t="shared" si="4"/>
        <v>1750</v>
      </c>
      <c r="W87" s="49"/>
      <c r="X87" s="49"/>
    </row>
    <row r="88" spans="1:24" ht="15.75" customHeight="1">
      <c r="A88" s="101"/>
      <c r="B88" s="32"/>
      <c r="C88" s="71" t="s">
        <v>804</v>
      </c>
      <c r="D88" s="53" t="s">
        <v>51</v>
      </c>
      <c r="E88" s="53" t="s">
        <v>52</v>
      </c>
      <c r="F88" s="66" t="s">
        <v>807</v>
      </c>
      <c r="G88" s="69" t="s">
        <v>816</v>
      </c>
      <c r="H88" s="69" t="s">
        <v>30</v>
      </c>
      <c r="I88" s="69">
        <v>10</v>
      </c>
      <c r="J88" s="70">
        <v>675</v>
      </c>
      <c r="K88" s="54">
        <f t="shared" si="12"/>
        <v>6750</v>
      </c>
      <c r="L88" s="55" t="b">
        <v>1</v>
      </c>
      <c r="M88" s="56">
        <v>220420241457</v>
      </c>
      <c r="N88" s="57" t="b">
        <v>1</v>
      </c>
      <c r="O88" s="58" t="s">
        <v>31</v>
      </c>
      <c r="P88" s="59" t="b">
        <v>1</v>
      </c>
      <c r="Q88" s="129"/>
      <c r="R88" s="60"/>
      <c r="S88" s="47" t="b">
        <v>1</v>
      </c>
      <c r="T88" s="61" t="s">
        <v>812</v>
      </c>
      <c r="U88" s="54">
        <f>10*375</f>
        <v>3750</v>
      </c>
      <c r="V88" s="54">
        <f t="shared" si="4"/>
        <v>3000</v>
      </c>
      <c r="W88" s="49"/>
      <c r="X88" s="49"/>
    </row>
    <row r="89" spans="1:24" ht="15.75" customHeight="1">
      <c r="A89" s="101"/>
      <c r="B89" s="32"/>
      <c r="C89" s="71" t="s">
        <v>804</v>
      </c>
      <c r="D89" s="53" t="s">
        <v>51</v>
      </c>
      <c r="E89" s="53" t="s">
        <v>52</v>
      </c>
      <c r="F89" s="66" t="s">
        <v>807</v>
      </c>
      <c r="G89" s="69" t="s">
        <v>769</v>
      </c>
      <c r="H89" s="69" t="s">
        <v>30</v>
      </c>
      <c r="I89" s="69">
        <v>5</v>
      </c>
      <c r="J89" s="70">
        <v>635</v>
      </c>
      <c r="K89" s="54">
        <f t="shared" si="12"/>
        <v>3175</v>
      </c>
      <c r="L89" s="55" t="b">
        <v>1</v>
      </c>
      <c r="M89" s="56">
        <v>220420241457</v>
      </c>
      <c r="N89" s="57" t="b">
        <v>1</v>
      </c>
      <c r="O89" s="58" t="s">
        <v>31</v>
      </c>
      <c r="P89" s="59" t="b">
        <v>1</v>
      </c>
      <c r="Q89" s="129"/>
      <c r="R89" s="60"/>
      <c r="S89" s="47" t="b">
        <v>1</v>
      </c>
      <c r="T89" s="61" t="s">
        <v>817</v>
      </c>
      <c r="U89" s="54">
        <f>5*350</f>
        <v>1750</v>
      </c>
      <c r="V89" s="54">
        <f t="shared" si="4"/>
        <v>1425</v>
      </c>
      <c r="W89" s="49"/>
      <c r="X89" s="49"/>
    </row>
    <row r="90" spans="1:24" ht="15.75" customHeight="1">
      <c r="A90" s="101"/>
      <c r="B90" s="32"/>
      <c r="C90" s="71" t="s">
        <v>804</v>
      </c>
      <c r="D90" s="53" t="s">
        <v>51</v>
      </c>
      <c r="E90" s="53" t="s">
        <v>52</v>
      </c>
      <c r="F90" s="66" t="s">
        <v>807</v>
      </c>
      <c r="G90" s="69" t="s">
        <v>818</v>
      </c>
      <c r="H90" s="69" t="s">
        <v>30</v>
      </c>
      <c r="I90" s="69">
        <v>5</v>
      </c>
      <c r="J90" s="70">
        <v>650</v>
      </c>
      <c r="K90" s="54">
        <f t="shared" si="12"/>
        <v>3250</v>
      </c>
      <c r="L90" s="55" t="b">
        <v>1</v>
      </c>
      <c r="M90" s="56">
        <v>220420241457</v>
      </c>
      <c r="N90" s="57" t="b">
        <v>1</v>
      </c>
      <c r="O90" s="58" t="s">
        <v>31</v>
      </c>
      <c r="P90" s="59" t="b">
        <v>1</v>
      </c>
      <c r="Q90" s="129"/>
      <c r="R90" s="60"/>
      <c r="S90" s="47" t="b">
        <v>1</v>
      </c>
      <c r="T90" s="61" t="s">
        <v>817</v>
      </c>
      <c r="U90" s="54">
        <v>1750</v>
      </c>
      <c r="V90" s="54">
        <f t="shared" si="4"/>
        <v>1500</v>
      </c>
      <c r="W90" s="49"/>
      <c r="X90" s="49"/>
    </row>
    <row r="91" spans="1:24" ht="15.75" customHeight="1">
      <c r="C91" s="71" t="s">
        <v>804</v>
      </c>
      <c r="D91" s="53" t="s">
        <v>51</v>
      </c>
      <c r="E91" s="53" t="s">
        <v>52</v>
      </c>
      <c r="F91" s="66" t="s">
        <v>807</v>
      </c>
      <c r="G91" s="69" t="s">
        <v>819</v>
      </c>
      <c r="H91" s="69" t="s">
        <v>30</v>
      </c>
      <c r="I91" s="69">
        <v>9</v>
      </c>
      <c r="J91" s="70">
        <v>800</v>
      </c>
      <c r="K91" s="54">
        <f t="shared" si="12"/>
        <v>7200</v>
      </c>
      <c r="L91" s="55" t="b">
        <v>1</v>
      </c>
      <c r="M91" s="56">
        <v>220420241457</v>
      </c>
      <c r="N91" s="57" t="b">
        <v>1</v>
      </c>
      <c r="O91" s="58" t="s">
        <v>31</v>
      </c>
      <c r="P91" s="59" t="b">
        <v>1</v>
      </c>
      <c r="Q91" s="129"/>
      <c r="R91" s="60"/>
      <c r="S91" s="47" t="b">
        <v>1</v>
      </c>
      <c r="T91" s="61" t="s">
        <v>820</v>
      </c>
      <c r="U91" s="54">
        <f>8*450</f>
        <v>3600</v>
      </c>
      <c r="V91" s="54">
        <f t="shared" si="4"/>
        <v>3600</v>
      </c>
      <c r="W91" s="49"/>
      <c r="X91" s="49"/>
    </row>
    <row r="92" spans="1:24" ht="15.75" customHeight="1">
      <c r="A92" s="101"/>
      <c r="B92" s="32"/>
      <c r="C92" s="71" t="s">
        <v>804</v>
      </c>
      <c r="D92" s="53" t="s">
        <v>104</v>
      </c>
      <c r="E92" s="53" t="s">
        <v>516</v>
      </c>
      <c r="F92" s="66" t="s">
        <v>821</v>
      </c>
      <c r="G92" s="69" t="s">
        <v>49</v>
      </c>
      <c r="H92" s="69" t="s">
        <v>30</v>
      </c>
      <c r="I92" s="69">
        <v>10</v>
      </c>
      <c r="J92" s="70">
        <v>695</v>
      </c>
      <c r="K92" s="54">
        <f t="shared" si="12"/>
        <v>6950</v>
      </c>
      <c r="L92" s="55" t="b">
        <v>1</v>
      </c>
      <c r="M92" s="56">
        <v>220420241504</v>
      </c>
      <c r="N92" s="57" t="b">
        <v>1</v>
      </c>
      <c r="O92" s="58" t="s">
        <v>31</v>
      </c>
      <c r="P92" s="59" t="b">
        <v>1</v>
      </c>
      <c r="Q92" s="129"/>
      <c r="R92" s="60"/>
      <c r="S92" s="47" t="b">
        <v>1</v>
      </c>
      <c r="T92" s="61" t="s">
        <v>822</v>
      </c>
      <c r="U92" s="54">
        <f>10000*0.46</f>
        <v>4600</v>
      </c>
      <c r="V92" s="54">
        <f t="shared" si="4"/>
        <v>2350</v>
      </c>
      <c r="W92" s="49"/>
      <c r="X92" s="49"/>
    </row>
    <row r="93" spans="1:24" ht="15.75" customHeight="1">
      <c r="A93" s="101"/>
      <c r="B93" s="32"/>
      <c r="C93" s="71" t="s">
        <v>804</v>
      </c>
      <c r="D93" s="53" t="s">
        <v>104</v>
      </c>
      <c r="E93" s="53" t="s">
        <v>516</v>
      </c>
      <c r="F93" s="66" t="s">
        <v>821</v>
      </c>
      <c r="G93" s="69" t="s">
        <v>321</v>
      </c>
      <c r="H93" s="69" t="s">
        <v>30</v>
      </c>
      <c r="I93" s="69">
        <v>84</v>
      </c>
      <c r="J93" s="70">
        <v>30</v>
      </c>
      <c r="K93" s="54">
        <f t="shared" si="12"/>
        <v>2520</v>
      </c>
      <c r="L93" s="55" t="b">
        <v>1</v>
      </c>
      <c r="M93" s="56">
        <v>220420241504</v>
      </c>
      <c r="N93" s="57" t="b">
        <v>1</v>
      </c>
      <c r="O93" s="58" t="s">
        <v>31</v>
      </c>
      <c r="P93" s="59" t="b">
        <v>1</v>
      </c>
      <c r="Q93" s="129"/>
      <c r="R93" s="60"/>
      <c r="S93" s="47" t="b">
        <v>1</v>
      </c>
      <c r="T93" s="61" t="s">
        <v>822</v>
      </c>
      <c r="U93" s="54">
        <f>84*25</f>
        <v>2100</v>
      </c>
      <c r="V93" s="54">
        <f t="shared" si="4"/>
        <v>420</v>
      </c>
      <c r="W93" s="49"/>
      <c r="X93" s="49"/>
    </row>
    <row r="94" spans="1:24" ht="15.75" customHeight="1">
      <c r="A94" s="121"/>
      <c r="B94" s="32"/>
      <c r="C94" s="71" t="s">
        <v>804</v>
      </c>
      <c r="D94" s="53" t="s">
        <v>104</v>
      </c>
      <c r="E94" s="53" t="s">
        <v>516</v>
      </c>
      <c r="F94" s="66" t="s">
        <v>821</v>
      </c>
      <c r="G94" s="69" t="s">
        <v>823</v>
      </c>
      <c r="H94" s="69" t="s">
        <v>30</v>
      </c>
      <c r="I94" s="69">
        <v>27</v>
      </c>
      <c r="J94" s="70">
        <v>105</v>
      </c>
      <c r="K94" s="54">
        <f t="shared" ref="K94:K95" si="13">J94:J96*I94</f>
        <v>2835</v>
      </c>
      <c r="L94" s="55" t="b">
        <v>1</v>
      </c>
      <c r="M94" s="56">
        <v>220420231507</v>
      </c>
      <c r="N94" s="57" t="b">
        <v>1</v>
      </c>
      <c r="O94" s="58" t="s">
        <v>31</v>
      </c>
      <c r="P94" s="59" t="b">
        <v>1</v>
      </c>
      <c r="Q94" s="129"/>
      <c r="R94" s="60"/>
      <c r="S94" s="47" t="b">
        <v>1</v>
      </c>
      <c r="T94" s="61" t="s">
        <v>724</v>
      </c>
      <c r="U94" s="54">
        <f>27*75</f>
        <v>2025</v>
      </c>
      <c r="V94" s="54">
        <f t="shared" si="4"/>
        <v>810</v>
      </c>
      <c r="W94" s="49"/>
      <c r="X94" s="49"/>
    </row>
    <row r="95" spans="1:24" ht="15.75" customHeight="1">
      <c r="A95" s="101"/>
      <c r="B95" s="32"/>
      <c r="C95" s="71" t="s">
        <v>804</v>
      </c>
      <c r="D95" s="53" t="s">
        <v>104</v>
      </c>
      <c r="E95" s="53" t="s">
        <v>516</v>
      </c>
      <c r="F95" s="66" t="s">
        <v>821</v>
      </c>
      <c r="G95" s="69" t="s">
        <v>824</v>
      </c>
      <c r="H95" s="69" t="s">
        <v>30</v>
      </c>
      <c r="I95" s="69">
        <v>10</v>
      </c>
      <c r="J95" s="70">
        <v>35</v>
      </c>
      <c r="K95" s="54">
        <f t="shared" si="13"/>
        <v>350</v>
      </c>
      <c r="L95" s="55" t="b">
        <v>1</v>
      </c>
      <c r="M95" s="56">
        <v>270420240901</v>
      </c>
      <c r="N95" s="57" t="b">
        <v>1</v>
      </c>
      <c r="O95" s="58" t="s">
        <v>31</v>
      </c>
      <c r="P95" s="59" t="b">
        <v>1</v>
      </c>
      <c r="Q95" s="129"/>
      <c r="R95" s="60"/>
      <c r="S95" s="47" t="b">
        <v>1</v>
      </c>
      <c r="T95" s="61" t="s">
        <v>825</v>
      </c>
      <c r="U95" s="54">
        <f>10*15</f>
        <v>150</v>
      </c>
      <c r="V95" s="54"/>
      <c r="W95" s="49"/>
      <c r="X95" s="49"/>
    </row>
    <row r="96" spans="1:24" ht="15.75" customHeight="1">
      <c r="A96" s="101"/>
      <c r="B96" s="32"/>
      <c r="C96" s="71" t="s">
        <v>804</v>
      </c>
      <c r="D96" s="53" t="s">
        <v>523</v>
      </c>
      <c r="E96" s="53" t="s">
        <v>523</v>
      </c>
      <c r="F96" s="66" t="s">
        <v>826</v>
      </c>
      <c r="G96" s="69" t="s">
        <v>49</v>
      </c>
      <c r="H96" s="69" t="s">
        <v>30</v>
      </c>
      <c r="I96" s="69">
        <v>5</v>
      </c>
      <c r="J96" s="70">
        <v>695</v>
      </c>
      <c r="K96" s="54">
        <f t="shared" ref="K96:K108" si="14">J96:J97*I96</f>
        <v>3475</v>
      </c>
      <c r="L96" s="55" t="b">
        <v>1</v>
      </c>
      <c r="M96" s="56">
        <v>220420241509</v>
      </c>
      <c r="N96" s="57" t="b">
        <v>1</v>
      </c>
      <c r="O96" s="58" t="s">
        <v>31</v>
      </c>
      <c r="P96" s="59" t="b">
        <v>1</v>
      </c>
      <c r="Q96" s="129"/>
      <c r="R96" s="60"/>
      <c r="S96" s="47" t="b">
        <v>1</v>
      </c>
      <c r="T96" s="61" t="s">
        <v>827</v>
      </c>
      <c r="U96" s="54">
        <f>5000*0.46</f>
        <v>2300</v>
      </c>
      <c r="V96" s="54">
        <f t="shared" ref="V96:V123" si="15">K96-U96</f>
        <v>1175</v>
      </c>
      <c r="W96" s="49"/>
      <c r="X96" s="49"/>
    </row>
    <row r="97" spans="1:24" ht="15.75" customHeight="1">
      <c r="A97" s="101"/>
      <c r="B97" s="32"/>
      <c r="C97" s="71" t="s">
        <v>828</v>
      </c>
      <c r="D97" s="53" t="s">
        <v>104</v>
      </c>
      <c r="E97" s="53" t="s">
        <v>486</v>
      </c>
      <c r="F97" s="66" t="s">
        <v>241</v>
      </c>
      <c r="G97" s="69" t="s">
        <v>68</v>
      </c>
      <c r="H97" s="69" t="s">
        <v>30</v>
      </c>
      <c r="I97" s="69">
        <v>6000</v>
      </c>
      <c r="J97" s="70">
        <v>0.75</v>
      </c>
      <c r="K97" s="54">
        <f t="shared" si="14"/>
        <v>4500</v>
      </c>
      <c r="L97" s="55" t="b">
        <v>1</v>
      </c>
      <c r="M97" s="56">
        <v>240420240904</v>
      </c>
      <c r="N97" s="57" t="b">
        <v>1</v>
      </c>
      <c r="O97" s="58"/>
      <c r="P97" s="59" t="b">
        <v>1</v>
      </c>
      <c r="Q97" s="129"/>
      <c r="R97" s="60"/>
      <c r="S97" s="47" t="b">
        <v>1</v>
      </c>
      <c r="T97" s="61" t="s">
        <v>829</v>
      </c>
      <c r="U97" s="54">
        <f>6000*0.3194</f>
        <v>1916.4</v>
      </c>
      <c r="V97" s="54">
        <f t="shared" si="15"/>
        <v>2583.6</v>
      </c>
      <c r="W97" s="49"/>
      <c r="X97" s="49"/>
    </row>
    <row r="98" spans="1:24" ht="15.75" customHeight="1">
      <c r="A98" s="101"/>
      <c r="B98" s="32"/>
      <c r="C98" s="71" t="s">
        <v>828</v>
      </c>
      <c r="D98" s="53" t="s">
        <v>104</v>
      </c>
      <c r="E98" s="53" t="s">
        <v>486</v>
      </c>
      <c r="F98" s="66" t="s">
        <v>241</v>
      </c>
      <c r="G98" s="69" t="s">
        <v>321</v>
      </c>
      <c r="H98" s="69" t="s">
        <v>30</v>
      </c>
      <c r="I98" s="69">
        <v>84</v>
      </c>
      <c r="J98" s="70">
        <v>30</v>
      </c>
      <c r="K98" s="54">
        <f t="shared" si="14"/>
        <v>2520</v>
      </c>
      <c r="L98" s="55" t="b">
        <v>1</v>
      </c>
      <c r="M98" s="56">
        <v>240420240904</v>
      </c>
      <c r="N98" s="57" t="b">
        <v>1</v>
      </c>
      <c r="O98" s="58"/>
      <c r="P98" s="59" t="b">
        <v>1</v>
      </c>
      <c r="Q98" s="129"/>
      <c r="R98" s="60"/>
      <c r="S98" s="47" t="b">
        <v>1</v>
      </c>
      <c r="T98" s="61" t="s">
        <v>829</v>
      </c>
      <c r="U98" s="54">
        <f>84*25</f>
        <v>2100</v>
      </c>
      <c r="V98" s="54">
        <f t="shared" si="15"/>
        <v>420</v>
      </c>
      <c r="W98" s="49"/>
      <c r="X98" s="49"/>
    </row>
    <row r="99" spans="1:24" ht="15.75" customHeight="1">
      <c r="A99" s="101"/>
      <c r="B99" s="32"/>
      <c r="C99" s="71" t="s">
        <v>828</v>
      </c>
      <c r="D99" s="53" t="s">
        <v>523</v>
      </c>
      <c r="E99" s="53" t="s">
        <v>830</v>
      </c>
      <c r="F99" s="66" t="s">
        <v>525</v>
      </c>
      <c r="G99" s="69" t="s">
        <v>694</v>
      </c>
      <c r="H99" s="69" t="s">
        <v>30</v>
      </c>
      <c r="I99" s="69">
        <v>12</v>
      </c>
      <c r="J99" s="70">
        <v>200</v>
      </c>
      <c r="K99" s="54">
        <f t="shared" si="14"/>
        <v>2400</v>
      </c>
      <c r="L99" s="55" t="b">
        <v>1</v>
      </c>
      <c r="M99" s="56">
        <v>240420240904</v>
      </c>
      <c r="N99" s="57" t="b">
        <v>1</v>
      </c>
      <c r="O99" s="58" t="s">
        <v>31</v>
      </c>
      <c r="P99" s="59" t="b">
        <v>1</v>
      </c>
      <c r="Q99" s="129"/>
      <c r="R99" s="60"/>
      <c r="S99" s="47" t="b">
        <v>1</v>
      </c>
      <c r="T99" s="61" t="s">
        <v>831</v>
      </c>
      <c r="U99" s="54">
        <f>12*35</f>
        <v>420</v>
      </c>
      <c r="V99" s="54">
        <f t="shared" si="15"/>
        <v>1980</v>
      </c>
      <c r="W99" s="49"/>
      <c r="X99" s="49"/>
    </row>
    <row r="100" spans="1:24" ht="15.75" customHeight="1">
      <c r="A100" s="101"/>
      <c r="B100" s="32"/>
      <c r="C100" s="71" t="s">
        <v>828</v>
      </c>
      <c r="D100" s="53" t="s">
        <v>832</v>
      </c>
      <c r="E100" s="53" t="s">
        <v>833</v>
      </c>
      <c r="F100" s="66" t="s">
        <v>834</v>
      </c>
      <c r="G100" s="69" t="s">
        <v>835</v>
      </c>
      <c r="H100" s="69" t="s">
        <v>30</v>
      </c>
      <c r="I100" s="69">
        <v>1</v>
      </c>
      <c r="J100" s="70">
        <v>500</v>
      </c>
      <c r="K100" s="54">
        <f t="shared" si="14"/>
        <v>500</v>
      </c>
      <c r="L100" s="55" t="b">
        <v>1</v>
      </c>
      <c r="M100" s="56">
        <v>240420240904</v>
      </c>
      <c r="N100" s="57" t="b">
        <v>1</v>
      </c>
      <c r="O100" s="58" t="s">
        <v>31</v>
      </c>
      <c r="P100" s="59" t="b">
        <v>1</v>
      </c>
      <c r="Q100" s="129"/>
      <c r="R100" s="60"/>
      <c r="S100" s="47" t="b">
        <v>1</v>
      </c>
      <c r="T100" s="61" t="s">
        <v>836</v>
      </c>
      <c r="U100" s="54">
        <v>264</v>
      </c>
      <c r="V100" s="54">
        <f t="shared" si="15"/>
        <v>236</v>
      </c>
      <c r="W100" s="49"/>
      <c r="X100" s="49"/>
    </row>
    <row r="101" spans="1:24" ht="15.75" customHeight="1">
      <c r="A101" s="101"/>
      <c r="B101" s="32"/>
      <c r="C101" s="71" t="s">
        <v>828</v>
      </c>
      <c r="D101" s="53" t="s">
        <v>51</v>
      </c>
      <c r="E101" s="53" t="s">
        <v>89</v>
      </c>
      <c r="F101" s="66" t="s">
        <v>90</v>
      </c>
      <c r="G101" s="69" t="s">
        <v>758</v>
      </c>
      <c r="H101" s="69" t="s">
        <v>30</v>
      </c>
      <c r="I101" s="69">
        <v>20</v>
      </c>
      <c r="J101" s="70">
        <v>300</v>
      </c>
      <c r="K101" s="54">
        <f t="shared" si="14"/>
        <v>6000</v>
      </c>
      <c r="L101" s="55" t="b">
        <v>1</v>
      </c>
      <c r="M101" s="56">
        <v>240420240909</v>
      </c>
      <c r="N101" s="57" t="b">
        <v>1</v>
      </c>
      <c r="O101" s="58" t="s">
        <v>31</v>
      </c>
      <c r="P101" s="59" t="b">
        <v>1</v>
      </c>
      <c r="Q101" s="129"/>
      <c r="R101" s="60"/>
      <c r="S101" s="47" t="b">
        <v>1</v>
      </c>
      <c r="T101" s="61" t="s">
        <v>837</v>
      </c>
      <c r="U101" s="54">
        <f>20*145</f>
        <v>2900</v>
      </c>
      <c r="V101" s="54">
        <f t="shared" si="15"/>
        <v>3100</v>
      </c>
      <c r="W101" s="49"/>
      <c r="X101" s="49"/>
    </row>
    <row r="102" spans="1:24" ht="15.75" customHeight="1">
      <c r="A102" s="101"/>
      <c r="B102" s="32"/>
      <c r="C102" s="71" t="s">
        <v>828</v>
      </c>
      <c r="D102" s="53" t="s">
        <v>463</v>
      </c>
      <c r="E102" s="53" t="s">
        <v>463</v>
      </c>
      <c r="F102" s="66" t="s">
        <v>579</v>
      </c>
      <c r="G102" s="69" t="s">
        <v>838</v>
      </c>
      <c r="H102" s="69" t="s">
        <v>30</v>
      </c>
      <c r="I102" s="69">
        <v>6</v>
      </c>
      <c r="J102" s="70">
        <v>1100</v>
      </c>
      <c r="K102" s="54">
        <f t="shared" si="14"/>
        <v>6600</v>
      </c>
      <c r="L102" s="55" t="b">
        <v>1</v>
      </c>
      <c r="M102" s="56">
        <v>240420241227</v>
      </c>
      <c r="N102" s="57" t="b">
        <v>1</v>
      </c>
      <c r="O102" s="58" t="s">
        <v>31</v>
      </c>
      <c r="P102" s="59" t="b">
        <v>1</v>
      </c>
      <c r="Q102" s="129"/>
      <c r="R102" s="60"/>
      <c r="S102" s="47" t="b">
        <v>1</v>
      </c>
      <c r="T102" s="61" t="s">
        <v>839</v>
      </c>
      <c r="U102" s="54">
        <f>6*650</f>
        <v>3900</v>
      </c>
      <c r="V102" s="54">
        <f t="shared" si="15"/>
        <v>2700</v>
      </c>
      <c r="W102" s="49"/>
      <c r="X102" s="49"/>
    </row>
    <row r="103" spans="1:24" ht="15.75" customHeight="1">
      <c r="A103" s="101"/>
      <c r="B103" s="32"/>
      <c r="C103" s="71" t="s">
        <v>828</v>
      </c>
      <c r="D103" s="53" t="s">
        <v>418</v>
      </c>
      <c r="E103" s="53" t="s">
        <v>42</v>
      </c>
      <c r="F103" s="66" t="s">
        <v>209</v>
      </c>
      <c r="G103" s="69" t="s">
        <v>139</v>
      </c>
      <c r="H103" s="69" t="s">
        <v>30</v>
      </c>
      <c r="I103" s="69">
        <v>50</v>
      </c>
      <c r="J103" s="70">
        <v>29</v>
      </c>
      <c r="K103" s="54">
        <f t="shared" si="14"/>
        <v>1450</v>
      </c>
      <c r="L103" s="55" t="b">
        <v>1</v>
      </c>
      <c r="M103" s="56">
        <v>240420241408</v>
      </c>
      <c r="N103" s="57" t="b">
        <v>1</v>
      </c>
      <c r="O103" s="58" t="s">
        <v>31</v>
      </c>
      <c r="P103" s="59" t="b">
        <v>1</v>
      </c>
      <c r="Q103" s="129"/>
      <c r="R103" s="60"/>
      <c r="S103" s="47" t="b">
        <v>1</v>
      </c>
      <c r="T103" s="61" t="s">
        <v>840</v>
      </c>
      <c r="U103" s="54">
        <f>50*15</f>
        <v>750</v>
      </c>
      <c r="V103" s="54">
        <f t="shared" si="15"/>
        <v>700</v>
      </c>
      <c r="W103" s="49"/>
      <c r="X103" s="49"/>
    </row>
    <row r="104" spans="1:24" ht="15.75" customHeight="1">
      <c r="A104" s="101"/>
      <c r="B104" s="32"/>
      <c r="C104" s="71" t="s">
        <v>841</v>
      </c>
      <c r="D104" s="53" t="s">
        <v>345</v>
      </c>
      <c r="E104" s="53" t="s">
        <v>342</v>
      </c>
      <c r="F104" s="66" t="s">
        <v>343</v>
      </c>
      <c r="G104" s="69" t="s">
        <v>842</v>
      </c>
      <c r="H104" s="69" t="s">
        <v>30</v>
      </c>
      <c r="I104" s="69">
        <v>2</v>
      </c>
      <c r="J104" s="70">
        <v>3950</v>
      </c>
      <c r="K104" s="54">
        <f t="shared" si="14"/>
        <v>7900</v>
      </c>
      <c r="L104" s="55" t="b">
        <v>1</v>
      </c>
      <c r="M104" s="56">
        <v>250420241551</v>
      </c>
      <c r="N104" s="57" t="b">
        <v>1</v>
      </c>
      <c r="O104" s="58"/>
      <c r="P104" s="59" t="b">
        <v>1</v>
      </c>
      <c r="Q104" s="129"/>
      <c r="R104" s="60"/>
      <c r="S104" s="47" t="b">
        <v>1</v>
      </c>
      <c r="T104" s="61" t="s">
        <v>843</v>
      </c>
      <c r="U104" s="54"/>
      <c r="V104" s="54">
        <f t="shared" si="15"/>
        <v>7900</v>
      </c>
      <c r="W104" s="49"/>
      <c r="X104" s="49"/>
    </row>
    <row r="105" spans="1:24" ht="15.75" customHeight="1">
      <c r="A105" s="101"/>
      <c r="B105" s="32"/>
      <c r="C105" s="71" t="s">
        <v>841</v>
      </c>
      <c r="D105" s="53" t="s">
        <v>51</v>
      </c>
      <c r="E105" s="53" t="s">
        <v>89</v>
      </c>
      <c r="F105" s="66" t="s">
        <v>90</v>
      </c>
      <c r="G105" s="69" t="s">
        <v>844</v>
      </c>
      <c r="H105" s="69" t="s">
        <v>30</v>
      </c>
      <c r="I105" s="69">
        <v>2</v>
      </c>
      <c r="J105" s="70">
        <v>575</v>
      </c>
      <c r="K105" s="54">
        <f t="shared" si="14"/>
        <v>1150</v>
      </c>
      <c r="L105" s="55" t="b">
        <v>1</v>
      </c>
      <c r="M105" s="56">
        <v>250420241553</v>
      </c>
      <c r="N105" s="57" t="b">
        <v>1</v>
      </c>
      <c r="O105" s="58" t="s">
        <v>39</v>
      </c>
      <c r="P105" s="59" t="b">
        <v>1</v>
      </c>
      <c r="Q105" s="129"/>
      <c r="R105" s="60"/>
      <c r="S105" s="47" t="b">
        <v>1</v>
      </c>
      <c r="T105" s="61" t="s">
        <v>845</v>
      </c>
      <c r="U105" s="54">
        <f>2*302</f>
        <v>604</v>
      </c>
      <c r="V105" s="54">
        <f t="shared" si="15"/>
        <v>546</v>
      </c>
      <c r="W105" s="49"/>
      <c r="X105" s="49"/>
    </row>
    <row r="106" spans="1:24" ht="15.75" customHeight="1">
      <c r="A106" s="101"/>
      <c r="B106" s="32"/>
      <c r="C106" s="71" t="s">
        <v>846</v>
      </c>
      <c r="D106" s="53" t="s">
        <v>418</v>
      </c>
      <c r="E106" s="53" t="s">
        <v>42</v>
      </c>
      <c r="F106" s="66" t="s">
        <v>209</v>
      </c>
      <c r="G106" s="69" t="s">
        <v>847</v>
      </c>
      <c r="H106" s="69" t="s">
        <v>30</v>
      </c>
      <c r="I106" s="69">
        <v>10</v>
      </c>
      <c r="J106" s="70">
        <v>625</v>
      </c>
      <c r="K106" s="54">
        <f t="shared" si="14"/>
        <v>6250</v>
      </c>
      <c r="L106" s="55" t="b">
        <v>1</v>
      </c>
      <c r="M106" s="56">
        <v>260420241003</v>
      </c>
      <c r="N106" s="57" t="b">
        <v>1</v>
      </c>
      <c r="O106" s="58" t="s">
        <v>31</v>
      </c>
      <c r="P106" s="59" t="b">
        <v>1</v>
      </c>
      <c r="Q106" s="129"/>
      <c r="R106" s="60"/>
      <c r="S106" s="47" t="b">
        <v>1</v>
      </c>
      <c r="T106" s="61" t="s">
        <v>848</v>
      </c>
      <c r="U106" s="54">
        <f>10*350</f>
        <v>3500</v>
      </c>
      <c r="V106" s="54">
        <f t="shared" si="15"/>
        <v>2750</v>
      </c>
      <c r="W106" s="49"/>
      <c r="X106" s="49"/>
    </row>
    <row r="107" spans="1:24" ht="15.75" customHeight="1">
      <c r="A107" s="101"/>
      <c r="B107" s="32"/>
      <c r="C107" s="134" t="s">
        <v>846</v>
      </c>
      <c r="D107" s="135" t="s">
        <v>418</v>
      </c>
      <c r="E107" s="135" t="s">
        <v>42</v>
      </c>
      <c r="F107" s="135" t="s">
        <v>209</v>
      </c>
      <c r="G107" s="136" t="s">
        <v>849</v>
      </c>
      <c r="H107" s="136" t="s">
        <v>30</v>
      </c>
      <c r="I107" s="136">
        <v>4</v>
      </c>
      <c r="J107" s="137">
        <v>5600</v>
      </c>
      <c r="K107" s="138">
        <f t="shared" si="14"/>
        <v>22400</v>
      </c>
      <c r="L107" s="139" t="b">
        <v>1</v>
      </c>
      <c r="M107" s="140">
        <v>260420241004</v>
      </c>
      <c r="N107" s="141" t="b">
        <v>1</v>
      </c>
      <c r="O107" s="142" t="s">
        <v>31</v>
      </c>
      <c r="P107" s="143" t="b">
        <v>1</v>
      </c>
      <c r="Q107" s="144"/>
      <c r="R107" s="141"/>
      <c r="S107" s="145" t="b">
        <v>1</v>
      </c>
      <c r="T107" s="146" t="s">
        <v>850</v>
      </c>
      <c r="U107" s="54">
        <f>4*1200</f>
        <v>4800</v>
      </c>
      <c r="V107" s="54">
        <f t="shared" si="15"/>
        <v>17600</v>
      </c>
      <c r="W107" s="49"/>
      <c r="X107" s="49"/>
    </row>
    <row r="108" spans="1:24" ht="15.75" customHeight="1">
      <c r="A108" s="101"/>
      <c r="B108" s="32"/>
      <c r="C108" s="71" t="s">
        <v>846</v>
      </c>
      <c r="D108" s="53" t="s">
        <v>26</v>
      </c>
      <c r="E108" s="53" t="s">
        <v>851</v>
      </c>
      <c r="F108" s="66" t="s">
        <v>852</v>
      </c>
      <c r="G108" s="69" t="s">
        <v>853</v>
      </c>
      <c r="H108" s="69" t="s">
        <v>854</v>
      </c>
      <c r="I108" s="69">
        <v>1</v>
      </c>
      <c r="J108" s="70">
        <v>575</v>
      </c>
      <c r="K108" s="54">
        <f t="shared" si="14"/>
        <v>575</v>
      </c>
      <c r="L108" s="55" t="b">
        <v>1</v>
      </c>
      <c r="M108" s="56">
        <v>260420241111</v>
      </c>
      <c r="N108" s="57" t="b">
        <v>1</v>
      </c>
      <c r="O108" s="58" t="s">
        <v>39</v>
      </c>
      <c r="P108" s="59" t="b">
        <v>1</v>
      </c>
      <c r="Q108" s="129"/>
      <c r="R108" s="60"/>
      <c r="S108" s="47" t="b">
        <v>1</v>
      </c>
      <c r="T108" s="61" t="s">
        <v>855</v>
      </c>
      <c r="U108" s="54">
        <v>302</v>
      </c>
      <c r="V108" s="54">
        <f t="shared" si="15"/>
        <v>273</v>
      </c>
      <c r="W108" s="49"/>
      <c r="X108" s="49"/>
    </row>
    <row r="109" spans="1:24" ht="15.75" customHeight="1">
      <c r="A109" s="101"/>
      <c r="B109" s="32"/>
      <c r="C109" s="71" t="s">
        <v>846</v>
      </c>
      <c r="D109" s="53" t="s">
        <v>51</v>
      </c>
      <c r="E109" s="53" t="s">
        <v>89</v>
      </c>
      <c r="F109" s="66" t="s">
        <v>90</v>
      </c>
      <c r="G109" s="69" t="s">
        <v>856</v>
      </c>
      <c r="H109" s="69" t="s">
        <v>30</v>
      </c>
      <c r="I109" s="69">
        <v>1</v>
      </c>
      <c r="J109" s="70">
        <v>3000</v>
      </c>
      <c r="K109" s="54">
        <f t="shared" ref="K109:K120" si="16">J109*I109</f>
        <v>3000</v>
      </c>
      <c r="L109" s="55" t="b">
        <v>1</v>
      </c>
      <c r="M109" s="56">
        <v>260420240902</v>
      </c>
      <c r="N109" s="57" t="b">
        <v>1</v>
      </c>
      <c r="O109" s="58" t="s">
        <v>31</v>
      </c>
      <c r="P109" s="59" t="b">
        <v>1</v>
      </c>
      <c r="Q109" s="129"/>
      <c r="R109" s="60"/>
      <c r="S109" s="47" t="b">
        <v>1</v>
      </c>
      <c r="T109" s="61" t="s">
        <v>857</v>
      </c>
      <c r="U109" s="54">
        <v>1250</v>
      </c>
      <c r="V109" s="54">
        <f t="shared" si="15"/>
        <v>1750</v>
      </c>
      <c r="W109" s="49"/>
      <c r="X109" s="49"/>
    </row>
    <row r="110" spans="1:24" ht="15.75" customHeight="1">
      <c r="A110" s="101"/>
      <c r="B110" s="32"/>
      <c r="C110" s="71" t="s">
        <v>858</v>
      </c>
      <c r="D110" s="53" t="s">
        <v>397</v>
      </c>
      <c r="E110" s="53" t="s">
        <v>213</v>
      </c>
      <c r="F110" s="66" t="s">
        <v>859</v>
      </c>
      <c r="G110" s="69" t="s">
        <v>436</v>
      </c>
      <c r="H110" s="69" t="s">
        <v>30</v>
      </c>
      <c r="I110" s="69">
        <v>100</v>
      </c>
      <c r="J110" s="70">
        <v>150</v>
      </c>
      <c r="K110" s="54">
        <f t="shared" si="16"/>
        <v>15000</v>
      </c>
      <c r="L110" s="55" t="b">
        <v>1</v>
      </c>
      <c r="M110" s="56">
        <v>270420241242</v>
      </c>
      <c r="N110" s="57" t="b">
        <v>1</v>
      </c>
      <c r="O110" s="58" t="s">
        <v>31</v>
      </c>
      <c r="P110" s="59" t="b">
        <v>1</v>
      </c>
      <c r="Q110" s="129"/>
      <c r="R110" s="60"/>
      <c r="S110" s="47" t="b">
        <v>1</v>
      </c>
      <c r="T110" s="61" t="s">
        <v>860</v>
      </c>
      <c r="U110" s="54">
        <f>100*100</f>
        <v>10000</v>
      </c>
      <c r="V110" s="54">
        <f t="shared" si="15"/>
        <v>5000</v>
      </c>
      <c r="W110" s="49"/>
      <c r="X110" s="49"/>
    </row>
    <row r="111" spans="1:24" ht="15.75" customHeight="1">
      <c r="A111" s="101"/>
      <c r="B111" s="32"/>
      <c r="C111" s="71" t="s">
        <v>858</v>
      </c>
      <c r="D111" s="53" t="s">
        <v>104</v>
      </c>
      <c r="E111" s="53" t="s">
        <v>739</v>
      </c>
      <c r="F111" s="66" t="s">
        <v>740</v>
      </c>
      <c r="G111" s="69" t="s">
        <v>861</v>
      </c>
      <c r="H111" s="69" t="s">
        <v>30</v>
      </c>
      <c r="I111" s="69">
        <v>10</v>
      </c>
      <c r="J111" s="70">
        <v>85</v>
      </c>
      <c r="K111" s="54">
        <f t="shared" si="16"/>
        <v>850</v>
      </c>
      <c r="L111" s="55" t="b">
        <v>1</v>
      </c>
      <c r="M111" s="56">
        <v>270420241244</v>
      </c>
      <c r="N111" s="57" t="b">
        <v>1</v>
      </c>
      <c r="O111" s="58"/>
      <c r="P111" s="59" t="b">
        <v>1</v>
      </c>
      <c r="Q111" s="129"/>
      <c r="R111" s="60"/>
      <c r="S111" s="47" t="b">
        <v>1</v>
      </c>
      <c r="T111" s="61" t="s">
        <v>862</v>
      </c>
      <c r="U111" s="54">
        <f>10*11.86</f>
        <v>118.6</v>
      </c>
      <c r="V111" s="54">
        <f t="shared" si="15"/>
        <v>731.4</v>
      </c>
      <c r="W111" s="49"/>
      <c r="X111" s="49"/>
    </row>
    <row r="112" spans="1:24" ht="15.75" customHeight="1">
      <c r="A112" s="101"/>
      <c r="B112" s="32"/>
      <c r="C112" s="71" t="s">
        <v>863</v>
      </c>
      <c r="D112" s="53" t="s">
        <v>51</v>
      </c>
      <c r="E112" s="53" t="s">
        <v>201</v>
      </c>
      <c r="F112" s="66" t="s">
        <v>202</v>
      </c>
      <c r="G112" s="69" t="s">
        <v>864</v>
      </c>
      <c r="H112" s="69" t="s">
        <v>30</v>
      </c>
      <c r="I112" s="69">
        <v>15</v>
      </c>
      <c r="J112" s="70">
        <v>525</v>
      </c>
      <c r="K112" s="54">
        <f t="shared" si="16"/>
        <v>7875</v>
      </c>
      <c r="L112" s="55" t="b">
        <v>1</v>
      </c>
      <c r="M112" s="56">
        <v>290420240829</v>
      </c>
      <c r="N112" s="57" t="b">
        <v>1</v>
      </c>
      <c r="O112" s="58" t="s">
        <v>31</v>
      </c>
      <c r="P112" s="59" t="b">
        <v>1</v>
      </c>
      <c r="Q112" s="129"/>
      <c r="R112" s="60"/>
      <c r="S112" s="47" t="b">
        <v>1</v>
      </c>
      <c r="T112" s="61" t="s">
        <v>865</v>
      </c>
      <c r="U112" s="54">
        <f>15*350</f>
        <v>5250</v>
      </c>
      <c r="V112" s="54">
        <f t="shared" si="15"/>
        <v>2625</v>
      </c>
      <c r="W112" s="49"/>
      <c r="X112" s="49"/>
    </row>
    <row r="113" spans="1:24" ht="15.75" customHeight="1">
      <c r="A113" s="101"/>
      <c r="B113" s="32"/>
      <c r="C113" s="71" t="s">
        <v>863</v>
      </c>
      <c r="D113" s="53" t="s">
        <v>51</v>
      </c>
      <c r="E113" s="53" t="s">
        <v>201</v>
      </c>
      <c r="F113" s="66" t="s">
        <v>202</v>
      </c>
      <c r="G113" s="69" t="s">
        <v>236</v>
      </c>
      <c r="H113" s="69" t="s">
        <v>30</v>
      </c>
      <c r="I113" s="69">
        <v>24</v>
      </c>
      <c r="J113" s="70">
        <v>140</v>
      </c>
      <c r="K113" s="54">
        <f t="shared" si="16"/>
        <v>3360</v>
      </c>
      <c r="L113" s="55" t="b">
        <v>1</v>
      </c>
      <c r="M113" s="56">
        <v>290420240831</v>
      </c>
      <c r="N113" s="57" t="b">
        <v>1</v>
      </c>
      <c r="O113" s="58" t="s">
        <v>31</v>
      </c>
      <c r="P113" s="59" t="b">
        <v>1</v>
      </c>
      <c r="Q113" s="129"/>
      <c r="R113" s="60"/>
      <c r="S113" s="47" t="b">
        <v>1</v>
      </c>
      <c r="T113" s="61" t="s">
        <v>865</v>
      </c>
      <c r="U113" s="54">
        <f>24*105</f>
        <v>2520</v>
      </c>
      <c r="V113" s="54">
        <f t="shared" si="15"/>
        <v>840</v>
      </c>
      <c r="W113" s="49"/>
      <c r="X113" s="49"/>
    </row>
    <row r="114" spans="1:24" ht="15.75" customHeight="1">
      <c r="A114" s="101"/>
      <c r="B114" s="32"/>
      <c r="C114" s="71" t="s">
        <v>863</v>
      </c>
      <c r="D114" s="53" t="s">
        <v>104</v>
      </c>
      <c r="E114" s="53" t="s">
        <v>342</v>
      </c>
      <c r="F114" s="66" t="s">
        <v>866</v>
      </c>
      <c r="G114" s="69" t="s">
        <v>83</v>
      </c>
      <c r="H114" s="69" t="s">
        <v>30</v>
      </c>
      <c r="I114" s="69">
        <v>4000</v>
      </c>
      <c r="J114" s="70">
        <v>1.5</v>
      </c>
      <c r="K114" s="54">
        <f t="shared" si="16"/>
        <v>6000</v>
      </c>
      <c r="L114" s="55" t="b">
        <v>1</v>
      </c>
      <c r="M114" s="56">
        <v>290120241058</v>
      </c>
      <c r="N114" s="57" t="b">
        <v>1</v>
      </c>
      <c r="O114" s="58" t="s">
        <v>31</v>
      </c>
      <c r="P114" s="59" t="b">
        <v>1</v>
      </c>
      <c r="Q114" s="129"/>
      <c r="R114" s="60"/>
      <c r="S114" s="47" t="b">
        <v>1</v>
      </c>
      <c r="T114" s="61" t="s">
        <v>867</v>
      </c>
      <c r="U114" s="54">
        <f>4000*1</f>
        <v>4000</v>
      </c>
      <c r="V114" s="54">
        <f t="shared" si="15"/>
        <v>2000</v>
      </c>
      <c r="W114" s="49"/>
      <c r="X114" s="49"/>
    </row>
    <row r="115" spans="1:24" ht="15.75" customHeight="1">
      <c r="A115" s="101"/>
      <c r="B115" s="32"/>
      <c r="C115" s="71" t="s">
        <v>863</v>
      </c>
      <c r="D115" s="53" t="s">
        <v>345</v>
      </c>
      <c r="E115" s="53" t="s">
        <v>342</v>
      </c>
      <c r="F115" s="66" t="s">
        <v>343</v>
      </c>
      <c r="G115" s="69" t="s">
        <v>68</v>
      </c>
      <c r="H115" s="69" t="s">
        <v>30</v>
      </c>
      <c r="I115" s="69">
        <v>6000</v>
      </c>
      <c r="J115" s="70">
        <v>0.75</v>
      </c>
      <c r="K115" s="54">
        <f t="shared" si="16"/>
        <v>4500</v>
      </c>
      <c r="L115" s="55" t="b">
        <v>1</v>
      </c>
      <c r="M115" s="56">
        <v>290120241519</v>
      </c>
      <c r="N115" s="57" t="b">
        <v>1</v>
      </c>
      <c r="O115" s="58"/>
      <c r="P115" s="59" t="b">
        <v>1</v>
      </c>
      <c r="Q115" s="129"/>
      <c r="R115" s="60"/>
      <c r="S115" s="47" t="b">
        <v>1</v>
      </c>
      <c r="T115" s="61" t="s">
        <v>868</v>
      </c>
      <c r="U115" s="54">
        <f>6000*0.3194</f>
        <v>1916.4</v>
      </c>
      <c r="V115" s="54">
        <f t="shared" si="15"/>
        <v>2583.6</v>
      </c>
      <c r="W115" s="49"/>
      <c r="X115" s="49"/>
    </row>
    <row r="116" spans="1:24" ht="15.75" customHeight="1">
      <c r="A116" s="101"/>
      <c r="B116" s="32"/>
      <c r="C116" s="71" t="s">
        <v>863</v>
      </c>
      <c r="D116" s="53" t="s">
        <v>171</v>
      </c>
      <c r="E116" s="53" t="s">
        <v>137</v>
      </c>
      <c r="F116" s="66" t="s">
        <v>172</v>
      </c>
      <c r="G116" s="69" t="s">
        <v>49</v>
      </c>
      <c r="H116" s="69" t="s">
        <v>30</v>
      </c>
      <c r="I116" s="69">
        <v>10</v>
      </c>
      <c r="J116" s="70">
        <v>695</v>
      </c>
      <c r="K116" s="54">
        <f t="shared" si="16"/>
        <v>6950</v>
      </c>
      <c r="L116" s="55" t="b">
        <v>1</v>
      </c>
      <c r="M116" s="56">
        <v>290420241558</v>
      </c>
      <c r="N116" s="57" t="b">
        <v>1</v>
      </c>
      <c r="O116" s="58" t="s">
        <v>39</v>
      </c>
      <c r="P116" s="59" t="b">
        <v>1</v>
      </c>
      <c r="Q116" s="129"/>
      <c r="R116" s="60"/>
      <c r="S116" s="47" t="b">
        <v>1</v>
      </c>
      <c r="T116" s="61" t="s">
        <v>869</v>
      </c>
      <c r="U116" s="54">
        <f>10000*0.46</f>
        <v>4600</v>
      </c>
      <c r="V116" s="54">
        <f t="shared" si="15"/>
        <v>2350</v>
      </c>
      <c r="W116" s="49"/>
      <c r="X116" s="49"/>
    </row>
    <row r="117" spans="1:24" ht="15.75" customHeight="1">
      <c r="A117" s="101"/>
      <c r="B117" s="32"/>
      <c r="C117" s="71" t="s">
        <v>863</v>
      </c>
      <c r="D117" s="53" t="s">
        <v>51</v>
      </c>
      <c r="E117" s="53" t="s">
        <v>201</v>
      </c>
      <c r="F117" s="66" t="s">
        <v>202</v>
      </c>
      <c r="G117" s="69" t="s">
        <v>870</v>
      </c>
      <c r="H117" s="69" t="s">
        <v>30</v>
      </c>
      <c r="I117" s="69">
        <v>1</v>
      </c>
      <c r="J117" s="70">
        <v>1000</v>
      </c>
      <c r="K117" s="54">
        <f t="shared" si="16"/>
        <v>1000</v>
      </c>
      <c r="L117" s="55" t="b">
        <v>1</v>
      </c>
      <c r="M117" s="56">
        <v>290420241713</v>
      </c>
      <c r="N117" s="57" t="b">
        <v>1</v>
      </c>
      <c r="O117" s="58" t="s">
        <v>39</v>
      </c>
      <c r="P117" s="59" t="b">
        <v>1</v>
      </c>
      <c r="Q117" s="129" t="s">
        <v>871</v>
      </c>
      <c r="R117" s="60"/>
      <c r="S117" s="47" t="b">
        <v>1</v>
      </c>
      <c r="T117" s="61" t="s">
        <v>872</v>
      </c>
      <c r="U117" s="54">
        <v>700</v>
      </c>
      <c r="V117" s="54">
        <f t="shared" si="15"/>
        <v>300</v>
      </c>
      <c r="W117" s="49"/>
      <c r="X117" s="49"/>
    </row>
    <row r="118" spans="1:24" ht="15.75" customHeight="1">
      <c r="A118" s="101"/>
      <c r="B118" s="32"/>
      <c r="C118" s="71" t="s">
        <v>873</v>
      </c>
      <c r="D118" s="53" t="s">
        <v>418</v>
      </c>
      <c r="E118" s="53" t="s">
        <v>84</v>
      </c>
      <c r="F118" s="66" t="s">
        <v>85</v>
      </c>
      <c r="G118" s="69" t="s">
        <v>874</v>
      </c>
      <c r="H118" s="69" t="s">
        <v>30</v>
      </c>
      <c r="I118" s="69">
        <v>350</v>
      </c>
      <c r="J118" s="70">
        <v>1.55</v>
      </c>
      <c r="K118" s="54">
        <f t="shared" si="16"/>
        <v>542.5</v>
      </c>
      <c r="L118" s="55" t="b">
        <v>1</v>
      </c>
      <c r="M118" s="56">
        <v>300420240937</v>
      </c>
      <c r="N118" s="57" t="b">
        <v>1</v>
      </c>
      <c r="O118" s="58" t="s">
        <v>31</v>
      </c>
      <c r="P118" s="59" t="b">
        <v>1</v>
      </c>
      <c r="Q118" s="129"/>
      <c r="R118" s="60"/>
      <c r="S118" s="47" t="b">
        <v>1</v>
      </c>
      <c r="T118" s="61" t="s">
        <v>875</v>
      </c>
      <c r="U118" s="54">
        <v>225</v>
      </c>
      <c r="V118" s="54">
        <f t="shared" si="15"/>
        <v>317.5</v>
      </c>
      <c r="W118" s="49"/>
      <c r="X118" s="49"/>
    </row>
    <row r="119" spans="1:24" ht="15.75" customHeight="1">
      <c r="A119" s="101"/>
      <c r="B119" s="32"/>
      <c r="C119" s="71" t="s">
        <v>873</v>
      </c>
      <c r="D119" s="53" t="s">
        <v>418</v>
      </c>
      <c r="E119" s="53" t="s">
        <v>84</v>
      </c>
      <c r="F119" s="66" t="s">
        <v>85</v>
      </c>
      <c r="G119" s="69" t="s">
        <v>876</v>
      </c>
      <c r="H119" s="69" t="s">
        <v>30</v>
      </c>
      <c r="I119" s="69">
        <v>1</v>
      </c>
      <c r="J119" s="70">
        <v>750</v>
      </c>
      <c r="K119" s="54">
        <f t="shared" si="16"/>
        <v>750</v>
      </c>
      <c r="L119" s="55" t="b">
        <v>1</v>
      </c>
      <c r="M119" s="56">
        <v>300420240937</v>
      </c>
      <c r="N119" s="57" t="b">
        <v>1</v>
      </c>
      <c r="O119" s="58" t="s">
        <v>31</v>
      </c>
      <c r="P119" s="59" t="b">
        <v>1</v>
      </c>
      <c r="Q119" s="129"/>
      <c r="R119" s="60"/>
      <c r="S119" s="47" t="b">
        <v>1</v>
      </c>
      <c r="T119" s="61" t="s">
        <v>875</v>
      </c>
      <c r="U119" s="54">
        <v>160</v>
      </c>
      <c r="V119" s="54">
        <f t="shared" si="15"/>
        <v>590</v>
      </c>
      <c r="W119" s="49"/>
      <c r="X119" s="49"/>
    </row>
    <row r="120" spans="1:24" ht="15.75" customHeight="1">
      <c r="A120" s="101"/>
      <c r="B120" s="32"/>
      <c r="C120" s="71" t="s">
        <v>873</v>
      </c>
      <c r="D120" s="53" t="s">
        <v>418</v>
      </c>
      <c r="E120" s="53" t="s">
        <v>84</v>
      </c>
      <c r="F120" s="66" t="s">
        <v>85</v>
      </c>
      <c r="G120" s="69" t="s">
        <v>877</v>
      </c>
      <c r="H120" s="69" t="s">
        <v>30</v>
      </c>
      <c r="I120" s="69">
        <v>1</v>
      </c>
      <c r="J120" s="70">
        <v>775</v>
      </c>
      <c r="K120" s="54">
        <f t="shared" si="16"/>
        <v>775</v>
      </c>
      <c r="L120" s="55" t="b">
        <v>1</v>
      </c>
      <c r="M120" s="56">
        <v>300420240937</v>
      </c>
      <c r="N120" s="57" t="b">
        <v>1</v>
      </c>
      <c r="O120" s="58" t="s">
        <v>31</v>
      </c>
      <c r="P120" s="59" t="b">
        <v>1</v>
      </c>
      <c r="Q120" s="129"/>
      <c r="R120" s="60"/>
      <c r="S120" s="47" t="b">
        <v>1</v>
      </c>
      <c r="T120" s="61" t="s">
        <v>875</v>
      </c>
      <c r="U120" s="54">
        <v>180</v>
      </c>
      <c r="V120" s="54">
        <f t="shared" si="15"/>
        <v>595</v>
      </c>
      <c r="W120" s="49"/>
      <c r="X120" s="49"/>
    </row>
    <row r="121" spans="1:24" ht="15.75" customHeight="1">
      <c r="A121" s="101"/>
      <c r="B121" s="32"/>
      <c r="C121" s="71" t="s">
        <v>873</v>
      </c>
      <c r="D121" s="53" t="s">
        <v>51</v>
      </c>
      <c r="E121" s="53" t="s">
        <v>335</v>
      </c>
      <c r="F121" s="66" t="s">
        <v>702</v>
      </c>
      <c r="G121" s="69" t="s">
        <v>703</v>
      </c>
      <c r="H121" s="69" t="s">
        <v>30</v>
      </c>
      <c r="I121" s="69">
        <v>1</v>
      </c>
      <c r="J121" s="70">
        <v>1750</v>
      </c>
      <c r="K121" s="54">
        <f>J121:J123*I121</f>
        <v>1750</v>
      </c>
      <c r="L121" s="55" t="b">
        <v>1</v>
      </c>
      <c r="M121" s="56" t="s">
        <v>529</v>
      </c>
      <c r="N121" s="57" t="b">
        <v>1</v>
      </c>
      <c r="O121" s="58"/>
      <c r="P121" s="59" t="b">
        <v>1</v>
      </c>
      <c r="Q121" s="129"/>
      <c r="R121" s="60"/>
      <c r="S121" s="47" t="b">
        <v>1</v>
      </c>
      <c r="T121" s="61" t="s">
        <v>878</v>
      </c>
      <c r="U121" s="54">
        <v>700</v>
      </c>
      <c r="V121" s="54">
        <f t="shared" si="15"/>
        <v>1050</v>
      </c>
      <c r="W121" s="49"/>
      <c r="X121" s="49"/>
    </row>
    <row r="122" spans="1:24" ht="15.75" customHeight="1">
      <c r="A122" s="101"/>
      <c r="B122" s="32"/>
      <c r="C122" s="71" t="s">
        <v>873</v>
      </c>
      <c r="D122" s="53" t="s">
        <v>51</v>
      </c>
      <c r="E122" s="53" t="s">
        <v>335</v>
      </c>
      <c r="F122" s="66" t="s">
        <v>339</v>
      </c>
      <c r="G122" s="69" t="s">
        <v>879</v>
      </c>
      <c r="H122" s="69" t="s">
        <v>30</v>
      </c>
      <c r="I122" s="69">
        <v>1</v>
      </c>
      <c r="J122" s="70">
        <v>3600</v>
      </c>
      <c r="K122" s="54">
        <f t="shared" ref="K122:K123" si="17">J122*I122</f>
        <v>3600</v>
      </c>
      <c r="L122" s="55" t="b">
        <v>1</v>
      </c>
      <c r="M122" s="56">
        <v>300420242212</v>
      </c>
      <c r="N122" s="57" t="b">
        <v>1</v>
      </c>
      <c r="O122" s="58" t="s">
        <v>39</v>
      </c>
      <c r="P122" s="59" t="b">
        <v>1</v>
      </c>
      <c r="Q122" s="129" t="s">
        <v>686</v>
      </c>
      <c r="R122" s="60"/>
      <c r="S122" s="47" t="b">
        <v>1</v>
      </c>
      <c r="T122" s="61" t="s">
        <v>880</v>
      </c>
      <c r="U122" s="54">
        <v>2400</v>
      </c>
      <c r="V122" s="54">
        <f t="shared" si="15"/>
        <v>1200</v>
      </c>
      <c r="W122" s="49"/>
      <c r="X122" s="49"/>
    </row>
    <row r="123" spans="1:24" ht="15.75" customHeight="1">
      <c r="A123" s="101"/>
      <c r="B123" s="32"/>
      <c r="C123" s="71" t="s">
        <v>873</v>
      </c>
      <c r="D123" s="53" t="s">
        <v>51</v>
      </c>
      <c r="E123" s="53" t="s">
        <v>335</v>
      </c>
      <c r="F123" s="66" t="s">
        <v>339</v>
      </c>
      <c r="G123" s="69" t="s">
        <v>881</v>
      </c>
      <c r="H123" s="69" t="s">
        <v>30</v>
      </c>
      <c r="I123" s="69">
        <v>55</v>
      </c>
      <c r="J123" s="70">
        <v>35</v>
      </c>
      <c r="K123" s="54">
        <f t="shared" si="17"/>
        <v>1925</v>
      </c>
      <c r="L123" s="55" t="b">
        <v>1</v>
      </c>
      <c r="M123" s="56">
        <v>300420242214</v>
      </c>
      <c r="N123" s="57" t="b">
        <v>1</v>
      </c>
      <c r="O123" s="58" t="s">
        <v>39</v>
      </c>
      <c r="P123" s="59" t="b">
        <v>1</v>
      </c>
      <c r="Q123" s="129" t="s">
        <v>882</v>
      </c>
      <c r="R123" s="60"/>
      <c r="S123" s="47" t="b">
        <v>1</v>
      </c>
      <c r="T123" s="61" t="s">
        <v>880</v>
      </c>
      <c r="U123" s="54">
        <f>55*25</f>
        <v>1375</v>
      </c>
      <c r="V123" s="54">
        <f t="shared" si="15"/>
        <v>550</v>
      </c>
      <c r="W123" s="49"/>
      <c r="X123" s="49"/>
    </row>
    <row r="124" spans="1:24" ht="15.75" customHeight="1">
      <c r="A124" s="101"/>
      <c r="B124" s="32"/>
      <c r="C124" s="71"/>
      <c r="D124" s="53"/>
      <c r="E124" s="53"/>
      <c r="F124" s="66"/>
      <c r="G124" s="69"/>
      <c r="H124" s="69"/>
      <c r="I124" s="69"/>
      <c r="J124" s="70"/>
      <c r="K124" s="54"/>
      <c r="L124" s="55"/>
      <c r="M124" s="56"/>
      <c r="N124" s="57"/>
      <c r="O124" s="58"/>
      <c r="P124" s="59"/>
      <c r="Q124" s="129"/>
      <c r="R124" s="60"/>
      <c r="S124" s="47"/>
      <c r="T124" s="61"/>
      <c r="U124" s="54"/>
      <c r="V124" s="54"/>
      <c r="W124" s="49"/>
      <c r="X124" s="49"/>
    </row>
    <row r="125" spans="1:24" ht="15.75" customHeight="1">
      <c r="A125" s="101"/>
      <c r="B125" s="124"/>
      <c r="C125" s="71"/>
      <c r="D125" s="53"/>
      <c r="E125" s="53"/>
      <c r="F125" s="66"/>
      <c r="G125" s="69"/>
      <c r="H125" s="69"/>
      <c r="I125" s="69"/>
      <c r="J125" s="70"/>
      <c r="K125" s="54"/>
      <c r="L125" s="55"/>
      <c r="M125" s="56"/>
      <c r="N125" s="57"/>
      <c r="O125" s="58"/>
      <c r="P125" s="59"/>
      <c r="Q125" s="129"/>
      <c r="R125" s="60"/>
      <c r="S125" s="47"/>
      <c r="T125" s="61"/>
      <c r="U125" s="54"/>
      <c r="V125" s="54"/>
      <c r="W125" s="49"/>
      <c r="X125" s="49"/>
    </row>
    <row r="126" spans="1:24" ht="15.75" customHeight="1">
      <c r="A126" s="101"/>
      <c r="B126" s="124"/>
      <c r="C126" s="71"/>
      <c r="D126" s="53"/>
      <c r="E126" s="53"/>
      <c r="F126" s="66"/>
      <c r="G126" s="69"/>
      <c r="H126" s="69"/>
      <c r="I126" s="69"/>
      <c r="J126" s="70"/>
      <c r="K126" s="54"/>
      <c r="L126" s="55"/>
      <c r="M126" s="56"/>
      <c r="N126" s="57"/>
      <c r="O126" s="58"/>
      <c r="P126" s="59"/>
      <c r="Q126" s="129"/>
      <c r="R126" s="60"/>
      <c r="S126" s="47"/>
      <c r="T126" s="61"/>
      <c r="U126" s="54"/>
      <c r="V126" s="54"/>
      <c r="W126" s="49"/>
      <c r="X126" s="49"/>
    </row>
    <row r="127" spans="1:24" ht="15.75" customHeight="1">
      <c r="A127" s="101"/>
      <c r="B127" s="124"/>
      <c r="C127" s="71"/>
      <c r="D127" s="53"/>
      <c r="E127" s="53"/>
      <c r="F127" s="66"/>
      <c r="G127" s="69"/>
      <c r="H127" s="69"/>
      <c r="I127" s="69"/>
      <c r="J127" s="70"/>
      <c r="K127" s="54"/>
      <c r="L127" s="55"/>
      <c r="M127" s="56"/>
      <c r="N127" s="57"/>
      <c r="O127" s="58"/>
      <c r="P127" s="59"/>
      <c r="Q127" s="129"/>
      <c r="R127" s="60"/>
      <c r="S127" s="47"/>
      <c r="T127" s="61"/>
      <c r="U127" s="54"/>
      <c r="V127" s="54"/>
      <c r="W127" s="49"/>
      <c r="X127" s="49"/>
    </row>
    <row r="128" spans="1:24" ht="15.75" customHeight="1">
      <c r="A128" s="101"/>
      <c r="B128" s="124"/>
      <c r="C128" s="71"/>
      <c r="D128" s="53"/>
      <c r="E128" s="53"/>
      <c r="F128" s="66"/>
      <c r="G128" s="69"/>
      <c r="H128" s="69"/>
      <c r="I128" s="69"/>
      <c r="J128" s="70"/>
      <c r="K128" s="54"/>
      <c r="L128" s="55"/>
      <c r="M128" s="56"/>
      <c r="N128" s="57"/>
      <c r="O128" s="58"/>
      <c r="P128" s="59"/>
      <c r="Q128" s="129"/>
      <c r="R128" s="60"/>
      <c r="S128" s="47"/>
      <c r="T128" s="61"/>
      <c r="U128" s="54"/>
      <c r="V128" s="54"/>
      <c r="W128" s="49"/>
      <c r="X128" s="49"/>
    </row>
    <row r="129" spans="1:24" ht="16.5" customHeight="1">
      <c r="A129" s="101"/>
      <c r="B129" s="124"/>
      <c r="C129" s="71"/>
      <c r="D129" s="53"/>
      <c r="E129" s="53"/>
      <c r="F129" s="66"/>
      <c r="G129" s="69"/>
      <c r="H129" s="69"/>
      <c r="I129" s="69"/>
      <c r="J129" s="70"/>
      <c r="K129" s="54"/>
      <c r="L129" s="55"/>
      <c r="M129" s="56"/>
      <c r="N129" s="57"/>
      <c r="O129" s="58"/>
      <c r="P129" s="59"/>
      <c r="Q129" s="129"/>
      <c r="R129" s="60"/>
      <c r="S129" s="47"/>
      <c r="T129" s="61"/>
      <c r="U129" s="54"/>
      <c r="V129" s="54"/>
      <c r="W129" s="49"/>
      <c r="X129" s="49"/>
    </row>
    <row r="130" spans="1:24" ht="15.75" customHeight="1">
      <c r="A130" s="101"/>
      <c r="B130" s="124"/>
      <c r="C130" s="71"/>
      <c r="D130" s="53"/>
      <c r="E130" s="53"/>
      <c r="F130" s="66"/>
      <c r="G130" s="69"/>
      <c r="H130" s="69"/>
      <c r="I130" s="69"/>
      <c r="J130" s="70"/>
      <c r="K130" s="54"/>
      <c r="L130" s="55"/>
      <c r="M130" s="56"/>
      <c r="N130" s="57"/>
      <c r="O130" s="58"/>
      <c r="P130" s="59"/>
      <c r="Q130" s="129"/>
      <c r="R130" s="60"/>
      <c r="S130" s="47"/>
      <c r="T130" s="61"/>
      <c r="U130" s="54"/>
      <c r="V130" s="54"/>
      <c r="W130" s="49"/>
      <c r="X130" s="49"/>
    </row>
    <row r="131" spans="1:24" ht="15.75" customHeight="1">
      <c r="A131" s="101"/>
      <c r="B131" s="32"/>
      <c r="C131" s="71"/>
      <c r="D131" s="53"/>
      <c r="E131" s="53"/>
      <c r="F131" s="66"/>
      <c r="G131" s="69"/>
      <c r="H131" s="69"/>
      <c r="I131" s="69"/>
      <c r="J131" s="70"/>
      <c r="K131" s="54"/>
      <c r="L131" s="55"/>
      <c r="M131" s="56"/>
      <c r="N131" s="57"/>
      <c r="O131" s="58"/>
      <c r="P131" s="59"/>
      <c r="Q131" s="129"/>
      <c r="R131" s="60"/>
      <c r="S131" s="47"/>
      <c r="T131" s="61"/>
      <c r="U131" s="54"/>
      <c r="V131" s="54"/>
      <c r="W131" s="49"/>
      <c r="X131" s="49"/>
    </row>
    <row r="132" spans="1:24" ht="15.75" customHeight="1">
      <c r="A132" s="101"/>
      <c r="B132" s="32"/>
      <c r="C132" s="71"/>
      <c r="D132" s="53"/>
      <c r="E132" s="53"/>
      <c r="F132" s="66"/>
      <c r="G132" s="69"/>
      <c r="H132" s="69"/>
      <c r="I132" s="69"/>
      <c r="J132" s="70"/>
      <c r="K132" s="54"/>
      <c r="L132" s="55"/>
      <c r="M132" s="56"/>
      <c r="N132" s="57"/>
      <c r="O132" s="58"/>
      <c r="P132" s="59"/>
      <c r="Q132" s="129"/>
      <c r="R132" s="60"/>
      <c r="S132" s="47"/>
      <c r="T132" s="61"/>
      <c r="U132" s="54"/>
      <c r="V132" s="54"/>
      <c r="W132" s="49"/>
      <c r="X132" s="49"/>
    </row>
    <row r="133" spans="1:24" ht="15.75" customHeight="1">
      <c r="A133" s="101"/>
      <c r="B133" s="32"/>
      <c r="C133" s="71"/>
      <c r="D133" s="53"/>
      <c r="E133" s="53"/>
      <c r="F133" s="66"/>
      <c r="G133" s="69"/>
      <c r="H133" s="69"/>
      <c r="I133" s="69"/>
      <c r="J133" s="70"/>
      <c r="K133" s="54"/>
      <c r="L133" s="55"/>
      <c r="M133" s="56"/>
      <c r="N133" s="57"/>
      <c r="O133" s="58"/>
      <c r="P133" s="59"/>
      <c r="Q133" s="129"/>
      <c r="R133" s="60"/>
      <c r="S133" s="47"/>
      <c r="T133" s="61"/>
      <c r="U133" s="54"/>
      <c r="V133" s="54"/>
      <c r="W133" s="49"/>
      <c r="X133" s="49"/>
    </row>
    <row r="134" spans="1:24" ht="15.75" customHeight="1">
      <c r="A134" s="101"/>
      <c r="B134" s="32"/>
      <c r="C134" s="71"/>
      <c r="D134" s="53"/>
      <c r="E134" s="53"/>
      <c r="F134" s="66"/>
      <c r="G134" s="69"/>
      <c r="H134" s="69"/>
      <c r="I134" s="69"/>
      <c r="J134" s="70"/>
      <c r="K134" s="54"/>
      <c r="L134" s="55"/>
      <c r="M134" s="56"/>
      <c r="N134" s="57"/>
      <c r="O134" s="58"/>
      <c r="P134" s="59"/>
      <c r="Q134" s="129"/>
      <c r="R134" s="60"/>
      <c r="S134" s="47"/>
      <c r="T134" s="61"/>
      <c r="U134" s="54"/>
      <c r="V134" s="54"/>
      <c r="W134" s="49"/>
      <c r="X134" s="49"/>
    </row>
    <row r="135" spans="1:24" ht="15.75" customHeight="1">
      <c r="A135" s="101"/>
      <c r="B135" s="32"/>
      <c r="C135" s="71"/>
      <c r="D135" s="53"/>
      <c r="E135" s="53"/>
      <c r="F135" s="66"/>
      <c r="G135" s="69"/>
      <c r="H135" s="69"/>
      <c r="I135" s="69"/>
      <c r="J135" s="70"/>
      <c r="K135" s="54"/>
      <c r="L135" s="55"/>
      <c r="M135" s="56"/>
      <c r="N135" s="57"/>
      <c r="O135" s="58"/>
      <c r="P135" s="59"/>
      <c r="Q135" s="129"/>
      <c r="R135" s="60"/>
      <c r="S135" s="47"/>
      <c r="T135" s="61"/>
      <c r="U135" s="54"/>
      <c r="V135" s="54"/>
      <c r="W135" s="49"/>
      <c r="X135" s="49"/>
    </row>
    <row r="136" spans="1:24" ht="15.75" customHeight="1">
      <c r="A136" s="101"/>
      <c r="B136" s="32"/>
      <c r="C136" s="71"/>
      <c r="D136" s="53"/>
      <c r="E136" s="53"/>
      <c r="F136" s="66"/>
      <c r="G136" s="69"/>
      <c r="H136" s="69"/>
      <c r="I136" s="69"/>
      <c r="J136" s="70"/>
      <c r="K136" s="54"/>
      <c r="L136" s="55"/>
      <c r="M136" s="56"/>
      <c r="N136" s="57"/>
      <c r="O136" s="58"/>
      <c r="P136" s="59"/>
      <c r="Q136" s="129"/>
      <c r="R136" s="60"/>
      <c r="S136" s="47"/>
      <c r="T136" s="61"/>
      <c r="U136" s="54"/>
      <c r="V136" s="54"/>
      <c r="W136" s="49"/>
      <c r="X136" s="49"/>
    </row>
    <row r="137" spans="1:24" ht="15.75" customHeight="1">
      <c r="A137" s="101"/>
      <c r="B137" s="32"/>
      <c r="C137" s="71"/>
      <c r="D137" s="53"/>
      <c r="E137" s="53"/>
      <c r="F137" s="66"/>
      <c r="G137" s="69"/>
      <c r="H137" s="69"/>
      <c r="I137" s="69"/>
      <c r="J137" s="70"/>
      <c r="K137" s="54"/>
      <c r="L137" s="55"/>
      <c r="M137" s="56"/>
      <c r="N137" s="57"/>
      <c r="O137" s="58"/>
      <c r="P137" s="59"/>
      <c r="Q137" s="129"/>
      <c r="R137" s="60"/>
      <c r="S137" s="47"/>
      <c r="T137" s="61"/>
      <c r="U137" s="54"/>
      <c r="V137" s="54"/>
      <c r="W137" s="49"/>
      <c r="X137" s="49"/>
    </row>
    <row r="138" spans="1:24" ht="15.75" customHeight="1">
      <c r="A138" s="101"/>
      <c r="B138" s="32"/>
      <c r="C138" s="71"/>
      <c r="D138" s="53"/>
      <c r="E138" s="53"/>
      <c r="F138" s="66"/>
      <c r="G138" s="69"/>
      <c r="H138" s="69"/>
      <c r="I138" s="69"/>
      <c r="J138" s="70"/>
      <c r="K138" s="54"/>
      <c r="L138" s="55"/>
      <c r="M138" s="56"/>
      <c r="N138" s="57"/>
      <c r="O138" s="58"/>
      <c r="P138" s="59"/>
      <c r="Q138" s="129"/>
      <c r="R138" s="60"/>
      <c r="S138" s="47"/>
      <c r="T138" s="61"/>
      <c r="U138" s="54"/>
      <c r="V138" s="54"/>
      <c r="W138" s="49"/>
      <c r="X138" s="49"/>
    </row>
    <row r="139" spans="1:24" ht="15.75" customHeight="1">
      <c r="A139" s="101"/>
      <c r="B139" s="32"/>
      <c r="C139" s="71"/>
      <c r="D139" s="53"/>
      <c r="E139" s="53"/>
      <c r="F139" s="66"/>
      <c r="G139" s="69"/>
      <c r="H139" s="69"/>
      <c r="I139" s="69"/>
      <c r="J139" s="70"/>
      <c r="K139" s="54"/>
      <c r="L139" s="55"/>
      <c r="M139" s="56"/>
      <c r="N139" s="57"/>
      <c r="O139" s="58"/>
      <c r="P139" s="59"/>
      <c r="Q139" s="129"/>
      <c r="R139" s="60"/>
      <c r="S139" s="47"/>
      <c r="T139" s="61"/>
      <c r="U139" s="54"/>
      <c r="V139" s="54"/>
      <c r="W139" s="49"/>
      <c r="X139" s="49"/>
    </row>
    <row r="140" spans="1:24" ht="15.75" customHeight="1">
      <c r="A140" s="101"/>
      <c r="B140" s="32"/>
      <c r="C140" s="71"/>
      <c r="D140" s="53"/>
      <c r="E140" s="53"/>
      <c r="F140" s="66"/>
      <c r="G140" s="69"/>
      <c r="H140" s="69"/>
      <c r="I140" s="69"/>
      <c r="J140" s="70"/>
      <c r="K140" s="54"/>
      <c r="L140" s="55"/>
      <c r="M140" s="56"/>
      <c r="N140" s="57"/>
      <c r="O140" s="58"/>
      <c r="P140" s="59"/>
      <c r="Q140" s="129"/>
      <c r="R140" s="60"/>
      <c r="S140" s="47"/>
      <c r="T140" s="61"/>
      <c r="U140" s="54"/>
      <c r="V140" s="54"/>
      <c r="W140" s="49"/>
      <c r="X140" s="49"/>
    </row>
    <row r="141" spans="1:24" ht="15.75" customHeight="1">
      <c r="A141" s="101"/>
      <c r="B141" s="32"/>
      <c r="C141" s="71"/>
      <c r="D141" s="53"/>
      <c r="E141" s="53"/>
      <c r="F141" s="66"/>
      <c r="G141" s="69"/>
      <c r="H141" s="69"/>
      <c r="I141" s="69"/>
      <c r="J141" s="70"/>
      <c r="K141" s="54"/>
      <c r="L141" s="55"/>
      <c r="M141" s="56"/>
      <c r="N141" s="57"/>
      <c r="O141" s="58"/>
      <c r="P141" s="59"/>
      <c r="Q141" s="129"/>
      <c r="R141" s="60"/>
      <c r="S141" s="47"/>
      <c r="T141" s="61"/>
      <c r="U141" s="54"/>
      <c r="V141" s="54"/>
      <c r="W141" s="49"/>
      <c r="X141" s="49"/>
    </row>
    <row r="142" spans="1:24" ht="15.75" customHeight="1">
      <c r="A142" s="101"/>
      <c r="B142" s="32"/>
      <c r="C142" s="71"/>
      <c r="D142" s="53"/>
      <c r="E142" s="53"/>
      <c r="F142" s="66"/>
      <c r="G142" s="69"/>
      <c r="H142" s="69"/>
      <c r="I142" s="69"/>
      <c r="J142" s="70"/>
      <c r="K142" s="54"/>
      <c r="L142" s="55"/>
      <c r="M142" s="56"/>
      <c r="N142" s="57"/>
      <c r="O142" s="58"/>
      <c r="P142" s="59"/>
      <c r="Q142" s="129"/>
      <c r="R142" s="60"/>
      <c r="S142" s="47"/>
      <c r="T142" s="61"/>
      <c r="U142" s="54"/>
      <c r="V142" s="54"/>
      <c r="W142" s="49"/>
      <c r="X142" s="49"/>
    </row>
    <row r="143" spans="1:24" ht="15.75" customHeight="1">
      <c r="A143" s="1"/>
      <c r="B143" s="1"/>
      <c r="C143" s="71"/>
      <c r="D143" s="53"/>
      <c r="E143" s="53"/>
      <c r="F143" s="66"/>
      <c r="G143" s="69"/>
      <c r="H143" s="69"/>
      <c r="I143" s="69"/>
      <c r="J143" s="70"/>
      <c r="K143" s="54"/>
      <c r="L143" s="55"/>
      <c r="M143" s="56"/>
      <c r="N143" s="57"/>
      <c r="O143" s="58"/>
      <c r="P143" s="59"/>
      <c r="Q143" s="129"/>
      <c r="R143" s="60"/>
      <c r="S143" s="47"/>
      <c r="T143" s="61"/>
      <c r="U143" s="54"/>
      <c r="V143" s="54"/>
      <c r="W143" s="49"/>
      <c r="X143" s="49"/>
    </row>
    <row r="144" spans="1:24" ht="15.75" customHeight="1">
      <c r="A144" s="1"/>
      <c r="B144" s="1"/>
      <c r="C144" s="71"/>
      <c r="D144" s="53"/>
      <c r="E144" s="53"/>
      <c r="F144" s="66"/>
      <c r="G144" s="69"/>
      <c r="H144" s="69"/>
      <c r="I144" s="69"/>
      <c r="J144" s="70"/>
      <c r="K144" s="54"/>
      <c r="L144" s="55"/>
      <c r="M144" s="56"/>
      <c r="N144" s="57"/>
      <c r="O144" s="58"/>
      <c r="P144" s="59"/>
      <c r="Q144" s="129"/>
      <c r="R144" s="60"/>
      <c r="S144" s="47"/>
      <c r="T144" s="61"/>
      <c r="U144" s="54"/>
      <c r="V144" s="54"/>
      <c r="W144" s="49"/>
      <c r="X144" s="49"/>
    </row>
    <row r="145" spans="1:24" ht="15.75" customHeight="1">
      <c r="A145" s="1"/>
      <c r="B145" s="1"/>
      <c r="C145" s="71"/>
      <c r="D145" s="53"/>
      <c r="E145" s="53"/>
      <c r="F145" s="66"/>
      <c r="G145" s="69"/>
      <c r="H145" s="69"/>
      <c r="I145" s="69"/>
      <c r="J145" s="70"/>
      <c r="K145" s="54"/>
      <c r="L145" s="55"/>
      <c r="M145" s="56"/>
      <c r="N145" s="57"/>
      <c r="O145" s="58"/>
      <c r="P145" s="59"/>
      <c r="Q145" s="129"/>
      <c r="R145" s="60"/>
      <c r="S145" s="47"/>
      <c r="T145" s="61"/>
      <c r="U145" s="54"/>
      <c r="V145" s="54"/>
      <c r="W145" s="49"/>
      <c r="X145" s="49"/>
    </row>
    <row r="146" spans="1:24" ht="15.75" customHeight="1">
      <c r="A146" s="1"/>
      <c r="B146" s="1"/>
      <c r="C146" s="71"/>
      <c r="D146" s="53"/>
      <c r="E146" s="53"/>
      <c r="F146" s="66"/>
      <c r="G146" s="69"/>
      <c r="H146" s="69"/>
      <c r="I146" s="69"/>
      <c r="J146" s="70"/>
      <c r="K146" s="54"/>
      <c r="L146" s="55"/>
      <c r="M146" s="56"/>
      <c r="N146" s="57"/>
      <c r="O146" s="58"/>
      <c r="P146" s="59"/>
      <c r="Q146" s="129"/>
      <c r="R146" s="60"/>
      <c r="S146" s="47"/>
      <c r="T146" s="61"/>
      <c r="U146" s="54"/>
      <c r="V146" s="54"/>
      <c r="W146" s="49"/>
      <c r="X146" s="49"/>
    </row>
    <row r="147" spans="1:24" ht="15.75" customHeight="1">
      <c r="A147" s="1"/>
      <c r="B147" s="1"/>
      <c r="C147" s="71"/>
      <c r="D147" s="53"/>
      <c r="E147" s="53"/>
      <c r="F147" s="66"/>
      <c r="G147" s="69"/>
      <c r="H147" s="69"/>
      <c r="I147" s="69"/>
      <c r="J147" s="70"/>
      <c r="K147" s="54"/>
      <c r="L147" s="55"/>
      <c r="M147" s="56"/>
      <c r="N147" s="57"/>
      <c r="O147" s="58"/>
      <c r="P147" s="59"/>
      <c r="Q147" s="129"/>
      <c r="R147" s="60"/>
      <c r="S147" s="47"/>
      <c r="T147" s="61"/>
      <c r="U147" s="54"/>
      <c r="V147" s="54"/>
      <c r="W147" s="49"/>
      <c r="X147" s="49"/>
    </row>
    <row r="148" spans="1:24" ht="15.75" customHeight="1">
      <c r="A148" s="1"/>
      <c r="B148" s="1"/>
      <c r="C148" s="71"/>
      <c r="D148" s="53"/>
      <c r="E148" s="53"/>
      <c r="F148" s="66"/>
      <c r="G148" s="69"/>
      <c r="H148" s="69"/>
      <c r="I148" s="69"/>
      <c r="J148" s="70"/>
      <c r="K148" s="54"/>
      <c r="L148" s="55"/>
      <c r="M148" s="56"/>
      <c r="N148" s="57"/>
      <c r="O148" s="58"/>
      <c r="P148" s="59"/>
      <c r="Q148" s="129"/>
      <c r="R148" s="60"/>
      <c r="S148" s="47"/>
      <c r="T148" s="61"/>
      <c r="U148" s="54"/>
      <c r="V148" s="54"/>
      <c r="W148" s="49"/>
      <c r="X148" s="49"/>
    </row>
    <row r="149" spans="1:24" ht="15.75" customHeight="1">
      <c r="A149" s="1"/>
      <c r="B149" s="1"/>
      <c r="C149" s="71"/>
      <c r="D149" s="53"/>
      <c r="E149" s="53"/>
      <c r="F149" s="66"/>
      <c r="G149" s="69"/>
      <c r="H149" s="69"/>
      <c r="I149" s="69"/>
      <c r="J149" s="70"/>
      <c r="K149" s="54"/>
      <c r="L149" s="55"/>
      <c r="M149" s="56"/>
      <c r="N149" s="57"/>
      <c r="O149" s="58"/>
      <c r="P149" s="59"/>
      <c r="Q149" s="129"/>
      <c r="R149" s="60"/>
      <c r="S149" s="47"/>
      <c r="T149" s="61"/>
      <c r="U149" s="54"/>
      <c r="V149" s="54"/>
      <c r="W149" s="49"/>
      <c r="X149" s="49"/>
    </row>
    <row r="150" spans="1:24" ht="15.75" customHeight="1">
      <c r="A150" s="1"/>
      <c r="B150" s="1"/>
      <c r="C150" s="71"/>
      <c r="D150" s="53"/>
      <c r="E150" s="53"/>
      <c r="F150" s="66"/>
      <c r="G150" s="69"/>
      <c r="H150" s="69"/>
      <c r="I150" s="69"/>
      <c r="J150" s="70"/>
      <c r="K150" s="54"/>
      <c r="L150" s="55"/>
      <c r="M150" s="56"/>
      <c r="N150" s="57"/>
      <c r="O150" s="58"/>
      <c r="P150" s="59"/>
      <c r="Q150" s="129"/>
      <c r="R150" s="60"/>
      <c r="S150" s="47"/>
      <c r="T150" s="61"/>
      <c r="U150" s="54"/>
      <c r="V150" s="54"/>
      <c r="W150" s="49"/>
      <c r="X150" s="49"/>
    </row>
    <row r="151" spans="1:24" ht="15.75" customHeight="1">
      <c r="A151" s="1"/>
      <c r="B151" s="1"/>
      <c r="C151" s="71"/>
      <c r="D151" s="53"/>
      <c r="E151" s="53"/>
      <c r="F151" s="66"/>
      <c r="G151" s="69"/>
      <c r="H151" s="69"/>
      <c r="I151" s="69"/>
      <c r="J151" s="70"/>
      <c r="K151" s="54"/>
      <c r="L151" s="55"/>
      <c r="M151" s="56"/>
      <c r="N151" s="57"/>
      <c r="O151" s="58"/>
      <c r="P151" s="59"/>
      <c r="Q151" s="129"/>
      <c r="R151" s="60"/>
      <c r="S151" s="47"/>
      <c r="T151" s="61"/>
      <c r="U151" s="54"/>
      <c r="V151" s="54"/>
      <c r="W151" s="49"/>
      <c r="X151" s="49"/>
    </row>
    <row r="152" spans="1:24" ht="15.75" customHeight="1">
      <c r="A152" s="1"/>
      <c r="B152" s="1"/>
      <c r="C152" s="71"/>
      <c r="D152" s="53"/>
      <c r="E152" s="53"/>
      <c r="F152" s="66"/>
      <c r="G152" s="69"/>
      <c r="H152" s="69"/>
      <c r="I152" s="69"/>
      <c r="J152" s="70"/>
      <c r="K152" s="54"/>
      <c r="L152" s="55"/>
      <c r="M152" s="56"/>
      <c r="N152" s="57"/>
      <c r="O152" s="58"/>
      <c r="P152" s="59"/>
      <c r="Q152" s="129"/>
      <c r="R152" s="60"/>
      <c r="S152" s="47"/>
      <c r="T152" s="61"/>
      <c r="U152" s="54"/>
      <c r="V152" s="54"/>
      <c r="W152" s="49"/>
      <c r="X152" s="49"/>
    </row>
    <row r="153" spans="1:24" ht="15.75" customHeight="1">
      <c r="A153" s="1"/>
      <c r="B153" s="1"/>
      <c r="C153" s="71"/>
      <c r="D153" s="53"/>
      <c r="E153" s="53"/>
      <c r="F153" s="66"/>
      <c r="G153" s="69"/>
      <c r="H153" s="69"/>
      <c r="I153" s="69"/>
      <c r="J153" s="70"/>
      <c r="K153" s="54"/>
      <c r="L153" s="55"/>
      <c r="M153" s="56"/>
      <c r="N153" s="57"/>
      <c r="O153" s="58"/>
      <c r="P153" s="59"/>
      <c r="Q153" s="129"/>
      <c r="R153" s="60"/>
      <c r="S153" s="47"/>
      <c r="T153" s="61"/>
      <c r="U153" s="54"/>
      <c r="V153" s="54"/>
      <c r="W153" s="49"/>
      <c r="X153" s="49"/>
    </row>
    <row r="154" spans="1:24" ht="15.75" customHeight="1">
      <c r="A154" s="1"/>
      <c r="B154" s="1"/>
      <c r="C154" s="71"/>
      <c r="D154" s="53"/>
      <c r="E154" s="53"/>
      <c r="F154" s="66"/>
      <c r="G154" s="69"/>
      <c r="H154" s="69"/>
      <c r="I154" s="69"/>
      <c r="J154" s="70"/>
      <c r="K154" s="54"/>
      <c r="L154" s="55"/>
      <c r="M154" s="56"/>
      <c r="N154" s="57"/>
      <c r="O154" s="58"/>
      <c r="P154" s="59"/>
      <c r="Q154" s="129"/>
      <c r="R154" s="60"/>
      <c r="S154" s="47"/>
      <c r="T154" s="61"/>
      <c r="U154" s="54"/>
      <c r="V154" s="54"/>
      <c r="W154" s="49"/>
      <c r="X154" s="49"/>
    </row>
    <row r="155" spans="1:24" ht="15.75" customHeight="1">
      <c r="A155" s="1"/>
      <c r="B155" s="1"/>
      <c r="C155" s="71"/>
      <c r="D155" s="53"/>
      <c r="E155" s="53"/>
      <c r="F155" s="66"/>
      <c r="G155" s="69"/>
      <c r="H155" s="69"/>
      <c r="I155" s="69"/>
      <c r="J155" s="70"/>
      <c r="K155" s="54"/>
      <c r="L155" s="55"/>
      <c r="M155" s="56"/>
      <c r="N155" s="57"/>
      <c r="O155" s="58"/>
      <c r="P155" s="59"/>
      <c r="Q155" s="129"/>
      <c r="R155" s="60"/>
      <c r="S155" s="47"/>
      <c r="T155" s="61"/>
      <c r="U155" s="54"/>
      <c r="V155" s="54"/>
      <c r="W155" s="49"/>
      <c r="X155" s="49"/>
    </row>
    <row r="156" spans="1:24" ht="15.75" customHeight="1">
      <c r="A156" s="1"/>
      <c r="B156" s="1"/>
      <c r="C156" s="71"/>
      <c r="D156" s="53"/>
      <c r="E156" s="53"/>
      <c r="F156" s="66"/>
      <c r="G156" s="69"/>
      <c r="H156" s="69"/>
      <c r="I156" s="69"/>
      <c r="J156" s="70"/>
      <c r="K156" s="54"/>
      <c r="L156" s="55"/>
      <c r="M156" s="56"/>
      <c r="N156" s="57"/>
      <c r="O156" s="58"/>
      <c r="P156" s="59"/>
      <c r="Q156" s="129"/>
      <c r="R156" s="60"/>
      <c r="S156" s="47"/>
      <c r="T156" s="61"/>
      <c r="U156" s="54"/>
      <c r="V156" s="54"/>
      <c r="W156" s="49"/>
      <c r="X156" s="49"/>
    </row>
    <row r="157" spans="1:24" ht="15.75" customHeight="1">
      <c r="A157" s="1"/>
      <c r="B157" s="1"/>
      <c r="C157" s="71"/>
      <c r="D157" s="53"/>
      <c r="E157" s="53"/>
      <c r="F157" s="66"/>
      <c r="G157" s="69"/>
      <c r="H157" s="69"/>
      <c r="I157" s="69"/>
      <c r="J157" s="70"/>
      <c r="K157" s="54"/>
      <c r="L157" s="55"/>
      <c r="M157" s="56"/>
      <c r="N157" s="57"/>
      <c r="O157" s="58"/>
      <c r="P157" s="59"/>
      <c r="Q157" s="129"/>
      <c r="R157" s="60"/>
      <c r="S157" s="47"/>
      <c r="T157" s="61"/>
      <c r="U157" s="54"/>
      <c r="V157" s="54"/>
      <c r="W157" s="49"/>
      <c r="X157" s="49"/>
    </row>
    <row r="158" spans="1:24" ht="15.75" customHeight="1">
      <c r="A158" s="1"/>
      <c r="B158" s="1"/>
      <c r="C158" s="71"/>
      <c r="D158" s="53"/>
      <c r="E158" s="53"/>
      <c r="F158" s="66"/>
      <c r="G158" s="69"/>
      <c r="H158" s="69"/>
      <c r="I158" s="69"/>
      <c r="J158" s="70"/>
      <c r="K158" s="54"/>
      <c r="L158" s="55"/>
      <c r="M158" s="56"/>
      <c r="N158" s="57"/>
      <c r="O158" s="58"/>
      <c r="P158" s="59"/>
      <c r="Q158" s="129"/>
      <c r="R158" s="60"/>
      <c r="S158" s="47"/>
      <c r="T158" s="61"/>
      <c r="U158" s="54"/>
      <c r="V158" s="54"/>
      <c r="W158" s="49"/>
      <c r="X158" s="49"/>
    </row>
    <row r="159" spans="1:24" ht="15.75" customHeight="1">
      <c r="A159" s="1"/>
      <c r="B159" s="1"/>
      <c r="C159" s="71"/>
      <c r="D159" s="53"/>
      <c r="E159" s="53"/>
      <c r="F159" s="66"/>
      <c r="G159" s="69"/>
      <c r="H159" s="69"/>
      <c r="I159" s="69"/>
      <c r="J159" s="70"/>
      <c r="K159" s="54"/>
      <c r="L159" s="55"/>
      <c r="M159" s="56"/>
      <c r="N159" s="57"/>
      <c r="O159" s="58"/>
      <c r="P159" s="59"/>
      <c r="Q159" s="129"/>
      <c r="R159" s="60"/>
      <c r="S159" s="47"/>
      <c r="T159" s="61"/>
      <c r="U159" s="54"/>
      <c r="V159" s="54"/>
      <c r="W159" s="49"/>
      <c r="X159" s="49"/>
    </row>
    <row r="160" spans="1:24" ht="15.75" customHeight="1">
      <c r="A160" s="1"/>
      <c r="B160" s="1"/>
      <c r="C160" s="71"/>
      <c r="D160" s="53"/>
      <c r="E160" s="53"/>
      <c r="F160" s="66"/>
      <c r="G160" s="69"/>
      <c r="H160" s="69"/>
      <c r="I160" s="69"/>
      <c r="J160" s="70"/>
      <c r="K160" s="54"/>
      <c r="L160" s="55"/>
      <c r="M160" s="56"/>
      <c r="N160" s="57"/>
      <c r="O160" s="58"/>
      <c r="P160" s="59"/>
      <c r="Q160" s="129"/>
      <c r="R160" s="60"/>
      <c r="S160" s="47"/>
      <c r="T160" s="61"/>
      <c r="U160" s="54"/>
      <c r="V160" s="54"/>
      <c r="W160" s="49"/>
      <c r="X160" s="49"/>
    </row>
    <row r="161" spans="1:24" ht="15.75" customHeight="1">
      <c r="A161" s="1"/>
      <c r="B161" s="1"/>
      <c r="C161" s="71"/>
      <c r="D161" s="53"/>
      <c r="E161" s="53"/>
      <c r="F161" s="66"/>
      <c r="G161" s="69"/>
      <c r="H161" s="69"/>
      <c r="I161" s="69"/>
      <c r="J161" s="70"/>
      <c r="K161" s="54"/>
      <c r="L161" s="55"/>
      <c r="M161" s="56"/>
      <c r="N161" s="57"/>
      <c r="O161" s="58"/>
      <c r="P161" s="59"/>
      <c r="Q161" s="129"/>
      <c r="R161" s="60"/>
      <c r="S161" s="47"/>
      <c r="T161" s="61"/>
      <c r="U161" s="54"/>
      <c r="V161" s="54"/>
      <c r="W161" s="49"/>
      <c r="X161" s="49"/>
    </row>
    <row r="162" spans="1:24" ht="15.75" customHeight="1">
      <c r="A162" s="1"/>
      <c r="B162" s="1"/>
      <c r="C162" s="71"/>
      <c r="D162" s="53"/>
      <c r="E162" s="53"/>
      <c r="F162" s="66"/>
      <c r="G162" s="69"/>
      <c r="H162" s="69"/>
      <c r="I162" s="69"/>
      <c r="J162" s="70"/>
      <c r="K162" s="54"/>
      <c r="L162" s="55"/>
      <c r="M162" s="56"/>
      <c r="N162" s="57"/>
      <c r="O162" s="58"/>
      <c r="P162" s="59"/>
      <c r="Q162" s="129"/>
      <c r="R162" s="60"/>
      <c r="S162" s="47"/>
      <c r="T162" s="61"/>
      <c r="U162" s="54"/>
      <c r="V162" s="54"/>
      <c r="W162" s="49"/>
      <c r="X162" s="49"/>
    </row>
    <row r="163" spans="1:24" ht="15.75" customHeight="1">
      <c r="A163" s="1"/>
      <c r="B163" s="1"/>
      <c r="C163" s="71"/>
      <c r="D163" s="53"/>
      <c r="E163" s="53"/>
      <c r="F163" s="66"/>
      <c r="G163" s="69"/>
      <c r="H163" s="69"/>
      <c r="I163" s="69"/>
      <c r="J163" s="70"/>
      <c r="K163" s="54"/>
      <c r="L163" s="55"/>
      <c r="M163" s="56"/>
      <c r="N163" s="57"/>
      <c r="O163" s="58"/>
      <c r="P163" s="59"/>
      <c r="Q163" s="129"/>
      <c r="R163" s="60"/>
      <c r="S163" s="47"/>
      <c r="T163" s="61"/>
      <c r="U163" s="54"/>
      <c r="V163" s="54"/>
      <c r="W163" s="49"/>
      <c r="X163" s="49"/>
    </row>
    <row r="164" spans="1:24" ht="15.75" customHeight="1">
      <c r="A164" s="1"/>
      <c r="B164" s="1"/>
      <c r="C164" s="71"/>
      <c r="D164" s="53"/>
      <c r="E164" s="53"/>
      <c r="F164" s="66"/>
      <c r="G164" s="69"/>
      <c r="H164" s="69"/>
      <c r="I164" s="69"/>
      <c r="J164" s="70"/>
      <c r="K164" s="54"/>
      <c r="L164" s="55"/>
      <c r="M164" s="56"/>
      <c r="N164" s="57"/>
      <c r="O164" s="58"/>
      <c r="P164" s="59"/>
      <c r="Q164" s="129"/>
      <c r="R164" s="60"/>
      <c r="S164" s="47"/>
      <c r="T164" s="61"/>
      <c r="U164" s="54"/>
      <c r="V164" s="54"/>
      <c r="W164" s="49"/>
      <c r="X164" s="49"/>
    </row>
    <row r="165" spans="1:24" ht="15.75" customHeight="1">
      <c r="A165" s="1"/>
      <c r="B165" s="1"/>
      <c r="C165" s="71"/>
      <c r="D165" s="53"/>
      <c r="E165" s="53"/>
      <c r="F165" s="66"/>
      <c r="G165" s="69"/>
      <c r="H165" s="69"/>
      <c r="I165" s="69"/>
      <c r="J165" s="70"/>
      <c r="K165" s="54"/>
      <c r="L165" s="55"/>
      <c r="M165" s="56"/>
      <c r="N165" s="57"/>
      <c r="O165" s="58"/>
      <c r="P165" s="59"/>
      <c r="Q165" s="129"/>
      <c r="R165" s="60"/>
      <c r="S165" s="47"/>
      <c r="T165" s="61"/>
      <c r="U165" s="54"/>
      <c r="V165" s="54"/>
      <c r="W165" s="49"/>
      <c r="X165" s="49"/>
    </row>
    <row r="166" spans="1:24" ht="15.75" customHeight="1">
      <c r="A166" s="1"/>
      <c r="B166" s="1"/>
      <c r="C166" s="71"/>
      <c r="D166" s="53"/>
      <c r="E166" s="53"/>
      <c r="F166" s="66"/>
      <c r="G166" s="69"/>
      <c r="H166" s="69"/>
      <c r="I166" s="69"/>
      <c r="J166" s="70"/>
      <c r="K166" s="54"/>
      <c r="L166" s="55"/>
      <c r="M166" s="56"/>
      <c r="N166" s="57"/>
      <c r="O166" s="58"/>
      <c r="P166" s="59"/>
      <c r="Q166" s="129"/>
      <c r="R166" s="60"/>
      <c r="S166" s="47"/>
      <c r="T166" s="61"/>
      <c r="U166" s="54"/>
      <c r="V166" s="54"/>
      <c r="W166" s="49"/>
      <c r="X166" s="49"/>
    </row>
    <row r="167" spans="1:24" ht="15.75" customHeight="1">
      <c r="A167" s="1"/>
      <c r="B167" s="1"/>
      <c r="C167" s="71"/>
      <c r="D167" s="53"/>
      <c r="E167" s="53"/>
      <c r="F167" s="66"/>
      <c r="G167" s="69"/>
      <c r="H167" s="69"/>
      <c r="I167" s="69"/>
      <c r="J167" s="70"/>
      <c r="K167" s="54"/>
      <c r="L167" s="55"/>
      <c r="M167" s="56"/>
      <c r="N167" s="57"/>
      <c r="O167" s="58"/>
      <c r="P167" s="59"/>
      <c r="Q167" s="129"/>
      <c r="R167" s="60"/>
      <c r="S167" s="47"/>
      <c r="T167" s="61"/>
      <c r="U167" s="54"/>
      <c r="V167" s="54"/>
      <c r="W167" s="49"/>
      <c r="X167" s="49"/>
    </row>
    <row r="168" spans="1:24" ht="15.75" customHeight="1">
      <c r="A168" s="1"/>
      <c r="B168" s="1"/>
      <c r="C168" s="71"/>
      <c r="D168" s="53"/>
      <c r="E168" s="53"/>
      <c r="F168" s="66"/>
      <c r="G168" s="69"/>
      <c r="H168" s="69"/>
      <c r="I168" s="69"/>
      <c r="J168" s="70"/>
      <c r="K168" s="54"/>
      <c r="L168" s="55"/>
      <c r="M168" s="56"/>
      <c r="N168" s="57"/>
      <c r="O168" s="58"/>
      <c r="P168" s="59"/>
      <c r="Q168" s="129"/>
      <c r="R168" s="60"/>
      <c r="S168" s="47"/>
      <c r="T168" s="61"/>
      <c r="U168" s="54"/>
      <c r="V168" s="54"/>
      <c r="W168" s="49"/>
      <c r="X168" s="49"/>
    </row>
    <row r="169" spans="1:24" ht="15.75" customHeight="1">
      <c r="A169" s="1"/>
      <c r="B169" s="1"/>
      <c r="C169" s="71"/>
      <c r="D169" s="53"/>
      <c r="E169" s="53"/>
      <c r="F169" s="66"/>
      <c r="G169" s="69"/>
      <c r="H169" s="69"/>
      <c r="I169" s="69"/>
      <c r="J169" s="70"/>
      <c r="K169" s="54"/>
      <c r="L169" s="55"/>
      <c r="M169" s="56"/>
      <c r="N169" s="57"/>
      <c r="O169" s="58"/>
      <c r="P169" s="59"/>
      <c r="Q169" s="129"/>
      <c r="R169" s="60"/>
      <c r="S169" s="47"/>
      <c r="T169" s="61"/>
      <c r="U169" s="54"/>
      <c r="V169" s="54"/>
      <c r="W169" s="49"/>
      <c r="X169" s="49"/>
    </row>
    <row r="170" spans="1:24" ht="15.75" customHeight="1">
      <c r="A170" s="1"/>
      <c r="B170" s="1"/>
      <c r="C170" s="71"/>
      <c r="D170" s="53"/>
      <c r="E170" s="53"/>
      <c r="F170" s="66"/>
      <c r="G170" s="69"/>
      <c r="H170" s="69"/>
      <c r="I170" s="69"/>
      <c r="J170" s="70"/>
      <c r="K170" s="54"/>
      <c r="L170" s="55"/>
      <c r="M170" s="56"/>
      <c r="N170" s="57"/>
      <c r="O170" s="58"/>
      <c r="P170" s="59"/>
      <c r="Q170" s="129"/>
      <c r="R170" s="60"/>
      <c r="S170" s="47"/>
      <c r="T170" s="61"/>
      <c r="U170" s="54"/>
      <c r="V170" s="54"/>
      <c r="W170" s="49"/>
      <c r="X170" s="49"/>
    </row>
    <row r="171" spans="1:24" ht="15.75" customHeight="1">
      <c r="A171" s="1"/>
      <c r="B171" s="1"/>
      <c r="C171" s="71"/>
      <c r="D171" s="53"/>
      <c r="E171" s="53"/>
      <c r="F171" s="66"/>
      <c r="G171" s="69"/>
      <c r="H171" s="69"/>
      <c r="I171" s="69"/>
      <c r="J171" s="70"/>
      <c r="K171" s="54"/>
      <c r="L171" s="55"/>
      <c r="M171" s="56"/>
      <c r="N171" s="57"/>
      <c r="O171" s="58"/>
      <c r="P171" s="59"/>
      <c r="Q171" s="129"/>
      <c r="R171" s="60"/>
      <c r="S171" s="47"/>
      <c r="T171" s="61"/>
      <c r="U171" s="54"/>
      <c r="V171" s="54"/>
      <c r="W171" s="49"/>
      <c r="X171" s="49"/>
    </row>
    <row r="172" spans="1:24" ht="15.75" customHeight="1">
      <c r="A172" s="1"/>
      <c r="B172" s="1"/>
      <c r="C172" s="71"/>
      <c r="D172" s="53"/>
      <c r="E172" s="53"/>
      <c r="F172" s="66"/>
      <c r="G172" s="69"/>
      <c r="H172" s="69"/>
      <c r="I172" s="69"/>
      <c r="J172" s="70"/>
      <c r="K172" s="54"/>
      <c r="L172" s="55"/>
      <c r="M172" s="56"/>
      <c r="N172" s="57"/>
      <c r="O172" s="58"/>
      <c r="P172" s="59"/>
      <c r="Q172" s="129"/>
      <c r="R172" s="60"/>
      <c r="S172" s="47"/>
      <c r="T172" s="61"/>
      <c r="U172" s="54"/>
      <c r="V172" s="54"/>
      <c r="W172" s="49"/>
      <c r="X172" s="49"/>
    </row>
    <row r="173" spans="1:24" ht="15.75" customHeight="1">
      <c r="A173" s="1"/>
      <c r="B173" s="1"/>
      <c r="C173" s="71"/>
      <c r="D173" s="53"/>
      <c r="E173" s="53"/>
      <c r="F173" s="66"/>
      <c r="G173" s="69"/>
      <c r="H173" s="69"/>
      <c r="I173" s="69"/>
      <c r="J173" s="70"/>
      <c r="K173" s="54"/>
      <c r="L173" s="55"/>
      <c r="M173" s="56"/>
      <c r="N173" s="57"/>
      <c r="O173" s="58"/>
      <c r="P173" s="59"/>
      <c r="Q173" s="129"/>
      <c r="R173" s="60"/>
      <c r="S173" s="47"/>
      <c r="T173" s="61"/>
      <c r="U173" s="54"/>
      <c r="V173" s="54"/>
      <c r="W173" s="49"/>
      <c r="X173" s="49"/>
    </row>
    <row r="174" spans="1:24" ht="15.75" customHeight="1">
      <c r="A174" s="1"/>
      <c r="B174" s="1"/>
      <c r="C174" s="71"/>
      <c r="D174" s="53"/>
      <c r="E174" s="53"/>
      <c r="F174" s="66"/>
      <c r="G174" s="69"/>
      <c r="H174" s="69"/>
      <c r="I174" s="69"/>
      <c r="J174" s="70"/>
      <c r="K174" s="54"/>
      <c r="L174" s="55"/>
      <c r="M174" s="56"/>
      <c r="N174" s="57"/>
      <c r="O174" s="58"/>
      <c r="P174" s="59"/>
      <c r="Q174" s="129"/>
      <c r="R174" s="60"/>
      <c r="S174" s="47"/>
      <c r="T174" s="61"/>
      <c r="U174" s="54"/>
      <c r="V174" s="54"/>
      <c r="W174" s="49"/>
      <c r="X174" s="49"/>
    </row>
    <row r="175" spans="1:24" ht="15.75" customHeight="1">
      <c r="A175" s="1"/>
      <c r="B175" s="1"/>
      <c r="C175" s="71"/>
      <c r="D175" s="53"/>
      <c r="E175" s="53"/>
      <c r="F175" s="66"/>
      <c r="G175" s="69"/>
      <c r="H175" s="69"/>
      <c r="I175" s="69"/>
      <c r="J175" s="70"/>
      <c r="K175" s="54"/>
      <c r="L175" s="55"/>
      <c r="M175" s="56"/>
      <c r="N175" s="57"/>
      <c r="O175" s="58"/>
      <c r="P175" s="59"/>
      <c r="Q175" s="129"/>
      <c r="R175" s="60"/>
      <c r="S175" s="47"/>
      <c r="T175" s="61"/>
      <c r="U175" s="54"/>
      <c r="V175" s="54"/>
      <c r="W175" s="49"/>
      <c r="X175" s="49"/>
    </row>
    <row r="176" spans="1:24" ht="15.75" customHeight="1">
      <c r="A176" s="1"/>
      <c r="B176" s="1"/>
      <c r="C176" s="71"/>
      <c r="D176" s="53"/>
      <c r="E176" s="53"/>
      <c r="F176" s="66"/>
      <c r="G176" s="69"/>
      <c r="H176" s="69"/>
      <c r="I176" s="69"/>
      <c r="J176" s="70"/>
      <c r="K176" s="54"/>
      <c r="L176" s="55"/>
      <c r="M176" s="56"/>
      <c r="N176" s="57"/>
      <c r="O176" s="58"/>
      <c r="P176" s="59"/>
      <c r="Q176" s="129"/>
      <c r="R176" s="60"/>
      <c r="S176" s="47"/>
      <c r="T176" s="61"/>
      <c r="U176" s="54"/>
      <c r="V176" s="54"/>
      <c r="W176" s="49"/>
      <c r="X176" s="49"/>
    </row>
    <row r="177" spans="1:24" ht="15.75" customHeight="1">
      <c r="A177" s="1"/>
      <c r="B177" s="1"/>
      <c r="C177" s="71"/>
      <c r="D177" s="53"/>
      <c r="E177" s="53"/>
      <c r="F177" s="66"/>
      <c r="G177" s="69"/>
      <c r="H177" s="69"/>
      <c r="I177" s="69"/>
      <c r="J177" s="70"/>
      <c r="K177" s="54"/>
      <c r="L177" s="55"/>
      <c r="M177" s="56"/>
      <c r="N177" s="57"/>
      <c r="O177" s="58"/>
      <c r="P177" s="59"/>
      <c r="Q177" s="129"/>
      <c r="R177" s="60"/>
      <c r="S177" s="47"/>
      <c r="T177" s="61"/>
      <c r="U177" s="54"/>
      <c r="V177" s="54"/>
      <c r="W177" s="49"/>
      <c r="X177" s="49"/>
    </row>
    <row r="178" spans="1:24" ht="15.75" customHeight="1">
      <c r="A178" s="1"/>
      <c r="B178" s="1"/>
      <c r="C178" s="71"/>
      <c r="D178" s="53"/>
      <c r="E178" s="53"/>
      <c r="F178" s="66"/>
      <c r="G178" s="69"/>
      <c r="H178" s="69"/>
      <c r="I178" s="69"/>
      <c r="J178" s="70"/>
      <c r="K178" s="54"/>
      <c r="L178" s="55"/>
      <c r="M178" s="56"/>
      <c r="N178" s="57"/>
      <c r="O178" s="58"/>
      <c r="P178" s="59"/>
      <c r="Q178" s="129"/>
      <c r="R178" s="60"/>
      <c r="S178" s="47"/>
      <c r="T178" s="61"/>
      <c r="U178" s="54"/>
      <c r="V178" s="54"/>
      <c r="W178" s="49"/>
      <c r="X178" s="49"/>
    </row>
    <row r="179" spans="1:24" ht="15.75" customHeight="1">
      <c r="A179" s="1"/>
      <c r="B179" s="1"/>
      <c r="C179" s="71"/>
      <c r="D179" s="53"/>
      <c r="E179" s="53"/>
      <c r="F179" s="66"/>
      <c r="G179" s="69"/>
      <c r="H179" s="69"/>
      <c r="I179" s="69"/>
      <c r="J179" s="70"/>
      <c r="K179" s="54"/>
      <c r="L179" s="55"/>
      <c r="M179" s="56"/>
      <c r="N179" s="57"/>
      <c r="O179" s="58"/>
      <c r="P179" s="59"/>
      <c r="Q179" s="129"/>
      <c r="R179" s="60"/>
      <c r="S179" s="47"/>
      <c r="T179" s="61"/>
      <c r="U179" s="54"/>
      <c r="V179" s="54"/>
      <c r="W179" s="49"/>
      <c r="X179" s="49"/>
    </row>
    <row r="180" spans="1:24" ht="15.75" customHeight="1">
      <c r="A180" s="1"/>
      <c r="B180" s="1"/>
      <c r="C180" s="71"/>
      <c r="D180" s="53"/>
      <c r="E180" s="53"/>
      <c r="F180" s="66"/>
      <c r="G180" s="69"/>
      <c r="H180" s="69"/>
      <c r="I180" s="69"/>
      <c r="J180" s="70"/>
      <c r="K180" s="54"/>
      <c r="L180" s="55"/>
      <c r="M180" s="56"/>
      <c r="N180" s="57"/>
      <c r="O180" s="58"/>
      <c r="P180" s="59"/>
      <c r="Q180" s="129"/>
      <c r="R180" s="60"/>
      <c r="S180" s="47"/>
      <c r="T180" s="61"/>
      <c r="U180" s="54"/>
      <c r="V180" s="54"/>
      <c r="W180" s="49"/>
      <c r="X180" s="49"/>
    </row>
    <row r="181" spans="1:24" ht="15.75" customHeight="1">
      <c r="A181" s="1"/>
      <c r="B181" s="1"/>
      <c r="C181" s="71"/>
      <c r="D181" s="53"/>
      <c r="E181" s="53"/>
      <c r="F181" s="66"/>
      <c r="G181" s="69"/>
      <c r="H181" s="69"/>
      <c r="I181" s="69"/>
      <c r="J181" s="70"/>
      <c r="K181" s="54"/>
      <c r="L181" s="55"/>
      <c r="M181" s="56"/>
      <c r="N181" s="57"/>
      <c r="O181" s="58"/>
      <c r="P181" s="59"/>
      <c r="Q181" s="129"/>
      <c r="R181" s="60"/>
      <c r="S181" s="47"/>
      <c r="T181" s="61"/>
      <c r="U181" s="54"/>
      <c r="V181" s="54"/>
      <c r="W181" s="49"/>
      <c r="X181" s="49"/>
    </row>
    <row r="182" spans="1:24" ht="15.75" customHeight="1">
      <c r="A182" s="1"/>
      <c r="B182" s="1"/>
      <c r="C182" s="71"/>
      <c r="D182" s="53"/>
      <c r="E182" s="53"/>
      <c r="F182" s="66"/>
      <c r="G182" s="69"/>
      <c r="H182" s="69"/>
      <c r="I182" s="69"/>
      <c r="J182" s="70"/>
      <c r="K182" s="54"/>
      <c r="L182" s="55"/>
      <c r="M182" s="56"/>
      <c r="N182" s="57"/>
      <c r="O182" s="58"/>
      <c r="P182" s="59"/>
      <c r="Q182" s="129"/>
      <c r="R182" s="60"/>
      <c r="S182" s="47"/>
      <c r="T182" s="61"/>
      <c r="U182" s="54"/>
      <c r="V182" s="54"/>
      <c r="W182" s="49"/>
      <c r="X182" s="49"/>
    </row>
    <row r="183" spans="1:24" ht="15.75" customHeight="1">
      <c r="A183" s="1"/>
      <c r="B183" s="1"/>
      <c r="C183" s="71"/>
      <c r="D183" s="53"/>
      <c r="E183" s="53"/>
      <c r="F183" s="66"/>
      <c r="G183" s="69"/>
      <c r="H183" s="69"/>
      <c r="I183" s="69"/>
      <c r="J183" s="70"/>
      <c r="K183" s="54"/>
      <c r="L183" s="55"/>
      <c r="M183" s="56"/>
      <c r="N183" s="57"/>
      <c r="O183" s="58"/>
      <c r="P183" s="59"/>
      <c r="Q183" s="129"/>
      <c r="R183" s="60"/>
      <c r="S183" s="47"/>
      <c r="T183" s="61"/>
      <c r="U183" s="54"/>
      <c r="V183" s="54"/>
      <c r="W183" s="49"/>
      <c r="X183" s="49"/>
    </row>
    <row r="184" spans="1:24" ht="15.75" customHeight="1">
      <c r="A184" s="1"/>
      <c r="B184" s="1"/>
      <c r="C184" s="71"/>
      <c r="D184" s="53"/>
      <c r="E184" s="53"/>
      <c r="F184" s="66"/>
      <c r="G184" s="69"/>
      <c r="H184" s="69"/>
      <c r="I184" s="69"/>
      <c r="J184" s="70"/>
      <c r="K184" s="54"/>
      <c r="L184" s="55"/>
      <c r="M184" s="56"/>
      <c r="N184" s="57"/>
      <c r="O184" s="58"/>
      <c r="P184" s="59"/>
      <c r="Q184" s="129"/>
      <c r="R184" s="60"/>
      <c r="S184" s="47"/>
      <c r="T184" s="61"/>
      <c r="U184" s="54"/>
      <c r="V184" s="54"/>
      <c r="W184" s="49"/>
      <c r="X184" s="49"/>
    </row>
    <row r="185" spans="1:24" ht="15.75" customHeight="1">
      <c r="A185" s="1"/>
      <c r="B185" s="1"/>
      <c r="C185" s="71"/>
      <c r="D185" s="53"/>
      <c r="E185" s="53"/>
      <c r="F185" s="66"/>
      <c r="G185" s="69"/>
      <c r="H185" s="69"/>
      <c r="I185" s="69"/>
      <c r="J185" s="70"/>
      <c r="K185" s="54"/>
      <c r="L185" s="55"/>
      <c r="M185" s="56"/>
      <c r="N185" s="57"/>
      <c r="O185" s="58"/>
      <c r="P185" s="59"/>
      <c r="Q185" s="129"/>
      <c r="R185" s="60"/>
      <c r="S185" s="47"/>
      <c r="T185" s="61"/>
      <c r="U185" s="54"/>
      <c r="V185" s="54"/>
      <c r="W185" s="49"/>
      <c r="X185" s="49"/>
    </row>
    <row r="186" spans="1:24" ht="15.75" customHeight="1">
      <c r="A186" s="1"/>
      <c r="B186" s="1"/>
      <c r="C186" s="71"/>
      <c r="D186" s="53"/>
      <c r="E186" s="53"/>
      <c r="F186" s="66"/>
      <c r="G186" s="69"/>
      <c r="H186" s="69"/>
      <c r="I186" s="69"/>
      <c r="J186" s="70"/>
      <c r="K186" s="54"/>
      <c r="L186" s="55"/>
      <c r="M186" s="56"/>
      <c r="N186" s="57"/>
      <c r="O186" s="58"/>
      <c r="P186" s="59"/>
      <c r="Q186" s="129"/>
      <c r="R186" s="60"/>
      <c r="S186" s="47"/>
      <c r="T186" s="61"/>
      <c r="U186" s="54"/>
      <c r="V186" s="54"/>
      <c r="W186" s="49"/>
      <c r="X186" s="49"/>
    </row>
    <row r="187" spans="1:24" ht="15.75" customHeight="1">
      <c r="A187" s="1"/>
      <c r="B187" s="1"/>
      <c r="C187" s="71"/>
      <c r="D187" s="53"/>
      <c r="E187" s="53"/>
      <c r="F187" s="66"/>
      <c r="G187" s="69"/>
      <c r="H187" s="69"/>
      <c r="I187" s="69"/>
      <c r="J187" s="70"/>
      <c r="K187" s="54"/>
      <c r="L187" s="55"/>
      <c r="M187" s="56"/>
      <c r="N187" s="57"/>
      <c r="O187" s="58"/>
      <c r="P187" s="59"/>
      <c r="Q187" s="129"/>
      <c r="R187" s="60"/>
      <c r="S187" s="47"/>
      <c r="T187" s="61"/>
      <c r="U187" s="54"/>
      <c r="V187" s="54"/>
      <c r="W187" s="49"/>
      <c r="X187" s="49"/>
    </row>
    <row r="188" spans="1:24" ht="15.75" customHeight="1">
      <c r="A188" s="1"/>
      <c r="B188" s="1"/>
      <c r="C188" s="71"/>
      <c r="D188" s="53"/>
      <c r="E188" s="53"/>
      <c r="F188" s="66"/>
      <c r="G188" s="69"/>
      <c r="H188" s="69"/>
      <c r="I188" s="69"/>
      <c r="J188" s="70"/>
      <c r="K188" s="54"/>
      <c r="L188" s="55"/>
      <c r="M188" s="56"/>
      <c r="N188" s="57"/>
      <c r="O188" s="58"/>
      <c r="P188" s="59"/>
      <c r="Q188" s="129"/>
      <c r="R188" s="60"/>
      <c r="S188" s="47"/>
      <c r="T188" s="61"/>
      <c r="U188" s="54"/>
      <c r="V188" s="54"/>
      <c r="W188" s="49"/>
      <c r="X188" s="49"/>
    </row>
    <row r="189" spans="1:24" ht="15.75" customHeight="1">
      <c r="A189" s="1"/>
      <c r="B189" s="1"/>
      <c r="C189" s="71"/>
      <c r="D189" s="53"/>
      <c r="E189" s="53"/>
      <c r="F189" s="66"/>
      <c r="G189" s="69"/>
      <c r="H189" s="69"/>
      <c r="I189" s="69"/>
      <c r="J189" s="70"/>
      <c r="K189" s="54"/>
      <c r="L189" s="55"/>
      <c r="M189" s="56"/>
      <c r="N189" s="57"/>
      <c r="O189" s="58"/>
      <c r="P189" s="59"/>
      <c r="Q189" s="129"/>
      <c r="R189" s="60"/>
      <c r="S189" s="47"/>
      <c r="T189" s="61"/>
      <c r="U189" s="54"/>
      <c r="V189" s="54"/>
      <c r="W189" s="49"/>
      <c r="X189" s="49"/>
    </row>
    <row r="190" spans="1:24" ht="15.75" customHeight="1">
      <c r="A190" s="1"/>
      <c r="B190" s="1"/>
      <c r="C190" s="71"/>
      <c r="D190" s="53"/>
      <c r="E190" s="53"/>
      <c r="F190" s="66"/>
      <c r="G190" s="69"/>
      <c r="H190" s="69"/>
      <c r="I190" s="69"/>
      <c r="J190" s="70"/>
      <c r="K190" s="54"/>
      <c r="L190" s="55"/>
      <c r="M190" s="56"/>
      <c r="N190" s="57"/>
      <c r="O190" s="58"/>
      <c r="P190" s="59"/>
      <c r="Q190" s="129"/>
      <c r="R190" s="60"/>
      <c r="S190" s="47"/>
      <c r="T190" s="61"/>
      <c r="U190" s="54"/>
      <c r="V190" s="54"/>
      <c r="W190" s="49"/>
      <c r="X190" s="49"/>
    </row>
    <row r="191" spans="1:24" ht="15.75" customHeight="1">
      <c r="A191" s="1"/>
      <c r="B191" s="1"/>
      <c r="C191" s="71"/>
      <c r="D191" s="53"/>
      <c r="E191" s="53"/>
      <c r="F191" s="66"/>
      <c r="G191" s="69"/>
      <c r="H191" s="69"/>
      <c r="I191" s="69"/>
      <c r="J191" s="70"/>
      <c r="K191" s="54"/>
      <c r="L191" s="55"/>
      <c r="M191" s="56"/>
      <c r="N191" s="57"/>
      <c r="O191" s="58"/>
      <c r="P191" s="59"/>
      <c r="Q191" s="129"/>
      <c r="R191" s="60"/>
      <c r="S191" s="47"/>
      <c r="T191" s="61"/>
      <c r="U191" s="54"/>
      <c r="V191" s="54"/>
      <c r="W191" s="49"/>
      <c r="X191" s="49"/>
    </row>
    <row r="192" spans="1:24" ht="15.75" customHeight="1">
      <c r="A192" s="1"/>
      <c r="B192" s="1"/>
      <c r="C192" s="71"/>
      <c r="D192" s="53"/>
      <c r="E192" s="53"/>
      <c r="F192" s="66"/>
      <c r="G192" s="69"/>
      <c r="H192" s="69"/>
      <c r="I192" s="69"/>
      <c r="J192" s="70"/>
      <c r="K192" s="54"/>
      <c r="L192" s="55"/>
      <c r="M192" s="56"/>
      <c r="N192" s="57"/>
      <c r="O192" s="58"/>
      <c r="P192" s="59"/>
      <c r="Q192" s="129"/>
      <c r="R192" s="60"/>
      <c r="S192" s="47"/>
      <c r="T192" s="61"/>
      <c r="U192" s="54"/>
      <c r="V192" s="54"/>
      <c r="W192" s="49"/>
      <c r="X192" s="49"/>
    </row>
    <row r="193" spans="1:24" ht="15.75" customHeight="1">
      <c r="A193" s="1"/>
      <c r="B193" s="1"/>
      <c r="C193" s="71"/>
      <c r="D193" s="53"/>
      <c r="E193" s="53"/>
      <c r="F193" s="66"/>
      <c r="G193" s="69"/>
      <c r="H193" s="69"/>
      <c r="I193" s="69"/>
      <c r="J193" s="70"/>
      <c r="K193" s="54"/>
      <c r="L193" s="55"/>
      <c r="M193" s="56"/>
      <c r="N193" s="57"/>
      <c r="O193" s="58"/>
      <c r="P193" s="59"/>
      <c r="Q193" s="129"/>
      <c r="R193" s="60"/>
      <c r="S193" s="47"/>
      <c r="T193" s="61"/>
      <c r="U193" s="54"/>
      <c r="V193" s="54"/>
      <c r="W193" s="49"/>
      <c r="X193" s="49"/>
    </row>
    <row r="194" spans="1:24" ht="15.75" customHeight="1">
      <c r="A194" s="1"/>
      <c r="B194" s="1"/>
      <c r="C194" s="1"/>
      <c r="D194" s="1"/>
      <c r="E194" s="1"/>
      <c r="F194" s="1"/>
      <c r="G194" s="18"/>
      <c r="H194" s="1"/>
      <c r="I194" s="1"/>
      <c r="J194" s="8"/>
      <c r="K194" s="8"/>
      <c r="L194" s="1"/>
      <c r="M194" s="1"/>
      <c r="N194" s="9"/>
      <c r="O194" s="10"/>
      <c r="P194" s="1"/>
      <c r="Q194" s="126"/>
      <c r="R194" s="1"/>
      <c r="S194" s="1"/>
      <c r="T194" s="1"/>
      <c r="U194" s="1"/>
    </row>
    <row r="195" spans="1:24" ht="15.75" customHeight="1">
      <c r="A195" s="1"/>
      <c r="B195" s="1"/>
      <c r="C195" s="1"/>
      <c r="D195" s="1"/>
      <c r="E195" s="1"/>
      <c r="F195" s="1"/>
      <c r="G195" s="18"/>
      <c r="H195" s="1"/>
      <c r="I195" s="1"/>
      <c r="J195" s="8"/>
      <c r="K195" s="8"/>
      <c r="L195" s="1"/>
      <c r="M195" s="1"/>
      <c r="N195" s="9"/>
      <c r="O195" s="10"/>
      <c r="P195" s="1"/>
      <c r="Q195" s="126"/>
      <c r="R195" s="1"/>
      <c r="S195" s="1"/>
      <c r="T195" s="1"/>
      <c r="U195" s="1"/>
    </row>
    <row r="196" spans="1:24" ht="15.75" customHeight="1">
      <c r="A196" s="1"/>
      <c r="B196" s="1"/>
      <c r="C196" s="1"/>
      <c r="D196" s="1"/>
      <c r="E196" s="1"/>
      <c r="F196" s="1"/>
      <c r="G196" s="18"/>
      <c r="H196" s="1"/>
      <c r="I196" s="1"/>
      <c r="J196" s="8"/>
      <c r="K196" s="8"/>
      <c r="L196" s="1"/>
      <c r="M196" s="1"/>
      <c r="N196" s="9"/>
      <c r="O196" s="10"/>
      <c r="P196" s="1"/>
      <c r="Q196" s="126"/>
      <c r="R196" s="1"/>
      <c r="S196" s="1"/>
      <c r="T196" s="1"/>
      <c r="U196" s="1"/>
    </row>
    <row r="197" spans="1:24" ht="15.75" customHeight="1">
      <c r="A197" s="1"/>
      <c r="B197" s="1"/>
      <c r="C197" s="1"/>
      <c r="D197" s="1"/>
      <c r="E197" s="1"/>
      <c r="F197" s="1"/>
      <c r="G197" s="18"/>
      <c r="H197" s="1"/>
      <c r="I197" s="1"/>
      <c r="J197" s="8"/>
      <c r="K197" s="8"/>
      <c r="L197" s="1"/>
      <c r="M197" s="1"/>
      <c r="N197" s="9"/>
      <c r="O197" s="10"/>
      <c r="P197" s="1"/>
      <c r="Q197" s="126"/>
      <c r="R197" s="1"/>
      <c r="S197" s="1"/>
      <c r="T197" s="1"/>
      <c r="U197" s="1"/>
    </row>
    <row r="198" spans="1:24" ht="15.75" customHeight="1">
      <c r="A198" s="1"/>
      <c r="B198" s="1"/>
      <c r="C198" s="1"/>
      <c r="D198" s="1"/>
      <c r="E198" s="1"/>
      <c r="F198" s="1"/>
      <c r="G198" s="18"/>
      <c r="H198" s="1"/>
      <c r="I198" s="1"/>
      <c r="J198" s="8"/>
      <c r="K198" s="8"/>
      <c r="L198" s="1"/>
      <c r="M198" s="1"/>
      <c r="N198" s="9"/>
      <c r="O198" s="10"/>
      <c r="P198" s="1"/>
      <c r="Q198" s="126"/>
      <c r="R198" s="1"/>
      <c r="S198" s="1"/>
      <c r="T198" s="1"/>
      <c r="U198" s="1"/>
    </row>
    <row r="199" spans="1:24" ht="15.75" customHeight="1">
      <c r="A199" s="1"/>
      <c r="B199" s="1"/>
      <c r="C199" s="1"/>
      <c r="D199" s="1"/>
      <c r="E199" s="1"/>
      <c r="F199" s="1"/>
      <c r="G199" s="18"/>
      <c r="H199" s="1"/>
      <c r="I199" s="1"/>
      <c r="J199" s="8"/>
      <c r="K199" s="8"/>
      <c r="L199" s="1"/>
      <c r="M199" s="1"/>
      <c r="N199" s="9"/>
      <c r="O199" s="10"/>
      <c r="P199" s="1"/>
      <c r="Q199" s="126"/>
      <c r="R199" s="1"/>
      <c r="S199" s="1"/>
      <c r="T199" s="1"/>
      <c r="U199" s="1"/>
    </row>
    <row r="200" spans="1:24" ht="15.75" customHeight="1">
      <c r="A200" s="1"/>
      <c r="B200" s="1"/>
      <c r="C200" s="1"/>
      <c r="D200" s="1"/>
      <c r="E200" s="1"/>
      <c r="F200" s="1"/>
      <c r="G200" s="18"/>
      <c r="H200" s="1"/>
      <c r="I200" s="1"/>
      <c r="J200" s="8"/>
      <c r="K200" s="8"/>
      <c r="L200" s="1"/>
      <c r="M200" s="1"/>
      <c r="N200" s="9"/>
      <c r="O200" s="10"/>
      <c r="P200" s="1"/>
      <c r="Q200" s="126"/>
      <c r="R200" s="1"/>
      <c r="S200" s="1"/>
      <c r="T200" s="1"/>
      <c r="U200" s="1"/>
    </row>
    <row r="201" spans="1:24" ht="15.75" customHeight="1">
      <c r="A201" s="1"/>
      <c r="B201" s="1"/>
      <c r="C201" s="1"/>
      <c r="D201" s="1"/>
      <c r="E201" s="1"/>
      <c r="F201" s="1"/>
      <c r="G201" s="18"/>
      <c r="H201" s="1"/>
      <c r="I201" s="1"/>
      <c r="J201" s="8"/>
      <c r="K201" s="8"/>
      <c r="L201" s="1"/>
      <c r="M201" s="1"/>
      <c r="N201" s="9"/>
      <c r="O201" s="10"/>
      <c r="P201" s="1"/>
      <c r="Q201" s="126"/>
      <c r="R201" s="1"/>
      <c r="S201" s="1"/>
      <c r="T201" s="1"/>
      <c r="U201" s="1"/>
    </row>
    <row r="202" spans="1:24" ht="15.75" customHeight="1">
      <c r="A202" s="1"/>
      <c r="B202" s="1"/>
      <c r="C202" s="1"/>
      <c r="D202" s="1"/>
      <c r="E202" s="1"/>
      <c r="F202" s="1"/>
      <c r="G202" s="18"/>
      <c r="H202" s="1"/>
      <c r="I202" s="1"/>
      <c r="J202" s="8"/>
      <c r="K202" s="8"/>
      <c r="L202" s="1"/>
      <c r="M202" s="1"/>
      <c r="N202" s="9"/>
      <c r="O202" s="10"/>
      <c r="P202" s="1"/>
      <c r="Q202" s="126"/>
      <c r="R202" s="1"/>
      <c r="S202" s="1"/>
      <c r="T202" s="1"/>
      <c r="U202" s="1"/>
    </row>
    <row r="203" spans="1:24" ht="15.75" customHeight="1">
      <c r="A203" s="1"/>
      <c r="B203" s="1"/>
      <c r="C203" s="1"/>
      <c r="D203" s="1"/>
      <c r="E203" s="1"/>
      <c r="F203" s="1"/>
      <c r="G203" s="18"/>
      <c r="H203" s="1"/>
      <c r="I203" s="1"/>
      <c r="J203" s="8"/>
      <c r="K203" s="8"/>
      <c r="L203" s="1"/>
      <c r="M203" s="1"/>
      <c r="N203" s="9"/>
      <c r="O203" s="10"/>
      <c r="P203" s="1"/>
      <c r="Q203" s="126"/>
      <c r="R203" s="1"/>
      <c r="S203" s="1"/>
      <c r="T203" s="1"/>
      <c r="U203" s="1"/>
    </row>
    <row r="204" spans="1:24" ht="15.75" customHeight="1">
      <c r="A204" s="1"/>
      <c r="B204" s="1"/>
      <c r="C204" s="1"/>
      <c r="D204" s="1"/>
      <c r="E204" s="1"/>
      <c r="F204" s="1"/>
      <c r="G204" s="18"/>
      <c r="H204" s="1"/>
      <c r="I204" s="1"/>
      <c r="J204" s="8"/>
      <c r="K204" s="8"/>
      <c r="L204" s="1"/>
      <c r="M204" s="1"/>
      <c r="N204" s="9"/>
      <c r="O204" s="10"/>
      <c r="P204" s="1"/>
      <c r="Q204" s="126"/>
      <c r="R204" s="1"/>
      <c r="S204" s="1"/>
      <c r="T204" s="1"/>
      <c r="U204" s="1"/>
    </row>
    <row r="205" spans="1:24" ht="15.75" customHeight="1">
      <c r="A205" s="1"/>
      <c r="B205" s="1"/>
      <c r="C205" s="1"/>
      <c r="D205" s="1"/>
      <c r="E205" s="1"/>
      <c r="F205" s="1"/>
      <c r="G205" s="18"/>
      <c r="H205" s="1"/>
      <c r="I205" s="1"/>
      <c r="J205" s="8"/>
      <c r="K205" s="8"/>
      <c r="L205" s="1"/>
      <c r="M205" s="1"/>
      <c r="N205" s="9"/>
      <c r="O205" s="10"/>
      <c r="P205" s="1"/>
      <c r="Q205" s="126"/>
      <c r="R205" s="1"/>
      <c r="S205" s="1"/>
      <c r="T205" s="1"/>
      <c r="U205" s="1"/>
    </row>
    <row r="206" spans="1:24" ht="15.75" customHeight="1">
      <c r="A206" s="1"/>
      <c r="B206" s="1"/>
      <c r="C206" s="1"/>
      <c r="D206" s="1"/>
      <c r="E206" s="1"/>
      <c r="F206" s="1"/>
      <c r="G206" s="18"/>
      <c r="H206" s="1"/>
      <c r="I206" s="1"/>
      <c r="J206" s="8"/>
      <c r="K206" s="8"/>
      <c r="L206" s="1"/>
      <c r="M206" s="1"/>
      <c r="N206" s="9"/>
      <c r="O206" s="10"/>
      <c r="P206" s="1"/>
      <c r="Q206" s="126"/>
      <c r="R206" s="1"/>
      <c r="S206" s="1"/>
      <c r="T206" s="1"/>
      <c r="U206" s="1"/>
    </row>
    <row r="207" spans="1:24" ht="15.75" customHeight="1">
      <c r="A207" s="1"/>
      <c r="B207" s="1"/>
      <c r="C207" s="1"/>
      <c r="D207" s="1"/>
      <c r="E207" s="1"/>
      <c r="F207" s="1"/>
      <c r="G207" s="18"/>
      <c r="H207" s="1"/>
      <c r="I207" s="1"/>
      <c r="J207" s="8"/>
      <c r="K207" s="8"/>
      <c r="L207" s="1"/>
      <c r="M207" s="1"/>
      <c r="N207" s="9"/>
      <c r="O207" s="10"/>
      <c r="P207" s="1"/>
      <c r="Q207" s="126"/>
      <c r="R207" s="1"/>
      <c r="S207" s="1"/>
      <c r="T207" s="1"/>
      <c r="U207" s="1"/>
    </row>
    <row r="208" spans="1:24" ht="15.75" customHeight="1">
      <c r="A208" s="1"/>
      <c r="B208" s="1"/>
      <c r="C208" s="1"/>
      <c r="D208" s="1"/>
      <c r="E208" s="1"/>
      <c r="F208" s="1"/>
      <c r="G208" s="18"/>
      <c r="H208" s="1"/>
      <c r="I208" s="1"/>
      <c r="J208" s="8"/>
      <c r="K208" s="8"/>
      <c r="L208" s="1"/>
      <c r="M208" s="1"/>
      <c r="N208" s="9"/>
      <c r="O208" s="10"/>
      <c r="P208" s="1"/>
      <c r="Q208" s="126"/>
      <c r="R208" s="1"/>
      <c r="S208" s="1"/>
      <c r="T208" s="1"/>
      <c r="U208" s="1"/>
    </row>
    <row r="209" spans="1:21" ht="15.75" customHeight="1">
      <c r="A209" s="1"/>
      <c r="B209" s="1"/>
      <c r="C209" s="1"/>
      <c r="D209" s="1"/>
      <c r="E209" s="1"/>
      <c r="F209" s="1"/>
      <c r="G209" s="18"/>
      <c r="H209" s="1"/>
      <c r="I209" s="1"/>
      <c r="J209" s="8"/>
      <c r="K209" s="8"/>
      <c r="L209" s="1"/>
      <c r="M209" s="1"/>
      <c r="N209" s="9"/>
      <c r="O209" s="10"/>
      <c r="P209" s="1"/>
      <c r="Q209" s="126"/>
      <c r="R209" s="1"/>
      <c r="S209" s="1"/>
      <c r="T209" s="1"/>
      <c r="U209" s="1"/>
    </row>
    <row r="210" spans="1:21" ht="15.75" customHeight="1">
      <c r="A210" s="1"/>
      <c r="B210" s="1"/>
      <c r="C210" s="1"/>
      <c r="D210" s="1"/>
      <c r="E210" s="1"/>
      <c r="F210" s="1"/>
      <c r="G210" s="18"/>
      <c r="H210" s="1"/>
      <c r="I210" s="1"/>
      <c r="J210" s="8"/>
      <c r="K210" s="8"/>
      <c r="L210" s="1"/>
      <c r="M210" s="1"/>
      <c r="N210" s="9"/>
      <c r="O210" s="10"/>
      <c r="P210" s="1"/>
      <c r="Q210" s="126"/>
      <c r="R210" s="1"/>
      <c r="S210" s="1"/>
      <c r="T210" s="1"/>
      <c r="U210" s="1"/>
    </row>
    <row r="211" spans="1:21" ht="15.75" customHeight="1">
      <c r="A211" s="1"/>
      <c r="B211" s="1"/>
      <c r="C211" s="1"/>
      <c r="D211" s="1"/>
      <c r="E211" s="1"/>
      <c r="F211" s="1"/>
      <c r="G211" s="18"/>
      <c r="H211" s="1"/>
      <c r="I211" s="1"/>
      <c r="J211" s="8"/>
      <c r="K211" s="8"/>
      <c r="L211" s="1"/>
      <c r="M211" s="1"/>
      <c r="N211" s="9"/>
      <c r="O211" s="10"/>
      <c r="P211" s="1"/>
      <c r="Q211" s="126"/>
      <c r="R211" s="1"/>
      <c r="S211" s="1"/>
      <c r="T211" s="1"/>
      <c r="U211" s="1"/>
    </row>
    <row r="212" spans="1:21" ht="15.75" customHeight="1">
      <c r="A212" s="1"/>
      <c r="B212" s="1"/>
      <c r="C212" s="1"/>
      <c r="D212" s="1"/>
      <c r="E212" s="1"/>
      <c r="F212" s="1"/>
      <c r="G212" s="18"/>
      <c r="H212" s="1"/>
      <c r="I212" s="1"/>
      <c r="J212" s="8"/>
      <c r="K212" s="8"/>
      <c r="L212" s="1"/>
      <c r="M212" s="1"/>
      <c r="N212" s="9"/>
      <c r="O212" s="10"/>
      <c r="P212" s="1"/>
      <c r="Q212" s="126"/>
      <c r="R212" s="1"/>
      <c r="S212" s="1"/>
      <c r="T212" s="1"/>
      <c r="U212" s="1"/>
    </row>
    <row r="213" spans="1:21" ht="15.75" customHeight="1">
      <c r="A213" s="1"/>
      <c r="B213" s="1"/>
      <c r="C213" s="1"/>
      <c r="D213" s="1"/>
      <c r="E213" s="1"/>
      <c r="F213" s="1"/>
      <c r="G213" s="18"/>
      <c r="H213" s="1"/>
      <c r="I213" s="1"/>
      <c r="J213" s="8"/>
      <c r="K213" s="8"/>
      <c r="L213" s="1"/>
      <c r="M213" s="1"/>
      <c r="N213" s="9"/>
      <c r="O213" s="10"/>
      <c r="P213" s="1"/>
      <c r="Q213" s="126"/>
      <c r="R213" s="1"/>
      <c r="S213" s="1"/>
      <c r="T213" s="1"/>
      <c r="U213" s="1"/>
    </row>
    <row r="214" spans="1:21" ht="15.75" customHeight="1">
      <c r="A214" s="1"/>
      <c r="B214" s="1"/>
      <c r="C214" s="1"/>
      <c r="D214" s="1"/>
      <c r="E214" s="1"/>
      <c r="F214" s="1"/>
      <c r="G214" s="18"/>
      <c r="H214" s="1"/>
      <c r="I214" s="1"/>
      <c r="J214" s="8"/>
      <c r="K214" s="8"/>
      <c r="L214" s="1"/>
      <c r="M214" s="1"/>
      <c r="N214" s="9"/>
      <c r="O214" s="10"/>
      <c r="P214" s="1"/>
      <c r="Q214" s="126"/>
      <c r="R214" s="1"/>
      <c r="S214" s="1"/>
      <c r="T214" s="1"/>
      <c r="U214" s="1"/>
    </row>
    <row r="215" spans="1:21" ht="15.75" customHeight="1">
      <c r="A215" s="1"/>
      <c r="B215" s="1"/>
      <c r="C215" s="1"/>
      <c r="D215" s="1"/>
      <c r="E215" s="1"/>
      <c r="F215" s="1"/>
      <c r="G215" s="18"/>
      <c r="H215" s="1"/>
      <c r="I215" s="1"/>
      <c r="J215" s="8"/>
      <c r="K215" s="8"/>
      <c r="L215" s="1"/>
      <c r="M215" s="1"/>
      <c r="N215" s="9"/>
      <c r="O215" s="10"/>
      <c r="P215" s="1"/>
      <c r="Q215" s="126"/>
      <c r="R215" s="1"/>
      <c r="S215" s="1"/>
      <c r="T215" s="1"/>
      <c r="U215" s="1"/>
    </row>
    <row r="216" spans="1:21" ht="15.75" customHeight="1">
      <c r="A216" s="1"/>
      <c r="B216" s="1"/>
      <c r="C216" s="1"/>
      <c r="D216" s="1"/>
      <c r="E216" s="1"/>
      <c r="F216" s="1"/>
      <c r="G216" s="18"/>
      <c r="H216" s="1"/>
      <c r="I216" s="1"/>
      <c r="J216" s="8"/>
      <c r="K216" s="8"/>
      <c r="L216" s="1"/>
      <c r="M216" s="1"/>
      <c r="N216" s="9"/>
      <c r="O216" s="10"/>
      <c r="P216" s="1"/>
      <c r="Q216" s="126"/>
      <c r="R216" s="1"/>
      <c r="S216" s="1"/>
      <c r="T216" s="1"/>
      <c r="U216" s="1"/>
    </row>
    <row r="217" spans="1:21" ht="15.75" customHeight="1">
      <c r="A217" s="1"/>
      <c r="B217" s="1"/>
      <c r="C217" s="1"/>
      <c r="D217" s="1"/>
      <c r="E217" s="1"/>
      <c r="F217" s="1"/>
      <c r="G217" s="18"/>
      <c r="H217" s="1"/>
      <c r="I217" s="1"/>
      <c r="J217" s="8"/>
      <c r="K217" s="8"/>
      <c r="L217" s="1"/>
      <c r="M217" s="1"/>
      <c r="N217" s="9"/>
      <c r="O217" s="10"/>
      <c r="P217" s="1"/>
      <c r="Q217" s="126"/>
      <c r="R217" s="1"/>
      <c r="S217" s="1"/>
      <c r="T217" s="1"/>
      <c r="U217" s="1"/>
    </row>
    <row r="218" spans="1:21" ht="15.75" customHeight="1">
      <c r="A218" s="1"/>
      <c r="B218" s="1"/>
      <c r="C218" s="1"/>
      <c r="D218" s="1"/>
      <c r="E218" s="1"/>
      <c r="F218" s="1"/>
      <c r="G218" s="18"/>
      <c r="H218" s="1"/>
      <c r="I218" s="1"/>
      <c r="J218" s="8"/>
      <c r="K218" s="8"/>
      <c r="L218" s="1"/>
      <c r="M218" s="1"/>
      <c r="N218" s="9"/>
      <c r="O218" s="10"/>
      <c r="P218" s="1"/>
      <c r="Q218" s="126"/>
      <c r="R218" s="1"/>
      <c r="S218" s="1"/>
      <c r="T218" s="1"/>
      <c r="U218" s="1"/>
    </row>
    <row r="219" spans="1:21" ht="15.75" customHeight="1">
      <c r="A219" s="1"/>
      <c r="B219" s="1"/>
      <c r="C219" s="1"/>
      <c r="D219" s="1"/>
      <c r="E219" s="1"/>
      <c r="F219" s="1"/>
      <c r="G219" s="18"/>
      <c r="H219" s="1"/>
      <c r="I219" s="1"/>
      <c r="J219" s="8"/>
      <c r="K219" s="8"/>
      <c r="L219" s="1"/>
      <c r="M219" s="1"/>
      <c r="N219" s="9"/>
      <c r="O219" s="10"/>
      <c r="P219" s="1"/>
      <c r="Q219" s="126"/>
      <c r="R219" s="1"/>
      <c r="S219" s="1"/>
      <c r="T219" s="1"/>
      <c r="U219" s="1"/>
    </row>
    <row r="220" spans="1:21" ht="15.75" customHeight="1">
      <c r="A220" s="1"/>
      <c r="B220" s="1"/>
      <c r="C220" s="1"/>
      <c r="D220" s="1"/>
      <c r="E220" s="1"/>
      <c r="F220" s="1"/>
      <c r="G220" s="18"/>
      <c r="H220" s="1"/>
      <c r="I220" s="1"/>
      <c r="J220" s="8"/>
      <c r="K220" s="8"/>
      <c r="L220" s="1"/>
      <c r="M220" s="1"/>
      <c r="N220" s="9"/>
      <c r="O220" s="10"/>
      <c r="P220" s="1"/>
      <c r="Q220" s="126"/>
      <c r="R220" s="1"/>
      <c r="S220" s="1"/>
      <c r="T220" s="1"/>
      <c r="U220" s="1"/>
    </row>
    <row r="221" spans="1:21" ht="15.75" customHeight="1">
      <c r="A221" s="1"/>
      <c r="B221" s="1"/>
      <c r="C221" s="1"/>
      <c r="D221" s="1"/>
      <c r="E221" s="1"/>
      <c r="F221" s="1"/>
      <c r="G221" s="18"/>
      <c r="H221" s="1"/>
      <c r="I221" s="1"/>
      <c r="J221" s="8"/>
      <c r="K221" s="8"/>
      <c r="L221" s="1"/>
      <c r="M221" s="1"/>
      <c r="N221" s="9"/>
      <c r="O221" s="10"/>
      <c r="P221" s="1"/>
      <c r="Q221" s="126"/>
      <c r="R221" s="1"/>
      <c r="S221" s="1"/>
      <c r="T221" s="1"/>
      <c r="U221" s="1"/>
    </row>
    <row r="222" spans="1:21" ht="15.75" customHeight="1">
      <c r="A222" s="1"/>
      <c r="B222" s="1"/>
      <c r="C222" s="1"/>
      <c r="D222" s="1"/>
      <c r="E222" s="1"/>
      <c r="F222" s="1"/>
      <c r="G222" s="18"/>
      <c r="H222" s="1"/>
      <c r="I222" s="1"/>
      <c r="J222" s="8"/>
      <c r="K222" s="8"/>
      <c r="L222" s="1"/>
      <c r="M222" s="1"/>
      <c r="N222" s="9"/>
      <c r="O222" s="10"/>
      <c r="P222" s="1"/>
      <c r="Q222" s="126"/>
      <c r="R222" s="1"/>
      <c r="S222" s="1"/>
      <c r="T222" s="1"/>
      <c r="U222" s="1"/>
    </row>
    <row r="223" spans="1:21" ht="15.75" customHeight="1">
      <c r="A223" s="1"/>
      <c r="B223" s="1"/>
      <c r="C223" s="1"/>
      <c r="D223" s="1"/>
      <c r="E223" s="1"/>
      <c r="F223" s="1"/>
      <c r="G223" s="18"/>
      <c r="H223" s="1"/>
      <c r="I223" s="1"/>
      <c r="J223" s="8"/>
      <c r="K223" s="8"/>
      <c r="L223" s="1"/>
      <c r="M223" s="1"/>
      <c r="N223" s="9"/>
      <c r="O223" s="10"/>
      <c r="P223" s="1"/>
      <c r="Q223" s="126"/>
      <c r="R223" s="1"/>
      <c r="S223" s="1"/>
      <c r="T223" s="1"/>
      <c r="U223" s="1"/>
    </row>
    <row r="224" spans="1:21" ht="15.75" customHeight="1">
      <c r="A224" s="1"/>
      <c r="B224" s="1"/>
      <c r="C224" s="1"/>
      <c r="D224" s="1"/>
      <c r="E224" s="1"/>
      <c r="F224" s="1"/>
      <c r="G224" s="18"/>
      <c r="H224" s="1"/>
      <c r="I224" s="1"/>
      <c r="J224" s="8"/>
      <c r="K224" s="8"/>
      <c r="L224" s="1"/>
      <c r="M224" s="1"/>
      <c r="N224" s="9"/>
      <c r="O224" s="10"/>
      <c r="P224" s="1"/>
      <c r="Q224" s="126"/>
      <c r="R224" s="1"/>
      <c r="S224" s="1"/>
      <c r="T224" s="1"/>
      <c r="U224" s="1"/>
    </row>
    <row r="225" spans="1:21" ht="15.75" customHeight="1">
      <c r="A225" s="1"/>
      <c r="B225" s="1"/>
      <c r="C225" s="1"/>
      <c r="D225" s="1"/>
      <c r="E225" s="1"/>
      <c r="F225" s="1"/>
      <c r="G225" s="18"/>
      <c r="H225" s="1"/>
      <c r="I225" s="1"/>
      <c r="J225" s="8"/>
      <c r="K225" s="8"/>
      <c r="L225" s="1"/>
      <c r="M225" s="1"/>
      <c r="N225" s="9"/>
      <c r="O225" s="10"/>
      <c r="P225" s="1"/>
      <c r="Q225" s="126"/>
      <c r="R225" s="1"/>
      <c r="S225" s="1"/>
      <c r="T225" s="1"/>
      <c r="U225" s="1"/>
    </row>
    <row r="226" spans="1:21" ht="15.75" customHeight="1">
      <c r="A226" s="1"/>
      <c r="B226" s="1"/>
      <c r="C226" s="1"/>
      <c r="D226" s="1"/>
      <c r="E226" s="1"/>
      <c r="F226" s="1"/>
      <c r="G226" s="18"/>
      <c r="H226" s="1"/>
      <c r="I226" s="1"/>
      <c r="J226" s="8"/>
      <c r="K226" s="8"/>
      <c r="L226" s="1"/>
      <c r="M226" s="1"/>
      <c r="N226" s="9"/>
      <c r="O226" s="10"/>
      <c r="P226" s="1"/>
      <c r="Q226" s="126"/>
      <c r="R226" s="1"/>
      <c r="S226" s="1"/>
      <c r="T226" s="1"/>
      <c r="U226" s="1"/>
    </row>
    <row r="227" spans="1:21" ht="15.75" customHeight="1">
      <c r="A227" s="1"/>
      <c r="B227" s="1"/>
      <c r="C227" s="1"/>
      <c r="D227" s="1"/>
      <c r="E227" s="1"/>
      <c r="F227" s="1"/>
      <c r="G227" s="18"/>
      <c r="H227" s="1"/>
      <c r="I227" s="1"/>
      <c r="J227" s="8"/>
      <c r="K227" s="8"/>
      <c r="L227" s="1"/>
      <c r="M227" s="1"/>
      <c r="N227" s="9"/>
      <c r="O227" s="10"/>
      <c r="P227" s="1"/>
      <c r="Q227" s="126"/>
      <c r="R227" s="1"/>
      <c r="S227" s="1"/>
      <c r="T227" s="1"/>
      <c r="U227" s="1"/>
    </row>
    <row r="228" spans="1:21" ht="15.75" customHeight="1">
      <c r="A228" s="1"/>
      <c r="B228" s="1"/>
      <c r="C228" s="1"/>
      <c r="D228" s="1"/>
      <c r="E228" s="1"/>
      <c r="F228" s="1"/>
      <c r="G228" s="18"/>
      <c r="H228" s="1"/>
      <c r="I228" s="1"/>
      <c r="J228" s="8"/>
      <c r="K228" s="8"/>
      <c r="L228" s="1"/>
      <c r="M228" s="1"/>
      <c r="N228" s="9"/>
      <c r="O228" s="10"/>
      <c r="P228" s="1"/>
      <c r="Q228" s="126"/>
      <c r="R228" s="1"/>
      <c r="S228" s="1"/>
      <c r="T228" s="1"/>
      <c r="U228" s="1"/>
    </row>
    <row r="229" spans="1:21" ht="15.75" customHeight="1">
      <c r="A229" s="1"/>
      <c r="B229" s="1"/>
      <c r="C229" s="1"/>
      <c r="D229" s="1"/>
      <c r="E229" s="1"/>
      <c r="F229" s="1"/>
      <c r="G229" s="18"/>
      <c r="H229" s="1"/>
      <c r="I229" s="1"/>
      <c r="J229" s="8"/>
      <c r="K229" s="8"/>
      <c r="L229" s="1"/>
      <c r="M229" s="1"/>
      <c r="N229" s="9"/>
      <c r="O229" s="10"/>
      <c r="P229" s="1"/>
      <c r="Q229" s="126"/>
      <c r="R229" s="1"/>
      <c r="S229" s="1"/>
      <c r="T229" s="1"/>
      <c r="U229" s="1"/>
    </row>
    <row r="230" spans="1:21" ht="15.75" customHeight="1">
      <c r="A230" s="1"/>
      <c r="B230" s="1"/>
      <c r="C230" s="1"/>
      <c r="D230" s="1"/>
      <c r="E230" s="1"/>
      <c r="F230" s="1"/>
      <c r="G230" s="18"/>
      <c r="H230" s="1"/>
      <c r="I230" s="1"/>
      <c r="J230" s="8"/>
      <c r="K230" s="8"/>
      <c r="L230" s="1"/>
      <c r="M230" s="1"/>
      <c r="N230" s="9"/>
      <c r="O230" s="10"/>
      <c r="P230" s="1"/>
      <c r="Q230" s="126"/>
      <c r="R230" s="1"/>
      <c r="S230" s="1"/>
      <c r="T230" s="1"/>
      <c r="U230" s="1"/>
    </row>
    <row r="231" spans="1:21" ht="15.75" customHeight="1">
      <c r="A231" s="1"/>
      <c r="B231" s="1"/>
      <c r="C231" s="1"/>
      <c r="D231" s="1"/>
      <c r="E231" s="1"/>
      <c r="F231" s="1"/>
      <c r="G231" s="18"/>
      <c r="H231" s="1"/>
      <c r="I231" s="1"/>
      <c r="J231" s="8"/>
      <c r="K231" s="8"/>
      <c r="L231" s="1"/>
      <c r="M231" s="1"/>
      <c r="N231" s="9"/>
      <c r="O231" s="10"/>
      <c r="P231" s="1"/>
      <c r="Q231" s="126"/>
      <c r="R231" s="1"/>
      <c r="S231" s="1"/>
      <c r="T231" s="1"/>
      <c r="U231" s="1"/>
    </row>
    <row r="232" spans="1:21" ht="15.75" customHeight="1">
      <c r="A232" s="1"/>
      <c r="B232" s="1"/>
      <c r="C232" s="1"/>
      <c r="D232" s="1"/>
      <c r="E232" s="1"/>
      <c r="F232" s="1"/>
      <c r="G232" s="18"/>
      <c r="H232" s="1"/>
      <c r="I232" s="1"/>
      <c r="J232" s="8"/>
      <c r="K232" s="8"/>
      <c r="L232" s="1"/>
      <c r="M232" s="1"/>
      <c r="N232" s="9"/>
      <c r="O232" s="10"/>
      <c r="P232" s="1"/>
      <c r="Q232" s="126"/>
      <c r="R232" s="1"/>
      <c r="S232" s="1"/>
      <c r="T232" s="1"/>
      <c r="U232" s="1"/>
    </row>
    <row r="233" spans="1:21" ht="15.75" customHeight="1">
      <c r="A233" s="1"/>
      <c r="B233" s="1"/>
      <c r="C233" s="1"/>
      <c r="D233" s="1"/>
      <c r="E233" s="1"/>
      <c r="F233" s="1"/>
      <c r="G233" s="18"/>
      <c r="H233" s="1"/>
      <c r="I233" s="1"/>
      <c r="J233" s="8"/>
      <c r="K233" s="8"/>
      <c r="L233" s="1"/>
      <c r="M233" s="1"/>
      <c r="N233" s="9"/>
      <c r="O233" s="10"/>
      <c r="P233" s="1"/>
      <c r="Q233" s="126"/>
      <c r="R233" s="1"/>
      <c r="S233" s="1"/>
      <c r="T233" s="1"/>
      <c r="U233" s="1"/>
    </row>
    <row r="234" spans="1:21" ht="15.75" customHeight="1">
      <c r="A234" s="1"/>
      <c r="B234" s="1"/>
      <c r="C234" s="1"/>
      <c r="D234" s="1"/>
      <c r="E234" s="1"/>
      <c r="F234" s="1"/>
      <c r="G234" s="18"/>
      <c r="H234" s="1"/>
      <c r="I234" s="1"/>
      <c r="J234" s="8"/>
      <c r="K234" s="8"/>
      <c r="L234" s="1"/>
      <c r="M234" s="1"/>
      <c r="N234" s="9"/>
      <c r="O234" s="10"/>
      <c r="P234" s="1"/>
      <c r="Q234" s="126"/>
      <c r="R234" s="1"/>
      <c r="S234" s="1"/>
      <c r="T234" s="1"/>
      <c r="U234" s="1"/>
    </row>
    <row r="235" spans="1:21" ht="15.75" customHeight="1">
      <c r="A235" s="1"/>
      <c r="B235" s="1"/>
      <c r="C235" s="1"/>
      <c r="D235" s="1"/>
      <c r="E235" s="1"/>
      <c r="F235" s="1"/>
      <c r="G235" s="18"/>
      <c r="H235" s="1"/>
      <c r="I235" s="1"/>
      <c r="J235" s="8"/>
      <c r="K235" s="8"/>
      <c r="L235" s="1"/>
      <c r="M235" s="1"/>
      <c r="N235" s="9"/>
      <c r="O235" s="10"/>
      <c r="P235" s="1"/>
      <c r="Q235" s="126"/>
      <c r="R235" s="1"/>
      <c r="S235" s="1"/>
      <c r="T235" s="1"/>
      <c r="U235" s="1"/>
    </row>
    <row r="236" spans="1:21" ht="15.75" customHeight="1">
      <c r="A236" s="1"/>
      <c r="B236" s="1"/>
      <c r="C236" s="1"/>
      <c r="D236" s="1"/>
      <c r="E236" s="1"/>
      <c r="F236" s="1"/>
      <c r="G236" s="18"/>
      <c r="H236" s="1"/>
      <c r="I236" s="1"/>
      <c r="J236" s="8"/>
      <c r="K236" s="8"/>
      <c r="L236" s="1"/>
      <c r="M236" s="1"/>
      <c r="N236" s="9"/>
      <c r="O236" s="10"/>
      <c r="P236" s="1"/>
      <c r="Q236" s="126"/>
      <c r="R236" s="1"/>
      <c r="S236" s="1"/>
      <c r="T236" s="1"/>
      <c r="U236" s="1"/>
    </row>
    <row r="237" spans="1:21" ht="15.75" customHeight="1">
      <c r="A237" s="1"/>
      <c r="B237" s="1"/>
      <c r="C237" s="1"/>
      <c r="D237" s="1"/>
      <c r="E237" s="1"/>
      <c r="F237" s="1"/>
      <c r="G237" s="18"/>
      <c r="H237" s="1"/>
      <c r="I237" s="1"/>
      <c r="J237" s="8"/>
      <c r="K237" s="8"/>
      <c r="L237" s="1"/>
      <c r="M237" s="1"/>
      <c r="N237" s="9"/>
      <c r="O237" s="10"/>
      <c r="P237" s="1"/>
      <c r="Q237" s="126"/>
      <c r="R237" s="1"/>
      <c r="S237" s="1"/>
      <c r="T237" s="1"/>
      <c r="U237" s="1"/>
    </row>
    <row r="238" spans="1:21" ht="15.75" customHeight="1">
      <c r="A238" s="1"/>
      <c r="B238" s="1"/>
      <c r="C238" s="1"/>
      <c r="D238" s="1"/>
      <c r="E238" s="1"/>
      <c r="F238" s="1"/>
      <c r="G238" s="18"/>
      <c r="H238" s="1"/>
      <c r="I238" s="1"/>
      <c r="J238" s="8"/>
      <c r="K238" s="8"/>
      <c r="L238" s="1"/>
      <c r="M238" s="1"/>
      <c r="N238" s="9"/>
      <c r="O238" s="10"/>
      <c r="P238" s="1"/>
      <c r="Q238" s="126"/>
      <c r="R238" s="1"/>
      <c r="S238" s="1"/>
      <c r="T238" s="1"/>
      <c r="U238" s="1"/>
    </row>
    <row r="239" spans="1:21" ht="15.75" customHeight="1">
      <c r="A239" s="1"/>
      <c r="B239" s="1"/>
      <c r="C239" s="1"/>
      <c r="D239" s="1"/>
      <c r="E239" s="1"/>
      <c r="F239" s="1"/>
      <c r="G239" s="18"/>
      <c r="H239" s="1"/>
      <c r="I239" s="1"/>
      <c r="J239" s="8"/>
      <c r="K239" s="8"/>
      <c r="L239" s="1"/>
      <c r="M239" s="1"/>
      <c r="N239" s="9"/>
      <c r="O239" s="10"/>
      <c r="P239" s="1"/>
      <c r="Q239" s="126"/>
      <c r="R239" s="1"/>
      <c r="S239" s="1"/>
      <c r="T239" s="1"/>
      <c r="U239" s="1"/>
    </row>
    <row r="240" spans="1:21" ht="15.75" customHeight="1">
      <c r="A240" s="1"/>
      <c r="B240" s="1"/>
      <c r="C240" s="1"/>
      <c r="D240" s="1"/>
      <c r="E240" s="1"/>
      <c r="F240" s="1"/>
      <c r="G240" s="18"/>
      <c r="H240" s="1"/>
      <c r="I240" s="1"/>
      <c r="J240" s="8"/>
      <c r="K240" s="8"/>
      <c r="L240" s="1"/>
      <c r="M240" s="1"/>
      <c r="N240" s="9"/>
      <c r="O240" s="10"/>
      <c r="P240" s="1"/>
      <c r="Q240" s="126"/>
      <c r="R240" s="1"/>
      <c r="S240" s="1"/>
      <c r="T240" s="1"/>
      <c r="U240" s="1"/>
    </row>
    <row r="241" spans="1:21" ht="15.75" customHeight="1">
      <c r="A241" s="1"/>
      <c r="B241" s="1"/>
      <c r="C241" s="1"/>
      <c r="D241" s="1"/>
      <c r="E241" s="1"/>
      <c r="F241" s="1"/>
      <c r="G241" s="18"/>
      <c r="H241" s="1"/>
      <c r="I241" s="1"/>
      <c r="J241" s="8"/>
      <c r="K241" s="8"/>
      <c r="L241" s="1"/>
      <c r="M241" s="1"/>
      <c r="N241" s="9"/>
      <c r="O241" s="10"/>
      <c r="P241" s="1"/>
      <c r="Q241" s="126"/>
      <c r="R241" s="1"/>
      <c r="S241" s="1"/>
      <c r="T241" s="1"/>
      <c r="U241" s="1"/>
    </row>
    <row r="242" spans="1:21" ht="15.75" customHeight="1">
      <c r="A242" s="1"/>
      <c r="B242" s="1"/>
      <c r="C242" s="1"/>
      <c r="D242" s="1"/>
      <c r="E242" s="1"/>
      <c r="F242" s="1"/>
      <c r="G242" s="18"/>
      <c r="H242" s="1"/>
      <c r="I242" s="1"/>
      <c r="J242" s="8"/>
      <c r="K242" s="8"/>
      <c r="L242" s="1"/>
      <c r="M242" s="1"/>
      <c r="N242" s="9"/>
      <c r="O242" s="10"/>
      <c r="P242" s="1"/>
      <c r="Q242" s="126"/>
      <c r="R242" s="1"/>
      <c r="S242" s="1"/>
      <c r="T242" s="1"/>
      <c r="U242" s="1"/>
    </row>
    <row r="243" spans="1:21" ht="15.75" customHeight="1">
      <c r="A243" s="1"/>
      <c r="B243" s="1"/>
      <c r="C243" s="1"/>
      <c r="D243" s="1"/>
      <c r="E243" s="1"/>
      <c r="F243" s="1"/>
      <c r="G243" s="18"/>
      <c r="H243" s="1"/>
      <c r="I243" s="1"/>
      <c r="J243" s="8"/>
      <c r="K243" s="8"/>
      <c r="L243" s="1"/>
      <c r="M243" s="1"/>
      <c r="N243" s="9"/>
      <c r="O243" s="10"/>
      <c r="P243" s="1"/>
      <c r="Q243" s="126"/>
      <c r="R243" s="1"/>
      <c r="S243" s="1"/>
      <c r="T243" s="1"/>
      <c r="U243" s="1"/>
    </row>
    <row r="244" spans="1:21" ht="15.75" customHeight="1">
      <c r="A244" s="1"/>
      <c r="B244" s="1"/>
      <c r="C244" s="1"/>
      <c r="D244" s="1"/>
      <c r="E244" s="1"/>
      <c r="F244" s="1"/>
      <c r="G244" s="18"/>
      <c r="H244" s="1"/>
      <c r="I244" s="1"/>
      <c r="J244" s="8"/>
      <c r="K244" s="8"/>
      <c r="L244" s="1"/>
      <c r="M244" s="1"/>
      <c r="N244" s="9"/>
      <c r="O244" s="10"/>
      <c r="P244" s="1"/>
      <c r="Q244" s="126"/>
      <c r="R244" s="1"/>
      <c r="S244" s="1"/>
      <c r="T244" s="1"/>
      <c r="U244" s="1"/>
    </row>
    <row r="245" spans="1:21" ht="15.75" customHeight="1">
      <c r="A245" s="1"/>
      <c r="B245" s="1"/>
      <c r="C245" s="1"/>
      <c r="D245" s="1"/>
      <c r="E245" s="1"/>
      <c r="F245" s="1"/>
      <c r="G245" s="18"/>
      <c r="H245" s="1"/>
      <c r="I245" s="1"/>
      <c r="J245" s="8"/>
      <c r="K245" s="8"/>
      <c r="L245" s="1"/>
      <c r="M245" s="1"/>
      <c r="N245" s="9"/>
      <c r="O245" s="10"/>
      <c r="P245" s="1"/>
      <c r="Q245" s="126"/>
      <c r="R245" s="1"/>
      <c r="S245" s="1"/>
      <c r="T245" s="1"/>
      <c r="U245" s="1"/>
    </row>
    <row r="246" spans="1:21" ht="15.75" customHeight="1">
      <c r="A246" s="1"/>
      <c r="B246" s="1"/>
      <c r="C246" s="1"/>
      <c r="D246" s="1"/>
      <c r="E246" s="1"/>
      <c r="F246" s="1"/>
      <c r="G246" s="18"/>
      <c r="H246" s="1"/>
      <c r="I246" s="1"/>
      <c r="J246" s="8"/>
      <c r="K246" s="8"/>
      <c r="L246" s="1"/>
      <c r="M246" s="1"/>
      <c r="N246" s="9"/>
      <c r="O246" s="10"/>
      <c r="P246" s="1"/>
      <c r="Q246" s="126"/>
      <c r="R246" s="1"/>
      <c r="S246" s="1"/>
      <c r="T246" s="1"/>
      <c r="U246" s="1"/>
    </row>
    <row r="247" spans="1:21" ht="15.75" customHeight="1">
      <c r="A247" s="1"/>
      <c r="B247" s="1"/>
      <c r="C247" s="1"/>
      <c r="D247" s="1"/>
      <c r="E247" s="1"/>
      <c r="F247" s="1"/>
      <c r="G247" s="18"/>
      <c r="H247" s="1"/>
      <c r="I247" s="1"/>
      <c r="J247" s="8"/>
      <c r="K247" s="8"/>
      <c r="L247" s="1"/>
      <c r="M247" s="1"/>
      <c r="N247" s="9"/>
      <c r="O247" s="10"/>
      <c r="P247" s="1"/>
      <c r="Q247" s="126"/>
      <c r="R247" s="1"/>
      <c r="S247" s="1"/>
      <c r="T247" s="1"/>
      <c r="U247" s="1"/>
    </row>
    <row r="248" spans="1:21" ht="15.75" customHeight="1">
      <c r="A248" s="1"/>
      <c r="B248" s="1"/>
      <c r="C248" s="1"/>
      <c r="D248" s="1"/>
      <c r="E248" s="1"/>
      <c r="F248" s="1"/>
      <c r="G248" s="18"/>
      <c r="H248" s="1"/>
      <c r="I248" s="1"/>
      <c r="J248" s="8"/>
      <c r="K248" s="8"/>
      <c r="L248" s="1"/>
      <c r="M248" s="1"/>
      <c r="N248" s="9"/>
      <c r="O248" s="10"/>
      <c r="P248" s="1"/>
      <c r="Q248" s="126"/>
      <c r="R248" s="1"/>
      <c r="S248" s="1"/>
      <c r="T248" s="1"/>
      <c r="U248" s="1"/>
    </row>
    <row r="249" spans="1:21" ht="15.75" customHeight="1">
      <c r="A249" s="1"/>
      <c r="B249" s="1"/>
      <c r="C249" s="1"/>
      <c r="D249" s="1"/>
      <c r="E249" s="1"/>
      <c r="F249" s="1"/>
      <c r="G249" s="18"/>
      <c r="H249" s="1"/>
      <c r="I249" s="1"/>
      <c r="J249" s="8"/>
      <c r="K249" s="8"/>
      <c r="L249" s="1"/>
      <c r="M249" s="1"/>
      <c r="N249" s="9"/>
      <c r="O249" s="10"/>
      <c r="P249" s="1"/>
      <c r="Q249" s="126"/>
      <c r="R249" s="1"/>
      <c r="S249" s="1"/>
      <c r="T249" s="1"/>
      <c r="U249" s="1"/>
    </row>
    <row r="250" spans="1:21" ht="15.75" customHeight="1">
      <c r="A250" s="1"/>
      <c r="B250" s="1"/>
      <c r="C250" s="1"/>
      <c r="D250" s="1"/>
      <c r="E250" s="1"/>
      <c r="F250" s="1"/>
      <c r="G250" s="18"/>
      <c r="H250" s="1"/>
      <c r="I250" s="1"/>
      <c r="J250" s="8"/>
      <c r="K250" s="8"/>
      <c r="L250" s="1"/>
      <c r="M250" s="1"/>
      <c r="N250" s="9"/>
      <c r="O250" s="10"/>
      <c r="P250" s="1"/>
      <c r="Q250" s="126"/>
      <c r="R250" s="1"/>
      <c r="S250" s="1"/>
      <c r="T250" s="1"/>
      <c r="U250" s="1"/>
    </row>
    <row r="251" spans="1:21" ht="15.75" customHeight="1">
      <c r="A251" s="1"/>
      <c r="B251" s="1"/>
      <c r="C251" s="1"/>
      <c r="D251" s="1"/>
      <c r="E251" s="1"/>
      <c r="F251" s="1"/>
      <c r="G251" s="18"/>
      <c r="H251" s="1"/>
      <c r="I251" s="1"/>
      <c r="J251" s="8"/>
      <c r="K251" s="8"/>
      <c r="L251" s="1"/>
      <c r="M251" s="1"/>
      <c r="N251" s="9"/>
      <c r="O251" s="10"/>
      <c r="P251" s="1"/>
      <c r="Q251" s="126"/>
      <c r="R251" s="1"/>
      <c r="S251" s="1"/>
      <c r="T251" s="1"/>
      <c r="U251" s="1"/>
    </row>
    <row r="252" spans="1:21" ht="15.75" customHeight="1">
      <c r="A252" s="1"/>
      <c r="B252" s="1"/>
      <c r="C252" s="1"/>
      <c r="D252" s="1"/>
      <c r="E252" s="1"/>
      <c r="F252" s="1"/>
      <c r="G252" s="18"/>
      <c r="H252" s="1"/>
      <c r="I252" s="1"/>
      <c r="J252" s="8"/>
      <c r="K252" s="8"/>
      <c r="L252" s="1"/>
      <c r="M252" s="1"/>
      <c r="N252" s="9"/>
      <c r="O252" s="10"/>
      <c r="P252" s="1"/>
      <c r="Q252" s="126"/>
      <c r="R252" s="1"/>
      <c r="S252" s="1"/>
      <c r="T252" s="1"/>
      <c r="U252" s="1"/>
    </row>
    <row r="253" spans="1:21" ht="15.75" customHeight="1">
      <c r="A253" s="1"/>
      <c r="B253" s="1"/>
      <c r="C253" s="1"/>
      <c r="D253" s="1"/>
      <c r="E253" s="1"/>
      <c r="F253" s="1"/>
      <c r="G253" s="18"/>
      <c r="H253" s="1"/>
      <c r="I253" s="1"/>
      <c r="J253" s="8"/>
      <c r="K253" s="8"/>
      <c r="L253" s="1"/>
      <c r="M253" s="1"/>
      <c r="N253" s="9"/>
      <c r="O253" s="10"/>
      <c r="P253" s="1"/>
      <c r="Q253" s="126"/>
      <c r="R253" s="1"/>
      <c r="S253" s="1"/>
      <c r="T253" s="1"/>
      <c r="U253" s="1"/>
    </row>
    <row r="254" spans="1:21" ht="15.75" customHeight="1">
      <c r="A254" s="1"/>
      <c r="B254" s="1"/>
      <c r="C254" s="1"/>
      <c r="D254" s="1"/>
      <c r="E254" s="1"/>
      <c r="F254" s="1"/>
      <c r="G254" s="18"/>
      <c r="H254" s="1"/>
      <c r="I254" s="1"/>
      <c r="J254" s="8"/>
      <c r="K254" s="8"/>
      <c r="L254" s="1"/>
      <c r="M254" s="1"/>
      <c r="N254" s="9"/>
      <c r="O254" s="10"/>
      <c r="P254" s="1"/>
      <c r="Q254" s="126"/>
      <c r="R254" s="1"/>
      <c r="S254" s="1"/>
      <c r="T254" s="1"/>
      <c r="U254" s="1"/>
    </row>
    <row r="255" spans="1:21" ht="15.75" customHeight="1">
      <c r="A255" s="1"/>
      <c r="B255" s="1"/>
      <c r="C255" s="1"/>
      <c r="D255" s="1"/>
      <c r="E255" s="1"/>
      <c r="F255" s="1"/>
      <c r="G255" s="18"/>
      <c r="H255" s="1"/>
      <c r="I255" s="1"/>
      <c r="J255" s="8"/>
      <c r="K255" s="8"/>
      <c r="L255" s="1"/>
      <c r="M255" s="1"/>
      <c r="N255" s="9"/>
      <c r="O255" s="10"/>
      <c r="P255" s="1"/>
      <c r="Q255" s="126"/>
      <c r="R255" s="1"/>
      <c r="S255" s="1"/>
      <c r="T255" s="1"/>
      <c r="U255" s="1"/>
    </row>
    <row r="256" spans="1:21" ht="15.75" customHeight="1">
      <c r="A256" s="1"/>
      <c r="B256" s="1"/>
      <c r="C256" s="1"/>
      <c r="D256" s="1"/>
      <c r="E256" s="1"/>
      <c r="F256" s="1"/>
      <c r="G256" s="18"/>
      <c r="H256" s="1"/>
      <c r="I256" s="1"/>
      <c r="J256" s="8"/>
      <c r="K256" s="8"/>
      <c r="L256" s="1"/>
      <c r="M256" s="1"/>
      <c r="N256" s="9"/>
      <c r="O256" s="10"/>
      <c r="P256" s="1"/>
      <c r="Q256" s="126"/>
      <c r="R256" s="1"/>
      <c r="S256" s="1"/>
      <c r="T256" s="1"/>
      <c r="U256" s="1"/>
    </row>
    <row r="257" spans="1:21" ht="15.75" customHeight="1">
      <c r="A257" s="1"/>
      <c r="B257" s="1"/>
      <c r="C257" s="1"/>
      <c r="D257" s="1"/>
      <c r="E257" s="1"/>
      <c r="F257" s="1"/>
      <c r="G257" s="18"/>
      <c r="H257" s="1"/>
      <c r="I257" s="1"/>
      <c r="J257" s="8"/>
      <c r="K257" s="8"/>
      <c r="L257" s="1"/>
      <c r="M257" s="1"/>
      <c r="N257" s="9"/>
      <c r="O257" s="10"/>
      <c r="P257" s="1"/>
      <c r="Q257" s="126"/>
      <c r="R257" s="1"/>
      <c r="S257" s="1"/>
      <c r="T257" s="1"/>
      <c r="U257" s="1"/>
    </row>
    <row r="258" spans="1:21" ht="15.75" customHeight="1">
      <c r="A258" s="1"/>
      <c r="B258" s="1"/>
      <c r="C258" s="1"/>
      <c r="D258" s="1"/>
      <c r="E258" s="1"/>
      <c r="F258" s="1"/>
      <c r="G258" s="18"/>
      <c r="H258" s="1"/>
      <c r="I258" s="1"/>
      <c r="J258" s="8"/>
      <c r="K258" s="8"/>
      <c r="L258" s="1"/>
      <c r="M258" s="1"/>
      <c r="N258" s="9"/>
      <c r="O258" s="10"/>
      <c r="P258" s="1"/>
      <c r="Q258" s="126"/>
      <c r="R258" s="1"/>
      <c r="S258" s="1"/>
      <c r="T258" s="1"/>
      <c r="U258" s="1"/>
    </row>
    <row r="259" spans="1:21" ht="15.75" customHeight="1">
      <c r="A259" s="1"/>
      <c r="B259" s="1"/>
      <c r="C259" s="1"/>
      <c r="D259" s="1"/>
      <c r="E259" s="1"/>
      <c r="F259" s="1"/>
      <c r="G259" s="18"/>
      <c r="H259" s="1"/>
      <c r="I259" s="1"/>
      <c r="J259" s="8"/>
      <c r="K259" s="8"/>
      <c r="L259" s="1"/>
      <c r="M259" s="1"/>
      <c r="N259" s="9"/>
      <c r="O259" s="10"/>
      <c r="P259" s="1"/>
      <c r="Q259" s="126"/>
      <c r="R259" s="1"/>
      <c r="S259" s="1"/>
      <c r="T259" s="1"/>
      <c r="U259" s="1"/>
    </row>
    <row r="260" spans="1:21" ht="15.75" customHeight="1">
      <c r="A260" s="1"/>
      <c r="B260" s="1"/>
      <c r="C260" s="1"/>
      <c r="D260" s="1"/>
      <c r="E260" s="1"/>
      <c r="F260" s="1"/>
      <c r="G260" s="18"/>
      <c r="H260" s="1"/>
      <c r="I260" s="1"/>
      <c r="J260" s="8"/>
      <c r="K260" s="8"/>
      <c r="L260" s="1"/>
      <c r="M260" s="1"/>
      <c r="N260" s="9"/>
      <c r="O260" s="10"/>
      <c r="P260" s="1"/>
      <c r="Q260" s="126"/>
      <c r="R260" s="1"/>
      <c r="S260" s="1"/>
      <c r="T260" s="1"/>
      <c r="U260" s="1"/>
    </row>
    <row r="261" spans="1:21" ht="15.75" customHeight="1">
      <c r="A261" s="1"/>
      <c r="B261" s="1"/>
      <c r="C261" s="1"/>
      <c r="D261" s="1"/>
      <c r="E261" s="1"/>
      <c r="F261" s="1"/>
      <c r="G261" s="18"/>
      <c r="H261" s="1"/>
      <c r="I261" s="1"/>
      <c r="J261" s="8"/>
      <c r="K261" s="8"/>
      <c r="L261" s="1"/>
      <c r="M261" s="1"/>
      <c r="N261" s="9"/>
      <c r="O261" s="10"/>
      <c r="P261" s="1"/>
      <c r="Q261" s="126"/>
      <c r="R261" s="1"/>
      <c r="S261" s="1"/>
      <c r="T261" s="1"/>
      <c r="U261" s="1"/>
    </row>
    <row r="262" spans="1:21" ht="15.75" customHeight="1">
      <c r="A262" s="1"/>
      <c r="B262" s="1"/>
      <c r="C262" s="1"/>
      <c r="D262" s="1"/>
      <c r="E262" s="1"/>
      <c r="F262" s="1"/>
      <c r="G262" s="18"/>
      <c r="H262" s="1"/>
      <c r="I262" s="1"/>
      <c r="J262" s="8"/>
      <c r="K262" s="8"/>
      <c r="L262" s="1"/>
      <c r="M262" s="1"/>
      <c r="N262" s="9"/>
      <c r="O262" s="10"/>
      <c r="P262" s="1"/>
      <c r="Q262" s="126"/>
      <c r="R262" s="1"/>
      <c r="S262" s="1"/>
      <c r="T262" s="1"/>
      <c r="U262" s="1"/>
    </row>
    <row r="263" spans="1:21" ht="15.75" customHeight="1">
      <c r="A263" s="1"/>
      <c r="B263" s="1"/>
      <c r="C263" s="1"/>
      <c r="D263" s="1"/>
      <c r="E263" s="1"/>
      <c r="F263" s="1"/>
      <c r="G263" s="18"/>
      <c r="H263" s="1"/>
      <c r="I263" s="1"/>
      <c r="J263" s="8"/>
      <c r="K263" s="8"/>
      <c r="L263" s="1"/>
      <c r="M263" s="1"/>
      <c r="N263" s="9"/>
      <c r="O263" s="10"/>
      <c r="P263" s="1"/>
      <c r="Q263" s="126"/>
      <c r="R263" s="1"/>
      <c r="S263" s="1"/>
      <c r="T263" s="1"/>
      <c r="U263" s="1"/>
    </row>
    <row r="264" spans="1:21" ht="15.75" customHeight="1">
      <c r="A264" s="1"/>
      <c r="B264" s="1"/>
      <c r="C264" s="1"/>
      <c r="D264" s="1"/>
      <c r="E264" s="1"/>
      <c r="F264" s="1"/>
      <c r="G264" s="18"/>
      <c r="H264" s="1"/>
      <c r="I264" s="1"/>
      <c r="J264" s="8"/>
      <c r="K264" s="8"/>
      <c r="L264" s="1"/>
      <c r="M264" s="1"/>
      <c r="N264" s="9"/>
      <c r="O264" s="10"/>
      <c r="P264" s="1"/>
      <c r="Q264" s="126"/>
      <c r="R264" s="1"/>
      <c r="S264" s="1"/>
      <c r="T264" s="1"/>
      <c r="U264" s="1"/>
    </row>
    <row r="265" spans="1:21" ht="15.75" customHeight="1">
      <c r="A265" s="1"/>
      <c r="B265" s="1"/>
      <c r="C265" s="1"/>
      <c r="D265" s="1"/>
      <c r="E265" s="1"/>
      <c r="F265" s="1"/>
      <c r="G265" s="18"/>
      <c r="H265" s="1"/>
      <c r="I265" s="1"/>
      <c r="J265" s="8"/>
      <c r="K265" s="8"/>
      <c r="L265" s="1"/>
      <c r="M265" s="1"/>
      <c r="N265" s="9"/>
      <c r="O265" s="10"/>
      <c r="P265" s="1"/>
      <c r="Q265" s="126"/>
      <c r="R265" s="1"/>
      <c r="S265" s="1"/>
      <c r="T265" s="1"/>
      <c r="U265" s="1"/>
    </row>
    <row r="266" spans="1:21" ht="15.75" customHeight="1">
      <c r="A266" s="1"/>
      <c r="B266" s="1"/>
      <c r="C266" s="1"/>
      <c r="D266" s="1"/>
      <c r="E266" s="1"/>
      <c r="F266" s="1"/>
      <c r="G266" s="18"/>
      <c r="H266" s="1"/>
      <c r="I266" s="1"/>
      <c r="J266" s="8"/>
      <c r="K266" s="8"/>
      <c r="L266" s="1"/>
      <c r="M266" s="1"/>
      <c r="N266" s="9"/>
      <c r="O266" s="10"/>
      <c r="P266" s="1"/>
      <c r="Q266" s="126"/>
      <c r="R266" s="1"/>
      <c r="S266" s="1"/>
      <c r="T266" s="1"/>
      <c r="U266" s="1"/>
    </row>
    <row r="267" spans="1:21" ht="15.75" customHeight="1">
      <c r="A267" s="1"/>
      <c r="B267" s="1"/>
      <c r="C267" s="1"/>
      <c r="D267" s="1"/>
      <c r="E267" s="1"/>
      <c r="F267" s="1"/>
      <c r="G267" s="18"/>
      <c r="H267" s="1"/>
      <c r="I267" s="1"/>
      <c r="J267" s="8"/>
      <c r="K267" s="8"/>
      <c r="L267" s="1"/>
      <c r="M267" s="1"/>
      <c r="N267" s="9"/>
      <c r="O267" s="10"/>
      <c r="P267" s="1"/>
      <c r="Q267" s="126"/>
      <c r="R267" s="1"/>
      <c r="S267" s="1"/>
      <c r="T267" s="1"/>
      <c r="U267" s="1"/>
    </row>
    <row r="268" spans="1:21" ht="15.75" customHeight="1">
      <c r="A268" s="1"/>
      <c r="B268" s="1"/>
      <c r="C268" s="1"/>
      <c r="D268" s="1"/>
      <c r="E268" s="1"/>
      <c r="F268" s="1"/>
      <c r="G268" s="18"/>
      <c r="H268" s="1"/>
      <c r="I268" s="1"/>
      <c r="J268" s="8"/>
      <c r="K268" s="8"/>
      <c r="L268" s="1"/>
      <c r="M268" s="1"/>
      <c r="N268" s="9"/>
      <c r="O268" s="10"/>
      <c r="P268" s="1"/>
      <c r="Q268" s="126"/>
      <c r="R268" s="1"/>
      <c r="S268" s="1"/>
      <c r="T268" s="1"/>
      <c r="U268" s="1"/>
    </row>
    <row r="269" spans="1:21" ht="15.75" customHeight="1">
      <c r="A269" s="1"/>
      <c r="B269" s="1"/>
      <c r="C269" s="1"/>
      <c r="D269" s="1"/>
      <c r="E269" s="1"/>
      <c r="F269" s="1"/>
      <c r="G269" s="18"/>
      <c r="H269" s="1"/>
      <c r="I269" s="1"/>
      <c r="J269" s="8"/>
      <c r="K269" s="8"/>
      <c r="L269" s="1"/>
      <c r="M269" s="1"/>
      <c r="N269" s="9"/>
      <c r="O269" s="10"/>
      <c r="P269" s="1"/>
      <c r="Q269" s="126"/>
      <c r="R269" s="1"/>
      <c r="S269" s="1"/>
      <c r="T269" s="1"/>
      <c r="U269" s="1"/>
    </row>
    <row r="270" spans="1:21" ht="15.75" customHeight="1">
      <c r="A270" s="1"/>
      <c r="B270" s="1"/>
      <c r="C270" s="1"/>
      <c r="D270" s="1"/>
      <c r="E270" s="1"/>
      <c r="F270" s="1"/>
      <c r="G270" s="18"/>
      <c r="H270" s="1"/>
      <c r="I270" s="1"/>
      <c r="J270" s="8"/>
      <c r="K270" s="8"/>
      <c r="L270" s="1"/>
      <c r="M270" s="1"/>
      <c r="N270" s="9"/>
      <c r="O270" s="10"/>
      <c r="P270" s="1"/>
      <c r="Q270" s="126"/>
      <c r="R270" s="1"/>
      <c r="S270" s="1"/>
      <c r="T270" s="1"/>
      <c r="U270" s="1"/>
    </row>
    <row r="271" spans="1:21" ht="15.75" customHeight="1">
      <c r="A271" s="1"/>
      <c r="B271" s="1"/>
      <c r="C271" s="1"/>
      <c r="D271" s="1"/>
      <c r="E271" s="1"/>
      <c r="F271" s="1"/>
      <c r="G271" s="18"/>
      <c r="H271" s="1"/>
      <c r="I271" s="1"/>
      <c r="J271" s="8"/>
      <c r="K271" s="8"/>
      <c r="L271" s="1"/>
      <c r="M271" s="1"/>
      <c r="N271" s="9"/>
      <c r="O271" s="10"/>
      <c r="P271" s="1"/>
      <c r="Q271" s="126"/>
      <c r="R271" s="1"/>
      <c r="S271" s="1"/>
      <c r="T271" s="1"/>
      <c r="U271" s="1"/>
    </row>
    <row r="272" spans="1:21" ht="15.75" customHeight="1">
      <c r="A272" s="1"/>
      <c r="B272" s="1"/>
      <c r="C272" s="1"/>
      <c r="D272" s="1"/>
      <c r="E272" s="1"/>
      <c r="F272" s="1"/>
      <c r="G272" s="18"/>
      <c r="H272" s="1"/>
      <c r="I272" s="1"/>
      <c r="J272" s="8"/>
      <c r="K272" s="8"/>
      <c r="L272" s="1"/>
      <c r="M272" s="1"/>
      <c r="N272" s="9"/>
      <c r="O272" s="10"/>
      <c r="P272" s="1"/>
      <c r="Q272" s="126"/>
      <c r="R272" s="1"/>
      <c r="S272" s="1"/>
      <c r="T272" s="1"/>
      <c r="U272" s="1"/>
    </row>
    <row r="273" spans="1:21" ht="15.75" customHeight="1">
      <c r="A273" s="1"/>
      <c r="B273" s="1"/>
      <c r="C273" s="1"/>
      <c r="D273" s="1"/>
      <c r="E273" s="1"/>
      <c r="F273" s="1"/>
      <c r="G273" s="18"/>
      <c r="H273" s="1"/>
      <c r="I273" s="1"/>
      <c r="J273" s="8"/>
      <c r="K273" s="8"/>
      <c r="L273" s="1"/>
      <c r="M273" s="1"/>
      <c r="N273" s="9"/>
      <c r="O273" s="10"/>
      <c r="P273" s="1"/>
      <c r="Q273" s="126"/>
      <c r="R273" s="1"/>
      <c r="S273" s="1"/>
      <c r="T273" s="1"/>
      <c r="U273" s="1"/>
    </row>
    <row r="274" spans="1:21" ht="15.75" customHeight="1">
      <c r="A274" s="1"/>
      <c r="B274" s="1"/>
      <c r="C274" s="1"/>
      <c r="D274" s="1"/>
      <c r="E274" s="1"/>
      <c r="F274" s="1"/>
      <c r="G274" s="18"/>
      <c r="H274" s="1"/>
      <c r="I274" s="1"/>
      <c r="J274" s="8"/>
      <c r="K274" s="8"/>
      <c r="L274" s="1"/>
      <c r="M274" s="1"/>
      <c r="N274" s="9"/>
      <c r="O274" s="10"/>
      <c r="P274" s="1"/>
      <c r="Q274" s="126"/>
      <c r="R274" s="1"/>
      <c r="S274" s="1"/>
      <c r="T274" s="1"/>
      <c r="U274" s="1"/>
    </row>
    <row r="275" spans="1:21" ht="15.75" customHeight="1">
      <c r="A275" s="1"/>
      <c r="B275" s="1"/>
      <c r="C275" s="1"/>
      <c r="D275" s="1"/>
      <c r="E275" s="1"/>
      <c r="F275" s="1"/>
      <c r="G275" s="18"/>
      <c r="H275" s="1"/>
      <c r="I275" s="1"/>
      <c r="J275" s="8"/>
      <c r="K275" s="8"/>
      <c r="L275" s="1"/>
      <c r="M275" s="1"/>
      <c r="N275" s="9"/>
      <c r="O275" s="10"/>
      <c r="P275" s="1"/>
      <c r="Q275" s="126"/>
      <c r="R275" s="1"/>
      <c r="S275" s="1"/>
      <c r="T275" s="1"/>
      <c r="U275" s="1"/>
    </row>
    <row r="276" spans="1:21" ht="15.75" customHeight="1">
      <c r="A276" s="1"/>
      <c r="B276" s="1"/>
      <c r="C276" s="1"/>
      <c r="D276" s="1"/>
      <c r="E276" s="1"/>
      <c r="F276" s="1"/>
      <c r="G276" s="18"/>
      <c r="H276" s="1"/>
      <c r="I276" s="1"/>
      <c r="J276" s="8"/>
      <c r="K276" s="8"/>
      <c r="L276" s="1"/>
      <c r="M276" s="1"/>
      <c r="N276" s="9"/>
      <c r="O276" s="10"/>
      <c r="P276" s="1"/>
      <c r="Q276" s="126"/>
      <c r="R276" s="1"/>
      <c r="S276" s="1"/>
      <c r="T276" s="1"/>
      <c r="U276" s="1"/>
    </row>
    <row r="277" spans="1:21" ht="15.75" customHeight="1">
      <c r="A277" s="1"/>
      <c r="B277" s="1"/>
      <c r="C277" s="1"/>
      <c r="D277" s="1"/>
      <c r="E277" s="1"/>
      <c r="F277" s="1"/>
      <c r="G277" s="18"/>
      <c r="H277" s="1"/>
      <c r="I277" s="1"/>
      <c r="J277" s="8"/>
      <c r="K277" s="8"/>
      <c r="L277" s="1"/>
      <c r="M277" s="1"/>
      <c r="N277" s="9"/>
      <c r="O277" s="10"/>
      <c r="P277" s="1"/>
      <c r="Q277" s="126"/>
      <c r="R277" s="1"/>
      <c r="S277" s="1"/>
      <c r="T277" s="1"/>
      <c r="U277" s="1"/>
    </row>
    <row r="278" spans="1:21" ht="15.75" customHeight="1">
      <c r="A278" s="1"/>
      <c r="B278" s="1"/>
      <c r="C278" s="1"/>
      <c r="D278" s="1"/>
      <c r="E278" s="1"/>
      <c r="F278" s="1"/>
      <c r="G278" s="18"/>
      <c r="H278" s="1"/>
      <c r="I278" s="1"/>
      <c r="J278" s="8"/>
      <c r="K278" s="8"/>
      <c r="L278" s="1"/>
      <c r="M278" s="1"/>
      <c r="N278" s="9"/>
      <c r="O278" s="10"/>
      <c r="P278" s="1"/>
      <c r="Q278" s="126"/>
      <c r="R278" s="1"/>
      <c r="S278" s="1"/>
      <c r="T278" s="1"/>
      <c r="U278" s="1"/>
    </row>
    <row r="279" spans="1:21" ht="15.75" customHeight="1">
      <c r="A279" s="1"/>
      <c r="B279" s="1"/>
      <c r="C279" s="1"/>
      <c r="D279" s="1"/>
      <c r="E279" s="1"/>
      <c r="F279" s="1"/>
      <c r="G279" s="18"/>
      <c r="H279" s="1"/>
      <c r="I279" s="1"/>
      <c r="J279" s="8"/>
      <c r="K279" s="8"/>
      <c r="L279" s="1"/>
      <c r="M279" s="1"/>
      <c r="N279" s="9"/>
      <c r="O279" s="10"/>
      <c r="P279" s="1"/>
      <c r="Q279" s="126"/>
      <c r="R279" s="1"/>
      <c r="S279" s="1"/>
      <c r="T279" s="1"/>
      <c r="U279" s="1"/>
    </row>
    <row r="280" spans="1:21" ht="15.75" customHeight="1">
      <c r="A280" s="1"/>
      <c r="B280" s="1"/>
      <c r="C280" s="1"/>
      <c r="D280" s="1"/>
      <c r="E280" s="1"/>
      <c r="F280" s="1"/>
      <c r="G280" s="18"/>
      <c r="H280" s="1"/>
      <c r="I280" s="1"/>
      <c r="J280" s="8"/>
      <c r="K280" s="8"/>
      <c r="L280" s="1"/>
      <c r="M280" s="1"/>
      <c r="N280" s="9"/>
      <c r="O280" s="10"/>
      <c r="P280" s="1"/>
      <c r="Q280" s="126"/>
      <c r="R280" s="1"/>
      <c r="S280" s="1"/>
      <c r="T280" s="1"/>
      <c r="U280" s="1"/>
    </row>
    <row r="281" spans="1:21" ht="15.75" customHeight="1">
      <c r="A281" s="1"/>
      <c r="B281" s="1"/>
      <c r="C281" s="1"/>
      <c r="D281" s="1"/>
      <c r="E281" s="1"/>
      <c r="F281" s="1"/>
      <c r="G281" s="18"/>
      <c r="H281" s="1"/>
      <c r="I281" s="1"/>
      <c r="J281" s="8"/>
      <c r="K281" s="8"/>
      <c r="L281" s="1"/>
      <c r="M281" s="1"/>
      <c r="N281" s="9"/>
      <c r="O281" s="10"/>
      <c r="P281" s="1"/>
      <c r="Q281" s="126"/>
      <c r="R281" s="1"/>
      <c r="S281" s="1"/>
      <c r="T281" s="1"/>
      <c r="U281" s="1"/>
    </row>
    <row r="282" spans="1:21" ht="15.75" customHeight="1">
      <c r="A282" s="1"/>
      <c r="B282" s="1"/>
      <c r="C282" s="1"/>
      <c r="D282" s="1"/>
      <c r="E282" s="1"/>
      <c r="F282" s="1"/>
      <c r="G282" s="18"/>
      <c r="H282" s="1"/>
      <c r="I282" s="1"/>
      <c r="J282" s="8"/>
      <c r="K282" s="8"/>
      <c r="L282" s="1"/>
      <c r="M282" s="1"/>
      <c r="N282" s="9"/>
      <c r="O282" s="10"/>
      <c r="P282" s="1"/>
      <c r="Q282" s="126"/>
      <c r="R282" s="1"/>
      <c r="S282" s="1"/>
      <c r="T282" s="1"/>
      <c r="U282" s="1"/>
    </row>
    <row r="283" spans="1:21" ht="15.75" customHeight="1">
      <c r="A283" s="1"/>
      <c r="B283" s="1"/>
      <c r="C283" s="1"/>
      <c r="D283" s="1"/>
      <c r="E283" s="1"/>
      <c r="F283" s="1"/>
      <c r="G283" s="18"/>
      <c r="H283" s="1"/>
      <c r="I283" s="1"/>
      <c r="J283" s="8"/>
      <c r="K283" s="8"/>
      <c r="L283" s="1"/>
      <c r="M283" s="1"/>
      <c r="N283" s="9"/>
      <c r="O283" s="10"/>
      <c r="P283" s="1"/>
      <c r="Q283" s="126"/>
      <c r="R283" s="1"/>
      <c r="S283" s="1"/>
      <c r="T283" s="1"/>
      <c r="U283" s="1"/>
    </row>
    <row r="284" spans="1:21" ht="15.75" customHeight="1">
      <c r="A284" s="1"/>
      <c r="B284" s="1"/>
      <c r="C284" s="1"/>
      <c r="D284" s="1"/>
      <c r="E284" s="1"/>
      <c r="F284" s="1"/>
      <c r="G284" s="18"/>
      <c r="H284" s="1"/>
      <c r="I284" s="1"/>
      <c r="J284" s="8"/>
      <c r="K284" s="8"/>
      <c r="L284" s="1"/>
      <c r="M284" s="1"/>
      <c r="N284" s="9"/>
      <c r="O284" s="10"/>
      <c r="P284" s="1"/>
      <c r="Q284" s="126"/>
      <c r="R284" s="1"/>
      <c r="S284" s="1"/>
      <c r="T284" s="1"/>
      <c r="U284" s="1"/>
    </row>
    <row r="285" spans="1:21" ht="15.75" customHeight="1">
      <c r="A285" s="1"/>
      <c r="B285" s="1"/>
      <c r="C285" s="1"/>
      <c r="D285" s="1"/>
      <c r="E285" s="1"/>
      <c r="F285" s="1"/>
      <c r="G285" s="18"/>
      <c r="H285" s="1"/>
      <c r="I285" s="1"/>
      <c r="J285" s="8"/>
      <c r="K285" s="8"/>
      <c r="L285" s="1"/>
      <c r="M285" s="1"/>
      <c r="N285" s="9"/>
      <c r="O285" s="10"/>
      <c r="P285" s="1"/>
      <c r="Q285" s="126"/>
      <c r="R285" s="1"/>
      <c r="S285" s="1"/>
      <c r="T285" s="1"/>
      <c r="U285" s="1"/>
    </row>
    <row r="286" spans="1:21" ht="15.75" customHeight="1">
      <c r="A286" s="1"/>
      <c r="B286" s="1"/>
      <c r="C286" s="1"/>
      <c r="D286" s="1"/>
      <c r="E286" s="1"/>
      <c r="F286" s="1"/>
      <c r="G286" s="18"/>
      <c r="H286" s="1"/>
      <c r="I286" s="1"/>
      <c r="J286" s="8"/>
      <c r="K286" s="8"/>
      <c r="L286" s="1"/>
      <c r="M286" s="1"/>
      <c r="N286" s="9"/>
      <c r="O286" s="10"/>
      <c r="P286" s="1"/>
      <c r="Q286" s="126"/>
      <c r="R286" s="1"/>
      <c r="S286" s="1"/>
      <c r="T286" s="1"/>
      <c r="U286" s="1"/>
    </row>
    <row r="287" spans="1:21" ht="15.75" customHeight="1">
      <c r="A287" s="1"/>
      <c r="B287" s="1"/>
      <c r="C287" s="1"/>
      <c r="D287" s="1"/>
      <c r="E287" s="1"/>
      <c r="F287" s="1"/>
      <c r="G287" s="18"/>
      <c r="H287" s="1"/>
      <c r="I287" s="1"/>
      <c r="J287" s="8"/>
      <c r="K287" s="8"/>
      <c r="L287" s="1"/>
      <c r="M287" s="1"/>
      <c r="N287" s="9"/>
      <c r="O287" s="10"/>
      <c r="P287" s="1"/>
      <c r="Q287" s="126"/>
      <c r="R287" s="1"/>
      <c r="S287" s="1"/>
      <c r="T287" s="1"/>
      <c r="U287" s="1"/>
    </row>
    <row r="288" spans="1:21" ht="15.75" customHeight="1">
      <c r="A288" s="1"/>
      <c r="B288" s="1"/>
      <c r="C288" s="1"/>
      <c r="D288" s="1"/>
      <c r="E288" s="1"/>
      <c r="F288" s="1"/>
      <c r="G288" s="18"/>
      <c r="H288" s="1"/>
      <c r="I288" s="1"/>
      <c r="J288" s="8"/>
      <c r="K288" s="8"/>
      <c r="L288" s="1"/>
      <c r="M288" s="1"/>
      <c r="N288" s="9"/>
      <c r="O288" s="10"/>
      <c r="P288" s="1"/>
      <c r="Q288" s="126"/>
      <c r="R288" s="1"/>
      <c r="S288" s="1"/>
      <c r="T288" s="1"/>
      <c r="U288" s="1"/>
    </row>
    <row r="289" spans="1:21" ht="15.75" customHeight="1">
      <c r="A289" s="1"/>
      <c r="B289" s="1"/>
      <c r="C289" s="1"/>
      <c r="D289" s="1"/>
      <c r="E289" s="1"/>
      <c r="F289" s="1"/>
      <c r="G289" s="18"/>
      <c r="H289" s="1"/>
      <c r="I289" s="1"/>
      <c r="J289" s="8"/>
      <c r="K289" s="8"/>
      <c r="L289" s="1"/>
      <c r="M289" s="1"/>
      <c r="N289" s="9"/>
      <c r="O289" s="10"/>
      <c r="P289" s="1"/>
      <c r="Q289" s="126"/>
      <c r="R289" s="1"/>
      <c r="S289" s="1"/>
      <c r="T289" s="1"/>
      <c r="U289" s="1"/>
    </row>
    <row r="290" spans="1:21" ht="15.75" customHeight="1">
      <c r="A290" s="1"/>
      <c r="B290" s="1"/>
      <c r="C290" s="1"/>
      <c r="D290" s="1"/>
      <c r="E290" s="1"/>
      <c r="F290" s="1"/>
      <c r="G290" s="18"/>
      <c r="H290" s="1"/>
      <c r="I290" s="1"/>
      <c r="J290" s="8"/>
      <c r="K290" s="8"/>
      <c r="L290" s="1"/>
      <c r="M290" s="1"/>
      <c r="N290" s="9"/>
      <c r="O290" s="10"/>
      <c r="P290" s="1"/>
      <c r="Q290" s="126"/>
      <c r="R290" s="1"/>
      <c r="S290" s="1"/>
      <c r="T290" s="1"/>
      <c r="U290" s="1"/>
    </row>
    <row r="291" spans="1:21" ht="15.75" customHeight="1">
      <c r="A291" s="1"/>
      <c r="B291" s="1"/>
      <c r="C291" s="1"/>
      <c r="D291" s="1"/>
      <c r="E291" s="1"/>
      <c r="F291" s="1"/>
      <c r="G291" s="18"/>
      <c r="H291" s="1"/>
      <c r="I291" s="1"/>
      <c r="J291" s="8"/>
      <c r="K291" s="8"/>
      <c r="L291" s="1"/>
      <c r="M291" s="1"/>
      <c r="N291" s="9"/>
      <c r="O291" s="10"/>
      <c r="P291" s="1"/>
      <c r="Q291" s="126"/>
      <c r="R291" s="1"/>
      <c r="S291" s="1"/>
      <c r="T291" s="1"/>
      <c r="U291" s="1"/>
    </row>
    <row r="292" spans="1:21" ht="15.75" customHeight="1">
      <c r="A292" s="1"/>
      <c r="B292" s="1"/>
      <c r="C292" s="1"/>
      <c r="D292" s="1"/>
      <c r="E292" s="1"/>
      <c r="F292" s="1"/>
      <c r="G292" s="18"/>
      <c r="H292" s="1"/>
      <c r="I292" s="1"/>
      <c r="J292" s="8"/>
      <c r="K292" s="8"/>
      <c r="L292" s="1"/>
      <c r="M292" s="1"/>
      <c r="N292" s="9"/>
      <c r="O292" s="10"/>
      <c r="P292" s="1"/>
      <c r="Q292" s="126"/>
      <c r="R292" s="1"/>
      <c r="S292" s="1"/>
      <c r="T292" s="1"/>
      <c r="U292" s="1"/>
    </row>
    <row r="293" spans="1:21" ht="15.75" customHeight="1">
      <c r="A293" s="1"/>
      <c r="B293" s="1"/>
      <c r="C293" s="1"/>
      <c r="D293" s="1"/>
      <c r="E293" s="1"/>
      <c r="F293" s="1"/>
      <c r="G293" s="18"/>
      <c r="H293" s="1"/>
      <c r="I293" s="1"/>
      <c r="J293" s="8"/>
      <c r="K293" s="8"/>
      <c r="L293" s="1"/>
      <c r="M293" s="1"/>
      <c r="N293" s="9"/>
      <c r="O293" s="10"/>
      <c r="P293" s="1"/>
      <c r="Q293" s="126"/>
      <c r="R293" s="1"/>
      <c r="S293" s="1"/>
      <c r="T293" s="1"/>
      <c r="U293" s="1"/>
    </row>
    <row r="294" spans="1:21" ht="15.75" customHeight="1">
      <c r="A294" s="1"/>
      <c r="B294" s="1"/>
      <c r="C294" s="1"/>
      <c r="D294" s="1"/>
      <c r="E294" s="1"/>
      <c r="F294" s="1"/>
      <c r="G294" s="18"/>
      <c r="H294" s="1"/>
      <c r="I294" s="1"/>
      <c r="J294" s="8"/>
      <c r="K294" s="8"/>
      <c r="L294" s="1"/>
      <c r="M294" s="1"/>
      <c r="N294" s="9"/>
      <c r="O294" s="10"/>
      <c r="P294" s="1"/>
      <c r="Q294" s="126"/>
      <c r="R294" s="1"/>
      <c r="S294" s="1"/>
      <c r="T294" s="1"/>
      <c r="U294" s="1"/>
    </row>
    <row r="295" spans="1:21" ht="15.75" customHeight="1">
      <c r="A295" s="1"/>
      <c r="B295" s="1"/>
      <c r="C295" s="1"/>
      <c r="D295" s="1"/>
      <c r="E295" s="1"/>
      <c r="F295" s="1"/>
      <c r="G295" s="18"/>
      <c r="H295" s="1"/>
      <c r="I295" s="1"/>
      <c r="J295" s="8"/>
      <c r="K295" s="8"/>
      <c r="L295" s="1"/>
      <c r="M295" s="1"/>
      <c r="N295" s="9"/>
      <c r="O295" s="10"/>
      <c r="P295" s="1"/>
      <c r="Q295" s="126"/>
      <c r="R295" s="1"/>
      <c r="S295" s="1"/>
      <c r="T295" s="1"/>
      <c r="U295" s="1"/>
    </row>
    <row r="296" spans="1:21" ht="15.75" customHeight="1">
      <c r="A296" s="1"/>
      <c r="B296" s="1"/>
      <c r="C296" s="1"/>
      <c r="D296" s="1"/>
      <c r="E296" s="1"/>
      <c r="F296" s="1"/>
      <c r="G296" s="18"/>
      <c r="H296" s="1"/>
      <c r="I296" s="1"/>
      <c r="J296" s="8"/>
      <c r="K296" s="8"/>
      <c r="L296" s="1"/>
      <c r="M296" s="1"/>
      <c r="N296" s="9"/>
      <c r="O296" s="10"/>
      <c r="P296" s="1"/>
      <c r="Q296" s="126"/>
      <c r="R296" s="1"/>
      <c r="S296" s="1"/>
      <c r="T296" s="1"/>
      <c r="U296" s="1"/>
    </row>
    <row r="297" spans="1:21" ht="15.75" customHeight="1">
      <c r="A297" s="1"/>
      <c r="B297" s="1"/>
      <c r="C297" s="1"/>
      <c r="D297" s="1"/>
      <c r="E297" s="1"/>
      <c r="F297" s="1"/>
      <c r="G297" s="18"/>
      <c r="H297" s="1"/>
      <c r="I297" s="1"/>
      <c r="J297" s="8"/>
      <c r="K297" s="8"/>
      <c r="L297" s="1"/>
      <c r="M297" s="1"/>
      <c r="N297" s="9"/>
      <c r="O297" s="10"/>
      <c r="P297" s="1"/>
      <c r="Q297" s="126"/>
      <c r="R297" s="1"/>
      <c r="S297" s="1"/>
      <c r="T297" s="1"/>
      <c r="U297" s="1"/>
    </row>
    <row r="298" spans="1:21" ht="15.75" customHeight="1">
      <c r="A298" s="1"/>
      <c r="B298" s="1"/>
      <c r="C298" s="1"/>
      <c r="D298" s="1"/>
      <c r="E298" s="1"/>
      <c r="F298" s="1"/>
      <c r="G298" s="18"/>
      <c r="H298" s="1"/>
      <c r="I298" s="1"/>
      <c r="J298" s="8"/>
      <c r="K298" s="8"/>
      <c r="L298" s="1"/>
      <c r="M298" s="1"/>
      <c r="N298" s="9"/>
      <c r="O298" s="10"/>
      <c r="P298" s="1"/>
      <c r="Q298" s="126"/>
      <c r="R298" s="1"/>
      <c r="S298" s="1"/>
      <c r="T298" s="1"/>
      <c r="U298" s="1"/>
    </row>
    <row r="299" spans="1:21" ht="15.75" customHeight="1">
      <c r="A299" s="1"/>
      <c r="B299" s="1"/>
      <c r="C299" s="1"/>
      <c r="D299" s="1"/>
      <c r="E299" s="1"/>
      <c r="F299" s="1"/>
      <c r="G299" s="18"/>
      <c r="H299" s="1"/>
      <c r="I299" s="1"/>
      <c r="J299" s="8"/>
      <c r="K299" s="8"/>
      <c r="L299" s="1"/>
      <c r="M299" s="1"/>
      <c r="N299" s="9"/>
      <c r="O299" s="10"/>
      <c r="P299" s="1"/>
      <c r="Q299" s="126"/>
      <c r="R299" s="1"/>
      <c r="S299" s="1"/>
      <c r="T299" s="1"/>
      <c r="U299" s="1"/>
    </row>
    <row r="300" spans="1:21" ht="15.75" customHeight="1">
      <c r="A300" s="1"/>
      <c r="B300" s="1"/>
      <c r="C300" s="1"/>
      <c r="D300" s="1"/>
      <c r="E300" s="1"/>
      <c r="F300" s="1"/>
      <c r="G300" s="18"/>
      <c r="H300" s="1"/>
      <c r="I300" s="1"/>
      <c r="J300" s="8"/>
      <c r="K300" s="8"/>
      <c r="L300" s="1"/>
      <c r="M300" s="1"/>
      <c r="N300" s="9"/>
      <c r="O300" s="10"/>
      <c r="P300" s="1"/>
      <c r="Q300" s="126"/>
      <c r="R300" s="1"/>
      <c r="S300" s="1"/>
      <c r="T300" s="1"/>
      <c r="U300" s="1"/>
    </row>
    <row r="301" spans="1:21" ht="15.75" customHeight="1">
      <c r="A301" s="1"/>
      <c r="B301" s="1"/>
      <c r="C301" s="1"/>
      <c r="D301" s="1"/>
      <c r="E301" s="1"/>
      <c r="F301" s="1"/>
      <c r="G301" s="18"/>
      <c r="H301" s="1"/>
      <c r="I301" s="1"/>
      <c r="J301" s="8"/>
      <c r="K301" s="8"/>
      <c r="L301" s="1"/>
      <c r="M301" s="1"/>
      <c r="N301" s="9"/>
      <c r="O301" s="10"/>
      <c r="P301" s="1"/>
      <c r="Q301" s="126"/>
      <c r="R301" s="1"/>
      <c r="S301" s="1"/>
      <c r="T301" s="1"/>
      <c r="U301" s="1"/>
    </row>
    <row r="302" spans="1:21" ht="15.75" customHeight="1">
      <c r="A302" s="1"/>
      <c r="B302" s="1"/>
      <c r="C302" s="1"/>
      <c r="D302" s="1"/>
      <c r="E302" s="1"/>
      <c r="F302" s="1"/>
      <c r="G302" s="18"/>
      <c r="H302" s="1"/>
      <c r="I302" s="1"/>
      <c r="J302" s="8"/>
      <c r="K302" s="8"/>
      <c r="L302" s="1"/>
      <c r="M302" s="1"/>
      <c r="N302" s="9"/>
      <c r="O302" s="10"/>
      <c r="P302" s="1"/>
      <c r="Q302" s="126"/>
      <c r="R302" s="1"/>
      <c r="S302" s="1"/>
      <c r="T302" s="1"/>
      <c r="U302" s="1"/>
    </row>
    <row r="303" spans="1:21" ht="15.75" customHeight="1">
      <c r="A303" s="1"/>
      <c r="B303" s="1"/>
      <c r="C303" s="1"/>
      <c r="D303" s="1"/>
      <c r="E303" s="1"/>
      <c r="F303" s="1"/>
      <c r="G303" s="18"/>
      <c r="H303" s="1"/>
      <c r="I303" s="1"/>
      <c r="J303" s="8"/>
      <c r="K303" s="8"/>
      <c r="L303" s="1"/>
      <c r="M303" s="1"/>
      <c r="N303" s="9"/>
      <c r="O303" s="10"/>
      <c r="P303" s="1"/>
      <c r="Q303" s="126"/>
      <c r="R303" s="1"/>
      <c r="S303" s="1"/>
      <c r="T303" s="1"/>
      <c r="U303" s="1"/>
    </row>
    <row r="304" spans="1:21" ht="15.75" customHeight="1">
      <c r="A304" s="1"/>
      <c r="B304" s="1"/>
      <c r="C304" s="1"/>
      <c r="D304" s="1"/>
      <c r="E304" s="1"/>
      <c r="F304" s="1"/>
      <c r="G304" s="18"/>
      <c r="H304" s="1"/>
      <c r="I304" s="1"/>
      <c r="J304" s="8"/>
      <c r="K304" s="8"/>
      <c r="L304" s="1"/>
      <c r="M304" s="1"/>
      <c r="N304" s="9"/>
      <c r="O304" s="10"/>
      <c r="P304" s="1"/>
      <c r="Q304" s="126"/>
      <c r="R304" s="1"/>
      <c r="S304" s="1"/>
      <c r="T304" s="1"/>
      <c r="U304" s="1"/>
    </row>
    <row r="305" spans="1:21" ht="15.75" customHeight="1">
      <c r="A305" s="1"/>
      <c r="B305" s="1"/>
      <c r="C305" s="1"/>
      <c r="D305" s="1"/>
      <c r="E305" s="1"/>
      <c r="F305" s="1"/>
      <c r="G305" s="18"/>
      <c r="H305" s="1"/>
      <c r="I305" s="1"/>
      <c r="J305" s="8"/>
      <c r="K305" s="8"/>
      <c r="L305" s="1"/>
      <c r="M305" s="1"/>
      <c r="N305" s="9"/>
      <c r="O305" s="10"/>
      <c r="P305" s="1"/>
      <c r="Q305" s="126"/>
      <c r="R305" s="1"/>
      <c r="S305" s="1"/>
      <c r="T305" s="1"/>
      <c r="U305" s="1"/>
    </row>
    <row r="306" spans="1:21" ht="15.75" customHeight="1">
      <c r="A306" s="1"/>
      <c r="B306" s="1"/>
      <c r="C306" s="1"/>
      <c r="D306" s="1"/>
      <c r="E306" s="1"/>
      <c r="F306" s="1"/>
      <c r="G306" s="18"/>
      <c r="H306" s="1"/>
      <c r="I306" s="1"/>
      <c r="J306" s="8"/>
      <c r="K306" s="8"/>
      <c r="L306" s="1"/>
      <c r="M306" s="1"/>
      <c r="N306" s="9"/>
      <c r="O306" s="10"/>
      <c r="P306" s="1"/>
      <c r="Q306" s="126"/>
      <c r="R306" s="1"/>
      <c r="S306" s="1"/>
      <c r="T306" s="1"/>
      <c r="U306" s="1"/>
    </row>
    <row r="307" spans="1:21" ht="15.75" customHeight="1">
      <c r="A307" s="1"/>
      <c r="B307" s="1"/>
      <c r="C307" s="1"/>
      <c r="D307" s="1"/>
      <c r="E307" s="1"/>
      <c r="F307" s="1"/>
      <c r="G307" s="18"/>
      <c r="H307" s="1"/>
      <c r="I307" s="1"/>
      <c r="J307" s="8"/>
      <c r="K307" s="8"/>
      <c r="L307" s="1"/>
      <c r="M307" s="1"/>
      <c r="N307" s="9"/>
      <c r="O307" s="10"/>
      <c r="P307" s="1"/>
      <c r="Q307" s="126"/>
      <c r="R307" s="1"/>
      <c r="S307" s="1"/>
      <c r="T307" s="1"/>
      <c r="U307" s="1"/>
    </row>
    <row r="308" spans="1:21" ht="15.75" customHeight="1">
      <c r="A308" s="1"/>
      <c r="B308" s="1"/>
      <c r="C308" s="1"/>
      <c r="D308" s="1"/>
      <c r="E308" s="1"/>
      <c r="F308" s="1"/>
      <c r="G308" s="18"/>
      <c r="H308" s="1"/>
      <c r="I308" s="1"/>
      <c r="J308" s="8"/>
      <c r="K308" s="8"/>
      <c r="L308" s="1"/>
      <c r="M308" s="1"/>
      <c r="N308" s="9"/>
      <c r="O308" s="10"/>
      <c r="P308" s="1"/>
      <c r="Q308" s="126"/>
      <c r="R308" s="1"/>
      <c r="S308" s="1"/>
      <c r="T308" s="1"/>
      <c r="U308" s="1"/>
    </row>
    <row r="309" spans="1:21" ht="15.75" customHeight="1">
      <c r="A309" s="1"/>
      <c r="B309" s="1"/>
      <c r="C309" s="1"/>
      <c r="D309" s="1"/>
      <c r="E309" s="1"/>
      <c r="F309" s="1"/>
      <c r="G309" s="18"/>
      <c r="H309" s="1"/>
      <c r="I309" s="1"/>
      <c r="J309" s="8"/>
      <c r="K309" s="8"/>
      <c r="L309" s="1"/>
      <c r="M309" s="1"/>
      <c r="N309" s="9"/>
      <c r="O309" s="10"/>
      <c r="P309" s="1"/>
      <c r="Q309" s="126"/>
      <c r="R309" s="1"/>
      <c r="S309" s="1"/>
      <c r="T309" s="1"/>
      <c r="U309" s="1"/>
    </row>
    <row r="310" spans="1:21" ht="15.75" customHeight="1">
      <c r="A310" s="1"/>
      <c r="B310" s="1"/>
      <c r="C310" s="1"/>
      <c r="D310" s="1"/>
      <c r="E310" s="1"/>
      <c r="F310" s="1"/>
      <c r="G310" s="18"/>
      <c r="H310" s="1"/>
      <c r="I310" s="1"/>
      <c r="J310" s="8"/>
      <c r="K310" s="8"/>
      <c r="L310" s="1"/>
      <c r="M310" s="1"/>
      <c r="N310" s="9"/>
      <c r="O310" s="10"/>
      <c r="P310" s="1"/>
      <c r="Q310" s="126"/>
      <c r="R310" s="1"/>
      <c r="S310" s="1"/>
      <c r="T310" s="1"/>
      <c r="U310" s="1"/>
    </row>
    <row r="311" spans="1:21" ht="15.75" customHeight="1">
      <c r="A311" s="1"/>
      <c r="B311" s="1"/>
      <c r="C311" s="1"/>
      <c r="D311" s="1"/>
      <c r="E311" s="1"/>
      <c r="F311" s="1"/>
      <c r="G311" s="18"/>
      <c r="H311" s="1"/>
      <c r="I311" s="1"/>
      <c r="J311" s="8"/>
      <c r="K311" s="8"/>
      <c r="L311" s="1"/>
      <c r="M311" s="1"/>
      <c r="N311" s="9"/>
      <c r="O311" s="10"/>
      <c r="P311" s="1"/>
      <c r="Q311" s="126"/>
      <c r="R311" s="1"/>
      <c r="S311" s="1"/>
      <c r="T311" s="1"/>
      <c r="U311" s="1"/>
    </row>
    <row r="312" spans="1:21" ht="15.75" customHeight="1">
      <c r="A312" s="1"/>
      <c r="B312" s="1"/>
      <c r="C312" s="1"/>
      <c r="D312" s="1"/>
      <c r="E312" s="1"/>
      <c r="F312" s="1"/>
      <c r="G312" s="18"/>
      <c r="H312" s="1"/>
      <c r="I312" s="1"/>
      <c r="J312" s="8"/>
      <c r="K312" s="8"/>
      <c r="L312" s="1"/>
      <c r="M312" s="1"/>
      <c r="N312" s="9"/>
      <c r="O312" s="10"/>
      <c r="P312" s="1"/>
      <c r="Q312" s="126"/>
      <c r="R312" s="1"/>
      <c r="S312" s="1"/>
      <c r="T312" s="1"/>
      <c r="U312" s="1"/>
    </row>
    <row r="313" spans="1:21" ht="15.75" customHeight="1">
      <c r="A313" s="1"/>
      <c r="B313" s="1"/>
      <c r="C313" s="1"/>
      <c r="D313" s="1"/>
      <c r="E313" s="1"/>
      <c r="F313" s="1"/>
      <c r="G313" s="18"/>
      <c r="H313" s="1"/>
      <c r="I313" s="1"/>
      <c r="J313" s="8"/>
      <c r="K313" s="8"/>
      <c r="L313" s="1"/>
      <c r="M313" s="1"/>
      <c r="N313" s="9"/>
      <c r="O313" s="10"/>
      <c r="P313" s="1"/>
      <c r="Q313" s="126"/>
      <c r="R313" s="1"/>
      <c r="S313" s="1"/>
      <c r="T313" s="1"/>
      <c r="U313" s="1"/>
    </row>
    <row r="314" spans="1:21" ht="15.75" customHeight="1">
      <c r="A314" s="1"/>
      <c r="B314" s="1"/>
      <c r="C314" s="1"/>
      <c r="D314" s="1"/>
      <c r="E314" s="1"/>
      <c r="F314" s="1"/>
      <c r="G314" s="18"/>
      <c r="H314" s="1"/>
      <c r="I314" s="1"/>
      <c r="J314" s="8"/>
      <c r="K314" s="8"/>
      <c r="L314" s="1"/>
      <c r="M314" s="1"/>
      <c r="N314" s="9"/>
      <c r="O314" s="10"/>
      <c r="P314" s="1"/>
      <c r="Q314" s="126"/>
      <c r="R314" s="1"/>
      <c r="S314" s="1"/>
      <c r="T314" s="1"/>
      <c r="U314" s="1"/>
    </row>
    <row r="315" spans="1:21" ht="15.75" customHeight="1">
      <c r="A315" s="1"/>
      <c r="B315" s="1"/>
      <c r="C315" s="1"/>
      <c r="D315" s="1"/>
      <c r="E315" s="1"/>
      <c r="F315" s="1"/>
      <c r="G315" s="18"/>
      <c r="H315" s="1"/>
      <c r="I315" s="1"/>
      <c r="J315" s="8"/>
      <c r="K315" s="8"/>
      <c r="L315" s="1"/>
      <c r="M315" s="1"/>
      <c r="N315" s="9"/>
      <c r="O315" s="10"/>
      <c r="P315" s="1"/>
      <c r="Q315" s="126"/>
      <c r="R315" s="1"/>
      <c r="S315" s="1"/>
      <c r="T315" s="1"/>
      <c r="U315" s="1"/>
    </row>
    <row r="316" spans="1:21" ht="15.75" customHeight="1">
      <c r="A316" s="1"/>
      <c r="B316" s="1"/>
      <c r="C316" s="1"/>
      <c r="D316" s="1"/>
      <c r="E316" s="1"/>
      <c r="F316" s="1"/>
      <c r="G316" s="18"/>
      <c r="H316" s="1"/>
      <c r="I316" s="1"/>
      <c r="J316" s="8"/>
      <c r="K316" s="8"/>
      <c r="L316" s="1"/>
      <c r="M316" s="1"/>
      <c r="N316" s="9"/>
      <c r="O316" s="10"/>
      <c r="P316" s="1"/>
      <c r="Q316" s="126"/>
      <c r="R316" s="1"/>
      <c r="S316" s="1"/>
      <c r="T316" s="1"/>
      <c r="U316" s="1"/>
    </row>
    <row r="317" spans="1:21" ht="15.75" customHeight="1">
      <c r="A317" s="1"/>
      <c r="B317" s="1"/>
      <c r="C317" s="1"/>
      <c r="D317" s="1"/>
      <c r="E317" s="1"/>
      <c r="F317" s="1"/>
      <c r="G317" s="18"/>
      <c r="H317" s="1"/>
      <c r="I317" s="1"/>
      <c r="J317" s="8"/>
      <c r="K317" s="8"/>
      <c r="L317" s="1"/>
      <c r="M317" s="1"/>
      <c r="N317" s="9"/>
      <c r="O317" s="10"/>
      <c r="P317" s="1"/>
      <c r="Q317" s="126"/>
      <c r="R317" s="1"/>
      <c r="S317" s="1"/>
      <c r="T317" s="1"/>
      <c r="U317" s="1"/>
    </row>
    <row r="318" spans="1:21" ht="15.75" customHeight="1">
      <c r="A318" s="1"/>
      <c r="B318" s="1"/>
      <c r="C318" s="1"/>
      <c r="D318" s="1"/>
      <c r="E318" s="1"/>
      <c r="F318" s="1"/>
      <c r="G318" s="18"/>
      <c r="H318" s="1"/>
      <c r="I318" s="1"/>
      <c r="J318" s="8"/>
      <c r="K318" s="8"/>
      <c r="L318" s="1"/>
      <c r="M318" s="1"/>
      <c r="N318" s="9"/>
      <c r="O318" s="10"/>
      <c r="P318" s="1"/>
      <c r="Q318" s="126"/>
      <c r="R318" s="1"/>
      <c r="S318" s="1"/>
      <c r="T318" s="1"/>
      <c r="U318" s="1"/>
    </row>
    <row r="319" spans="1:21" ht="15.75" customHeight="1">
      <c r="A319" s="1"/>
      <c r="B319" s="1"/>
      <c r="C319" s="1"/>
      <c r="D319" s="1"/>
      <c r="E319" s="1"/>
      <c r="F319" s="1"/>
      <c r="G319" s="18"/>
      <c r="H319" s="1"/>
      <c r="I319" s="1"/>
      <c r="J319" s="8"/>
      <c r="K319" s="8"/>
      <c r="L319" s="1"/>
      <c r="M319" s="1"/>
      <c r="N319" s="9"/>
      <c r="O319" s="10"/>
      <c r="P319" s="1"/>
      <c r="Q319" s="126"/>
      <c r="R319" s="1"/>
      <c r="S319" s="1"/>
      <c r="T319" s="1"/>
      <c r="U319" s="1"/>
    </row>
    <row r="320" spans="1:21" ht="15.75" customHeight="1">
      <c r="A320" s="1"/>
      <c r="B320" s="1"/>
      <c r="C320" s="1"/>
      <c r="D320" s="1"/>
      <c r="E320" s="1"/>
      <c r="F320" s="1"/>
      <c r="G320" s="18"/>
      <c r="H320" s="1"/>
      <c r="I320" s="1"/>
      <c r="J320" s="8"/>
      <c r="K320" s="8"/>
      <c r="L320" s="1"/>
      <c r="M320" s="1"/>
      <c r="N320" s="9"/>
      <c r="O320" s="10"/>
      <c r="P320" s="1"/>
      <c r="Q320" s="126"/>
      <c r="R320" s="1"/>
      <c r="S320" s="1"/>
      <c r="T320" s="1"/>
      <c r="U320" s="1"/>
    </row>
    <row r="321" spans="1:21" ht="15.75" customHeight="1">
      <c r="A321" s="1"/>
      <c r="B321" s="1"/>
      <c r="C321" s="1"/>
      <c r="D321" s="1"/>
      <c r="E321" s="1"/>
      <c r="F321" s="1"/>
      <c r="G321" s="18"/>
      <c r="H321" s="1"/>
      <c r="I321" s="1"/>
      <c r="J321" s="8"/>
      <c r="K321" s="8"/>
      <c r="L321" s="1"/>
      <c r="M321" s="1"/>
      <c r="N321" s="9"/>
      <c r="O321" s="10"/>
      <c r="P321" s="1"/>
      <c r="Q321" s="126"/>
      <c r="R321" s="1"/>
      <c r="S321" s="1"/>
      <c r="T321" s="1"/>
      <c r="U321" s="1"/>
    </row>
    <row r="322" spans="1:21" ht="15.75" customHeight="1">
      <c r="A322" s="1"/>
      <c r="B322" s="1"/>
      <c r="C322" s="1"/>
      <c r="D322" s="1"/>
      <c r="E322" s="1"/>
      <c r="F322" s="1"/>
      <c r="G322" s="18"/>
      <c r="H322" s="1"/>
      <c r="I322" s="1"/>
      <c r="J322" s="8"/>
      <c r="K322" s="8"/>
      <c r="L322" s="1"/>
      <c r="M322" s="1"/>
      <c r="N322" s="9"/>
      <c r="O322" s="10"/>
      <c r="P322" s="1"/>
      <c r="Q322" s="126"/>
      <c r="R322" s="1"/>
      <c r="S322" s="1"/>
      <c r="T322" s="1"/>
      <c r="U322" s="1"/>
    </row>
    <row r="323" spans="1:21" ht="15.75" customHeight="1">
      <c r="A323" s="1"/>
      <c r="B323" s="1"/>
      <c r="C323" s="1"/>
      <c r="D323" s="1"/>
      <c r="E323" s="1"/>
      <c r="F323" s="1"/>
      <c r="G323" s="18"/>
      <c r="H323" s="1"/>
      <c r="I323" s="1"/>
      <c r="J323" s="8"/>
      <c r="K323" s="8"/>
      <c r="L323" s="1"/>
      <c r="M323" s="1"/>
      <c r="N323" s="9"/>
      <c r="O323" s="10"/>
      <c r="P323" s="1"/>
      <c r="Q323" s="126"/>
      <c r="R323" s="1"/>
      <c r="S323" s="1"/>
      <c r="T323" s="1"/>
      <c r="U323" s="1"/>
    </row>
    <row r="324" spans="1:21" ht="15.75" customHeight="1">
      <c r="A324" s="1"/>
      <c r="B324" s="1"/>
      <c r="C324" s="1"/>
      <c r="D324" s="1"/>
      <c r="E324" s="1"/>
      <c r="F324" s="1"/>
      <c r="G324" s="18"/>
      <c r="H324" s="1"/>
      <c r="I324" s="1"/>
      <c r="J324" s="8"/>
      <c r="K324" s="8"/>
      <c r="L324" s="1"/>
      <c r="M324" s="1"/>
      <c r="N324" s="9"/>
      <c r="O324" s="10"/>
      <c r="P324" s="1"/>
      <c r="Q324" s="126"/>
      <c r="R324" s="1"/>
      <c r="S324" s="1"/>
      <c r="T324" s="1"/>
      <c r="U324" s="1"/>
    </row>
    <row r="325" spans="1:21" ht="15.75" customHeight="1">
      <c r="A325" s="1"/>
      <c r="B325" s="1"/>
      <c r="C325" s="1"/>
      <c r="D325" s="1"/>
      <c r="E325" s="1"/>
      <c r="F325" s="1"/>
      <c r="G325" s="18"/>
      <c r="H325" s="1"/>
      <c r="I325" s="1"/>
      <c r="J325" s="8"/>
      <c r="K325" s="8"/>
      <c r="L325" s="1"/>
      <c r="M325" s="1"/>
      <c r="N325" s="9"/>
      <c r="O325" s="10"/>
      <c r="P325" s="1"/>
      <c r="Q325" s="126"/>
      <c r="R325" s="1"/>
      <c r="S325" s="1"/>
      <c r="T325" s="1"/>
      <c r="U325" s="1"/>
    </row>
    <row r="326" spans="1:21" ht="15.75" customHeight="1">
      <c r="A326" s="1"/>
      <c r="B326" s="1"/>
      <c r="C326" s="1"/>
      <c r="D326" s="1"/>
      <c r="E326" s="1"/>
      <c r="F326" s="1"/>
      <c r="G326" s="18"/>
      <c r="H326" s="1"/>
      <c r="I326" s="1"/>
      <c r="J326" s="8"/>
      <c r="K326" s="8"/>
      <c r="L326" s="1"/>
      <c r="M326" s="1"/>
      <c r="N326" s="9"/>
      <c r="O326" s="10"/>
      <c r="P326" s="1"/>
      <c r="Q326" s="126"/>
      <c r="R326" s="1"/>
      <c r="S326" s="1"/>
      <c r="T326" s="1"/>
      <c r="U326" s="1"/>
    </row>
    <row r="327" spans="1:21" ht="15.75" customHeight="1">
      <c r="A327" s="1"/>
      <c r="B327" s="1"/>
      <c r="C327" s="1"/>
      <c r="D327" s="1"/>
      <c r="E327" s="1"/>
      <c r="F327" s="1"/>
      <c r="G327" s="18"/>
      <c r="H327" s="1"/>
      <c r="I327" s="1"/>
      <c r="J327" s="8"/>
      <c r="K327" s="8"/>
      <c r="L327" s="1"/>
      <c r="M327" s="1"/>
      <c r="N327" s="9"/>
      <c r="O327" s="10"/>
      <c r="P327" s="1"/>
      <c r="Q327" s="126"/>
      <c r="R327" s="1"/>
      <c r="S327" s="1"/>
      <c r="T327" s="1"/>
      <c r="U327" s="1"/>
    </row>
    <row r="328" spans="1:21" ht="15.75" customHeight="1">
      <c r="A328" s="1"/>
      <c r="B328" s="1"/>
      <c r="C328" s="1"/>
      <c r="D328" s="1"/>
      <c r="E328" s="1"/>
      <c r="F328" s="1"/>
      <c r="G328" s="18"/>
      <c r="H328" s="1"/>
      <c r="I328" s="1"/>
      <c r="J328" s="8"/>
      <c r="K328" s="8"/>
      <c r="L328" s="1"/>
      <c r="M328" s="1"/>
      <c r="N328" s="9"/>
      <c r="O328" s="10"/>
      <c r="P328" s="1"/>
      <c r="Q328" s="126"/>
      <c r="R328" s="1"/>
      <c r="S328" s="1"/>
      <c r="T328" s="1"/>
      <c r="U328" s="1"/>
    </row>
    <row r="329" spans="1:21" ht="15.75" customHeight="1">
      <c r="A329" s="1"/>
      <c r="B329" s="1"/>
      <c r="C329" s="1"/>
      <c r="D329" s="1"/>
      <c r="E329" s="1"/>
      <c r="F329" s="1"/>
      <c r="G329" s="18"/>
      <c r="H329" s="1"/>
      <c r="I329" s="1"/>
      <c r="J329" s="8"/>
      <c r="K329" s="8"/>
      <c r="L329" s="1"/>
      <c r="M329" s="1"/>
      <c r="N329" s="9"/>
      <c r="O329" s="10"/>
      <c r="P329" s="1"/>
      <c r="Q329" s="126"/>
      <c r="R329" s="1"/>
      <c r="S329" s="1"/>
      <c r="T329" s="1"/>
      <c r="U329" s="1"/>
    </row>
    <row r="330" spans="1:21" ht="15.75" customHeight="1">
      <c r="A330" s="1"/>
      <c r="B330" s="1"/>
      <c r="C330" s="1"/>
      <c r="D330" s="1"/>
      <c r="E330" s="1"/>
      <c r="F330" s="1"/>
      <c r="G330" s="18"/>
      <c r="H330" s="1"/>
      <c r="I330" s="1"/>
      <c r="J330" s="8"/>
      <c r="K330" s="8"/>
      <c r="L330" s="1"/>
      <c r="M330" s="1"/>
      <c r="N330" s="9"/>
      <c r="O330" s="10"/>
      <c r="P330" s="1"/>
      <c r="Q330" s="126"/>
      <c r="R330" s="1"/>
      <c r="S330" s="1"/>
      <c r="T330" s="1"/>
      <c r="U330" s="1"/>
    </row>
    <row r="331" spans="1:21" ht="15.75" customHeight="1">
      <c r="A331" s="1"/>
      <c r="B331" s="1"/>
      <c r="C331" s="1"/>
      <c r="D331" s="1"/>
      <c r="E331" s="1"/>
      <c r="F331" s="1"/>
      <c r="G331" s="18"/>
      <c r="H331" s="1"/>
      <c r="I331" s="1"/>
      <c r="J331" s="8"/>
      <c r="K331" s="8"/>
      <c r="L331" s="1"/>
      <c r="M331" s="1"/>
      <c r="N331" s="9"/>
      <c r="O331" s="10"/>
      <c r="P331" s="1"/>
      <c r="Q331" s="126"/>
      <c r="R331" s="1"/>
      <c r="S331" s="1"/>
      <c r="T331" s="1"/>
      <c r="U331" s="1"/>
    </row>
    <row r="332" spans="1:21" ht="15.75" customHeight="1">
      <c r="A332" s="1"/>
      <c r="B332" s="1"/>
      <c r="C332" s="1"/>
      <c r="D332" s="1"/>
      <c r="E332" s="1"/>
      <c r="F332" s="1"/>
      <c r="G332" s="18"/>
      <c r="H332" s="1"/>
      <c r="I332" s="1"/>
      <c r="J332" s="8"/>
      <c r="K332" s="8"/>
      <c r="L332" s="1"/>
      <c r="M332" s="1"/>
      <c r="N332" s="9"/>
      <c r="O332" s="10"/>
      <c r="P332" s="1"/>
      <c r="Q332" s="126"/>
      <c r="R332" s="1"/>
      <c r="S332" s="1"/>
      <c r="T332" s="1"/>
      <c r="U332" s="1"/>
    </row>
    <row r="333" spans="1:21" ht="15.75" customHeight="1">
      <c r="A333" s="1"/>
      <c r="B333" s="1"/>
      <c r="C333" s="1"/>
      <c r="D333" s="1"/>
      <c r="E333" s="1"/>
      <c r="F333" s="1"/>
      <c r="G333" s="18"/>
      <c r="H333" s="1"/>
      <c r="I333" s="1"/>
      <c r="J333" s="8"/>
      <c r="K333" s="8"/>
      <c r="L333" s="1"/>
      <c r="M333" s="1"/>
      <c r="N333" s="9"/>
      <c r="O333" s="10"/>
      <c r="P333" s="1"/>
      <c r="Q333" s="126"/>
      <c r="R333" s="1"/>
      <c r="S333" s="1"/>
      <c r="T333" s="1"/>
      <c r="U333" s="1"/>
    </row>
    <row r="334" spans="1:21" ht="15.75" customHeight="1">
      <c r="A334" s="1"/>
      <c r="B334" s="1"/>
      <c r="C334" s="1"/>
      <c r="D334" s="1"/>
      <c r="E334" s="1"/>
      <c r="F334" s="1"/>
      <c r="G334" s="18"/>
      <c r="H334" s="1"/>
      <c r="I334" s="1"/>
      <c r="J334" s="8"/>
      <c r="K334" s="8"/>
      <c r="L334" s="1"/>
      <c r="M334" s="1"/>
      <c r="N334" s="9"/>
      <c r="O334" s="10"/>
      <c r="P334" s="1"/>
      <c r="Q334" s="126"/>
      <c r="R334" s="1"/>
      <c r="S334" s="1"/>
      <c r="T334" s="1"/>
      <c r="U334" s="1"/>
    </row>
    <row r="335" spans="1:21" ht="15.75" customHeight="1">
      <c r="A335" s="1"/>
      <c r="B335" s="1"/>
      <c r="C335" s="1"/>
      <c r="D335" s="1"/>
      <c r="E335" s="1"/>
      <c r="F335" s="1"/>
      <c r="G335" s="18"/>
      <c r="H335" s="1"/>
      <c r="I335" s="1"/>
      <c r="J335" s="8"/>
      <c r="K335" s="8"/>
      <c r="L335" s="1"/>
      <c r="M335" s="1"/>
      <c r="N335" s="9"/>
      <c r="O335" s="10"/>
      <c r="P335" s="1"/>
      <c r="Q335" s="126"/>
      <c r="R335" s="1"/>
      <c r="S335" s="1"/>
      <c r="T335" s="1"/>
      <c r="U335" s="1"/>
    </row>
    <row r="336" spans="1:21" ht="15.75" customHeight="1">
      <c r="A336" s="1"/>
      <c r="B336" s="1"/>
      <c r="C336" s="1"/>
      <c r="D336" s="1"/>
      <c r="E336" s="1"/>
      <c r="F336" s="1"/>
      <c r="G336" s="18"/>
      <c r="H336" s="1"/>
      <c r="I336" s="1"/>
      <c r="J336" s="8"/>
      <c r="K336" s="8"/>
      <c r="L336" s="1"/>
      <c r="M336" s="1"/>
      <c r="N336" s="9"/>
      <c r="O336" s="10"/>
      <c r="P336" s="1"/>
      <c r="Q336" s="126"/>
      <c r="R336" s="1"/>
      <c r="S336" s="1"/>
      <c r="T336" s="1"/>
      <c r="U336" s="1"/>
    </row>
    <row r="337" spans="1:21" ht="15.75" customHeight="1">
      <c r="A337" s="1"/>
      <c r="B337" s="1"/>
      <c r="C337" s="1"/>
      <c r="D337" s="1"/>
      <c r="E337" s="1"/>
      <c r="F337" s="1"/>
      <c r="G337" s="18"/>
      <c r="H337" s="1"/>
      <c r="I337" s="1"/>
      <c r="J337" s="8"/>
      <c r="K337" s="8"/>
      <c r="L337" s="1"/>
      <c r="M337" s="1"/>
      <c r="N337" s="9"/>
      <c r="O337" s="10"/>
      <c r="P337" s="1"/>
      <c r="Q337" s="126"/>
      <c r="R337" s="1"/>
      <c r="S337" s="1"/>
      <c r="T337" s="1"/>
      <c r="U337" s="1"/>
    </row>
    <row r="338" spans="1:21" ht="15.75" customHeight="1">
      <c r="O338" s="92"/>
      <c r="Q338" s="147"/>
    </row>
    <row r="339" spans="1:21" ht="15.75" customHeight="1">
      <c r="O339" s="92"/>
      <c r="Q339" s="147"/>
    </row>
    <row r="340" spans="1:21" ht="15.75" customHeight="1">
      <c r="O340" s="92"/>
      <c r="Q340" s="147"/>
    </row>
    <row r="341" spans="1:21" ht="15.75" customHeight="1">
      <c r="O341" s="92"/>
      <c r="Q341" s="147"/>
    </row>
    <row r="342" spans="1:21" ht="15.75" customHeight="1">
      <c r="O342" s="92"/>
      <c r="Q342" s="147"/>
    </row>
    <row r="343" spans="1:21" ht="15.75" customHeight="1">
      <c r="O343" s="92"/>
      <c r="Q343" s="147"/>
    </row>
    <row r="344" spans="1:21" ht="15.75" customHeight="1">
      <c r="O344" s="92"/>
      <c r="Q344" s="147"/>
    </row>
    <row r="345" spans="1:21" ht="15.75" customHeight="1">
      <c r="O345" s="92"/>
      <c r="Q345" s="147"/>
    </row>
    <row r="346" spans="1:21" ht="15.75" customHeight="1">
      <c r="O346" s="92"/>
      <c r="Q346" s="147"/>
    </row>
    <row r="347" spans="1:21" ht="15.75" customHeight="1">
      <c r="O347" s="92"/>
      <c r="Q347" s="147"/>
    </row>
    <row r="348" spans="1:21" ht="15.75" customHeight="1">
      <c r="O348" s="92"/>
      <c r="Q348" s="147"/>
    </row>
    <row r="349" spans="1:21" ht="15.75" customHeight="1">
      <c r="O349" s="92"/>
      <c r="Q349" s="147"/>
    </row>
    <row r="350" spans="1:21" ht="15.75" customHeight="1">
      <c r="O350" s="92"/>
      <c r="Q350" s="147"/>
    </row>
    <row r="351" spans="1:21" ht="15.75" customHeight="1">
      <c r="O351" s="92"/>
      <c r="Q351" s="147"/>
    </row>
    <row r="352" spans="1:21" ht="15.75" customHeight="1">
      <c r="O352" s="92"/>
      <c r="Q352" s="147"/>
    </row>
    <row r="353" spans="15:17" ht="15.75" customHeight="1">
      <c r="O353" s="92"/>
      <c r="Q353" s="147"/>
    </row>
    <row r="354" spans="15:17" ht="15.75" customHeight="1">
      <c r="O354" s="92"/>
      <c r="Q354" s="147"/>
    </row>
    <row r="355" spans="15:17" ht="15.75" customHeight="1">
      <c r="O355" s="92"/>
      <c r="Q355" s="147"/>
    </row>
    <row r="356" spans="15:17" ht="15.75" customHeight="1">
      <c r="O356" s="92"/>
      <c r="Q356" s="147"/>
    </row>
    <row r="357" spans="15:17" ht="15.75" customHeight="1">
      <c r="O357" s="92"/>
      <c r="Q357" s="147"/>
    </row>
    <row r="358" spans="15:17" ht="15.75" customHeight="1">
      <c r="O358" s="92"/>
      <c r="Q358" s="147"/>
    </row>
    <row r="359" spans="15:17" ht="15.75" customHeight="1">
      <c r="O359" s="92"/>
      <c r="Q359" s="147"/>
    </row>
    <row r="360" spans="15:17" ht="15.75" customHeight="1">
      <c r="O360" s="92"/>
      <c r="Q360" s="147"/>
    </row>
    <row r="361" spans="15:17" ht="15.75" customHeight="1">
      <c r="O361" s="92"/>
      <c r="Q361" s="147"/>
    </row>
    <row r="362" spans="15:17" ht="15.75" customHeight="1">
      <c r="O362" s="92"/>
      <c r="Q362" s="147"/>
    </row>
    <row r="363" spans="15:17" ht="15.75" customHeight="1">
      <c r="O363" s="92"/>
      <c r="Q363" s="147"/>
    </row>
    <row r="364" spans="15:17" ht="15.75" customHeight="1">
      <c r="O364" s="92"/>
      <c r="Q364" s="147"/>
    </row>
    <row r="365" spans="15:17" ht="15.75" customHeight="1">
      <c r="O365" s="92"/>
      <c r="Q365" s="147"/>
    </row>
    <row r="366" spans="15:17" ht="15.75" customHeight="1">
      <c r="O366" s="92"/>
      <c r="Q366" s="147"/>
    </row>
    <row r="367" spans="15:17" ht="15.75" customHeight="1">
      <c r="O367" s="92"/>
      <c r="Q367" s="147"/>
    </row>
    <row r="368" spans="15:17" ht="15.75" customHeight="1">
      <c r="O368" s="92"/>
      <c r="Q368" s="147"/>
    </row>
    <row r="369" spans="15:17" ht="15.75" customHeight="1">
      <c r="O369" s="92"/>
      <c r="Q369" s="147"/>
    </row>
    <row r="370" spans="15:17" ht="15.75" customHeight="1">
      <c r="O370" s="92"/>
      <c r="Q370" s="147"/>
    </row>
    <row r="371" spans="15:17" ht="15.75" customHeight="1">
      <c r="O371" s="92"/>
      <c r="Q371" s="147"/>
    </row>
    <row r="372" spans="15:17" ht="15.75" customHeight="1">
      <c r="O372" s="92"/>
      <c r="Q372" s="147"/>
    </row>
    <row r="373" spans="15:17" ht="15.75" customHeight="1">
      <c r="O373" s="92"/>
      <c r="Q373" s="147"/>
    </row>
    <row r="374" spans="15:17" ht="15.75" customHeight="1">
      <c r="O374" s="92"/>
      <c r="Q374" s="147"/>
    </row>
    <row r="375" spans="15:17" ht="15.75" customHeight="1">
      <c r="O375" s="92"/>
      <c r="Q375" s="147"/>
    </row>
    <row r="376" spans="15:17" ht="15.75" customHeight="1">
      <c r="O376" s="92"/>
      <c r="Q376" s="147"/>
    </row>
    <row r="377" spans="15:17" ht="15.75" customHeight="1">
      <c r="O377" s="92"/>
      <c r="Q377" s="147"/>
    </row>
    <row r="378" spans="15:17" ht="15.75" customHeight="1">
      <c r="O378" s="92"/>
      <c r="Q378" s="147"/>
    </row>
    <row r="379" spans="15:17" ht="15.75" customHeight="1">
      <c r="O379" s="92"/>
      <c r="Q379" s="147"/>
    </row>
    <row r="380" spans="15:17" ht="15.75" customHeight="1">
      <c r="O380" s="92"/>
      <c r="Q380" s="147"/>
    </row>
    <row r="381" spans="15:17" ht="15.75" customHeight="1">
      <c r="O381" s="92"/>
      <c r="Q381" s="147"/>
    </row>
    <row r="382" spans="15:17" ht="15.75" customHeight="1">
      <c r="O382" s="92"/>
      <c r="Q382" s="147"/>
    </row>
    <row r="383" spans="15:17" ht="15.75" customHeight="1">
      <c r="O383" s="92"/>
      <c r="Q383" s="147"/>
    </row>
    <row r="384" spans="15:17" ht="15.75" customHeight="1">
      <c r="O384" s="92"/>
      <c r="Q384" s="147"/>
    </row>
    <row r="385" spans="15:17" ht="15.75" customHeight="1">
      <c r="O385" s="92"/>
      <c r="Q385" s="147"/>
    </row>
    <row r="386" spans="15:17" ht="15.75" customHeight="1">
      <c r="O386" s="92"/>
      <c r="Q386" s="147"/>
    </row>
    <row r="387" spans="15:17" ht="15.75" customHeight="1">
      <c r="O387" s="92"/>
      <c r="Q387" s="147"/>
    </row>
    <row r="388" spans="15:17" ht="15.75" customHeight="1">
      <c r="O388" s="92"/>
      <c r="Q388" s="147"/>
    </row>
    <row r="389" spans="15:17" ht="15.75" customHeight="1">
      <c r="O389" s="92"/>
      <c r="Q389" s="147"/>
    </row>
    <row r="390" spans="15:17" ht="15.75" customHeight="1">
      <c r="O390" s="92"/>
      <c r="Q390" s="147"/>
    </row>
    <row r="391" spans="15:17" ht="15.75" customHeight="1">
      <c r="O391" s="92"/>
      <c r="Q391" s="147"/>
    </row>
    <row r="392" spans="15:17" ht="15.75" customHeight="1">
      <c r="O392" s="92"/>
      <c r="Q392" s="147"/>
    </row>
    <row r="393" spans="15:17" ht="15.75" customHeight="1">
      <c r="O393" s="92"/>
      <c r="Q393" s="147"/>
    </row>
    <row r="394" spans="15:17" ht="15.75" customHeight="1">
      <c r="O394" s="92"/>
      <c r="Q394" s="147"/>
    </row>
    <row r="395" spans="15:17" ht="15.75" customHeight="1">
      <c r="O395" s="92"/>
      <c r="Q395" s="147"/>
    </row>
    <row r="396" spans="15:17" ht="15.75" customHeight="1">
      <c r="O396" s="92"/>
      <c r="Q396" s="147"/>
    </row>
    <row r="397" spans="15:17" ht="15.75" customHeight="1">
      <c r="O397" s="92"/>
      <c r="Q397" s="147"/>
    </row>
    <row r="398" spans="15:17" ht="15.75" customHeight="1">
      <c r="O398" s="92"/>
      <c r="Q398" s="147"/>
    </row>
    <row r="399" spans="15:17" ht="15.75" customHeight="1">
      <c r="O399" s="92"/>
      <c r="Q399" s="147"/>
    </row>
    <row r="400" spans="15:17" ht="15.75" customHeight="1">
      <c r="O400" s="92"/>
      <c r="Q400" s="147"/>
    </row>
    <row r="401" spans="15:17" ht="15.75" customHeight="1">
      <c r="O401" s="92"/>
      <c r="Q401" s="147"/>
    </row>
    <row r="402" spans="15:17" ht="15.75" customHeight="1">
      <c r="O402" s="92"/>
      <c r="Q402" s="147"/>
    </row>
    <row r="403" spans="15:17" ht="15.75" customHeight="1">
      <c r="O403" s="92"/>
      <c r="Q403" s="147"/>
    </row>
    <row r="404" spans="15:17" ht="15.75" customHeight="1">
      <c r="O404" s="92"/>
      <c r="Q404" s="147"/>
    </row>
    <row r="405" spans="15:17" ht="15.75" customHeight="1">
      <c r="O405" s="92"/>
      <c r="Q405" s="147"/>
    </row>
    <row r="406" spans="15:17" ht="15.75" customHeight="1">
      <c r="O406" s="92"/>
      <c r="Q406" s="147"/>
    </row>
    <row r="407" spans="15:17" ht="15.75" customHeight="1">
      <c r="O407" s="92"/>
      <c r="Q407" s="147"/>
    </row>
    <row r="408" spans="15:17" ht="15.75" customHeight="1">
      <c r="O408" s="92"/>
      <c r="Q408" s="147"/>
    </row>
    <row r="409" spans="15:17" ht="15.75" customHeight="1">
      <c r="O409" s="92"/>
      <c r="Q409" s="147"/>
    </row>
    <row r="410" spans="15:17" ht="15.75" customHeight="1">
      <c r="O410" s="92"/>
      <c r="Q410" s="147"/>
    </row>
    <row r="411" spans="15:17" ht="15.75" customHeight="1">
      <c r="O411" s="92"/>
      <c r="Q411" s="147"/>
    </row>
    <row r="412" spans="15:17" ht="15.75" customHeight="1">
      <c r="O412" s="92"/>
      <c r="Q412" s="147"/>
    </row>
    <row r="413" spans="15:17" ht="15.75" customHeight="1">
      <c r="O413" s="92"/>
      <c r="Q413" s="147"/>
    </row>
    <row r="414" spans="15:17" ht="15.75" customHeight="1">
      <c r="O414" s="92"/>
      <c r="Q414" s="147"/>
    </row>
    <row r="415" spans="15:17" ht="15.75" customHeight="1">
      <c r="O415" s="92"/>
      <c r="Q415" s="147"/>
    </row>
    <row r="416" spans="15:17" ht="15.75" customHeight="1">
      <c r="O416" s="92"/>
      <c r="Q416" s="147"/>
    </row>
    <row r="417" spans="15:17" ht="15.75" customHeight="1">
      <c r="O417" s="92"/>
      <c r="Q417" s="147"/>
    </row>
    <row r="418" spans="15:17" ht="15.75" customHeight="1">
      <c r="O418" s="92"/>
      <c r="Q418" s="147"/>
    </row>
    <row r="419" spans="15:17" ht="15.75" customHeight="1">
      <c r="O419" s="92"/>
      <c r="Q419" s="147"/>
    </row>
    <row r="420" spans="15:17" ht="15.75" customHeight="1">
      <c r="O420" s="92"/>
      <c r="Q420" s="147"/>
    </row>
    <row r="421" spans="15:17" ht="15.75" customHeight="1">
      <c r="O421" s="92"/>
      <c r="Q421" s="147"/>
    </row>
    <row r="422" spans="15:17" ht="15.75" customHeight="1">
      <c r="O422" s="92"/>
      <c r="Q422" s="147"/>
    </row>
    <row r="423" spans="15:17" ht="15.75" customHeight="1">
      <c r="O423" s="92"/>
      <c r="Q423" s="147"/>
    </row>
    <row r="424" spans="15:17" ht="15.75" customHeight="1">
      <c r="O424" s="92"/>
      <c r="Q424" s="147"/>
    </row>
    <row r="425" spans="15:17" ht="15.75" customHeight="1">
      <c r="O425" s="92"/>
      <c r="Q425" s="147"/>
    </row>
    <row r="426" spans="15:17" ht="15.75" customHeight="1">
      <c r="O426" s="92"/>
      <c r="Q426" s="147"/>
    </row>
    <row r="427" spans="15:17" ht="15.75" customHeight="1">
      <c r="O427" s="92"/>
      <c r="Q427" s="147"/>
    </row>
    <row r="428" spans="15:17" ht="15.75" customHeight="1">
      <c r="O428" s="92"/>
      <c r="Q428" s="147"/>
    </row>
    <row r="429" spans="15:17" ht="15.75" customHeight="1">
      <c r="O429" s="92"/>
      <c r="Q429" s="147"/>
    </row>
    <row r="430" spans="15:17" ht="15.75" customHeight="1">
      <c r="O430" s="92"/>
      <c r="Q430" s="147"/>
    </row>
    <row r="431" spans="15:17" ht="15.75" customHeight="1">
      <c r="O431" s="92"/>
      <c r="Q431" s="147"/>
    </row>
    <row r="432" spans="15:17" ht="15.75" customHeight="1">
      <c r="O432" s="92"/>
      <c r="Q432" s="147"/>
    </row>
    <row r="433" spans="15:17" ht="15.75" customHeight="1">
      <c r="O433" s="92"/>
      <c r="Q433" s="147"/>
    </row>
    <row r="434" spans="15:17" ht="15.75" customHeight="1">
      <c r="O434" s="92"/>
      <c r="Q434" s="147"/>
    </row>
    <row r="435" spans="15:17" ht="15.75" customHeight="1">
      <c r="O435" s="92"/>
      <c r="Q435" s="147"/>
    </row>
    <row r="436" spans="15:17" ht="15.75" customHeight="1">
      <c r="O436" s="92"/>
      <c r="Q436" s="147"/>
    </row>
    <row r="437" spans="15:17" ht="15.75" customHeight="1">
      <c r="O437" s="92"/>
      <c r="Q437" s="147"/>
    </row>
    <row r="438" spans="15:17" ht="15.75" customHeight="1">
      <c r="O438" s="92"/>
      <c r="Q438" s="147"/>
    </row>
    <row r="439" spans="15:17" ht="15.75" customHeight="1">
      <c r="O439" s="92"/>
      <c r="Q439" s="147"/>
    </row>
    <row r="440" spans="15:17" ht="15.75" customHeight="1">
      <c r="O440" s="92"/>
      <c r="Q440" s="147"/>
    </row>
    <row r="441" spans="15:17" ht="15.75" customHeight="1">
      <c r="O441" s="92"/>
      <c r="Q441" s="147"/>
    </row>
    <row r="442" spans="15:17" ht="15.75" customHeight="1">
      <c r="O442" s="92"/>
      <c r="Q442" s="147"/>
    </row>
    <row r="443" spans="15:17" ht="15.75" customHeight="1">
      <c r="O443" s="92"/>
      <c r="Q443" s="147"/>
    </row>
    <row r="444" spans="15:17" ht="15.75" customHeight="1">
      <c r="O444" s="92"/>
      <c r="Q444" s="147"/>
    </row>
    <row r="445" spans="15:17" ht="15.75" customHeight="1">
      <c r="O445" s="92"/>
      <c r="Q445" s="147"/>
    </row>
    <row r="446" spans="15:17" ht="15.75" customHeight="1">
      <c r="O446" s="92"/>
      <c r="Q446" s="147"/>
    </row>
    <row r="447" spans="15:17" ht="15.75" customHeight="1">
      <c r="O447" s="92"/>
      <c r="Q447" s="147"/>
    </row>
    <row r="448" spans="15:17" ht="15.75" customHeight="1">
      <c r="O448" s="92"/>
      <c r="Q448" s="147"/>
    </row>
    <row r="449" spans="15:17" ht="15.75" customHeight="1">
      <c r="O449" s="92"/>
      <c r="Q449" s="147"/>
    </row>
    <row r="450" spans="15:17" ht="15.75" customHeight="1">
      <c r="O450" s="92"/>
      <c r="Q450" s="147"/>
    </row>
    <row r="451" spans="15:17" ht="15.75" customHeight="1">
      <c r="O451" s="92"/>
      <c r="Q451" s="147"/>
    </row>
    <row r="452" spans="15:17" ht="15.75" customHeight="1">
      <c r="O452" s="92"/>
      <c r="Q452" s="147"/>
    </row>
    <row r="453" spans="15:17" ht="15.75" customHeight="1">
      <c r="O453" s="92"/>
      <c r="Q453" s="147"/>
    </row>
    <row r="454" spans="15:17" ht="15.75" customHeight="1">
      <c r="O454" s="92"/>
      <c r="Q454" s="147"/>
    </row>
    <row r="455" spans="15:17" ht="15.75" customHeight="1">
      <c r="O455" s="92"/>
      <c r="Q455" s="147"/>
    </row>
    <row r="456" spans="15:17" ht="15.75" customHeight="1">
      <c r="O456" s="92"/>
      <c r="Q456" s="147"/>
    </row>
    <row r="457" spans="15:17" ht="15.75" customHeight="1">
      <c r="O457" s="92"/>
      <c r="Q457" s="147"/>
    </row>
    <row r="458" spans="15:17" ht="15.75" customHeight="1">
      <c r="O458" s="92"/>
      <c r="Q458" s="147"/>
    </row>
    <row r="459" spans="15:17" ht="15.75" customHeight="1">
      <c r="O459" s="92"/>
      <c r="Q459" s="147"/>
    </row>
    <row r="460" spans="15:17" ht="15.75" customHeight="1">
      <c r="O460" s="92"/>
      <c r="Q460" s="147"/>
    </row>
    <row r="461" spans="15:17" ht="15.75" customHeight="1">
      <c r="O461" s="92"/>
      <c r="Q461" s="147"/>
    </row>
    <row r="462" spans="15:17" ht="15.75" customHeight="1">
      <c r="O462" s="92"/>
      <c r="Q462" s="147"/>
    </row>
    <row r="463" spans="15:17" ht="15.75" customHeight="1">
      <c r="O463" s="92"/>
      <c r="Q463" s="147"/>
    </row>
    <row r="464" spans="15:17" ht="15.75" customHeight="1">
      <c r="O464" s="92"/>
      <c r="Q464" s="147"/>
    </row>
    <row r="465" spans="15:17" ht="15.75" customHeight="1">
      <c r="O465" s="92"/>
      <c r="Q465" s="147"/>
    </row>
    <row r="466" spans="15:17" ht="15.75" customHeight="1">
      <c r="O466" s="92"/>
      <c r="Q466" s="147"/>
    </row>
    <row r="467" spans="15:17" ht="15.75" customHeight="1">
      <c r="O467" s="92"/>
      <c r="Q467" s="147"/>
    </row>
    <row r="468" spans="15:17" ht="15.75" customHeight="1">
      <c r="O468" s="92"/>
      <c r="Q468" s="147"/>
    </row>
    <row r="469" spans="15:17" ht="15.75" customHeight="1">
      <c r="O469" s="92"/>
      <c r="Q469" s="147"/>
    </row>
    <row r="470" spans="15:17" ht="15.75" customHeight="1">
      <c r="O470" s="92"/>
      <c r="Q470" s="147"/>
    </row>
    <row r="471" spans="15:17" ht="15.75" customHeight="1">
      <c r="O471" s="92"/>
      <c r="Q471" s="147"/>
    </row>
    <row r="472" spans="15:17" ht="15.75" customHeight="1">
      <c r="O472" s="92"/>
      <c r="Q472" s="147"/>
    </row>
    <row r="473" spans="15:17" ht="15.75" customHeight="1">
      <c r="O473" s="92"/>
      <c r="Q473" s="147"/>
    </row>
    <row r="474" spans="15:17" ht="15.75" customHeight="1">
      <c r="O474" s="92"/>
      <c r="Q474" s="147"/>
    </row>
    <row r="475" spans="15:17" ht="15.75" customHeight="1">
      <c r="O475" s="92"/>
      <c r="Q475" s="147"/>
    </row>
    <row r="476" spans="15:17" ht="15.75" customHeight="1">
      <c r="O476" s="92"/>
      <c r="Q476" s="147"/>
    </row>
    <row r="477" spans="15:17" ht="15.75" customHeight="1">
      <c r="O477" s="92"/>
      <c r="Q477" s="147"/>
    </row>
    <row r="478" spans="15:17" ht="15.75" customHeight="1">
      <c r="O478" s="92"/>
      <c r="Q478" s="147"/>
    </row>
    <row r="479" spans="15:17" ht="15.75" customHeight="1">
      <c r="O479" s="92"/>
      <c r="Q479" s="147"/>
    </row>
    <row r="480" spans="15:17" ht="15.75" customHeight="1">
      <c r="O480" s="92"/>
      <c r="Q480" s="147"/>
    </row>
    <row r="481" spans="15:17" ht="15.75" customHeight="1">
      <c r="O481" s="92"/>
      <c r="Q481" s="147"/>
    </row>
    <row r="482" spans="15:17" ht="15.75" customHeight="1">
      <c r="O482" s="92"/>
      <c r="Q482" s="147"/>
    </row>
    <row r="483" spans="15:17" ht="15.75" customHeight="1">
      <c r="O483" s="92"/>
      <c r="Q483" s="147"/>
    </row>
    <row r="484" spans="15:17" ht="15.75" customHeight="1">
      <c r="O484" s="92"/>
      <c r="Q484" s="147"/>
    </row>
    <row r="485" spans="15:17" ht="15.75" customHeight="1">
      <c r="O485" s="92"/>
      <c r="Q485" s="147"/>
    </row>
    <row r="486" spans="15:17" ht="15.75" customHeight="1">
      <c r="O486" s="92"/>
      <c r="Q486" s="147"/>
    </row>
    <row r="487" spans="15:17" ht="15.75" customHeight="1">
      <c r="O487" s="92"/>
      <c r="Q487" s="147"/>
    </row>
    <row r="488" spans="15:17" ht="15.75" customHeight="1">
      <c r="O488" s="92"/>
      <c r="Q488" s="147"/>
    </row>
    <row r="489" spans="15:17" ht="15.75" customHeight="1">
      <c r="O489" s="92"/>
      <c r="Q489" s="147"/>
    </row>
    <row r="490" spans="15:17" ht="15.75" customHeight="1">
      <c r="O490" s="92"/>
      <c r="Q490" s="147"/>
    </row>
    <row r="491" spans="15:17" ht="15.75" customHeight="1">
      <c r="O491" s="92"/>
      <c r="Q491" s="147"/>
    </row>
    <row r="492" spans="15:17" ht="15.75" customHeight="1">
      <c r="O492" s="92"/>
      <c r="Q492" s="147"/>
    </row>
    <row r="493" spans="15:17" ht="15.75" customHeight="1">
      <c r="O493" s="92"/>
      <c r="Q493" s="147"/>
    </row>
    <row r="494" spans="15:17" ht="15.75" customHeight="1">
      <c r="O494" s="92"/>
      <c r="Q494" s="147"/>
    </row>
    <row r="495" spans="15:17" ht="15.75" customHeight="1">
      <c r="O495" s="92"/>
      <c r="Q495" s="147"/>
    </row>
    <row r="496" spans="15:17" ht="15.75" customHeight="1">
      <c r="O496" s="92"/>
      <c r="Q496" s="147"/>
    </row>
    <row r="497" spans="15:17" ht="15.75" customHeight="1">
      <c r="O497" s="92"/>
      <c r="Q497" s="147"/>
    </row>
    <row r="498" spans="15:17" ht="15.75" customHeight="1">
      <c r="O498" s="92"/>
      <c r="Q498" s="147"/>
    </row>
    <row r="499" spans="15:17" ht="15.75" customHeight="1">
      <c r="O499" s="92"/>
      <c r="Q499" s="147"/>
    </row>
    <row r="500" spans="15:17" ht="15.75" customHeight="1">
      <c r="O500" s="92"/>
      <c r="Q500" s="147"/>
    </row>
    <row r="501" spans="15:17" ht="15.75" customHeight="1">
      <c r="O501" s="92"/>
      <c r="Q501" s="147"/>
    </row>
    <row r="502" spans="15:17" ht="15.75" customHeight="1">
      <c r="O502" s="92"/>
      <c r="Q502" s="147"/>
    </row>
    <row r="503" spans="15:17" ht="15.75" customHeight="1">
      <c r="O503" s="92"/>
      <c r="Q503" s="147"/>
    </row>
    <row r="504" spans="15:17" ht="15.75" customHeight="1">
      <c r="O504" s="92"/>
      <c r="Q504" s="147"/>
    </row>
    <row r="505" spans="15:17" ht="15.75" customHeight="1">
      <c r="O505" s="92"/>
      <c r="Q505" s="147"/>
    </row>
    <row r="506" spans="15:17" ht="15.75" customHeight="1">
      <c r="O506" s="92"/>
      <c r="Q506" s="147"/>
    </row>
    <row r="507" spans="15:17" ht="15.75" customHeight="1">
      <c r="O507" s="92"/>
      <c r="Q507" s="147"/>
    </row>
    <row r="508" spans="15:17" ht="15.75" customHeight="1">
      <c r="O508" s="92"/>
      <c r="Q508" s="147"/>
    </row>
    <row r="509" spans="15:17" ht="15.75" customHeight="1">
      <c r="O509" s="92"/>
      <c r="Q509" s="147"/>
    </row>
    <row r="510" spans="15:17" ht="15.75" customHeight="1">
      <c r="O510" s="92"/>
      <c r="Q510" s="147"/>
    </row>
    <row r="511" spans="15:17" ht="15.75" customHeight="1">
      <c r="O511" s="92"/>
      <c r="Q511" s="147"/>
    </row>
    <row r="512" spans="15:17" ht="15.75" customHeight="1">
      <c r="O512" s="92"/>
      <c r="Q512" s="147"/>
    </row>
    <row r="513" spans="15:17" ht="15.75" customHeight="1">
      <c r="O513" s="92"/>
      <c r="Q513" s="147"/>
    </row>
    <row r="514" spans="15:17" ht="15.75" customHeight="1">
      <c r="O514" s="92"/>
      <c r="Q514" s="147"/>
    </row>
    <row r="515" spans="15:17" ht="15.75" customHeight="1">
      <c r="O515" s="92"/>
      <c r="Q515" s="147"/>
    </row>
    <row r="516" spans="15:17" ht="15.75" customHeight="1">
      <c r="O516" s="92"/>
      <c r="Q516" s="147"/>
    </row>
    <row r="517" spans="15:17" ht="15.75" customHeight="1">
      <c r="O517" s="92"/>
      <c r="Q517" s="147"/>
    </row>
    <row r="518" spans="15:17" ht="15.75" customHeight="1">
      <c r="O518" s="92"/>
      <c r="Q518" s="147"/>
    </row>
    <row r="519" spans="15:17" ht="15.75" customHeight="1">
      <c r="O519" s="92"/>
      <c r="Q519" s="147"/>
    </row>
    <row r="520" spans="15:17" ht="15.75" customHeight="1">
      <c r="O520" s="92"/>
      <c r="Q520" s="147"/>
    </row>
    <row r="521" spans="15:17" ht="15.75" customHeight="1">
      <c r="O521" s="92"/>
      <c r="Q521" s="147"/>
    </row>
    <row r="522" spans="15:17" ht="15.75" customHeight="1">
      <c r="O522" s="92"/>
      <c r="Q522" s="147"/>
    </row>
    <row r="523" spans="15:17" ht="15.75" customHeight="1">
      <c r="O523" s="92"/>
      <c r="Q523" s="147"/>
    </row>
    <row r="524" spans="15:17" ht="15.75" customHeight="1">
      <c r="O524" s="92"/>
      <c r="Q524" s="147"/>
    </row>
    <row r="525" spans="15:17" ht="15.75" customHeight="1">
      <c r="O525" s="92"/>
      <c r="Q525" s="147"/>
    </row>
    <row r="526" spans="15:17" ht="15.75" customHeight="1">
      <c r="O526" s="92"/>
      <c r="Q526" s="147"/>
    </row>
    <row r="527" spans="15:17" ht="15.75" customHeight="1">
      <c r="O527" s="92"/>
      <c r="Q527" s="147"/>
    </row>
    <row r="528" spans="15:17" ht="15.75" customHeight="1">
      <c r="O528" s="92"/>
      <c r="Q528" s="147"/>
    </row>
    <row r="529" spans="15:17" ht="15.75" customHeight="1">
      <c r="O529" s="92"/>
      <c r="Q529" s="147"/>
    </row>
    <row r="530" spans="15:17" ht="15.75" customHeight="1">
      <c r="O530" s="92"/>
      <c r="Q530" s="147"/>
    </row>
    <row r="531" spans="15:17" ht="15.75" customHeight="1">
      <c r="O531" s="92"/>
      <c r="Q531" s="147"/>
    </row>
    <row r="532" spans="15:17" ht="15.75" customHeight="1">
      <c r="O532" s="92"/>
      <c r="Q532" s="147"/>
    </row>
    <row r="533" spans="15:17" ht="15.75" customHeight="1">
      <c r="O533" s="92"/>
      <c r="Q533" s="147"/>
    </row>
    <row r="534" spans="15:17" ht="15.75" customHeight="1">
      <c r="O534" s="92"/>
      <c r="Q534" s="147"/>
    </row>
    <row r="535" spans="15:17" ht="15.75" customHeight="1">
      <c r="O535" s="92"/>
      <c r="Q535" s="147"/>
    </row>
    <row r="536" spans="15:17" ht="15.75" customHeight="1">
      <c r="O536" s="92"/>
      <c r="Q536" s="147"/>
    </row>
    <row r="537" spans="15:17" ht="15.75" customHeight="1">
      <c r="O537" s="92"/>
      <c r="Q537" s="147"/>
    </row>
    <row r="538" spans="15:17" ht="15.75" customHeight="1">
      <c r="O538" s="92"/>
      <c r="Q538" s="147"/>
    </row>
    <row r="539" spans="15:17" ht="15.75" customHeight="1">
      <c r="O539" s="92"/>
      <c r="Q539" s="147"/>
    </row>
    <row r="540" spans="15:17" ht="15.75" customHeight="1">
      <c r="O540" s="92"/>
      <c r="Q540" s="147"/>
    </row>
    <row r="541" spans="15:17" ht="15.75" customHeight="1">
      <c r="O541" s="92"/>
      <c r="Q541" s="147"/>
    </row>
    <row r="542" spans="15:17" ht="15.75" customHeight="1">
      <c r="O542" s="92"/>
      <c r="Q542" s="147"/>
    </row>
    <row r="543" spans="15:17" ht="15.75" customHeight="1">
      <c r="O543" s="92"/>
      <c r="Q543" s="147"/>
    </row>
    <row r="544" spans="15:17" ht="15.75" customHeight="1">
      <c r="O544" s="92"/>
      <c r="Q544" s="147"/>
    </row>
    <row r="545" spans="15:17" ht="15.75" customHeight="1">
      <c r="O545" s="92"/>
      <c r="Q545" s="147"/>
    </row>
    <row r="546" spans="15:17" ht="15.75" customHeight="1">
      <c r="O546" s="92"/>
      <c r="Q546" s="147"/>
    </row>
    <row r="547" spans="15:17" ht="15.75" customHeight="1">
      <c r="O547" s="92"/>
      <c r="Q547" s="147"/>
    </row>
    <row r="548" spans="15:17" ht="15.75" customHeight="1">
      <c r="O548" s="92"/>
      <c r="Q548" s="147"/>
    </row>
    <row r="549" spans="15:17" ht="15.75" customHeight="1">
      <c r="O549" s="92"/>
      <c r="Q549" s="147"/>
    </row>
    <row r="550" spans="15:17" ht="15.75" customHeight="1">
      <c r="O550" s="92"/>
      <c r="Q550" s="147"/>
    </row>
    <row r="551" spans="15:17" ht="15.75" customHeight="1">
      <c r="O551" s="92"/>
      <c r="Q551" s="147"/>
    </row>
    <row r="552" spans="15:17" ht="15.75" customHeight="1">
      <c r="O552" s="92"/>
      <c r="Q552" s="147"/>
    </row>
    <row r="553" spans="15:17" ht="15.75" customHeight="1">
      <c r="O553" s="92"/>
      <c r="Q553" s="147"/>
    </row>
    <row r="554" spans="15:17" ht="15.75" customHeight="1">
      <c r="O554" s="92"/>
      <c r="Q554" s="147"/>
    </row>
    <row r="555" spans="15:17" ht="15.75" customHeight="1">
      <c r="O555" s="92"/>
      <c r="Q555" s="147"/>
    </row>
    <row r="556" spans="15:17" ht="15.75" customHeight="1">
      <c r="O556" s="92"/>
      <c r="Q556" s="147"/>
    </row>
    <row r="557" spans="15:17" ht="15.75" customHeight="1">
      <c r="O557" s="92"/>
      <c r="Q557" s="147"/>
    </row>
    <row r="558" spans="15:17" ht="15.75" customHeight="1">
      <c r="O558" s="92"/>
      <c r="Q558" s="147"/>
    </row>
    <row r="559" spans="15:17" ht="15.75" customHeight="1">
      <c r="O559" s="92"/>
      <c r="Q559" s="147"/>
    </row>
    <row r="560" spans="15:17" ht="15.75" customHeight="1">
      <c r="O560" s="92"/>
      <c r="Q560" s="147"/>
    </row>
    <row r="561" spans="15:17" ht="15.75" customHeight="1">
      <c r="O561" s="92"/>
      <c r="Q561" s="147"/>
    </row>
    <row r="562" spans="15:17" ht="15.75" customHeight="1">
      <c r="O562" s="92"/>
      <c r="Q562" s="147"/>
    </row>
    <row r="563" spans="15:17" ht="15.75" customHeight="1">
      <c r="O563" s="92"/>
      <c r="Q563" s="147"/>
    </row>
    <row r="564" spans="15:17" ht="15.75" customHeight="1">
      <c r="O564" s="92"/>
      <c r="Q564" s="147"/>
    </row>
    <row r="565" spans="15:17" ht="15.75" customHeight="1">
      <c r="O565" s="92"/>
      <c r="Q565" s="147"/>
    </row>
    <row r="566" spans="15:17" ht="15.75" customHeight="1">
      <c r="O566" s="92"/>
      <c r="Q566" s="147"/>
    </row>
    <row r="567" spans="15:17" ht="15.75" customHeight="1">
      <c r="O567" s="92"/>
      <c r="Q567" s="147"/>
    </row>
    <row r="568" spans="15:17" ht="15.75" customHeight="1">
      <c r="O568" s="92"/>
      <c r="Q568" s="147"/>
    </row>
    <row r="569" spans="15:17" ht="15.75" customHeight="1">
      <c r="O569" s="92"/>
      <c r="Q569" s="147"/>
    </row>
    <row r="570" spans="15:17" ht="15.75" customHeight="1">
      <c r="O570" s="92"/>
      <c r="Q570" s="147"/>
    </row>
    <row r="571" spans="15:17" ht="15.75" customHeight="1">
      <c r="O571" s="92"/>
      <c r="Q571" s="147"/>
    </row>
    <row r="572" spans="15:17" ht="15.75" customHeight="1">
      <c r="O572" s="92"/>
      <c r="Q572" s="147"/>
    </row>
    <row r="573" spans="15:17" ht="15.75" customHeight="1">
      <c r="O573" s="92"/>
      <c r="Q573" s="147"/>
    </row>
    <row r="574" spans="15:17" ht="15.75" customHeight="1">
      <c r="O574" s="92"/>
      <c r="Q574" s="147"/>
    </row>
    <row r="575" spans="15:17" ht="15.75" customHeight="1">
      <c r="O575" s="92"/>
      <c r="Q575" s="147"/>
    </row>
    <row r="576" spans="15:17" ht="15.75" customHeight="1">
      <c r="O576" s="92"/>
      <c r="Q576" s="147"/>
    </row>
    <row r="577" spans="15:17" ht="15.75" customHeight="1">
      <c r="O577" s="92"/>
      <c r="Q577" s="147"/>
    </row>
    <row r="578" spans="15:17" ht="15.75" customHeight="1">
      <c r="O578" s="92"/>
      <c r="Q578" s="147"/>
    </row>
    <row r="579" spans="15:17" ht="15.75" customHeight="1">
      <c r="O579" s="92"/>
      <c r="Q579" s="147"/>
    </row>
    <row r="580" spans="15:17" ht="15.75" customHeight="1">
      <c r="O580" s="92"/>
      <c r="Q580" s="147"/>
    </row>
    <row r="581" spans="15:17" ht="15.75" customHeight="1">
      <c r="O581" s="92"/>
      <c r="Q581" s="147"/>
    </row>
    <row r="582" spans="15:17" ht="15.75" customHeight="1">
      <c r="O582" s="92"/>
      <c r="Q582" s="147"/>
    </row>
    <row r="583" spans="15:17" ht="15.75" customHeight="1">
      <c r="O583" s="92"/>
      <c r="Q583" s="147"/>
    </row>
    <row r="584" spans="15:17" ht="15.75" customHeight="1">
      <c r="O584" s="92"/>
      <c r="Q584" s="147"/>
    </row>
    <row r="585" spans="15:17" ht="15.75" customHeight="1">
      <c r="O585" s="92"/>
      <c r="Q585" s="147"/>
    </row>
    <row r="586" spans="15:17" ht="15.75" customHeight="1">
      <c r="O586" s="92"/>
      <c r="Q586" s="147"/>
    </row>
    <row r="587" spans="15:17" ht="15.75" customHeight="1">
      <c r="O587" s="92"/>
      <c r="Q587" s="147"/>
    </row>
    <row r="588" spans="15:17" ht="15.75" customHeight="1">
      <c r="O588" s="92"/>
      <c r="Q588" s="147"/>
    </row>
    <row r="589" spans="15:17" ht="15.75" customHeight="1">
      <c r="O589" s="92"/>
      <c r="Q589" s="147"/>
    </row>
    <row r="590" spans="15:17" ht="15.75" customHeight="1">
      <c r="O590" s="92"/>
      <c r="Q590" s="147"/>
    </row>
    <row r="591" spans="15:17" ht="15.75" customHeight="1">
      <c r="O591" s="92"/>
      <c r="Q591" s="147"/>
    </row>
    <row r="592" spans="15:17" ht="15.75" customHeight="1">
      <c r="O592" s="92"/>
      <c r="Q592" s="147"/>
    </row>
    <row r="593" spans="15:17" ht="15.75" customHeight="1">
      <c r="O593" s="92"/>
      <c r="Q593" s="147"/>
    </row>
    <row r="594" spans="15:17" ht="15.75" customHeight="1">
      <c r="O594" s="92"/>
      <c r="Q594" s="147"/>
    </row>
    <row r="595" spans="15:17" ht="15.75" customHeight="1">
      <c r="O595" s="92"/>
      <c r="Q595" s="147"/>
    </row>
    <row r="596" spans="15:17" ht="15.75" customHeight="1">
      <c r="O596" s="92"/>
      <c r="Q596" s="147"/>
    </row>
    <row r="597" spans="15:17" ht="15.75" customHeight="1">
      <c r="O597" s="92"/>
      <c r="Q597" s="147"/>
    </row>
    <row r="598" spans="15:17" ht="15.75" customHeight="1">
      <c r="O598" s="92"/>
      <c r="Q598" s="147"/>
    </row>
    <row r="599" spans="15:17" ht="15.75" customHeight="1">
      <c r="O599" s="92"/>
      <c r="Q599" s="147"/>
    </row>
    <row r="600" spans="15:17" ht="15.75" customHeight="1">
      <c r="O600" s="92"/>
      <c r="Q600" s="147"/>
    </row>
    <row r="601" spans="15:17" ht="15.75" customHeight="1">
      <c r="O601" s="92"/>
      <c r="Q601" s="147"/>
    </row>
    <row r="602" spans="15:17" ht="15.75" customHeight="1">
      <c r="O602" s="92"/>
      <c r="Q602" s="147"/>
    </row>
    <row r="603" spans="15:17" ht="15.75" customHeight="1">
      <c r="O603" s="92"/>
      <c r="Q603" s="147"/>
    </row>
    <row r="604" spans="15:17" ht="15.75" customHeight="1">
      <c r="O604" s="92"/>
      <c r="Q604" s="147"/>
    </row>
    <row r="605" spans="15:17" ht="15.75" customHeight="1">
      <c r="O605" s="92"/>
      <c r="Q605" s="147"/>
    </row>
    <row r="606" spans="15:17" ht="15.75" customHeight="1">
      <c r="O606" s="92"/>
      <c r="Q606" s="147"/>
    </row>
    <row r="607" spans="15:17" ht="15.75" customHeight="1">
      <c r="O607" s="92"/>
      <c r="Q607" s="147"/>
    </row>
    <row r="608" spans="15:17" ht="15.75" customHeight="1">
      <c r="O608" s="92"/>
      <c r="Q608" s="147"/>
    </row>
    <row r="609" spans="15:17" ht="15.75" customHeight="1">
      <c r="O609" s="92"/>
      <c r="Q609" s="147"/>
    </row>
    <row r="610" spans="15:17" ht="15.75" customHeight="1">
      <c r="O610" s="92"/>
      <c r="Q610" s="147"/>
    </row>
    <row r="611" spans="15:17" ht="15.75" customHeight="1">
      <c r="O611" s="92"/>
      <c r="Q611" s="147"/>
    </row>
    <row r="612" spans="15:17" ht="15.75" customHeight="1">
      <c r="O612" s="92"/>
      <c r="Q612" s="147"/>
    </row>
    <row r="613" spans="15:17" ht="15.75" customHeight="1">
      <c r="O613" s="92"/>
      <c r="Q613" s="147"/>
    </row>
    <row r="614" spans="15:17" ht="15.75" customHeight="1">
      <c r="O614" s="92"/>
      <c r="Q614" s="147"/>
    </row>
    <row r="615" spans="15:17" ht="15.75" customHeight="1">
      <c r="O615" s="92"/>
      <c r="Q615" s="147"/>
    </row>
    <row r="616" spans="15:17" ht="15.75" customHeight="1">
      <c r="O616" s="92"/>
      <c r="Q616" s="147"/>
    </row>
    <row r="617" spans="15:17" ht="15.75" customHeight="1">
      <c r="O617" s="92"/>
      <c r="Q617" s="147"/>
    </row>
    <row r="618" spans="15:17" ht="15.75" customHeight="1">
      <c r="O618" s="92"/>
      <c r="Q618" s="147"/>
    </row>
    <row r="619" spans="15:17" ht="15.75" customHeight="1">
      <c r="O619" s="92"/>
      <c r="Q619" s="147"/>
    </row>
    <row r="620" spans="15:17" ht="15.75" customHeight="1">
      <c r="O620" s="92"/>
      <c r="Q620" s="147"/>
    </row>
    <row r="621" spans="15:17" ht="15.75" customHeight="1">
      <c r="O621" s="92"/>
      <c r="Q621" s="147"/>
    </row>
    <row r="622" spans="15:17" ht="15.75" customHeight="1">
      <c r="O622" s="92"/>
      <c r="Q622" s="147"/>
    </row>
    <row r="623" spans="15:17" ht="15.75" customHeight="1">
      <c r="O623" s="92"/>
      <c r="Q623" s="147"/>
    </row>
    <row r="624" spans="15:17" ht="15.75" customHeight="1">
      <c r="O624" s="92"/>
      <c r="Q624" s="147"/>
    </row>
    <row r="625" spans="15:17" ht="15.75" customHeight="1">
      <c r="O625" s="92"/>
      <c r="Q625" s="147"/>
    </row>
    <row r="626" spans="15:17" ht="15.75" customHeight="1">
      <c r="O626" s="92"/>
      <c r="Q626" s="147"/>
    </row>
    <row r="627" spans="15:17" ht="15.75" customHeight="1">
      <c r="O627" s="92"/>
      <c r="Q627" s="147"/>
    </row>
    <row r="628" spans="15:17" ht="15.75" customHeight="1">
      <c r="O628" s="92"/>
      <c r="Q628" s="147"/>
    </row>
    <row r="629" spans="15:17" ht="15.75" customHeight="1">
      <c r="O629" s="92"/>
      <c r="Q629" s="147"/>
    </row>
    <row r="630" spans="15:17" ht="15.75" customHeight="1">
      <c r="O630" s="92"/>
      <c r="Q630" s="147"/>
    </row>
    <row r="631" spans="15:17" ht="15.75" customHeight="1">
      <c r="O631" s="92"/>
      <c r="Q631" s="147"/>
    </row>
    <row r="632" spans="15:17" ht="15.75" customHeight="1">
      <c r="O632" s="92"/>
      <c r="Q632" s="147"/>
    </row>
    <row r="633" spans="15:17" ht="15.75" customHeight="1">
      <c r="O633" s="92"/>
      <c r="Q633" s="147"/>
    </row>
    <row r="634" spans="15:17" ht="15.75" customHeight="1">
      <c r="O634" s="92"/>
      <c r="Q634" s="147"/>
    </row>
    <row r="635" spans="15:17" ht="15.75" customHeight="1">
      <c r="O635" s="92"/>
      <c r="Q635" s="147"/>
    </row>
    <row r="636" spans="15:17" ht="15.75" customHeight="1">
      <c r="O636" s="92"/>
      <c r="Q636" s="147"/>
    </row>
    <row r="637" spans="15:17" ht="15.75" customHeight="1">
      <c r="O637" s="92"/>
      <c r="Q637" s="147"/>
    </row>
    <row r="638" spans="15:17" ht="15.75" customHeight="1">
      <c r="O638" s="92"/>
      <c r="Q638" s="147"/>
    </row>
    <row r="639" spans="15:17" ht="15.75" customHeight="1">
      <c r="O639" s="92"/>
      <c r="Q639" s="147"/>
    </row>
    <row r="640" spans="15:17" ht="15.75" customHeight="1">
      <c r="O640" s="92"/>
      <c r="Q640" s="147"/>
    </row>
    <row r="641" spans="15:17" ht="15.75" customHeight="1">
      <c r="O641" s="92"/>
      <c r="Q641" s="147"/>
    </row>
    <row r="642" spans="15:17" ht="15.75" customHeight="1">
      <c r="O642" s="92"/>
      <c r="Q642" s="147"/>
    </row>
    <row r="643" spans="15:17" ht="15.75" customHeight="1">
      <c r="O643" s="92"/>
      <c r="Q643" s="147"/>
    </row>
    <row r="644" spans="15:17" ht="15.75" customHeight="1">
      <c r="O644" s="92"/>
      <c r="Q644" s="147"/>
    </row>
    <row r="645" spans="15:17" ht="15.75" customHeight="1">
      <c r="O645" s="92"/>
      <c r="Q645" s="147"/>
    </row>
    <row r="646" spans="15:17" ht="15.75" customHeight="1">
      <c r="O646" s="92"/>
      <c r="Q646" s="147"/>
    </row>
    <row r="647" spans="15:17" ht="15.75" customHeight="1">
      <c r="O647" s="92"/>
      <c r="Q647" s="147"/>
    </row>
    <row r="648" spans="15:17" ht="15.75" customHeight="1">
      <c r="O648" s="92"/>
      <c r="Q648" s="147"/>
    </row>
    <row r="649" spans="15:17" ht="15.75" customHeight="1">
      <c r="O649" s="92"/>
      <c r="Q649" s="147"/>
    </row>
    <row r="650" spans="15:17" ht="15.75" customHeight="1">
      <c r="O650" s="92"/>
      <c r="Q650" s="147"/>
    </row>
    <row r="651" spans="15:17" ht="15.75" customHeight="1">
      <c r="O651" s="92"/>
      <c r="Q651" s="147"/>
    </row>
    <row r="652" spans="15:17" ht="15.75" customHeight="1">
      <c r="O652" s="92"/>
      <c r="Q652" s="147"/>
    </row>
    <row r="653" spans="15:17" ht="15.75" customHeight="1">
      <c r="O653" s="92"/>
      <c r="Q653" s="147"/>
    </row>
    <row r="654" spans="15:17" ht="15.75" customHeight="1">
      <c r="O654" s="92"/>
      <c r="Q654" s="147"/>
    </row>
    <row r="655" spans="15:17" ht="15.75" customHeight="1">
      <c r="O655" s="92"/>
      <c r="Q655" s="147"/>
    </row>
    <row r="656" spans="15:17" ht="15.75" customHeight="1">
      <c r="O656" s="92"/>
      <c r="Q656" s="147"/>
    </row>
    <row r="657" spans="15:17" ht="15.75" customHeight="1">
      <c r="O657" s="92"/>
      <c r="Q657" s="147"/>
    </row>
    <row r="658" spans="15:17" ht="15.75" customHeight="1">
      <c r="O658" s="92"/>
      <c r="Q658" s="147"/>
    </row>
    <row r="659" spans="15:17" ht="15.75" customHeight="1">
      <c r="O659" s="92"/>
      <c r="Q659" s="147"/>
    </row>
    <row r="660" spans="15:17" ht="15.75" customHeight="1">
      <c r="O660" s="92"/>
      <c r="Q660" s="147"/>
    </row>
    <row r="661" spans="15:17" ht="15.75" customHeight="1">
      <c r="O661" s="92"/>
      <c r="Q661" s="147"/>
    </row>
    <row r="662" spans="15:17" ht="15.75" customHeight="1">
      <c r="O662" s="92"/>
      <c r="Q662" s="147"/>
    </row>
    <row r="663" spans="15:17" ht="15.75" customHeight="1">
      <c r="O663" s="92"/>
      <c r="Q663" s="147"/>
    </row>
    <row r="664" spans="15:17" ht="15.75" customHeight="1">
      <c r="O664" s="92"/>
      <c r="Q664" s="147"/>
    </row>
    <row r="665" spans="15:17" ht="15.75" customHeight="1">
      <c r="O665" s="92"/>
      <c r="Q665" s="147"/>
    </row>
    <row r="666" spans="15:17" ht="15.75" customHeight="1">
      <c r="O666" s="92"/>
      <c r="Q666" s="147"/>
    </row>
    <row r="667" spans="15:17" ht="15.75" customHeight="1">
      <c r="O667" s="92"/>
      <c r="Q667" s="147"/>
    </row>
    <row r="668" spans="15:17" ht="15.75" customHeight="1">
      <c r="O668" s="92"/>
      <c r="Q668" s="147"/>
    </row>
    <row r="669" spans="15:17" ht="15.75" customHeight="1">
      <c r="O669" s="92"/>
      <c r="Q669" s="147"/>
    </row>
    <row r="670" spans="15:17" ht="15.75" customHeight="1">
      <c r="O670" s="92"/>
      <c r="Q670" s="147"/>
    </row>
    <row r="671" spans="15:17" ht="15.75" customHeight="1">
      <c r="O671" s="92"/>
      <c r="Q671" s="147"/>
    </row>
    <row r="672" spans="15:17" ht="15.75" customHeight="1">
      <c r="O672" s="92"/>
      <c r="Q672" s="147"/>
    </row>
    <row r="673" spans="15:17" ht="15.75" customHeight="1">
      <c r="O673" s="92"/>
      <c r="Q673" s="147"/>
    </row>
    <row r="674" spans="15:17" ht="15.75" customHeight="1">
      <c r="O674" s="92"/>
      <c r="Q674" s="147"/>
    </row>
    <row r="675" spans="15:17" ht="15.75" customHeight="1">
      <c r="O675" s="92"/>
      <c r="Q675" s="147"/>
    </row>
    <row r="676" spans="15:17" ht="15.75" customHeight="1">
      <c r="O676" s="92"/>
      <c r="Q676" s="147"/>
    </row>
    <row r="677" spans="15:17" ht="15.75" customHeight="1">
      <c r="O677" s="92"/>
      <c r="Q677" s="147"/>
    </row>
    <row r="678" spans="15:17" ht="15.75" customHeight="1">
      <c r="O678" s="92"/>
      <c r="Q678" s="147"/>
    </row>
    <row r="679" spans="15:17" ht="15.75" customHeight="1">
      <c r="O679" s="92"/>
      <c r="Q679" s="147"/>
    </row>
    <row r="680" spans="15:17" ht="15.75" customHeight="1">
      <c r="O680" s="92"/>
      <c r="Q680" s="147"/>
    </row>
    <row r="681" spans="15:17" ht="15.75" customHeight="1">
      <c r="O681" s="92"/>
      <c r="Q681" s="147"/>
    </row>
    <row r="682" spans="15:17" ht="15.75" customHeight="1">
      <c r="O682" s="92"/>
      <c r="Q682" s="147"/>
    </row>
    <row r="683" spans="15:17" ht="15.75" customHeight="1">
      <c r="O683" s="92"/>
      <c r="Q683" s="147"/>
    </row>
    <row r="684" spans="15:17" ht="15.75" customHeight="1">
      <c r="O684" s="92"/>
      <c r="Q684" s="147"/>
    </row>
    <row r="685" spans="15:17" ht="15.75" customHeight="1">
      <c r="O685" s="92"/>
      <c r="Q685" s="147"/>
    </row>
    <row r="686" spans="15:17" ht="15.75" customHeight="1">
      <c r="O686" s="92"/>
      <c r="Q686" s="147"/>
    </row>
    <row r="687" spans="15:17" ht="15.75" customHeight="1">
      <c r="O687" s="92"/>
      <c r="Q687" s="147"/>
    </row>
    <row r="688" spans="15:17" ht="15.75" customHeight="1">
      <c r="O688" s="92"/>
      <c r="Q688" s="147"/>
    </row>
    <row r="689" spans="15:17" ht="15.75" customHeight="1">
      <c r="O689" s="92"/>
      <c r="Q689" s="147"/>
    </row>
    <row r="690" spans="15:17" ht="15.75" customHeight="1">
      <c r="O690" s="92"/>
      <c r="Q690" s="147"/>
    </row>
    <row r="691" spans="15:17" ht="15.75" customHeight="1">
      <c r="O691" s="92"/>
      <c r="Q691" s="147"/>
    </row>
    <row r="692" spans="15:17" ht="15.75" customHeight="1">
      <c r="O692" s="92"/>
      <c r="Q692" s="147"/>
    </row>
    <row r="693" spans="15:17" ht="15.75" customHeight="1">
      <c r="O693" s="92"/>
      <c r="Q693" s="147"/>
    </row>
    <row r="694" spans="15:17" ht="15.75" customHeight="1">
      <c r="O694" s="92"/>
      <c r="Q694" s="147"/>
    </row>
    <row r="695" spans="15:17" ht="15.75" customHeight="1">
      <c r="O695" s="92"/>
      <c r="Q695" s="147"/>
    </row>
    <row r="696" spans="15:17" ht="15.75" customHeight="1">
      <c r="O696" s="92"/>
      <c r="Q696" s="147"/>
    </row>
    <row r="697" spans="15:17" ht="15.75" customHeight="1">
      <c r="O697" s="92"/>
      <c r="Q697" s="147"/>
    </row>
    <row r="698" spans="15:17" ht="15.75" customHeight="1">
      <c r="O698" s="92"/>
      <c r="Q698" s="147"/>
    </row>
    <row r="699" spans="15:17" ht="15.75" customHeight="1">
      <c r="O699" s="92"/>
      <c r="Q699" s="147"/>
    </row>
    <row r="700" spans="15:17" ht="15.75" customHeight="1">
      <c r="O700" s="92"/>
      <c r="Q700" s="147"/>
    </row>
    <row r="701" spans="15:17" ht="15.75" customHeight="1">
      <c r="O701" s="92"/>
      <c r="Q701" s="147"/>
    </row>
    <row r="702" spans="15:17" ht="15.75" customHeight="1">
      <c r="O702" s="92"/>
      <c r="Q702" s="147"/>
    </row>
    <row r="703" spans="15:17" ht="15.75" customHeight="1">
      <c r="O703" s="92"/>
      <c r="Q703" s="147"/>
    </row>
    <row r="704" spans="15:17" ht="15.75" customHeight="1">
      <c r="O704" s="92"/>
      <c r="Q704" s="147"/>
    </row>
    <row r="705" spans="15:17" ht="15.75" customHeight="1">
      <c r="O705" s="92"/>
      <c r="Q705" s="147"/>
    </row>
    <row r="706" spans="15:17" ht="15.75" customHeight="1">
      <c r="O706" s="92"/>
      <c r="Q706" s="147"/>
    </row>
    <row r="707" spans="15:17" ht="15.75" customHeight="1">
      <c r="O707" s="92"/>
      <c r="Q707" s="147"/>
    </row>
    <row r="708" spans="15:17" ht="15.75" customHeight="1">
      <c r="O708" s="92"/>
      <c r="Q708" s="147"/>
    </row>
    <row r="709" spans="15:17" ht="15.75" customHeight="1">
      <c r="O709" s="92"/>
      <c r="Q709" s="147"/>
    </row>
    <row r="710" spans="15:17" ht="15.75" customHeight="1">
      <c r="O710" s="92"/>
      <c r="Q710" s="147"/>
    </row>
    <row r="711" spans="15:17" ht="15.75" customHeight="1">
      <c r="O711" s="92"/>
      <c r="Q711" s="147"/>
    </row>
    <row r="712" spans="15:17" ht="15.75" customHeight="1">
      <c r="O712" s="92"/>
      <c r="Q712" s="147"/>
    </row>
    <row r="713" spans="15:17" ht="15.75" customHeight="1">
      <c r="O713" s="92"/>
      <c r="Q713" s="147"/>
    </row>
    <row r="714" spans="15:17" ht="15.75" customHeight="1">
      <c r="O714" s="92"/>
      <c r="Q714" s="147"/>
    </row>
    <row r="715" spans="15:17" ht="15.75" customHeight="1">
      <c r="O715" s="92"/>
      <c r="Q715" s="147"/>
    </row>
    <row r="716" spans="15:17" ht="15.75" customHeight="1">
      <c r="O716" s="92"/>
      <c r="Q716" s="147"/>
    </row>
    <row r="717" spans="15:17" ht="15.75" customHeight="1">
      <c r="O717" s="92"/>
      <c r="Q717" s="147"/>
    </row>
    <row r="718" spans="15:17" ht="15.75" customHeight="1">
      <c r="O718" s="92"/>
      <c r="Q718" s="147"/>
    </row>
    <row r="719" spans="15:17" ht="15.75" customHeight="1">
      <c r="O719" s="92"/>
      <c r="Q719" s="147"/>
    </row>
    <row r="720" spans="15:17" ht="15.75" customHeight="1">
      <c r="O720" s="92"/>
      <c r="Q720" s="147"/>
    </row>
    <row r="721" spans="15:17" ht="15.75" customHeight="1">
      <c r="O721" s="92"/>
      <c r="Q721" s="147"/>
    </row>
    <row r="722" spans="15:17" ht="15.75" customHeight="1">
      <c r="O722" s="92"/>
      <c r="Q722" s="147"/>
    </row>
    <row r="723" spans="15:17" ht="15.75" customHeight="1">
      <c r="O723" s="92"/>
      <c r="Q723" s="147"/>
    </row>
    <row r="724" spans="15:17" ht="15.75" customHeight="1">
      <c r="O724" s="92"/>
      <c r="Q724" s="147"/>
    </row>
    <row r="725" spans="15:17" ht="15.75" customHeight="1">
      <c r="O725" s="92"/>
      <c r="Q725" s="147"/>
    </row>
    <row r="726" spans="15:17" ht="15.75" customHeight="1">
      <c r="O726" s="92"/>
      <c r="Q726" s="147"/>
    </row>
    <row r="727" spans="15:17" ht="15.75" customHeight="1">
      <c r="O727" s="92"/>
      <c r="Q727" s="147"/>
    </row>
    <row r="728" spans="15:17" ht="15.75" customHeight="1">
      <c r="O728" s="92"/>
      <c r="Q728" s="147"/>
    </row>
    <row r="729" spans="15:17" ht="15.75" customHeight="1">
      <c r="O729" s="92"/>
      <c r="Q729" s="147"/>
    </row>
    <row r="730" spans="15:17" ht="15.75" customHeight="1">
      <c r="O730" s="92"/>
      <c r="Q730" s="147"/>
    </row>
    <row r="731" spans="15:17" ht="15.75" customHeight="1">
      <c r="O731" s="92"/>
      <c r="Q731" s="147"/>
    </row>
    <row r="732" spans="15:17" ht="15.75" customHeight="1">
      <c r="O732" s="92"/>
      <c r="Q732" s="147"/>
    </row>
    <row r="733" spans="15:17" ht="15.75" customHeight="1">
      <c r="O733" s="92"/>
      <c r="Q733" s="147"/>
    </row>
    <row r="734" spans="15:17" ht="15.75" customHeight="1">
      <c r="O734" s="92"/>
      <c r="Q734" s="147"/>
    </row>
    <row r="735" spans="15:17" ht="15.75" customHeight="1">
      <c r="O735" s="92"/>
      <c r="Q735" s="147"/>
    </row>
    <row r="736" spans="15:17" ht="15.75" customHeight="1">
      <c r="O736" s="92"/>
      <c r="Q736" s="147"/>
    </row>
    <row r="737" spans="15:17" ht="15.75" customHeight="1">
      <c r="O737" s="92"/>
      <c r="Q737" s="147"/>
    </row>
    <row r="738" spans="15:17" ht="15.75" customHeight="1">
      <c r="O738" s="92"/>
      <c r="Q738" s="147"/>
    </row>
    <row r="739" spans="15:17" ht="15.75" customHeight="1">
      <c r="O739" s="92"/>
      <c r="Q739" s="147"/>
    </row>
    <row r="740" spans="15:17" ht="15.75" customHeight="1">
      <c r="O740" s="92"/>
      <c r="Q740" s="147"/>
    </row>
    <row r="741" spans="15:17" ht="15.75" customHeight="1">
      <c r="O741" s="92"/>
      <c r="Q741" s="147"/>
    </row>
    <row r="742" spans="15:17" ht="15.75" customHeight="1">
      <c r="O742" s="92"/>
      <c r="Q742" s="147"/>
    </row>
    <row r="743" spans="15:17" ht="15.75" customHeight="1">
      <c r="O743" s="92"/>
      <c r="Q743" s="147"/>
    </row>
    <row r="744" spans="15:17" ht="15.75" customHeight="1">
      <c r="O744" s="92"/>
      <c r="Q744" s="147"/>
    </row>
    <row r="745" spans="15:17" ht="15.75" customHeight="1">
      <c r="O745" s="92"/>
      <c r="Q745" s="147"/>
    </row>
    <row r="746" spans="15:17" ht="15.75" customHeight="1">
      <c r="O746" s="92"/>
      <c r="Q746" s="147"/>
    </row>
    <row r="747" spans="15:17" ht="15.75" customHeight="1">
      <c r="O747" s="92"/>
      <c r="Q747" s="147"/>
    </row>
    <row r="748" spans="15:17" ht="15.75" customHeight="1">
      <c r="O748" s="92"/>
      <c r="Q748" s="147"/>
    </row>
    <row r="749" spans="15:17" ht="15.75" customHeight="1">
      <c r="O749" s="92"/>
      <c r="Q749" s="147"/>
    </row>
    <row r="750" spans="15:17" ht="15.75" customHeight="1">
      <c r="O750" s="92"/>
      <c r="Q750" s="147"/>
    </row>
    <row r="751" spans="15:17" ht="15.75" customHeight="1">
      <c r="O751" s="92"/>
      <c r="Q751" s="147"/>
    </row>
    <row r="752" spans="15:17" ht="15.75" customHeight="1">
      <c r="O752" s="92"/>
      <c r="Q752" s="147"/>
    </row>
    <row r="753" spans="15:17" ht="15.75" customHeight="1">
      <c r="O753" s="92"/>
      <c r="Q753" s="147"/>
    </row>
    <row r="754" spans="15:17" ht="15.75" customHeight="1">
      <c r="O754" s="92"/>
      <c r="Q754" s="147"/>
    </row>
    <row r="755" spans="15:17" ht="15.75" customHeight="1">
      <c r="O755" s="92"/>
      <c r="Q755" s="147"/>
    </row>
    <row r="756" spans="15:17" ht="15.75" customHeight="1">
      <c r="O756" s="92"/>
      <c r="Q756" s="147"/>
    </row>
    <row r="757" spans="15:17" ht="15.75" customHeight="1">
      <c r="O757" s="92"/>
      <c r="Q757" s="147"/>
    </row>
    <row r="758" spans="15:17" ht="15.75" customHeight="1">
      <c r="O758" s="92"/>
      <c r="Q758" s="147"/>
    </row>
    <row r="759" spans="15:17" ht="15.75" customHeight="1">
      <c r="O759" s="92"/>
      <c r="Q759" s="147"/>
    </row>
    <row r="760" spans="15:17" ht="15.75" customHeight="1">
      <c r="O760" s="92"/>
      <c r="Q760" s="147"/>
    </row>
    <row r="761" spans="15:17" ht="15.75" customHeight="1">
      <c r="O761" s="92"/>
      <c r="Q761" s="147"/>
    </row>
    <row r="762" spans="15:17" ht="15.75" customHeight="1">
      <c r="O762" s="92"/>
      <c r="Q762" s="147"/>
    </row>
    <row r="763" spans="15:17" ht="15.75" customHeight="1">
      <c r="O763" s="92"/>
      <c r="Q763" s="147"/>
    </row>
    <row r="764" spans="15:17" ht="15.75" customHeight="1">
      <c r="O764" s="92"/>
      <c r="Q764" s="147"/>
    </row>
    <row r="765" spans="15:17" ht="15.75" customHeight="1">
      <c r="O765" s="92"/>
      <c r="Q765" s="147"/>
    </row>
    <row r="766" spans="15:17" ht="15.75" customHeight="1">
      <c r="O766" s="92"/>
      <c r="Q766" s="147"/>
    </row>
    <row r="767" spans="15:17" ht="15.75" customHeight="1">
      <c r="O767" s="92"/>
      <c r="Q767" s="147"/>
    </row>
    <row r="768" spans="15:17" ht="15.75" customHeight="1">
      <c r="O768" s="92"/>
      <c r="Q768" s="147"/>
    </row>
    <row r="769" spans="15:17" ht="15.75" customHeight="1">
      <c r="O769" s="92"/>
      <c r="Q769" s="147"/>
    </row>
    <row r="770" spans="15:17" ht="15.75" customHeight="1">
      <c r="O770" s="92"/>
      <c r="Q770" s="147"/>
    </row>
    <row r="771" spans="15:17" ht="15.75" customHeight="1">
      <c r="O771" s="92"/>
      <c r="Q771" s="147"/>
    </row>
    <row r="772" spans="15:17" ht="15.75" customHeight="1">
      <c r="O772" s="92"/>
      <c r="Q772" s="147"/>
    </row>
    <row r="773" spans="15:17" ht="15.75" customHeight="1">
      <c r="O773" s="92"/>
      <c r="Q773" s="147"/>
    </row>
    <row r="774" spans="15:17" ht="15.75" customHeight="1">
      <c r="O774" s="92"/>
      <c r="Q774" s="147"/>
    </row>
    <row r="775" spans="15:17" ht="15.75" customHeight="1">
      <c r="O775" s="92"/>
      <c r="Q775" s="147"/>
    </row>
    <row r="776" spans="15:17" ht="15.75" customHeight="1">
      <c r="O776" s="92"/>
      <c r="Q776" s="147"/>
    </row>
    <row r="777" spans="15:17" ht="15.75" customHeight="1">
      <c r="O777" s="92"/>
      <c r="Q777" s="147"/>
    </row>
    <row r="778" spans="15:17" ht="15.75" customHeight="1">
      <c r="O778" s="92"/>
      <c r="Q778" s="147"/>
    </row>
    <row r="779" spans="15:17" ht="15.75" customHeight="1">
      <c r="O779" s="92"/>
      <c r="Q779" s="147"/>
    </row>
    <row r="780" spans="15:17" ht="15.75" customHeight="1">
      <c r="O780" s="92"/>
      <c r="Q780" s="147"/>
    </row>
    <row r="781" spans="15:17" ht="15.75" customHeight="1">
      <c r="O781" s="92"/>
      <c r="Q781" s="147"/>
    </row>
    <row r="782" spans="15:17" ht="15.75" customHeight="1">
      <c r="O782" s="92"/>
      <c r="Q782" s="147"/>
    </row>
    <row r="783" spans="15:17" ht="15.75" customHeight="1">
      <c r="O783" s="92"/>
      <c r="Q783" s="147"/>
    </row>
    <row r="784" spans="15:17" ht="15.75" customHeight="1">
      <c r="O784" s="92"/>
      <c r="Q784" s="147"/>
    </row>
    <row r="785" spans="15:17" ht="15.75" customHeight="1">
      <c r="O785" s="92"/>
      <c r="Q785" s="147"/>
    </row>
    <row r="786" spans="15:17" ht="15.75" customHeight="1">
      <c r="O786" s="92"/>
      <c r="Q786" s="147"/>
    </row>
    <row r="787" spans="15:17" ht="15.75" customHeight="1">
      <c r="O787" s="92"/>
      <c r="Q787" s="147"/>
    </row>
    <row r="788" spans="15:17" ht="15.75" customHeight="1">
      <c r="O788" s="92"/>
      <c r="Q788" s="147"/>
    </row>
    <row r="789" spans="15:17" ht="15.75" customHeight="1">
      <c r="O789" s="92"/>
      <c r="Q789" s="147"/>
    </row>
    <row r="790" spans="15:17" ht="15.75" customHeight="1">
      <c r="O790" s="92"/>
      <c r="Q790" s="147"/>
    </row>
    <row r="791" spans="15:17" ht="15.75" customHeight="1">
      <c r="O791" s="92"/>
      <c r="Q791" s="147"/>
    </row>
    <row r="792" spans="15:17" ht="15.75" customHeight="1">
      <c r="O792" s="92"/>
      <c r="Q792" s="147"/>
    </row>
    <row r="793" spans="15:17" ht="15.75" customHeight="1">
      <c r="O793" s="92"/>
      <c r="Q793" s="147"/>
    </row>
    <row r="794" spans="15:17" ht="15.75" customHeight="1">
      <c r="O794" s="92"/>
      <c r="Q794" s="147"/>
    </row>
    <row r="795" spans="15:17" ht="15.75" customHeight="1">
      <c r="O795" s="92"/>
      <c r="Q795" s="147"/>
    </row>
    <row r="796" spans="15:17" ht="15.75" customHeight="1">
      <c r="O796" s="92"/>
      <c r="Q796" s="147"/>
    </row>
    <row r="797" spans="15:17" ht="15.75" customHeight="1">
      <c r="O797" s="92"/>
      <c r="Q797" s="147"/>
    </row>
    <row r="798" spans="15:17" ht="15.75" customHeight="1">
      <c r="O798" s="92"/>
      <c r="Q798" s="147"/>
    </row>
    <row r="799" spans="15:17" ht="15.75" customHeight="1">
      <c r="O799" s="92"/>
      <c r="Q799" s="147"/>
    </row>
    <row r="800" spans="15:17" ht="15.75" customHeight="1">
      <c r="O800" s="92"/>
      <c r="Q800" s="147"/>
    </row>
    <row r="801" spans="15:17" ht="15.75" customHeight="1">
      <c r="O801" s="92"/>
      <c r="Q801" s="147"/>
    </row>
    <row r="802" spans="15:17" ht="15.75" customHeight="1">
      <c r="O802" s="92"/>
      <c r="Q802" s="147"/>
    </row>
    <row r="803" spans="15:17" ht="15.75" customHeight="1">
      <c r="O803" s="92"/>
      <c r="Q803" s="147"/>
    </row>
    <row r="804" spans="15:17" ht="15.75" customHeight="1">
      <c r="O804" s="92"/>
      <c r="Q804" s="147"/>
    </row>
    <row r="805" spans="15:17" ht="15.75" customHeight="1">
      <c r="O805" s="92"/>
      <c r="Q805" s="147"/>
    </row>
    <row r="806" spans="15:17" ht="15.75" customHeight="1">
      <c r="O806" s="92"/>
      <c r="Q806" s="147"/>
    </row>
    <row r="807" spans="15:17" ht="15.75" customHeight="1">
      <c r="O807" s="92"/>
      <c r="Q807" s="147"/>
    </row>
    <row r="808" spans="15:17" ht="15.75" customHeight="1">
      <c r="O808" s="92"/>
      <c r="Q808" s="147"/>
    </row>
    <row r="809" spans="15:17" ht="15.75" customHeight="1">
      <c r="O809" s="92"/>
      <c r="Q809" s="147"/>
    </row>
    <row r="810" spans="15:17" ht="15.75" customHeight="1">
      <c r="O810" s="92"/>
      <c r="Q810" s="147"/>
    </row>
    <row r="811" spans="15:17" ht="15.75" customHeight="1">
      <c r="O811" s="92"/>
      <c r="Q811" s="147"/>
    </row>
    <row r="812" spans="15:17" ht="15.75" customHeight="1">
      <c r="O812" s="92"/>
      <c r="Q812" s="147"/>
    </row>
    <row r="813" spans="15:17" ht="15.75" customHeight="1">
      <c r="O813" s="92"/>
      <c r="Q813" s="147"/>
    </row>
    <row r="814" spans="15:17" ht="15.75" customHeight="1">
      <c r="O814" s="92"/>
      <c r="Q814" s="147"/>
    </row>
    <row r="815" spans="15:17" ht="15.75" customHeight="1">
      <c r="O815" s="92"/>
      <c r="Q815" s="147"/>
    </row>
    <row r="816" spans="15:17" ht="15.75" customHeight="1">
      <c r="O816" s="92"/>
      <c r="Q816" s="147"/>
    </row>
    <row r="817" spans="15:17" ht="15.75" customHeight="1">
      <c r="O817" s="92"/>
      <c r="Q817" s="147"/>
    </row>
    <row r="818" spans="15:17" ht="15.75" customHeight="1">
      <c r="O818" s="92"/>
      <c r="Q818" s="147"/>
    </row>
    <row r="819" spans="15:17" ht="15.75" customHeight="1">
      <c r="O819" s="92"/>
      <c r="Q819" s="147"/>
    </row>
    <row r="820" spans="15:17" ht="15.75" customHeight="1">
      <c r="O820" s="92"/>
      <c r="Q820" s="147"/>
    </row>
    <row r="821" spans="15:17" ht="15.75" customHeight="1">
      <c r="O821" s="92"/>
      <c r="Q821" s="147"/>
    </row>
    <row r="822" spans="15:17" ht="15.75" customHeight="1">
      <c r="O822" s="92"/>
      <c r="Q822" s="147"/>
    </row>
    <row r="823" spans="15:17" ht="15.75" customHeight="1">
      <c r="O823" s="92"/>
      <c r="Q823" s="147"/>
    </row>
    <row r="824" spans="15:17" ht="15.75" customHeight="1">
      <c r="O824" s="92"/>
      <c r="Q824" s="147"/>
    </row>
    <row r="825" spans="15:17" ht="15.75" customHeight="1">
      <c r="O825" s="92"/>
      <c r="Q825" s="147"/>
    </row>
    <row r="826" spans="15:17" ht="15.75" customHeight="1">
      <c r="O826" s="92"/>
      <c r="Q826" s="147"/>
    </row>
    <row r="827" spans="15:17" ht="15.75" customHeight="1">
      <c r="O827" s="92"/>
      <c r="Q827" s="147"/>
    </row>
    <row r="828" spans="15:17" ht="15.75" customHeight="1">
      <c r="O828" s="92"/>
      <c r="Q828" s="147"/>
    </row>
    <row r="829" spans="15:17" ht="15.75" customHeight="1">
      <c r="O829" s="92"/>
      <c r="Q829" s="147"/>
    </row>
    <row r="830" spans="15:17" ht="15.75" customHeight="1">
      <c r="O830" s="92"/>
      <c r="Q830" s="147"/>
    </row>
    <row r="831" spans="15:17" ht="15.75" customHeight="1">
      <c r="O831" s="92"/>
      <c r="Q831" s="147"/>
    </row>
    <row r="832" spans="15:17" ht="15.75" customHeight="1">
      <c r="O832" s="92"/>
      <c r="Q832" s="147"/>
    </row>
    <row r="833" spans="15:17" ht="15.75" customHeight="1">
      <c r="O833" s="92"/>
      <c r="Q833" s="147"/>
    </row>
    <row r="834" spans="15:17" ht="15.75" customHeight="1">
      <c r="O834" s="92"/>
      <c r="Q834" s="147"/>
    </row>
    <row r="835" spans="15:17" ht="15.75" customHeight="1">
      <c r="O835" s="92"/>
      <c r="Q835" s="147"/>
    </row>
    <row r="836" spans="15:17" ht="15.75" customHeight="1">
      <c r="O836" s="92"/>
      <c r="Q836" s="147"/>
    </row>
    <row r="837" spans="15:17" ht="15.75" customHeight="1">
      <c r="O837" s="92"/>
      <c r="Q837" s="147"/>
    </row>
    <row r="838" spans="15:17" ht="15.75" customHeight="1">
      <c r="O838" s="92"/>
      <c r="Q838" s="147"/>
    </row>
    <row r="839" spans="15:17" ht="15.75" customHeight="1">
      <c r="O839" s="92"/>
      <c r="Q839" s="147"/>
    </row>
    <row r="840" spans="15:17" ht="15.75" customHeight="1">
      <c r="O840" s="92"/>
      <c r="Q840" s="147"/>
    </row>
    <row r="841" spans="15:17" ht="15.75" customHeight="1">
      <c r="O841" s="92"/>
      <c r="Q841" s="147"/>
    </row>
    <row r="842" spans="15:17" ht="15.75" customHeight="1">
      <c r="O842" s="92"/>
      <c r="Q842" s="147"/>
    </row>
    <row r="843" spans="15:17" ht="15.75" customHeight="1">
      <c r="O843" s="92"/>
      <c r="Q843" s="147"/>
    </row>
    <row r="844" spans="15:17" ht="15.75" customHeight="1">
      <c r="O844" s="92"/>
      <c r="Q844" s="147"/>
    </row>
    <row r="845" spans="15:17" ht="15.75" customHeight="1">
      <c r="O845" s="92"/>
      <c r="Q845" s="147"/>
    </row>
    <row r="846" spans="15:17" ht="15.75" customHeight="1">
      <c r="O846" s="92"/>
      <c r="Q846" s="147"/>
    </row>
    <row r="847" spans="15:17" ht="15.75" customHeight="1">
      <c r="O847" s="92"/>
      <c r="Q847" s="147"/>
    </row>
    <row r="848" spans="15:17" ht="15.75" customHeight="1">
      <c r="O848" s="92"/>
      <c r="Q848" s="147"/>
    </row>
    <row r="849" spans="15:17" ht="15.75" customHeight="1">
      <c r="O849" s="92"/>
      <c r="Q849" s="147"/>
    </row>
    <row r="850" spans="15:17" ht="15.75" customHeight="1">
      <c r="O850" s="92"/>
      <c r="Q850" s="147"/>
    </row>
    <row r="851" spans="15:17" ht="15.75" customHeight="1">
      <c r="O851" s="92"/>
      <c r="Q851" s="147"/>
    </row>
    <row r="852" spans="15:17" ht="15.75" customHeight="1">
      <c r="O852" s="92"/>
      <c r="Q852" s="147"/>
    </row>
    <row r="853" spans="15:17" ht="15.75" customHeight="1">
      <c r="O853" s="92"/>
      <c r="Q853" s="147"/>
    </row>
    <row r="854" spans="15:17" ht="15.75" customHeight="1">
      <c r="O854" s="92"/>
      <c r="Q854" s="147"/>
    </row>
    <row r="855" spans="15:17" ht="15.75" customHeight="1">
      <c r="O855" s="92"/>
      <c r="Q855" s="147"/>
    </row>
    <row r="856" spans="15:17" ht="15.75" customHeight="1">
      <c r="O856" s="92"/>
      <c r="Q856" s="147"/>
    </row>
    <row r="857" spans="15:17" ht="15.75" customHeight="1">
      <c r="O857" s="92"/>
      <c r="Q857" s="147"/>
    </row>
    <row r="858" spans="15:17" ht="15.75" customHeight="1">
      <c r="O858" s="92"/>
      <c r="Q858" s="147"/>
    </row>
    <row r="859" spans="15:17" ht="15.75" customHeight="1">
      <c r="O859" s="92"/>
      <c r="Q859" s="147"/>
    </row>
    <row r="860" spans="15:17" ht="15.75" customHeight="1">
      <c r="O860" s="92"/>
      <c r="Q860" s="147"/>
    </row>
    <row r="861" spans="15:17" ht="15.75" customHeight="1">
      <c r="O861" s="92"/>
      <c r="Q861" s="147"/>
    </row>
    <row r="862" spans="15:17" ht="15.75" customHeight="1">
      <c r="O862" s="92"/>
      <c r="Q862" s="147"/>
    </row>
    <row r="863" spans="15:17" ht="15.75" customHeight="1">
      <c r="O863" s="92"/>
      <c r="Q863" s="147"/>
    </row>
    <row r="864" spans="15:17" ht="15.75" customHeight="1">
      <c r="O864" s="92"/>
      <c r="Q864" s="147"/>
    </row>
    <row r="865" spans="15:17" ht="15.75" customHeight="1">
      <c r="O865" s="92"/>
      <c r="Q865" s="147"/>
    </row>
    <row r="866" spans="15:17" ht="15.75" customHeight="1">
      <c r="O866" s="92"/>
      <c r="Q866" s="147"/>
    </row>
    <row r="867" spans="15:17" ht="15.75" customHeight="1">
      <c r="O867" s="92"/>
      <c r="Q867" s="147"/>
    </row>
    <row r="868" spans="15:17" ht="15.75" customHeight="1">
      <c r="O868" s="92"/>
      <c r="Q868" s="147"/>
    </row>
    <row r="869" spans="15:17" ht="15.75" customHeight="1">
      <c r="O869" s="92"/>
      <c r="Q869" s="147"/>
    </row>
    <row r="870" spans="15:17" ht="15.75" customHeight="1">
      <c r="O870" s="92"/>
      <c r="Q870" s="147"/>
    </row>
    <row r="871" spans="15:17" ht="15.75" customHeight="1">
      <c r="O871" s="92"/>
      <c r="Q871" s="147"/>
    </row>
    <row r="872" spans="15:17" ht="15.75" customHeight="1">
      <c r="O872" s="92"/>
      <c r="Q872" s="147"/>
    </row>
    <row r="873" spans="15:17" ht="15.75" customHeight="1">
      <c r="O873" s="92"/>
      <c r="Q873" s="147"/>
    </row>
    <row r="874" spans="15:17" ht="15.75" customHeight="1">
      <c r="O874" s="92"/>
      <c r="Q874" s="147"/>
    </row>
    <row r="875" spans="15:17" ht="15.75" customHeight="1">
      <c r="O875" s="92"/>
      <c r="Q875" s="147"/>
    </row>
    <row r="876" spans="15:17" ht="15.75" customHeight="1">
      <c r="O876" s="92"/>
      <c r="Q876" s="147"/>
    </row>
    <row r="877" spans="15:17" ht="15.75" customHeight="1">
      <c r="O877" s="92"/>
      <c r="Q877" s="147"/>
    </row>
    <row r="878" spans="15:17" ht="15.75" customHeight="1">
      <c r="O878" s="92"/>
      <c r="Q878" s="147"/>
    </row>
    <row r="879" spans="15:17" ht="15.75" customHeight="1">
      <c r="O879" s="92"/>
      <c r="Q879" s="147"/>
    </row>
    <row r="880" spans="15:17" ht="15.75" customHeight="1">
      <c r="O880" s="92"/>
      <c r="Q880" s="147"/>
    </row>
    <row r="881" spans="15:17" ht="15.75" customHeight="1">
      <c r="O881" s="92"/>
      <c r="Q881" s="147"/>
    </row>
    <row r="882" spans="15:17" ht="15.75" customHeight="1">
      <c r="O882" s="92"/>
      <c r="Q882" s="147"/>
    </row>
    <row r="883" spans="15:17" ht="15.75" customHeight="1">
      <c r="O883" s="92"/>
      <c r="Q883" s="147"/>
    </row>
    <row r="884" spans="15:17" ht="15.75" customHeight="1">
      <c r="O884" s="92"/>
      <c r="Q884" s="147"/>
    </row>
    <row r="885" spans="15:17" ht="15.75" customHeight="1">
      <c r="O885" s="92"/>
      <c r="Q885" s="147"/>
    </row>
    <row r="886" spans="15:17" ht="15.75" customHeight="1">
      <c r="O886" s="92"/>
      <c r="Q886" s="147"/>
    </row>
    <row r="887" spans="15:17" ht="15.75" customHeight="1">
      <c r="O887" s="92"/>
      <c r="Q887" s="147"/>
    </row>
    <row r="888" spans="15:17" ht="15.75" customHeight="1">
      <c r="O888" s="92"/>
      <c r="Q888" s="147"/>
    </row>
    <row r="889" spans="15:17" ht="15.75" customHeight="1">
      <c r="O889" s="92"/>
      <c r="Q889" s="147"/>
    </row>
    <row r="890" spans="15:17" ht="15.75" customHeight="1">
      <c r="O890" s="92"/>
      <c r="Q890" s="147"/>
    </row>
    <row r="891" spans="15:17" ht="15.75" customHeight="1">
      <c r="O891" s="92"/>
      <c r="Q891" s="147"/>
    </row>
    <row r="892" spans="15:17" ht="15.75" customHeight="1">
      <c r="O892" s="92"/>
      <c r="Q892" s="147"/>
    </row>
    <row r="893" spans="15:17" ht="15.75" customHeight="1">
      <c r="O893" s="92"/>
      <c r="Q893" s="147"/>
    </row>
    <row r="894" spans="15:17" ht="15.75" customHeight="1">
      <c r="O894" s="92"/>
      <c r="Q894" s="147"/>
    </row>
    <row r="895" spans="15:17" ht="15.75" customHeight="1">
      <c r="O895" s="92"/>
      <c r="Q895" s="147"/>
    </row>
    <row r="896" spans="15:17" ht="15.75" customHeight="1">
      <c r="O896" s="92"/>
      <c r="Q896" s="147"/>
    </row>
    <row r="897" spans="15:17" ht="15.75" customHeight="1">
      <c r="O897" s="92"/>
      <c r="Q897" s="147"/>
    </row>
    <row r="898" spans="15:17" ht="15.75" customHeight="1">
      <c r="O898" s="92"/>
      <c r="Q898" s="147"/>
    </row>
    <row r="899" spans="15:17" ht="15.75" customHeight="1">
      <c r="O899" s="92"/>
      <c r="Q899" s="147"/>
    </row>
    <row r="900" spans="15:17" ht="15.75" customHeight="1">
      <c r="O900" s="92"/>
      <c r="Q900" s="147"/>
    </row>
    <row r="901" spans="15:17" ht="15.75" customHeight="1">
      <c r="O901" s="92"/>
      <c r="Q901" s="147"/>
    </row>
    <row r="902" spans="15:17" ht="15.75" customHeight="1">
      <c r="O902" s="92"/>
      <c r="Q902" s="147"/>
    </row>
    <row r="903" spans="15:17" ht="15.75" customHeight="1">
      <c r="O903" s="92"/>
      <c r="Q903" s="147"/>
    </row>
    <row r="904" spans="15:17" ht="15.75" customHeight="1">
      <c r="O904" s="92"/>
      <c r="Q904" s="147"/>
    </row>
    <row r="905" spans="15:17" ht="15.75" customHeight="1">
      <c r="O905" s="92"/>
      <c r="Q905" s="147"/>
    </row>
    <row r="906" spans="15:17" ht="15.75" customHeight="1">
      <c r="O906" s="92"/>
      <c r="Q906" s="147"/>
    </row>
    <row r="907" spans="15:17" ht="15.75" customHeight="1">
      <c r="O907" s="92"/>
      <c r="Q907" s="147"/>
    </row>
    <row r="908" spans="15:17" ht="15.75" customHeight="1">
      <c r="O908" s="92"/>
      <c r="Q908" s="147"/>
    </row>
    <row r="909" spans="15:17" ht="15.75" customHeight="1">
      <c r="O909" s="92"/>
      <c r="Q909" s="147"/>
    </row>
    <row r="910" spans="15:17" ht="15.75" customHeight="1">
      <c r="O910" s="92"/>
      <c r="Q910" s="147"/>
    </row>
    <row r="911" spans="15:17" ht="15.75" customHeight="1">
      <c r="O911" s="92"/>
      <c r="Q911" s="147"/>
    </row>
    <row r="912" spans="15:17" ht="15.75" customHeight="1">
      <c r="O912" s="92"/>
      <c r="Q912" s="147"/>
    </row>
    <row r="913" spans="15:17" ht="15.75" customHeight="1">
      <c r="O913" s="92"/>
      <c r="Q913" s="147"/>
    </row>
    <row r="914" spans="15:17" ht="15.75" customHeight="1">
      <c r="O914" s="92"/>
      <c r="Q914" s="147"/>
    </row>
    <row r="915" spans="15:17" ht="15.75" customHeight="1">
      <c r="O915" s="92"/>
      <c r="Q915" s="147"/>
    </row>
    <row r="916" spans="15:17" ht="15.75" customHeight="1">
      <c r="O916" s="92"/>
      <c r="Q916" s="147"/>
    </row>
    <row r="917" spans="15:17" ht="15.75" customHeight="1">
      <c r="O917" s="92"/>
      <c r="Q917" s="147"/>
    </row>
    <row r="918" spans="15:17" ht="15.75" customHeight="1">
      <c r="O918" s="92"/>
      <c r="Q918" s="147"/>
    </row>
    <row r="919" spans="15:17" ht="15.75" customHeight="1">
      <c r="O919" s="92"/>
      <c r="Q919" s="147"/>
    </row>
    <row r="920" spans="15:17" ht="15.75" customHeight="1">
      <c r="O920" s="92"/>
      <c r="Q920" s="147"/>
    </row>
    <row r="921" spans="15:17" ht="15.75" customHeight="1">
      <c r="O921" s="92"/>
      <c r="Q921" s="147"/>
    </row>
    <row r="922" spans="15:17" ht="15.75" customHeight="1">
      <c r="O922" s="92"/>
      <c r="Q922" s="147"/>
    </row>
    <row r="923" spans="15:17" ht="15.75" customHeight="1">
      <c r="O923" s="92"/>
      <c r="Q923" s="147"/>
    </row>
    <row r="924" spans="15:17" ht="15.75" customHeight="1">
      <c r="O924" s="92"/>
      <c r="Q924" s="147"/>
    </row>
    <row r="925" spans="15:17" ht="15.75" customHeight="1">
      <c r="O925" s="92"/>
      <c r="Q925" s="147"/>
    </row>
    <row r="926" spans="15:17" ht="15.75" customHeight="1">
      <c r="O926" s="92"/>
      <c r="Q926" s="147"/>
    </row>
    <row r="927" spans="15:17" ht="15.75" customHeight="1">
      <c r="O927" s="92"/>
      <c r="Q927" s="147"/>
    </row>
    <row r="928" spans="15:17" ht="15.75" customHeight="1">
      <c r="O928" s="92"/>
      <c r="Q928" s="147"/>
    </row>
    <row r="929" spans="15:17" ht="15.75" customHeight="1">
      <c r="O929" s="92"/>
      <c r="Q929" s="147"/>
    </row>
    <row r="930" spans="15:17" ht="15.75" customHeight="1">
      <c r="O930" s="92"/>
      <c r="Q930" s="147"/>
    </row>
    <row r="931" spans="15:17" ht="15.75" customHeight="1">
      <c r="O931" s="92"/>
      <c r="Q931" s="147"/>
    </row>
    <row r="932" spans="15:17" ht="15.75" customHeight="1">
      <c r="O932" s="92"/>
      <c r="Q932" s="147"/>
    </row>
    <row r="933" spans="15:17" ht="15.75" customHeight="1">
      <c r="O933" s="92"/>
      <c r="Q933" s="147"/>
    </row>
    <row r="934" spans="15:17" ht="15.75" customHeight="1">
      <c r="O934" s="92"/>
      <c r="Q934" s="147"/>
    </row>
    <row r="935" spans="15:17" ht="15.75" customHeight="1">
      <c r="O935" s="92"/>
      <c r="Q935" s="147"/>
    </row>
    <row r="936" spans="15:17" ht="15.75" customHeight="1">
      <c r="O936" s="92"/>
      <c r="Q936" s="147"/>
    </row>
    <row r="937" spans="15:17" ht="15.75" customHeight="1">
      <c r="O937" s="92"/>
      <c r="Q937" s="147"/>
    </row>
    <row r="938" spans="15:17" ht="15.75" customHeight="1">
      <c r="O938" s="92"/>
      <c r="Q938" s="147"/>
    </row>
    <row r="939" spans="15:17" ht="15.75" customHeight="1">
      <c r="O939" s="92"/>
      <c r="Q939" s="147"/>
    </row>
    <row r="940" spans="15:17" ht="15.75" customHeight="1">
      <c r="O940" s="92"/>
      <c r="Q940" s="147"/>
    </row>
    <row r="941" spans="15:17" ht="15.75" customHeight="1">
      <c r="O941" s="92"/>
      <c r="Q941" s="147"/>
    </row>
    <row r="942" spans="15:17" ht="15.75" customHeight="1">
      <c r="O942" s="92"/>
      <c r="Q942" s="147"/>
    </row>
    <row r="943" spans="15:17" ht="15.75" customHeight="1">
      <c r="O943" s="92"/>
      <c r="Q943" s="147"/>
    </row>
    <row r="944" spans="15:17">
      <c r="Q944" s="147"/>
    </row>
  </sheetData>
  <customSheetViews>
    <customSheetView guid="{40633660-D14D-4507-8AAB-2F75448D5D64}" filter="1" showAutoFilter="1">
      <pageMargins left="0.7" right="0.7" top="0.75" bottom="0.75" header="0.3" footer="0.3"/>
      <autoFilter ref="A9:Z85" xr:uid="{32BF373D-3F78-724F-B73F-6BD1896A787A}">
        <filterColumn colId="15">
          <filters>
            <filter val="TRUE"/>
          </filters>
        </filterColumn>
        <filterColumn colId="19">
          <filters>
            <filter val="RE02024000000425-RE02024000000506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8"/>
            <filter val="RE02024000000482"/>
            <filter val="RE02024000000483"/>
            <filter val="RE02024000000484"/>
            <filter val="RE02024000000489"/>
            <filter val="RE02024000000494"/>
            <filter val="RE02024000000495"/>
            <filter val="RE02024000000504"/>
            <filter val="RE02024000000567"/>
          </filters>
        </filterColumn>
      </autoFilter>
    </customSheetView>
    <customSheetView guid="{E661CD77-B31F-4C3C-8CD5-3A6BB7A3C70D}" filter="1" showAutoFilter="1">
      <pageMargins left="0.7" right="0.7" top="0.75" bottom="0.75" header="0.3" footer="0.3"/>
      <autoFilter ref="A9:Z123" xr:uid="{FBD06C75-8AAB-7348-9A11-E624EBB4052A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33795E09-EF38-4617-B78D-EEB628861E32}" filter="1" showAutoFilter="1">
      <pageMargins left="0.7" right="0.7" top="0.75" bottom="0.75" header="0.3" footer="0.3"/>
      <autoFilter ref="A9:Z109" xr:uid="{24D89E46-CC91-5A46-A3FE-B313652D92F0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400.00 TL"/>
            <filter val="15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900.00 TL"/>
            <filter val="210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0B0580CB-5201-44AB-95E0-AAB9E5DAEEB3}" filter="1" showAutoFilter="1">
      <pageMargins left="0.7" right="0.7" top="0.75" bottom="0.75" header="0.3" footer="0.3"/>
      <autoFilter ref="A9:Z85" xr:uid="{5501679E-DB65-744D-8BC6-5ABCA5B8A24E}">
        <filterColumn colId="20">
          <filters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64.00 TL"/>
            <filter val="1,800.00 TL"/>
            <filter val="1,850.00 TL"/>
            <filter val="1,875.00 TL"/>
            <filter val="1,916.40 TL"/>
            <filter val="10,400.00 TL"/>
            <filter val="2,250.00 TL"/>
            <filter val="2,400.00 TL"/>
            <filter val="2,460.00 TL"/>
            <filter val="2,500.00 TL"/>
            <filter val="210.00 TL"/>
            <filter val="3,000.00 TL"/>
            <filter val="3,500.00 TL"/>
            <filter val="3,600.00 TL"/>
            <filter val="3,625.00 TL"/>
            <filter val="3,780.00 TL"/>
            <filter val="320.00 TL"/>
            <filter val="350.00 TL"/>
            <filter val="375.00 TL"/>
            <filter val="4,000.00 TL"/>
            <filter val="4,500.00 TL"/>
            <filter val="4,600.00 TL"/>
            <filter val="400.00 TL"/>
            <filter val="450.00 TL"/>
            <filter val="500.00 TL"/>
            <filter val="540.00 TL"/>
            <filter val="6,000.00 TL"/>
            <filter val="600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27F7A4B9-CEF3-48FF-B387-0C81D33048BC}" filter="1" showAutoFilter="1">
      <pageMargins left="0.7" right="0.7" top="0.75" bottom="0.75" header="0.3" footer="0.3"/>
      <autoFilter ref="A9:Z147" xr:uid="{C35D5911-C624-754E-BC44-86E15B2E7A15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3F0A35D3-9A77-4A14-9499-EF36E3940A95}" filter="1" showAutoFilter="1">
      <pageMargins left="0.7" right="0.7" top="0.75" bottom="0.75" header="0.3" footer="0.3"/>
      <autoFilter ref="A9:Z123" xr:uid="{12317A15-CAE9-FF48-8897-E7253254D1C0}">
        <filterColumn colId="15">
          <filters>
            <filter val="TRUE"/>
          </filters>
        </filterColumn>
        <filterColumn colId="19">
          <filters>
            <filter val="RE02024000000425-RE02024000000506"/>
            <filter val="RE02024000000465-RE02024000000507"/>
            <filter val="RE02024000000494"/>
            <filter val="RE02024000000495"/>
            <filter val="RE02024000000496"/>
            <filter val="RE02024000000497"/>
            <filter val="RE02024000000498"/>
            <filter val="RE02024000000500"/>
            <filter val="RE02024000000501"/>
            <filter val="RE02024000000502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F86C0712-89BA-473B-A384-E1088865C57F}" filter="1" showAutoFilter="1">
      <pageMargins left="0.7" right="0.7" top="0.75" bottom="0.75" header="0.3" footer="0.3"/>
      <autoFilter ref="A9:Z109" xr:uid="{9F391116-1A53-EC4E-9C87-93D42C0151CA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400.00 TL"/>
            <filter val="15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900.00 TL"/>
            <filter val="210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A3D0C1B3-1214-411E-8919-2C9FA68EBA0B}" filter="1" showAutoFilter="1">
      <pageMargins left="0.7" right="0.7" top="0.75" bottom="0.75" header="0.3" footer="0.3"/>
      <autoFilter ref="A9:Z109" xr:uid="{F71E0E45-1F00-9C42-A060-50572B8AAA54}">
        <filterColumn colId="15">
          <filters>
            <filter val="TRUE"/>
          </filters>
        </filterColumn>
        <filterColumn colId="19">
          <filters>
            <filter val="RE02024000000425-RE02024000000506"/>
            <filter val="RE02024000000465-RE02024000000507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4"/>
            <filter val="RE02024000000495"/>
            <filter val="RE02024000000496"/>
            <filter val="RE02024000000497"/>
            <filter val="RE02024000000504"/>
            <filter val="RE02024000000510"/>
            <filter val="RE02024000000511"/>
            <filter val="RE02024000000516"/>
            <filter val="RE02024000000517"/>
            <filter val="RE02024000000567"/>
            <filter val="RE02024000000568"/>
            <filter val="RE02024000000569"/>
            <filter val="RE02024000000570"/>
            <filter val="RE02024000000572"/>
          </filters>
        </filterColumn>
      </autoFilter>
    </customSheetView>
    <customSheetView guid="{80969A39-7711-4B04-A97F-757E47D9C537}" filter="1" showAutoFilter="1">
      <pageMargins left="0.7" right="0.7" top="0.75" bottom="0.75" header="0.3" footer="0.3"/>
      <autoFilter ref="A9:Z147" xr:uid="{848D3B92-F04B-4648-BD9E-E9D8B2A31468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2A32A583-5FFF-4329-A9AB-FB460B8875F5}" filter="1" showAutoFilter="1">
      <pageMargins left="0.7" right="0.7" top="0.75" bottom="0.75" header="0.3" footer="0.3"/>
      <autoFilter ref="A9:Z123" xr:uid="{2F12EE18-F688-6C42-9FED-BBCFACE0DE7A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AB3EE88F-CAD3-4D5E-B2FF-371DDEE3ECEF}" filter="1" showAutoFilter="1">
      <pageMargins left="0.7" right="0.7" top="0.75" bottom="0.75" header="0.3" footer="0.3"/>
      <autoFilter ref="A9:Z109" xr:uid="{907B4CF3-F782-DD43-A695-916D3B668BE9}">
        <filterColumn colId="15">
          <filters>
            <filter val="TRUE"/>
          </filters>
        </filterColumn>
        <filterColumn colId="19">
          <filters>
            <filter val="RE02024000000425-RE02024000000506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4"/>
            <filter val="RE02024000000495"/>
            <filter val="RE02024000000496"/>
            <filter val="RE02024000000497"/>
            <filter val="RE02024000000504"/>
            <filter val="RE02024000000510"/>
            <filter val="RE02024000000511"/>
            <filter val="RE02024000000516"/>
            <filter val="RE02024000000517"/>
            <filter val="RE02024000000567"/>
            <filter val="RE02024000000568"/>
            <filter val="RE02024000000569"/>
            <filter val="RE02024000000570"/>
            <filter val="RE02024000000572"/>
          </filters>
        </filterColumn>
      </autoFilter>
    </customSheetView>
    <customSheetView guid="{A88120E2-7AF7-4F3D-82AF-D97CC58D97AE}" filter="1" showAutoFilter="1">
      <pageMargins left="0.7" right="0.7" top="0.75" bottom="0.75" header="0.3" footer="0.3"/>
      <autoFilter ref="A9:Z123" xr:uid="{90A7D20D-98DA-DC4D-BEF8-557E8B05237A}">
        <filterColumn colId="15">
          <filters>
            <filter val="TRUE"/>
          </filters>
        </filterColumn>
        <filterColumn colId="19">
          <filters>
            <filter val="RE02024000000409"/>
            <filter val="RE02024000000410"/>
            <filter val="RE02024000000411"/>
            <filter val="RE02024000000412"/>
            <filter val="RE02024000000413"/>
            <filter val="RE02024000000414"/>
            <filter val="RE02024000000415"/>
            <filter val="RE02024000000416"/>
            <filter val="RE02024000000419"/>
            <filter val="RE02024000000420"/>
            <filter val="RE02024000000423"/>
            <filter val="RE02024000000424"/>
            <filter val="RE02024000000425-RE02024000000506"/>
            <filter val="RE02024000000426"/>
            <filter val="RE02024000000427"/>
            <filter val="RE02024000000432"/>
            <filter val="RE02024000000433"/>
            <filter val="RE02024000000434"/>
            <filter val="RE02024000000435"/>
            <filter val="RE02024000000436"/>
            <filter val="RE02024000000437"/>
            <filter val="RE02024000000438"/>
            <filter val="RE02024000000439"/>
            <filter val="RE02024000000440"/>
            <filter val="RE02024000000441"/>
            <filter val="RE02024000000442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2"/>
            <filter val="RE02024000000494"/>
            <filter val="RE02024000000495"/>
            <filter val="RE02024000000496"/>
            <filter val="RE02024000000497"/>
            <filter val="RE02024000000498"/>
            <filter val="RE02024000000500"/>
            <filter val="RE02024000000501"/>
            <filter val="RE02024000000502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772B0D36-4A99-4024-A175-9F9DAD74B061}" filter="1" showAutoFilter="1">
      <pageMargins left="0.7" right="0.7" top="0.75" bottom="0.75" header="0.3" footer="0.3"/>
      <autoFilter ref="A9:Z123" xr:uid="{D0243B90-86A4-8945-AA8E-55A1BC49243C}">
        <filterColumn colId="15">
          <filters>
            <filter val="TRUE"/>
          </filters>
        </filterColumn>
        <filterColumn colId="19">
          <filters>
            <filter val="RE02024000000425-RE02024000000506"/>
            <filter val="RE02024000000465-RE02024000000507"/>
            <filter val="RE02024000000491"/>
            <filter val="RE02024000000492"/>
            <filter val="RE02024000000494"/>
            <filter val="RE02024000000495"/>
            <filter val="RE02024000000496"/>
            <filter val="RE02024000000497"/>
            <filter val="RE02024000000498"/>
            <filter val="RE02024000000500"/>
            <filter val="RE02024000000501"/>
            <filter val="RE02024000000502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9DA415C6-D16E-4ADE-8A63-89A6B22E7D22}" filter="1" showAutoFilter="1">
      <pageMargins left="0.7" right="0.7" top="0.75" bottom="0.75" header="0.3" footer="0.3"/>
      <autoFilter ref="A9:Z85" xr:uid="{D93D9FCC-F3AE-7A45-910D-E8D6B5273E3C}">
        <filterColumn colId="20">
          <filters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64.00 TL"/>
            <filter val="1,800.00 TL"/>
            <filter val="1,850.00 TL"/>
            <filter val="1,875.00 TL"/>
            <filter val="1,916.40 TL"/>
            <filter val="10,400.00 TL"/>
            <filter val="2,250.00 TL"/>
            <filter val="2,400.00 TL"/>
            <filter val="2,460.00 TL"/>
            <filter val="2,500.00 TL"/>
            <filter val="210.00 TL"/>
            <filter val="3,000.00 TL"/>
            <filter val="3,500.00 TL"/>
            <filter val="3,600.00 TL"/>
            <filter val="3,625.00 TL"/>
            <filter val="3,780.00 TL"/>
            <filter val="320.00 TL"/>
            <filter val="350.00 TL"/>
            <filter val="375.00 TL"/>
            <filter val="4,000.00 TL"/>
            <filter val="4,500.00 TL"/>
            <filter val="4,600.00 TL"/>
            <filter val="400.00 TL"/>
            <filter val="450.00 TL"/>
            <filter val="500.00 TL"/>
            <filter val="540.00 TL"/>
            <filter val="6,000.00 TL"/>
            <filter val="600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2207CBB1-B653-4DCA-B373-BDA845BB1154}" filter="1" showAutoFilter="1">
      <pageMargins left="0.7" right="0.7" top="0.75" bottom="0.75" header="0.3" footer="0.3"/>
      <autoFilter ref="A9:Z85" xr:uid="{8A39B4DB-F57D-BF49-AB4F-079BA5B10B93}">
        <filterColumn colId="15">
          <filters>
            <filter val="TRUE"/>
          </filters>
        </filterColumn>
        <filterColumn colId="19">
          <filters>
            <filter val="RE02024000000425-RE02024000000506"/>
            <filter val="RE02024000000432"/>
            <filter val="RE02024000000433"/>
            <filter val="RE02024000000434"/>
            <filter val="RE02024000000435"/>
            <filter val="RE02024000000436"/>
            <filter val="RE02024000000437"/>
            <filter val="RE02024000000438"/>
            <filter val="RE02024000000439"/>
            <filter val="RE02024000000440"/>
            <filter val="RE02024000000441"/>
            <filter val="RE02024000000442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8"/>
            <filter val="RE02024000000482"/>
            <filter val="RE02024000000483"/>
            <filter val="RE02024000000484"/>
            <filter val="RE02024000000489"/>
            <filter val="RE02024000000494"/>
            <filter val="RE02024000000495"/>
            <filter val="RE02024000000504"/>
            <filter val="RE02024000000567"/>
          </filters>
        </filterColumn>
      </autoFilter>
    </customSheetView>
    <customSheetView guid="{83452753-A2E5-4895-AC39-2857EB4185A4}" filter="1" showAutoFilter="1">
      <pageMargins left="0.7" right="0.7" top="0.75" bottom="0.75" header="0.3" footer="0.3"/>
      <autoFilter ref="A9:Z85" xr:uid="{C4422A45-486C-1C42-9A4F-371E3E4C8509}">
        <filterColumn colId="20">
          <filters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64.00 TL"/>
            <filter val="1,800.00 TL"/>
            <filter val="1,850.00 TL"/>
            <filter val="1,875.00 TL"/>
            <filter val="1,916.40 TL"/>
            <filter val="10,400.00 TL"/>
            <filter val="2,250.00 TL"/>
            <filter val="2,400.00 TL"/>
            <filter val="2,460.00 TL"/>
            <filter val="2,500.00 TL"/>
            <filter val="210.00 TL"/>
            <filter val="3,000.00 TL"/>
            <filter val="3,500.00 TL"/>
            <filter val="3,600.00 TL"/>
            <filter val="3,625.00 TL"/>
            <filter val="3,780.00 TL"/>
            <filter val="320.00 TL"/>
            <filter val="350.00 TL"/>
            <filter val="375.00 TL"/>
            <filter val="4,000.00 TL"/>
            <filter val="4,500.00 TL"/>
            <filter val="4,600.00 TL"/>
            <filter val="400.00 TL"/>
            <filter val="450.00 TL"/>
            <filter val="500.00 TL"/>
            <filter val="540.00 TL"/>
            <filter val="6,000.00 TL"/>
            <filter val="600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2F330B0C-BB40-4D95-9FAB-EBC1E02E543B}" filter="1" showAutoFilter="1">
      <pageMargins left="0.7" right="0.7" top="0.75" bottom="0.75" header="0.3" footer="0.3"/>
      <autoFilter ref="A9:Z109" xr:uid="{F80276C1-98AC-9C47-99FB-1D37E594E977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400.00 TL"/>
            <filter val="15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900.00 TL"/>
            <filter val="210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183C6621-82E3-4B2D-9ED7-BFB1F0F7BFEB}" filter="1" showAutoFilter="1">
      <pageMargins left="0.7" right="0.7" top="0.75" bottom="0.75" header="0.3" footer="0.3"/>
      <autoFilter ref="A9:Z123" xr:uid="{66195C34-6299-9C47-96B0-3C5ED9BC7162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0C67F4AD-E116-40FF-973D-584D89EF9B9A}" filter="1" showAutoFilter="1">
      <pageMargins left="0.7" right="0.7" top="0.75" bottom="0.75" header="0.3" footer="0.3"/>
      <autoFilter ref="A9:Z85" xr:uid="{0FA27A11-6B1A-2340-95D4-D9E82D0E301A}">
        <filterColumn colId="20">
          <filters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64.00 TL"/>
            <filter val="1,800.00 TL"/>
            <filter val="1,850.00 TL"/>
            <filter val="1,875.00 TL"/>
            <filter val="1,916.40 TL"/>
            <filter val="10,400.00 TL"/>
            <filter val="2,250.00 TL"/>
            <filter val="2,400.00 TL"/>
            <filter val="2,460.00 TL"/>
            <filter val="2,500.00 TL"/>
            <filter val="210.00 TL"/>
            <filter val="3,000.00 TL"/>
            <filter val="3,500.00 TL"/>
            <filter val="3,600.00 TL"/>
            <filter val="3,625.00 TL"/>
            <filter val="3,780.00 TL"/>
            <filter val="320.00 TL"/>
            <filter val="350.00 TL"/>
            <filter val="375.00 TL"/>
            <filter val="4,000.00 TL"/>
            <filter val="4,500.00 TL"/>
            <filter val="4,600.00 TL"/>
            <filter val="400.00 TL"/>
            <filter val="450.00 TL"/>
            <filter val="500.00 TL"/>
            <filter val="540.00 TL"/>
            <filter val="6,000.00 TL"/>
            <filter val="600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C050A20F-9133-4310-B977-731B60776A95}" filter="1" showAutoFilter="1">
      <pageMargins left="0.7" right="0.7" top="0.75" bottom="0.75" header="0.3" footer="0.3"/>
      <autoFilter ref="A9:Z85" xr:uid="{C59A277F-299D-9E4E-9882-F25EAD45F041}">
        <filterColumn colId="15">
          <filters>
            <filter val="TRUE"/>
          </filters>
        </filterColumn>
        <filterColumn colId="19">
          <filters>
            <filter val="RE02024000000425-RE02024000000506"/>
            <filter val="RE02024000000432"/>
            <filter val="RE02024000000433"/>
            <filter val="RE02024000000434"/>
            <filter val="RE02024000000435"/>
            <filter val="RE02024000000436"/>
            <filter val="RE02024000000437"/>
            <filter val="RE02024000000438"/>
            <filter val="RE02024000000439"/>
            <filter val="RE02024000000440"/>
            <filter val="RE02024000000441"/>
            <filter val="RE02024000000442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8"/>
            <filter val="RE02024000000482"/>
            <filter val="RE02024000000483"/>
            <filter val="RE02024000000484"/>
            <filter val="RE02024000000489"/>
            <filter val="RE02024000000494"/>
            <filter val="RE02024000000495"/>
            <filter val="RE02024000000504"/>
            <filter val="RE02024000000567"/>
          </filters>
        </filterColumn>
      </autoFilter>
    </customSheetView>
    <customSheetView guid="{825CFE42-E38F-4327-A52B-EA014762B8A6}" filter="1" showAutoFilter="1">
      <pageMargins left="0.7" right="0.7" top="0.75" bottom="0.75" header="0.3" footer="0.3"/>
      <autoFilter ref="A9:Z147" xr:uid="{F9E28B75-8BE8-9B47-9D14-888447F7A6B9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76FE80B7-048A-4848-BCC4-616193A540D1}" filter="1" showAutoFilter="1">
      <pageMargins left="0.7" right="0.7" top="0.75" bottom="0.75" header="0.3" footer="0.3"/>
      <autoFilter ref="A9:Z123" xr:uid="{1CD3465D-9AF8-1F43-94BD-E4CDDF3671CA}">
        <filterColumn colId="15">
          <filters>
            <filter val="TRUE"/>
          </filters>
        </filterColumn>
        <filterColumn colId="19">
          <filters>
            <filter val="RE02024000000409"/>
            <filter val="RE02024000000410"/>
            <filter val="RE02024000000411"/>
            <filter val="RE02024000000412"/>
            <filter val="RE02024000000413"/>
            <filter val="RE02024000000414"/>
            <filter val="RE02024000000415"/>
            <filter val="RE02024000000416"/>
            <filter val="RE02024000000419"/>
            <filter val="RE02024000000420"/>
            <filter val="RE02024000000423"/>
            <filter val="RE02024000000424"/>
            <filter val="RE02024000000425-RE02024000000506"/>
            <filter val="RE02024000000426"/>
            <filter val="RE02024000000427"/>
            <filter val="RE02024000000432"/>
            <filter val="RE02024000000433"/>
            <filter val="RE02024000000434"/>
            <filter val="RE02024000000435"/>
            <filter val="RE02024000000436"/>
            <filter val="RE02024000000437"/>
            <filter val="RE02024000000438"/>
            <filter val="RE02024000000439"/>
            <filter val="RE02024000000440"/>
            <filter val="RE02024000000441"/>
            <filter val="RE02024000000442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2"/>
            <filter val="RE02024000000494"/>
            <filter val="RE02024000000495"/>
            <filter val="RE02024000000496"/>
            <filter val="RE02024000000497"/>
            <filter val="RE02024000000498"/>
            <filter val="RE02024000000500"/>
            <filter val="RE02024000000501"/>
            <filter val="RE02024000000502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35D94E68-361A-447A-93C5-620C1CE60B05}" filter="1" showAutoFilter="1">
      <pageMargins left="0.7" right="0.7" top="0.75" bottom="0.75" header="0.3" footer="0.3"/>
      <autoFilter ref="A9:Z109" xr:uid="{6201BD2A-0A07-104C-8908-B175A94A9D6F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400.00 TL"/>
            <filter val="15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900.00 TL"/>
            <filter val="210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C13C60AA-B3BC-4446-AA19-480F740F36DD}" filter="1" showAutoFilter="1">
      <pageMargins left="0.7" right="0.7" top="0.75" bottom="0.75" header="0.3" footer="0.3"/>
      <autoFilter ref="A9:Z147" xr:uid="{4FC67F49-FDA3-5143-A539-6948C1ECFFDA}">
        <filterColumn colId="19">
          <filters blank="1">
            <filter val="RE02024000000409"/>
            <filter val="RE02024000000410"/>
            <filter val="RE02024000000411"/>
            <filter val="RE02024000000412"/>
            <filter val="RE02024000000413"/>
            <filter val="RE02024000000414"/>
            <filter val="RE02024000000415"/>
            <filter val="RE02024000000416"/>
            <filter val="RE02024000000419"/>
            <filter val="RE02024000000420"/>
            <filter val="RE02024000000423"/>
            <filter val="RE02024000000424"/>
            <filter val="RE02024000000425-RE02024000000506"/>
            <filter val="RE02024000000426"/>
            <filter val="RE02024000000427"/>
            <filter val="RE02024000000432"/>
            <filter val="RE02024000000433"/>
            <filter val="RE02024000000434"/>
            <filter val="RE02024000000435"/>
            <filter val="RE02024000000436"/>
            <filter val="RE02024000000437"/>
            <filter val="RE02024000000438"/>
            <filter val="RE02024000000439"/>
            <filter val="RE02024000000440"/>
            <filter val="RE02024000000441"/>
            <filter val="RE02024000000442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2"/>
            <filter val="RE02024000000494"/>
            <filter val="RE02024000000495"/>
            <filter val="RE02024000000496"/>
            <filter val="RE02024000000497"/>
            <filter val="RE02024000000498"/>
            <filter val="RE02024000000500"/>
            <filter val="RE02024000000501"/>
            <filter val="RE02024000000502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CEF88DD0-1604-4B95-9A0A-613F636F67B5}" filter="1" showAutoFilter="1">
      <pageMargins left="0.7" right="0.7" top="0.75" bottom="0.75" header="0.3" footer="0.3"/>
      <autoFilter ref="A9:Z147" xr:uid="{D5D8B435-41D7-024B-82BD-E5D684E99EB6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FF771FF5-0C19-4FC1-8B9D-FCCC8E4FDA7F}" filter="1" showAutoFilter="1">
      <pageMargins left="0.7" right="0.7" top="0.75" bottom="0.75" header="0.3" footer="0.3"/>
      <autoFilter ref="A9:Z123" xr:uid="{BB634BFF-7C85-5D40-833B-18B44DD5FF0C}">
        <filterColumn colId="19">
          <filters>
            <filter val="RE02024000000425-RE02024000000506"/>
            <filter val="RE02024000000465-RE02024000000507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4FB5B25D-07EC-4AD4-89DF-44489CD85001}" filter="1" showAutoFilter="1">
      <pageMargins left="0.7" right="0.7" top="0.75" bottom="0.75" header="0.3" footer="0.3"/>
      <autoFilter ref="A9:Z123" xr:uid="{E5A48DE0-1437-874C-9390-F6DE40C4EEAF}">
        <filterColumn colId="15">
          <filters>
            <filter val="TRUE"/>
          </filters>
        </filterColumn>
        <filterColumn colId="19">
          <filters>
            <filter val="RE02024000000409"/>
            <filter val="RE02024000000410"/>
            <filter val="RE02024000000411"/>
            <filter val="RE02024000000412"/>
            <filter val="RE02024000000413"/>
            <filter val="RE02024000000414"/>
            <filter val="RE02024000000415"/>
            <filter val="RE02024000000416"/>
            <filter val="RE02024000000419"/>
            <filter val="RE02024000000420"/>
            <filter val="RE02024000000423"/>
            <filter val="RE02024000000424"/>
            <filter val="RE02024000000425-RE02024000000506"/>
            <filter val="RE02024000000426"/>
            <filter val="RE02024000000427"/>
            <filter val="RE02024000000432"/>
            <filter val="RE02024000000433"/>
            <filter val="RE02024000000434"/>
            <filter val="RE02024000000435"/>
            <filter val="RE02024000000436"/>
            <filter val="RE02024000000437"/>
            <filter val="RE02024000000438"/>
            <filter val="RE02024000000439"/>
            <filter val="RE02024000000440"/>
            <filter val="RE02024000000441"/>
            <filter val="RE02024000000442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2"/>
            <filter val="RE02024000000494"/>
            <filter val="RE02024000000495"/>
            <filter val="RE02024000000496"/>
            <filter val="RE02024000000497"/>
            <filter val="RE02024000000498"/>
            <filter val="RE02024000000500"/>
            <filter val="RE02024000000501"/>
            <filter val="RE02024000000502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FE3E62DE-4CB7-4BB9-873B-C0E5A641A3C7}" filter="1" showAutoFilter="1">
      <pageMargins left="0.7" right="0.7" top="0.75" bottom="0.75" header="0.3" footer="0.3"/>
      <autoFilter ref="A9:Z147" xr:uid="{FFEC17FA-ED7B-FA4A-A4A6-A41E9DF78794}">
        <filterColumn colId="15">
          <filters>
            <filter val="TRUE"/>
          </filters>
        </filterColumn>
        <filterColumn colId="19">
          <filters blank="1">
            <filter val="RE02024000000409"/>
            <filter val="RE02024000000410"/>
            <filter val="RE02024000000411"/>
            <filter val="RE02024000000412"/>
            <filter val="RE02024000000413"/>
            <filter val="RE02024000000414"/>
            <filter val="RE02024000000415"/>
            <filter val="RE02024000000416"/>
            <filter val="RE02024000000419"/>
            <filter val="RE02024000000420"/>
            <filter val="RE02024000000423"/>
            <filter val="RE02024000000424"/>
            <filter val="RE02024000000425-RE02024000000506"/>
            <filter val="RE02024000000426"/>
            <filter val="RE02024000000427"/>
            <filter val="RE02024000000432"/>
            <filter val="RE02024000000433"/>
            <filter val="RE02024000000434"/>
            <filter val="RE02024000000435"/>
            <filter val="RE02024000000436"/>
            <filter val="RE02024000000437"/>
            <filter val="RE02024000000438"/>
            <filter val="RE02024000000439"/>
            <filter val="RE02024000000440"/>
            <filter val="RE02024000000441"/>
            <filter val="RE02024000000442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2"/>
            <filter val="RE02024000000494"/>
            <filter val="RE02024000000495"/>
            <filter val="RE02024000000496"/>
            <filter val="RE02024000000497"/>
            <filter val="RE02024000000498"/>
            <filter val="RE02024000000500"/>
            <filter val="RE02024000000501"/>
            <filter val="RE02024000000502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9E93544A-5152-4ABF-B1AB-D7952726683C}" filter="1" showAutoFilter="1">
      <pageMargins left="0.7" right="0.7" top="0.75" bottom="0.75" header="0.3" footer="0.3"/>
      <autoFilter ref="A9:Z109" xr:uid="{CF4E8241-DE51-484E-876E-44454EB8EC94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400.00 TL"/>
            <filter val="15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900.00 TL"/>
            <filter val="210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C001D0BF-773D-48AF-8B1B-6C89B000FA58}" filter="1" showAutoFilter="1">
      <pageMargins left="0.7" right="0.7" top="0.75" bottom="0.75" header="0.3" footer="0.3"/>
      <autoFilter ref="A9:Z170" xr:uid="{B55238AA-20DB-F14E-BF77-2778DC2A479E}">
        <filterColumn colId="15">
          <filters>
            <filter val="TRUE"/>
          </filters>
        </filterColumn>
        <filterColumn colId="19">
          <filters blank="1">
            <filter val="RE02024000000409"/>
            <filter val="RE02024000000410"/>
            <filter val="RE02024000000411"/>
            <filter val="RE02024000000412"/>
            <filter val="RE02024000000413"/>
            <filter val="RE02024000000414"/>
            <filter val="RE02024000000415"/>
            <filter val="RE02024000000416"/>
            <filter val="RE02024000000419"/>
            <filter val="RE02024000000420"/>
            <filter val="RE02024000000423"/>
            <filter val="RE02024000000424"/>
            <filter val="RE02024000000425-RE02024000000506"/>
            <filter val="RE02024000000426"/>
            <filter val="RE02024000000427"/>
            <filter val="RE02024000000432"/>
            <filter val="RE02024000000433"/>
            <filter val="RE02024000000434"/>
            <filter val="RE02024000000435"/>
            <filter val="RE02024000000436"/>
            <filter val="RE02024000000437"/>
            <filter val="RE02024000000438"/>
            <filter val="RE02024000000439"/>
            <filter val="RE02024000000440"/>
            <filter val="RE02024000000441"/>
            <filter val="RE02024000000442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2"/>
            <filter val="RE02024000000494"/>
            <filter val="RE02024000000495"/>
            <filter val="RE02024000000496"/>
            <filter val="RE02024000000497"/>
            <filter val="RE02024000000498"/>
            <filter val="RE02024000000500"/>
            <filter val="RE02024000000501"/>
            <filter val="RE02024000000502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ACB92755-C1ED-41B0-9FE6-1BAF8DFF0F22}" filter="1" showAutoFilter="1">
      <pageMargins left="0.7" right="0.7" top="0.75" bottom="0.75" header="0.3" footer="0.3"/>
      <autoFilter ref="A9:Z123" xr:uid="{2E4FDFE4-D557-EB4F-A9FD-1052E25AE064}">
        <filterColumn colId="19">
          <filters>
            <filter val="RE02024000000425-RE02024000000506"/>
            <filter val="RE02024000000465-RE02024000000507"/>
            <filter val="RE02024000000491"/>
            <filter val="RE02024000000492"/>
            <filter val="RE02024000000494"/>
            <filter val="RE02024000000495"/>
            <filter val="RE02024000000496"/>
            <filter val="RE02024000000497"/>
            <filter val="RE02024000000498"/>
            <filter val="RE02024000000500"/>
            <filter val="RE02024000000501"/>
            <filter val="RE02024000000502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CB82114B-CA35-4C6F-AC7B-23D8D17266C7}" filter="1" showAutoFilter="1">
      <pageMargins left="0.7" right="0.7" top="0.75" bottom="0.75" header="0.3" footer="0.3"/>
      <autoFilter ref="A9:Z123" xr:uid="{DD1642C0-85F5-B746-9CB8-39AA7CB8254F}">
        <filterColumn colId="15">
          <filters>
            <filter val="TRUE"/>
          </filters>
        </filterColumn>
        <filterColumn colId="19">
          <filters>
            <filter val="RE02024000000425-RE02024000000506"/>
            <filter val="RE02024000000465-RE02024000000507"/>
            <filter val="RE02024000000488"/>
            <filter val="RE02024000000490"/>
            <filter val="RE02024000000491"/>
            <filter val="RE02024000000492"/>
            <filter val="RE02024000000494"/>
            <filter val="RE02024000000495"/>
            <filter val="RE02024000000496"/>
            <filter val="RE02024000000497"/>
            <filter val="RE02024000000498"/>
            <filter val="RE02024000000500"/>
            <filter val="RE02024000000501"/>
            <filter val="RE02024000000502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1B6A235E-C50E-41E4-AD09-55C78D2BFD3B}" filter="1" showAutoFilter="1">
      <pageMargins left="0.7" right="0.7" top="0.75" bottom="0.75" header="0.3" footer="0.3"/>
      <autoFilter ref="A9:Z130" xr:uid="{9532A31E-FF5F-5641-882D-D08A3F8E65BD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1CBC6901-7D50-44EB-AA0D-4607E4ED539B}" filter="1" showAutoFilter="1">
      <pageMargins left="0.7" right="0.7" top="0.75" bottom="0.75" header="0.3" footer="0.3"/>
      <autoFilter ref="A9:Z147" xr:uid="{D533DA3D-D50A-6949-98C7-283C8735EF3A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DB1300D5-F54A-4B75-91EB-D9AE03F73FEC}" filter="1" showAutoFilter="1">
      <pageMargins left="0.7" right="0.7" top="0.75" bottom="0.75" header="0.3" footer="0.3"/>
      <autoFilter ref="A9:Z123" xr:uid="{55FA666D-9FA0-6043-9270-1BDBDC88172C}">
        <filterColumn colId="19">
          <filters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E16DDF1D-967D-4E29-861E-E839B69883ED}" filter="1" showAutoFilter="1">
      <pageMargins left="0.7" right="0.7" top="0.75" bottom="0.75" header="0.3" footer="0.3"/>
      <autoFilter ref="A9:Z109" xr:uid="{56CE819D-A64E-574B-8E31-AE87B9A694D8}">
        <filterColumn colId="15">
          <filters>
            <filter val="TRUE"/>
          </filters>
        </filterColumn>
        <filterColumn colId="19">
          <filters>
            <filter val="RE02024000000425-RE02024000000506"/>
            <filter val="RE02024000000465-RE02024000000507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4"/>
            <filter val="RE02024000000495"/>
            <filter val="RE02024000000496"/>
            <filter val="RE02024000000497"/>
            <filter val="RE02024000000504"/>
            <filter val="RE02024000000510"/>
            <filter val="RE02024000000511"/>
            <filter val="RE02024000000516"/>
            <filter val="RE02024000000517"/>
            <filter val="RE02024000000567"/>
            <filter val="RE02024000000568"/>
            <filter val="RE02024000000569"/>
            <filter val="RE02024000000570"/>
            <filter val="RE02024000000572"/>
          </filters>
        </filterColumn>
      </autoFilter>
    </customSheetView>
    <customSheetView guid="{E1D3DF5B-EEE5-4541-9EE8-3CF33782D022}" filter="1" showAutoFilter="1">
      <pageMargins left="0.7" right="0.7" top="0.75" bottom="0.75" header="0.3" footer="0.3"/>
      <autoFilter ref="A9:Z147" xr:uid="{F711AD1F-2899-7E41-9C14-D70A584AB225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65C673E0-AE30-4C3F-B678-27F9F5878965}" filter="1" showAutoFilter="1">
      <pageMargins left="0.7" right="0.7" top="0.75" bottom="0.75" header="0.3" footer="0.3"/>
      <autoFilter ref="A9:Z123" xr:uid="{0DE011AF-F3AA-E340-B7E2-87723BB85773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0673F5F7-2622-4210-8A6B-48BFA97FE39E}" filter="1" showAutoFilter="1">
      <pageMargins left="0.7" right="0.7" top="0.75" bottom="0.75" header="0.3" footer="0.3"/>
      <autoFilter ref="A9:Z123" xr:uid="{3B587572-427A-1A49-B4DE-FE36E1A72BC5}">
        <filterColumn colId="19">
          <filters>
            <filter val="RE02024000000425-RE02024000000506"/>
            <filter val="RE02024000000465-RE02024000000507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FA039B71-8583-434B-AF5C-F7A0DD0543E2}" filter="1" showAutoFilter="1">
      <pageMargins left="0.7" right="0.7" top="0.75" bottom="0.75" header="0.3" footer="0.3"/>
      <autoFilter ref="A9:Z109" xr:uid="{51E295B9-FE2A-B24B-8248-162BF0218D81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400.00 TL"/>
            <filter val="15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900.00 TL"/>
            <filter val="210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B16C0C81-5C81-4689-AD36-9DAE16331E67}" filter="1" showAutoFilter="1">
      <pageMargins left="0.7" right="0.7" top="0.75" bottom="0.75" header="0.3" footer="0.3"/>
      <autoFilter ref="A9:Z109" xr:uid="{BFEA2252-7406-C943-A891-D8DC8B83B71F}">
        <filterColumn colId="15">
          <filters>
            <filter val="TRUE"/>
          </filters>
        </filterColumn>
        <filterColumn colId="19">
          <filters>
            <filter val="RE02024000000425-RE02024000000506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4"/>
            <filter val="RE02024000000495"/>
            <filter val="RE02024000000496"/>
            <filter val="RE02024000000497"/>
            <filter val="RE02024000000504"/>
            <filter val="RE02024000000510"/>
            <filter val="RE02024000000511"/>
            <filter val="RE02024000000516"/>
            <filter val="RE02024000000517"/>
            <filter val="RE02024000000567"/>
            <filter val="RE02024000000568"/>
            <filter val="RE02024000000569"/>
            <filter val="RE02024000000570"/>
            <filter val="RE02024000000572"/>
          </filters>
        </filterColumn>
      </autoFilter>
    </customSheetView>
    <customSheetView guid="{45DD3965-6A36-4C34-A9FC-BB77A7D9D8C7}" filter="1" showAutoFilter="1">
      <pageMargins left="0.7" right="0.7" top="0.75" bottom="0.75" header="0.3" footer="0.3"/>
      <autoFilter ref="A9:Z109" xr:uid="{A615CF5B-E4C5-CB4B-807E-232621280ED4}">
        <filterColumn colId="15">
          <filters>
            <filter val="TRUE"/>
          </filters>
        </filterColumn>
        <filterColumn colId="19">
          <filters>
            <filter val="RE02024000000425-RE02024000000506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4"/>
            <filter val="RE02024000000495"/>
            <filter val="RE02024000000496"/>
            <filter val="RE02024000000497"/>
            <filter val="RE02024000000504"/>
            <filter val="RE02024000000510"/>
            <filter val="RE02024000000511"/>
            <filter val="RE02024000000516"/>
            <filter val="RE02024000000517"/>
            <filter val="RE02024000000567"/>
            <filter val="RE02024000000568"/>
            <filter val="RE02024000000569"/>
            <filter val="RE02024000000570"/>
            <filter val="RE02024000000572"/>
          </filters>
        </filterColumn>
      </autoFilter>
    </customSheetView>
    <customSheetView guid="{8DF69057-10E2-434E-9A26-117BB354D6B5}" filter="1" showAutoFilter="1">
      <pageMargins left="0.7" right="0.7" top="0.75" bottom="0.75" header="0.3" footer="0.3"/>
      <autoFilter ref="A9:Z85" xr:uid="{885F8D40-044A-FC4D-9114-64D17CC1EEAB}">
        <filterColumn colId="19">
          <filters>
            <filter val="RE02024000000425-RE02024000000506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8"/>
            <filter val="RE02024000000482"/>
            <filter val="RE02024000000483"/>
            <filter val="RE02024000000484"/>
            <filter val="RE02024000000489"/>
            <filter val="RE02024000000494"/>
            <filter val="RE02024000000495"/>
            <filter val="RE02024000000504"/>
            <filter val="RE02024000000567"/>
          </filters>
        </filterColumn>
      </autoFilter>
    </customSheetView>
    <customSheetView guid="{94D2D6FF-EAA2-40FA-89DA-C0792B4DEC2F}" filter="1" showAutoFilter="1">
      <pageMargins left="0.7" right="0.7" top="0.75" bottom="0.75" header="0.3" footer="0.3"/>
      <autoFilter ref="A9:Z123" xr:uid="{D6DB98ED-2439-5E41-A2B0-5C62539EA689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0A9FF2CA-86CF-426B-92D4-4C55EEEA773B}" filter="1" showAutoFilter="1">
      <pageMargins left="0.7" right="0.7" top="0.75" bottom="0.75" header="0.3" footer="0.3"/>
      <autoFilter ref="A9:Z85" xr:uid="{9703E3AA-5ED7-9F42-A7A1-E461E715D199}">
        <filterColumn colId="20">
          <filters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64.00 TL"/>
            <filter val="1,800.00 TL"/>
            <filter val="1,850.00 TL"/>
            <filter val="1,875.00 TL"/>
            <filter val="1,916.40 TL"/>
            <filter val="10,400.00 TL"/>
            <filter val="2,250.00 TL"/>
            <filter val="2,400.00 TL"/>
            <filter val="2,460.00 TL"/>
            <filter val="2,500.00 TL"/>
            <filter val="210.00 TL"/>
            <filter val="3,000.00 TL"/>
            <filter val="3,500.00 TL"/>
            <filter val="3,600.00 TL"/>
            <filter val="3,625.00 TL"/>
            <filter val="3,780.00 TL"/>
            <filter val="320.00 TL"/>
            <filter val="350.00 TL"/>
            <filter val="375.00 TL"/>
            <filter val="4,000.00 TL"/>
            <filter val="4,500.00 TL"/>
            <filter val="4,600.00 TL"/>
            <filter val="400.00 TL"/>
            <filter val="450.00 TL"/>
            <filter val="500.00 TL"/>
            <filter val="540.00 TL"/>
            <filter val="6,000.00 TL"/>
            <filter val="600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86FE429F-8E61-4DC8-A433-B13AE04B64E6}" filter="1" showAutoFilter="1">
      <pageMargins left="0.7" right="0.7" top="0.75" bottom="0.75" header="0.3" footer="0.3"/>
      <autoFilter ref="A9:Z109" xr:uid="{B5B99751-B6D3-DA45-A490-C906AB1A86DF}">
        <filterColumn colId="15">
          <filters>
            <filter val="TRUE"/>
          </filters>
        </filterColumn>
        <filterColumn colId="19">
          <filters>
            <filter val="RE02024000000425-RE02024000000506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4"/>
            <filter val="RE02024000000495"/>
            <filter val="RE02024000000496"/>
            <filter val="RE02024000000497"/>
            <filter val="RE02024000000504"/>
            <filter val="RE02024000000510"/>
            <filter val="RE02024000000511"/>
            <filter val="RE02024000000516"/>
            <filter val="RE02024000000517"/>
            <filter val="RE02024000000567"/>
            <filter val="RE02024000000568"/>
            <filter val="RE02024000000569"/>
            <filter val="RE02024000000570"/>
            <filter val="RE02024000000572"/>
          </filters>
        </filterColumn>
      </autoFilter>
    </customSheetView>
    <customSheetView guid="{12C2EF42-B18E-481F-9C22-86D0B652447F}" filter="1" showAutoFilter="1">
      <pageMargins left="0.7" right="0.7" top="0.75" bottom="0.75" header="0.3" footer="0.3"/>
      <autoFilter ref="A9:Z123" xr:uid="{8560ACB4-8507-B343-A7B7-8C6E0EB4787B}">
        <filterColumn colId="15">
          <filters>
            <filter val="TRUE"/>
          </filters>
        </filterColumn>
        <filterColumn colId="19">
          <filters>
            <filter val="RE02024000000425-RE02024000000506"/>
            <filter val="RE02024000000465-RE02024000000507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AFB8BB9B-1F1F-4D6C-BA97-ADFEFAB4CECC}" filter="1" showAutoFilter="1">
      <pageMargins left="0.7" right="0.7" top="0.75" bottom="0.75" header="0.3" footer="0.3"/>
      <autoFilter ref="A9:Z123" xr:uid="{A71C6556-0F96-F346-8CF4-751E76634B69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2A629D90-DF55-42DE-9FE5-BBC34C3FB857}" filter="1" showAutoFilter="1">
      <pageMargins left="0.7" right="0.7" top="0.75" bottom="0.75" header="0.3" footer="0.3"/>
      <autoFilter ref="A9:Z109" xr:uid="{3F091256-5849-2148-BED3-A8D750C2E857}">
        <filterColumn colId="19">
          <filters>
            <filter val="RE02024000000425-RE02024000000506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4"/>
            <filter val="RE02024000000495"/>
            <filter val="RE02024000000496"/>
            <filter val="RE02024000000497"/>
            <filter val="RE02024000000504"/>
            <filter val="RE02024000000510"/>
            <filter val="RE02024000000511"/>
            <filter val="RE02024000000516"/>
            <filter val="RE02024000000517"/>
            <filter val="RE02024000000567"/>
            <filter val="RE02024000000568"/>
            <filter val="RE02024000000569"/>
            <filter val="RE02024000000570"/>
            <filter val="RE02024000000572"/>
          </filters>
        </filterColumn>
      </autoFilter>
    </customSheetView>
    <customSheetView guid="{7F05F71F-C270-427E-8BEF-5953501912D4}" filter="1" showAutoFilter="1">
      <pageMargins left="0.7" right="0.7" top="0.75" bottom="0.75" header="0.3" footer="0.3"/>
      <autoFilter ref="A9:Z123" xr:uid="{0B36221B-61C8-D248-80BA-69FA1FCD0B21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4E6C842E-1AE5-4266-A760-0DBC8ED32795}" filter="1" showAutoFilter="1">
      <pageMargins left="0.7" right="0.7" top="0.75" bottom="0.75" header="0.3" footer="0.3"/>
      <autoFilter ref="A9:Z86" xr:uid="{B1C77D36-4284-8E47-B9D9-6479153B45C8}">
        <filterColumn colId="19">
          <filters>
            <filter val="RE02024000000419"/>
            <filter val="RE02024000000420"/>
            <filter val="RE02024000000423"/>
            <filter val="RE02024000000424"/>
            <filter val="RE02024000000425-RE02024000000506"/>
            <filter val="RE02024000000426"/>
            <filter val="RE02024000000427"/>
            <filter val="RE02024000000432"/>
            <filter val="RE02024000000433"/>
            <filter val="RE02024000000434"/>
            <filter val="RE02024000000435"/>
            <filter val="RE02024000000436"/>
            <filter val="RE02024000000437"/>
            <filter val="RE02024000000438"/>
            <filter val="RE02024000000439"/>
            <filter val="RE02024000000440"/>
            <filter val="RE02024000000441"/>
            <filter val="RE02024000000442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8"/>
            <filter val="RE02024000000482"/>
            <filter val="RE02024000000483"/>
            <filter val="RE02024000000484"/>
            <filter val="RE02024000000489"/>
            <filter val="RE02024000000494"/>
            <filter val="RE02024000000495"/>
            <filter val="RE02024000000504"/>
            <filter val="RE02024000000567"/>
          </filters>
        </filterColumn>
      </autoFilter>
    </customSheetView>
    <customSheetView guid="{ADDEB23E-DB36-4807-A89B-0D9099286A16}" filter="1" showAutoFilter="1">
      <pageMargins left="0.7" right="0.7" top="0.75" bottom="0.75" header="0.3" footer="0.3"/>
      <autoFilter ref="A9:Z170" xr:uid="{35599CB1-5B75-2144-9F1B-5E19ABB01EAB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3767EBB2-5EB8-4765-81A2-AE8F06D86EDB}" filter="1" showAutoFilter="1">
      <pageMargins left="0.7" right="0.7" top="0.75" bottom="0.75" header="0.3" footer="0.3"/>
      <autoFilter ref="A9:Z123" xr:uid="{742D4D83-746B-6D41-9302-5F823457099A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B27C7FFC-97C5-4667-ACD6-B05987D28B49}" filter="1" showAutoFilter="1">
      <pageMargins left="0.7" right="0.7" top="0.75" bottom="0.75" header="0.3" footer="0.3"/>
      <autoFilter ref="A9:Z109" xr:uid="{FF1DAFD1-F822-814D-B1DF-3156FBACBE3A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400.00 TL"/>
            <filter val="15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900.00 TL"/>
            <filter val="210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7F26427E-2CC3-4738-8D6F-9D9F2F09086A}" filter="1" showAutoFilter="1">
      <pageMargins left="0.7" right="0.7" top="0.75" bottom="0.75" header="0.3" footer="0.3"/>
      <autoFilter ref="A9:Z109" xr:uid="{14E963BC-098A-C74C-A80D-806B0A36FC60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400.00 TL"/>
            <filter val="15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900.00 TL"/>
            <filter val="210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3468AD09-8B5E-4744-B88A-12C4F47AC98C}" filter="1" showAutoFilter="1">
      <pageMargins left="0.7" right="0.7" top="0.75" bottom="0.75" header="0.3" footer="0.3"/>
      <autoFilter ref="A9:Z123" xr:uid="{2FA6C74A-DB3F-0642-AD6E-FDBC0911BF3D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9ADA2EDB-7AFD-44B0-9D9F-59CB6B5BA861}" filter="1" showAutoFilter="1">
      <pageMargins left="0.7" right="0.7" top="0.75" bottom="0.75" header="0.3" footer="0.3"/>
      <autoFilter ref="A9:Z109" xr:uid="{5FC47B92-59C8-334A-9E2E-FF24DF6880F7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400.00 TL"/>
            <filter val="15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900.00 TL"/>
            <filter val="210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139BD26D-4FE1-4361-9793-2F125181BAFF}" filter="1" showAutoFilter="1">
      <pageMargins left="0.7" right="0.7" top="0.75" bottom="0.75" header="0.3" footer="0.3"/>
      <autoFilter ref="A9:Z130" xr:uid="{D0336701-E0F5-8542-89C3-30E0BDFA8386}">
        <filterColumn colId="15">
          <filters>
            <filter val="TRUE"/>
          </filters>
        </filterColumn>
        <filterColumn colId="19">
          <filters blank="1">
            <filter val="RE02024000000409"/>
            <filter val="RE02024000000410"/>
            <filter val="RE02024000000411"/>
            <filter val="RE02024000000412"/>
            <filter val="RE02024000000413"/>
            <filter val="RE02024000000414"/>
            <filter val="RE02024000000415"/>
            <filter val="RE02024000000416"/>
            <filter val="RE02024000000419"/>
            <filter val="RE02024000000420"/>
            <filter val="RE02024000000423"/>
            <filter val="RE02024000000424"/>
            <filter val="RE02024000000425-RE02024000000506"/>
            <filter val="RE02024000000426"/>
            <filter val="RE02024000000427"/>
            <filter val="RE02024000000432"/>
            <filter val="RE02024000000433"/>
            <filter val="RE02024000000434"/>
            <filter val="RE02024000000435"/>
            <filter val="RE02024000000436"/>
            <filter val="RE02024000000437"/>
            <filter val="RE02024000000438"/>
            <filter val="RE02024000000439"/>
            <filter val="RE02024000000440"/>
            <filter val="RE02024000000441"/>
            <filter val="RE02024000000442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2"/>
            <filter val="RE02024000000494"/>
            <filter val="RE02024000000495"/>
            <filter val="RE02024000000496"/>
            <filter val="RE02024000000497"/>
            <filter val="RE02024000000498"/>
            <filter val="RE02024000000500"/>
            <filter val="RE02024000000501"/>
            <filter val="RE02024000000502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35CA1A2D-FFBE-4615-96BB-101481E767E8}" filter="1" showAutoFilter="1">
      <pageMargins left="0.7" right="0.7" top="0.75" bottom="0.75" header="0.3" footer="0.3"/>
      <autoFilter ref="A9:Z147" xr:uid="{CC2F5E65-4D42-4541-BA59-D745966BD1A1}">
        <filterColumn colId="19">
          <filters blank="1">
            <filter val="RE02024000000409"/>
            <filter val="RE02024000000410"/>
            <filter val="RE02024000000411"/>
            <filter val="RE02024000000412"/>
            <filter val="RE02024000000413"/>
            <filter val="RE02024000000414"/>
            <filter val="RE02024000000415"/>
            <filter val="RE02024000000416"/>
            <filter val="RE02024000000419"/>
            <filter val="RE02024000000420"/>
            <filter val="RE02024000000423"/>
            <filter val="RE02024000000424"/>
            <filter val="RE02024000000425-RE02024000000506"/>
            <filter val="RE02024000000426"/>
            <filter val="RE02024000000427"/>
            <filter val="RE02024000000432"/>
            <filter val="RE02024000000433"/>
            <filter val="RE02024000000434"/>
            <filter val="RE02024000000435"/>
            <filter val="RE02024000000436"/>
            <filter val="RE02024000000437"/>
            <filter val="RE02024000000438"/>
            <filter val="RE02024000000439"/>
            <filter val="RE02024000000440"/>
            <filter val="RE02024000000441"/>
            <filter val="RE02024000000442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2"/>
            <filter val="RE02024000000494"/>
            <filter val="RE02024000000495"/>
            <filter val="RE02024000000496"/>
            <filter val="RE02024000000497"/>
            <filter val="RE02024000000498"/>
            <filter val="RE02024000000500"/>
            <filter val="RE02024000000501"/>
            <filter val="RE02024000000502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88809CA9-5E40-46D7-B1E4-FD64890E3C54}" filter="1" showAutoFilter="1">
      <pageMargins left="0.7" right="0.7" top="0.75" bottom="0.75" header="0.3" footer="0.3"/>
      <autoFilter ref="A9:Z123" xr:uid="{4AE70DE2-8111-E147-9F2D-08E5753F1C5B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548648B0-7D60-4620-B645-B6C4B7E1F3D5}" filter="1" showAutoFilter="1">
      <pageMargins left="0.7" right="0.7" top="0.75" bottom="0.75" header="0.3" footer="0.3"/>
      <autoFilter ref="A9:Z123" xr:uid="{0FB85CA4-3217-D944-81D5-748426E8470F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0ED2A28D-785A-4BE2-B00C-51195ADD54B4}" filter="1" showAutoFilter="1">
      <pageMargins left="0.7" right="0.7" top="0.75" bottom="0.75" header="0.3" footer="0.3"/>
      <autoFilter ref="A9:Z123" xr:uid="{96E27432-9956-224B-9155-3F2CDED10BC7}">
        <filterColumn colId="19">
          <filters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7590A8FA-0E93-447D-94B9-753650E86DD0}" filter="1" showAutoFilter="1">
      <pageMargins left="0.7" right="0.7" top="0.75" bottom="0.75" header="0.3" footer="0.3"/>
      <autoFilter ref="A9:Z147" xr:uid="{0A102999-7891-6B4F-BFBB-47439FE6CC44}">
        <filterColumn colId="19">
          <filters blank="1">
            <filter val="RE02024000000409"/>
            <filter val="RE02024000000410"/>
            <filter val="RE02024000000411"/>
            <filter val="RE02024000000412"/>
            <filter val="RE02024000000413"/>
            <filter val="RE02024000000414"/>
            <filter val="RE02024000000415"/>
            <filter val="RE02024000000416"/>
            <filter val="RE02024000000419"/>
            <filter val="RE02024000000420"/>
            <filter val="RE02024000000423"/>
            <filter val="RE02024000000424"/>
            <filter val="RE02024000000425-RE02024000000506"/>
            <filter val="RE02024000000426"/>
            <filter val="RE02024000000427"/>
            <filter val="RE02024000000432"/>
            <filter val="RE02024000000433"/>
            <filter val="RE02024000000434"/>
            <filter val="RE02024000000435"/>
            <filter val="RE02024000000436"/>
            <filter val="RE02024000000437"/>
            <filter val="RE02024000000438"/>
            <filter val="RE02024000000439"/>
            <filter val="RE02024000000440"/>
            <filter val="RE02024000000441"/>
            <filter val="RE02024000000442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2"/>
            <filter val="RE02024000000494"/>
            <filter val="RE02024000000495"/>
            <filter val="RE02024000000496"/>
            <filter val="RE02024000000497"/>
            <filter val="RE02024000000498"/>
            <filter val="RE02024000000500"/>
            <filter val="RE02024000000501"/>
            <filter val="RE02024000000502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  <customSheetView guid="{E6449D9D-6C38-411F-8A7E-4B5317648CE0}" filter="1" showAutoFilter="1">
      <pageMargins left="0.7" right="0.7" top="0.75" bottom="0.75" header="0.3" footer="0.3"/>
      <autoFilter ref="A9:Z109" xr:uid="{3686392C-CB5B-9648-B3BF-59ABC71AE8C2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400.00 TL"/>
            <filter val="15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900.00 TL"/>
            <filter val="210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DB57DBB9-B5E7-4A59-84CA-95C2D93DEADE}" filter="1" showAutoFilter="1">
      <pageMargins left="0.7" right="0.7" top="0.75" bottom="0.75" header="0.3" footer="0.3"/>
      <autoFilter ref="A9:Z109" xr:uid="{56FE75AB-FD6E-E745-8B06-3E3670EC55BD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400.00 TL"/>
            <filter val="15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900.00 TL"/>
            <filter val="210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A36A2149-2DF3-489A-A1FC-4611D7C761EC}" filter="1" showAutoFilter="1">
      <pageMargins left="0.7" right="0.7" top="0.75" bottom="0.75" header="0.3" footer="0.3"/>
      <autoFilter ref="A9:Z85" xr:uid="{B40F0F24-0247-9B41-ABA9-E08273FC351A}">
        <filterColumn colId="20">
          <filters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64.00 TL"/>
            <filter val="1,800.00 TL"/>
            <filter val="1,850.00 TL"/>
            <filter val="1,875.00 TL"/>
            <filter val="1,916.40 TL"/>
            <filter val="10,400.00 TL"/>
            <filter val="2,250.00 TL"/>
            <filter val="2,400.00 TL"/>
            <filter val="2,460.00 TL"/>
            <filter val="2,500.00 TL"/>
            <filter val="210.00 TL"/>
            <filter val="3,000.00 TL"/>
            <filter val="3,500.00 TL"/>
            <filter val="3,600.00 TL"/>
            <filter val="3,625.00 TL"/>
            <filter val="3,780.00 TL"/>
            <filter val="320.00 TL"/>
            <filter val="350.00 TL"/>
            <filter val="375.00 TL"/>
            <filter val="4,000.00 TL"/>
            <filter val="4,500.00 TL"/>
            <filter val="4,600.00 TL"/>
            <filter val="400.00 TL"/>
            <filter val="450.00 TL"/>
            <filter val="500.00 TL"/>
            <filter val="540.00 TL"/>
            <filter val="6,000.00 TL"/>
            <filter val="600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1690381E-EDBA-489A-8E58-BB03EED6A56A}" filter="1" showAutoFilter="1">
      <pageMargins left="0.7" right="0.7" top="0.75" bottom="0.75" header="0.3" footer="0.3"/>
      <autoFilter ref="A9:Z147" xr:uid="{32BF96EA-1F92-634E-9658-91CE82FF6193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375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000.00 TL"/>
            <filter val="10,400.00 TL"/>
            <filter val="118.60 TL"/>
            <filter val="150.00 TL"/>
            <filter val="160.00 TL"/>
            <filter val="18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520.00 TL"/>
            <filter val="2,900.00 TL"/>
            <filter val="210.00 TL"/>
            <filter val="225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,2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A9E68A40-045E-4079-81E3-E0D0F4B43B67}" filter="1" showAutoFilter="1">
      <pageMargins left="0.7" right="0.7" top="0.75" bottom="0.75" header="0.3" footer="0.3"/>
      <autoFilter ref="A9:Z109" xr:uid="{BDAAF6F7-B8B0-7944-9A24-E89605572526}">
        <filterColumn colId="20">
          <filters blank="1">
            <filter val="1,000.00 TL"/>
            <filter val="1,064.00 TL"/>
            <filter val="1,125.00 TL"/>
            <filter val="1,200.00 TL"/>
            <filter val="1,230.00 TL"/>
            <filter val="1,250.00 TL"/>
            <filter val="1,350.00 TL"/>
            <filter val="1,500.00 TL"/>
            <filter val="1,540.00 TL"/>
            <filter val="1,740.00 TL"/>
            <filter val="1,750.00 TL"/>
            <filter val="1,764.00 TL"/>
            <filter val="1,800.00 TL"/>
            <filter val="1,850.00 TL"/>
            <filter val="1,875.00 TL"/>
            <filter val="1,916.40 TL"/>
            <filter val="10,400.00 TL"/>
            <filter val="150.00 TL"/>
            <filter val="2,025.00 TL"/>
            <filter val="2,100.00 TL"/>
            <filter val="2,250.00 TL"/>
            <filter val="2,300.00 TL"/>
            <filter val="2,400.00 TL"/>
            <filter val="2,460.00 TL"/>
            <filter val="2,500.00 TL"/>
            <filter val="2,900.00 TL"/>
            <filter val="210.00 TL"/>
            <filter val="264.00 TL"/>
            <filter val="3,000.00 TL"/>
            <filter val="3,500.00 TL"/>
            <filter val="3,600.00 TL"/>
            <filter val="3,625.00 TL"/>
            <filter val="3,750.00 TL"/>
            <filter val="3,780.00 TL"/>
            <filter val="3,900.00 TL"/>
            <filter val="302.00 TL"/>
            <filter val="320.00 TL"/>
            <filter val="350.00 TL"/>
            <filter val="375.00 TL"/>
            <filter val="4,000.00 TL"/>
            <filter val="4,500.00 TL"/>
            <filter val="4,600.00 TL"/>
            <filter val="4,800.00 TL"/>
            <filter val="400.00 TL"/>
            <filter val="420.00 TL"/>
            <filter val="450.00 TL"/>
            <filter val="500.00 TL"/>
            <filter val="540.00 TL"/>
            <filter val="6,000.00 TL"/>
            <filter val="600.00 TL"/>
            <filter val="604.00 TL"/>
            <filter val="630.00 TL"/>
            <filter val="650.00 TL"/>
            <filter val="7.00 TL"/>
            <filter val="700.00 TL"/>
            <filter val="750.00 TL"/>
            <filter val="790.00 TL"/>
            <filter val="800.00 TL"/>
            <filter val="840.00 TL"/>
            <filter val="900.00 TL"/>
            <filter val="95.00 TL"/>
            <filter val="950.00 TL"/>
            <filter val="958.20 TL"/>
            <filter val="960.00 TL"/>
          </filters>
        </filterColumn>
      </autoFilter>
    </customSheetView>
    <customSheetView guid="{87A433BC-F3FD-4BA7-BD7F-4194C598DDE6}" filter="1" showAutoFilter="1">
      <pageMargins left="0.7" right="0.7" top="0.75" bottom="0.75" header="0.3" footer="0.3"/>
      <autoFilter ref="A9:Z147" xr:uid="{54639214-2284-B843-A425-080550D0462E}">
        <filterColumn colId="19">
          <filters blank="1">
            <filter val="RE02024000000409"/>
            <filter val="RE02024000000410"/>
            <filter val="RE02024000000411"/>
            <filter val="RE02024000000412"/>
            <filter val="RE02024000000413"/>
            <filter val="RE02024000000414"/>
            <filter val="RE02024000000415"/>
            <filter val="RE02024000000416"/>
            <filter val="RE02024000000419"/>
            <filter val="RE02024000000420"/>
            <filter val="RE02024000000423"/>
            <filter val="RE02024000000424"/>
            <filter val="RE02024000000425-RE02024000000506"/>
            <filter val="RE02024000000426"/>
            <filter val="RE02024000000427"/>
            <filter val="RE02024000000432"/>
            <filter val="RE02024000000433"/>
            <filter val="RE02024000000434"/>
            <filter val="RE02024000000435"/>
            <filter val="RE02024000000436"/>
            <filter val="RE02024000000437"/>
            <filter val="RE02024000000438"/>
            <filter val="RE02024000000439"/>
            <filter val="RE02024000000440"/>
            <filter val="RE02024000000441"/>
            <filter val="RE02024000000442"/>
            <filter val="RE02024000000445"/>
            <filter val="RE02024000000446"/>
            <filter val="RE02024000000447"/>
            <filter val="RE02024000000448"/>
            <filter val="RE02024000000449"/>
            <filter val="RE02024000000450"/>
            <filter val="RE02024000000451"/>
            <filter val="RE02024000000455"/>
            <filter val="RE02024000000456"/>
            <filter val="RE02024000000457"/>
            <filter val="RE02024000000459"/>
            <filter val="RE02024000000460"/>
            <filter val="RE02024000000461"/>
            <filter val="RE02024000000462"/>
            <filter val="RE02024000000463"/>
            <filter val="RE02024000000464"/>
            <filter val="RE02024000000465"/>
            <filter val="RE02024000000465-RE02024000000507"/>
            <filter val="RE02024000000466"/>
            <filter val="RE02024000000467"/>
            <filter val="RE02024000000468"/>
            <filter val="RE02024000000469"/>
            <filter val="RE02024000000470"/>
            <filter val="RE02024000000471"/>
            <filter val="RE02024000000472"/>
            <filter val="RE02024000000473"/>
            <filter val="RE02024000000474"/>
            <filter val="RE02024000000475"/>
            <filter val="RE02024000000476"/>
            <filter val="RE02024000000477"/>
            <filter val="RE02024000000478"/>
            <filter val="RE02024000000479"/>
            <filter val="RE02024000000482"/>
            <filter val="RE02024000000483"/>
            <filter val="RE02024000000484"/>
            <filter val="RE02024000000485"/>
            <filter val="RE02024000000488"/>
            <filter val="RE02024000000489"/>
            <filter val="RE02024000000490"/>
            <filter val="RE02024000000491"/>
            <filter val="RE02024000000492"/>
            <filter val="RE02024000000494"/>
            <filter val="RE02024000000495"/>
            <filter val="RE02024000000496"/>
            <filter val="RE02024000000497"/>
            <filter val="RE02024000000498"/>
            <filter val="RE02024000000500"/>
            <filter val="RE02024000000501"/>
            <filter val="RE02024000000502"/>
            <filter val="RE02024000000504"/>
            <filter val="RE02024000000505"/>
            <filter val="RE02024000000510"/>
            <filter val="RE02024000000511"/>
            <filter val="RE02024000000512"/>
            <filter val="RE02024000000513"/>
            <filter val="RE02024000000516"/>
            <filter val="RE02024000000517"/>
            <filter val="RE02024000000518"/>
            <filter val="RE02024000000567"/>
            <filter val="RE02024000000568"/>
            <filter val="RE02024000000569"/>
            <filter val="RE02024000000570"/>
            <filter val="RE02024000000571"/>
            <filter val="RE02024000000572"/>
          </filters>
        </filterColumn>
      </autoFilter>
    </customSheetView>
  </customSheetViews>
  <mergeCells count="7">
    <mergeCell ref="U8:V8"/>
    <mergeCell ref="W8:X8"/>
    <mergeCell ref="A1:T1"/>
    <mergeCell ref="L8:M8"/>
    <mergeCell ref="N8:O8"/>
    <mergeCell ref="P8:Q8"/>
    <mergeCell ref="S8:T8"/>
  </mergeCells>
  <conditionalFormatting sqref="E2 E7:E8 B8:D8 F8 H8:I8 K8:W8">
    <cfRule type="notContainsBlanks" dxfId="22" priority="1">
      <formula>LEN(TRIM(E2))&gt;0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995"/>
  <sheetViews>
    <sheetView workbookViewId="0">
      <selection activeCell="G9" sqref="G9"/>
    </sheetView>
  </sheetViews>
  <sheetFormatPr baseColWidth="10" defaultColWidth="14.5" defaultRowHeight="15" customHeight="1"/>
  <cols>
    <col min="1" max="1" width="4.5" customWidth="1"/>
    <col min="2" max="2" width="11.83203125" hidden="1" customWidth="1"/>
    <col min="3" max="3" width="16" customWidth="1"/>
    <col min="4" max="4" width="16.5" customWidth="1"/>
    <col min="5" max="6" width="19.5" customWidth="1"/>
    <col min="7" max="7" width="75.6640625" customWidth="1"/>
    <col min="8" max="8" width="10.83203125" customWidth="1"/>
    <col min="9" max="9" width="7.5" customWidth="1"/>
    <col min="10" max="10" width="10.33203125" customWidth="1"/>
    <col min="11" max="11" width="11.5" customWidth="1"/>
    <col min="12" max="12" width="7" customWidth="1"/>
    <col min="13" max="13" width="12.5" customWidth="1"/>
    <col min="14" max="14" width="5.33203125" customWidth="1"/>
    <col min="15" max="15" width="4.6640625" customWidth="1"/>
    <col min="16" max="16" width="5.5" customWidth="1"/>
    <col min="17" max="17" width="22.33203125" customWidth="1"/>
    <col min="18" max="18" width="17.83203125" customWidth="1"/>
    <col min="19" max="19" width="5" customWidth="1"/>
    <col min="20" max="20" width="51.1640625" customWidth="1"/>
  </cols>
  <sheetData>
    <row r="1" spans="1:24" ht="75.75" customHeight="1">
      <c r="A1" s="534"/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28"/>
      <c r="U1" s="1"/>
    </row>
    <row r="2" spans="1:24" ht="16">
      <c r="A2" s="1"/>
      <c r="B2" s="3"/>
      <c r="C2" s="93" t="s">
        <v>1</v>
      </c>
      <c r="D2" s="14">
        <v>550000</v>
      </c>
      <c r="E2" s="6">
        <f>D3/D2</f>
        <v>1.0760727272727273</v>
      </c>
      <c r="F2" s="148">
        <v>45413</v>
      </c>
      <c r="G2" s="7">
        <v>45322</v>
      </c>
      <c r="H2" s="1"/>
      <c r="I2" s="1"/>
      <c r="J2" s="8"/>
      <c r="K2" s="8"/>
      <c r="L2" s="1"/>
      <c r="M2" s="1"/>
      <c r="N2" s="9"/>
      <c r="O2" s="10"/>
      <c r="P2" s="1"/>
      <c r="Q2" s="126"/>
      <c r="R2" s="1"/>
      <c r="S2" s="1"/>
      <c r="T2" s="1"/>
      <c r="U2" s="1"/>
    </row>
    <row r="3" spans="1:24" ht="16">
      <c r="A3" s="1"/>
      <c r="B3" s="11"/>
      <c r="C3" s="94" t="s">
        <v>2</v>
      </c>
      <c r="D3" s="14">
        <f>SUM(K10:K150)</f>
        <v>591840</v>
      </c>
      <c r="E3" s="14" t="s">
        <v>3</v>
      </c>
      <c r="F3" s="14" t="s">
        <v>3</v>
      </c>
      <c r="G3" s="14" t="s">
        <v>3</v>
      </c>
      <c r="H3" s="1"/>
      <c r="I3" s="1"/>
      <c r="J3" s="8"/>
      <c r="K3" s="8"/>
      <c r="L3" s="1"/>
      <c r="M3" s="1"/>
      <c r="N3" s="9"/>
      <c r="O3" s="10"/>
      <c r="P3" s="1"/>
      <c r="Q3" s="126"/>
      <c r="R3" s="1"/>
      <c r="S3" s="1"/>
      <c r="T3" s="1"/>
      <c r="U3" s="1"/>
    </row>
    <row r="4" spans="1:24" ht="16">
      <c r="A4" s="1"/>
      <c r="B4" s="1"/>
      <c r="C4" s="95" t="s">
        <v>4</v>
      </c>
      <c r="D4" s="17">
        <f ca="1">(D5-TODAY())</f>
        <v>-583</v>
      </c>
      <c r="E4" s="17" t="s">
        <v>5</v>
      </c>
      <c r="F4" s="1"/>
      <c r="G4" s="1"/>
      <c r="H4" s="1"/>
      <c r="I4" s="1"/>
      <c r="J4" s="8"/>
      <c r="K4" s="8"/>
      <c r="L4" s="1"/>
      <c r="M4" s="1"/>
      <c r="N4" s="9"/>
      <c r="O4" s="10"/>
      <c r="P4" s="1"/>
      <c r="Q4" s="126"/>
      <c r="R4" s="1"/>
      <c r="S4" s="1"/>
      <c r="T4" s="1"/>
      <c r="U4" s="1"/>
    </row>
    <row r="5" spans="1:24" ht="16">
      <c r="A5" s="1"/>
      <c r="B5" s="1"/>
      <c r="C5" s="96" t="s">
        <v>6</v>
      </c>
      <c r="D5" s="97">
        <v>45443</v>
      </c>
      <c r="E5" s="21"/>
      <c r="F5" s="1"/>
      <c r="G5" s="18"/>
      <c r="H5" s="1"/>
      <c r="I5" s="1"/>
      <c r="J5" s="8"/>
      <c r="K5" s="8"/>
      <c r="L5" s="1"/>
      <c r="M5" s="1"/>
      <c r="N5" s="9"/>
      <c r="O5" s="10"/>
      <c r="P5" s="1"/>
      <c r="Q5" s="126"/>
      <c r="R5" s="1"/>
      <c r="S5" s="1"/>
      <c r="T5" s="1"/>
      <c r="U5" s="1"/>
    </row>
    <row r="6" spans="1:24" ht="22">
      <c r="A6" s="1"/>
      <c r="B6" s="22" t="s">
        <v>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  <c r="P6" s="23"/>
      <c r="Q6" s="127"/>
      <c r="R6" s="26"/>
      <c r="S6" s="26"/>
      <c r="T6" s="27"/>
      <c r="U6" s="1"/>
    </row>
    <row r="7" spans="1:24" ht="16">
      <c r="A7" s="1"/>
      <c r="B7" s="28"/>
      <c r="C7" s="31"/>
      <c r="D7" s="31"/>
      <c r="E7" s="31"/>
      <c r="F7" s="1"/>
      <c r="G7" s="18"/>
      <c r="H7" s="1"/>
      <c r="I7" s="1"/>
      <c r="J7" s="8"/>
      <c r="K7" s="8"/>
      <c r="L7" s="1"/>
      <c r="M7" s="1"/>
      <c r="N7" s="9"/>
      <c r="O7" s="10"/>
      <c r="P7" s="1"/>
      <c r="Q7" s="126"/>
      <c r="R7" s="1"/>
      <c r="S7" s="1"/>
      <c r="T7" s="1"/>
      <c r="U7" s="1"/>
    </row>
    <row r="8" spans="1:24" ht="25.5" customHeight="1">
      <c r="A8" s="1"/>
      <c r="B8" s="32"/>
      <c r="C8" s="532" t="s">
        <v>11</v>
      </c>
      <c r="D8" s="528"/>
      <c r="E8" s="532" t="s">
        <v>11</v>
      </c>
      <c r="F8" s="528"/>
      <c r="G8" s="532" t="s">
        <v>11</v>
      </c>
      <c r="H8" s="528"/>
      <c r="I8" s="532" t="s">
        <v>11</v>
      </c>
      <c r="J8" s="528"/>
      <c r="K8" s="532" t="s">
        <v>11</v>
      </c>
      <c r="L8" s="528"/>
      <c r="M8" s="532" t="s">
        <v>11</v>
      </c>
      <c r="N8" s="528"/>
      <c r="P8" s="533" t="s">
        <v>12</v>
      </c>
      <c r="Q8" s="528"/>
      <c r="R8" s="35" t="s">
        <v>13</v>
      </c>
      <c r="S8" s="527" t="s">
        <v>14</v>
      </c>
      <c r="T8" s="528"/>
      <c r="U8" s="527" t="s">
        <v>15</v>
      </c>
      <c r="V8" s="528"/>
      <c r="W8" s="527" t="s">
        <v>16</v>
      </c>
      <c r="X8" s="528"/>
    </row>
    <row r="9" spans="1:24" ht="15.75" customHeight="1">
      <c r="A9" s="98"/>
      <c r="B9" s="99"/>
      <c r="C9" s="38" t="s">
        <v>18</v>
      </c>
      <c r="D9" s="38" t="s">
        <v>19</v>
      </c>
      <c r="E9" s="38" t="s">
        <v>20</v>
      </c>
      <c r="F9" s="38" t="s">
        <v>21</v>
      </c>
      <c r="G9" s="38" t="s">
        <v>2018</v>
      </c>
      <c r="H9" s="38" t="s">
        <v>22</v>
      </c>
      <c r="I9" s="38"/>
      <c r="J9" s="40"/>
      <c r="K9" s="41" t="s">
        <v>23</v>
      </c>
      <c r="L9" s="42"/>
      <c r="M9" s="43"/>
      <c r="N9" s="43"/>
      <c r="O9" s="44"/>
      <c r="P9" s="45"/>
      <c r="Q9" s="128"/>
      <c r="R9" s="46"/>
      <c r="S9" s="47"/>
      <c r="T9" s="48"/>
      <c r="U9" s="100" t="s">
        <v>24</v>
      </c>
      <c r="V9" s="100" t="s">
        <v>25</v>
      </c>
      <c r="W9" s="49"/>
      <c r="X9" s="49"/>
    </row>
    <row r="10" spans="1:24" ht="15.75" customHeight="1">
      <c r="A10" s="1"/>
      <c r="B10" s="32"/>
      <c r="C10" s="82">
        <v>45414</v>
      </c>
      <c r="D10" s="53" t="s">
        <v>438</v>
      </c>
      <c r="E10" s="53" t="s">
        <v>883</v>
      </c>
      <c r="F10" s="53" t="s">
        <v>440</v>
      </c>
      <c r="G10" s="53" t="s">
        <v>884</v>
      </c>
      <c r="H10" s="53" t="s">
        <v>30</v>
      </c>
      <c r="I10" s="53">
        <v>15</v>
      </c>
      <c r="J10" s="54">
        <v>675</v>
      </c>
      <c r="K10" s="54">
        <f t="shared" ref="K10:K140" si="0">I10*J10</f>
        <v>10125</v>
      </c>
      <c r="L10" s="55" t="b">
        <v>1</v>
      </c>
      <c r="M10" s="56">
        <v>20520240953</v>
      </c>
      <c r="N10" s="57" t="b">
        <v>1</v>
      </c>
      <c r="O10" s="58" t="s">
        <v>31</v>
      </c>
      <c r="P10" s="59" t="b">
        <v>1</v>
      </c>
      <c r="Q10" s="129"/>
      <c r="R10" s="60"/>
      <c r="S10" s="47" t="b">
        <v>1</v>
      </c>
      <c r="T10" s="61" t="s">
        <v>885</v>
      </c>
      <c r="U10" s="54">
        <f>15*300</f>
        <v>4500</v>
      </c>
      <c r="V10" s="54">
        <f t="shared" ref="V10:V181" si="1">K10-U10</f>
        <v>5625</v>
      </c>
      <c r="W10" s="49"/>
      <c r="X10" s="49"/>
    </row>
    <row r="11" spans="1:24" ht="15.75" customHeight="1">
      <c r="A11" s="1"/>
      <c r="B11" s="32"/>
      <c r="C11" s="82">
        <v>45414</v>
      </c>
      <c r="D11" s="53" t="s">
        <v>51</v>
      </c>
      <c r="E11" s="53" t="s">
        <v>66</v>
      </c>
      <c r="F11" s="53" t="s">
        <v>67</v>
      </c>
      <c r="G11" s="53" t="s">
        <v>886</v>
      </c>
      <c r="H11" s="53" t="s">
        <v>30</v>
      </c>
      <c r="I11" s="53">
        <v>1</v>
      </c>
      <c r="J11" s="54">
        <v>6250</v>
      </c>
      <c r="K11" s="54">
        <f t="shared" si="0"/>
        <v>6250</v>
      </c>
      <c r="L11" s="55" t="b">
        <v>1</v>
      </c>
      <c r="M11" s="56">
        <v>20520240953</v>
      </c>
      <c r="N11" s="57" t="b">
        <v>1</v>
      </c>
      <c r="O11" s="58" t="s">
        <v>31</v>
      </c>
      <c r="P11" s="59" t="b">
        <v>1</v>
      </c>
      <c r="Q11" s="129"/>
      <c r="R11" s="60"/>
      <c r="S11" s="47" t="b">
        <v>1</v>
      </c>
      <c r="T11" s="61" t="s">
        <v>887</v>
      </c>
      <c r="U11" s="54">
        <v>4043.83</v>
      </c>
      <c r="V11" s="54">
        <f t="shared" si="1"/>
        <v>2206.17</v>
      </c>
      <c r="W11" s="49"/>
      <c r="X11" s="49"/>
    </row>
    <row r="12" spans="1:24" ht="15.75" customHeight="1">
      <c r="A12" s="1"/>
      <c r="B12" s="32"/>
      <c r="C12" s="52">
        <v>45414</v>
      </c>
      <c r="D12" s="53" t="s">
        <v>438</v>
      </c>
      <c r="E12" s="53" t="s">
        <v>439</v>
      </c>
      <c r="F12" s="53" t="s">
        <v>440</v>
      </c>
      <c r="G12" s="53" t="s">
        <v>83</v>
      </c>
      <c r="H12" s="53" t="s">
        <v>30</v>
      </c>
      <c r="I12" s="53">
        <v>1000</v>
      </c>
      <c r="J12" s="54">
        <v>1.5</v>
      </c>
      <c r="K12" s="54">
        <f t="shared" si="0"/>
        <v>1500</v>
      </c>
      <c r="L12" s="55" t="b">
        <v>1</v>
      </c>
      <c r="M12" s="56">
        <v>20520240953</v>
      </c>
      <c r="N12" s="57" t="b">
        <v>1</v>
      </c>
      <c r="O12" s="58" t="s">
        <v>31</v>
      </c>
      <c r="P12" s="59" t="b">
        <v>1</v>
      </c>
      <c r="Q12" s="129"/>
      <c r="R12" s="60"/>
      <c r="S12" s="47" t="b">
        <v>1</v>
      </c>
      <c r="T12" s="61" t="s">
        <v>888</v>
      </c>
      <c r="U12" s="54">
        <f>1000*0.95</f>
        <v>950</v>
      </c>
      <c r="V12" s="54">
        <f t="shared" si="1"/>
        <v>550</v>
      </c>
      <c r="W12" s="49"/>
      <c r="X12" s="49"/>
    </row>
    <row r="13" spans="1:24" ht="15.75" customHeight="1">
      <c r="A13" s="1"/>
      <c r="B13" s="32"/>
      <c r="C13" s="52">
        <v>45414</v>
      </c>
      <c r="D13" s="53" t="s">
        <v>438</v>
      </c>
      <c r="E13" s="53" t="s">
        <v>439</v>
      </c>
      <c r="F13" s="53" t="s">
        <v>440</v>
      </c>
      <c r="G13" s="53" t="s">
        <v>49</v>
      </c>
      <c r="H13" s="53" t="s">
        <v>30</v>
      </c>
      <c r="I13" s="53">
        <v>3</v>
      </c>
      <c r="J13" s="54">
        <v>695</v>
      </c>
      <c r="K13" s="54">
        <f t="shared" si="0"/>
        <v>2085</v>
      </c>
      <c r="L13" s="55" t="b">
        <v>1</v>
      </c>
      <c r="M13" s="56">
        <v>20520240953</v>
      </c>
      <c r="N13" s="57" t="b">
        <v>1</v>
      </c>
      <c r="O13" s="58" t="s">
        <v>31</v>
      </c>
      <c r="P13" s="59" t="b">
        <v>1</v>
      </c>
      <c r="Q13" s="129"/>
      <c r="R13" s="60"/>
      <c r="S13" s="47" t="b">
        <v>1</v>
      </c>
      <c r="T13" s="61" t="s">
        <v>889</v>
      </c>
      <c r="U13" s="54">
        <f>3000*0.46</f>
        <v>1380</v>
      </c>
      <c r="V13" s="54">
        <f t="shared" si="1"/>
        <v>705</v>
      </c>
      <c r="W13" s="49"/>
      <c r="X13" s="49"/>
    </row>
    <row r="14" spans="1:24" ht="15.75" customHeight="1">
      <c r="A14" s="1"/>
      <c r="B14" s="32"/>
      <c r="C14" s="82">
        <v>45414</v>
      </c>
      <c r="D14" s="53" t="s">
        <v>129</v>
      </c>
      <c r="E14" s="53" t="s">
        <v>890</v>
      </c>
      <c r="F14" s="53" t="s">
        <v>131</v>
      </c>
      <c r="G14" s="74" t="s">
        <v>300</v>
      </c>
      <c r="H14" s="74" t="s">
        <v>30</v>
      </c>
      <c r="I14" s="74">
        <v>40</v>
      </c>
      <c r="J14" s="73">
        <v>100</v>
      </c>
      <c r="K14" s="54">
        <f t="shared" si="0"/>
        <v>4000</v>
      </c>
      <c r="L14" s="55" t="b">
        <v>1</v>
      </c>
      <c r="M14" s="56">
        <v>20520240953</v>
      </c>
      <c r="N14" s="57" t="b">
        <v>1</v>
      </c>
      <c r="O14" s="58" t="s">
        <v>31</v>
      </c>
      <c r="P14" s="59" t="b">
        <v>1</v>
      </c>
      <c r="Q14" s="129"/>
      <c r="R14" s="60"/>
      <c r="S14" s="47" t="b">
        <v>1</v>
      </c>
      <c r="T14" s="61" t="s">
        <v>891</v>
      </c>
      <c r="U14" s="54">
        <f>40*30</f>
        <v>1200</v>
      </c>
      <c r="V14" s="54">
        <f t="shared" si="1"/>
        <v>2800</v>
      </c>
      <c r="W14" s="49"/>
      <c r="X14" s="49"/>
    </row>
    <row r="15" spans="1:24" ht="15.75" customHeight="1">
      <c r="A15" s="1"/>
      <c r="B15" s="32"/>
      <c r="C15" s="82">
        <v>45414</v>
      </c>
      <c r="D15" s="66" t="s">
        <v>51</v>
      </c>
      <c r="E15" s="67" t="s">
        <v>66</v>
      </c>
      <c r="F15" s="67" t="s">
        <v>67</v>
      </c>
      <c r="G15" s="67" t="s">
        <v>892</v>
      </c>
      <c r="H15" s="67" t="s">
        <v>30</v>
      </c>
      <c r="I15" s="67">
        <v>70</v>
      </c>
      <c r="J15" s="68">
        <v>35</v>
      </c>
      <c r="K15" s="54">
        <f t="shared" si="0"/>
        <v>2450</v>
      </c>
      <c r="L15" s="55" t="b">
        <v>1</v>
      </c>
      <c r="M15" s="56">
        <v>20520240953</v>
      </c>
      <c r="N15" s="57" t="b">
        <v>1</v>
      </c>
      <c r="O15" s="58" t="s">
        <v>39</v>
      </c>
      <c r="P15" s="59" t="b">
        <v>1</v>
      </c>
      <c r="Q15" s="129" t="s">
        <v>701</v>
      </c>
      <c r="R15" s="60"/>
      <c r="S15" s="47" t="b">
        <v>1</v>
      </c>
      <c r="T15" s="61" t="s">
        <v>893</v>
      </c>
      <c r="U15" s="54">
        <f>70*25</f>
        <v>1750</v>
      </c>
      <c r="V15" s="54">
        <f t="shared" si="1"/>
        <v>700</v>
      </c>
      <c r="W15" s="49"/>
      <c r="X15" s="49"/>
    </row>
    <row r="16" spans="1:24" ht="15.75" customHeight="1">
      <c r="A16" s="1"/>
      <c r="B16" s="32"/>
      <c r="C16" s="82">
        <v>45414</v>
      </c>
      <c r="D16" s="66" t="s">
        <v>51</v>
      </c>
      <c r="E16" s="67" t="s">
        <v>594</v>
      </c>
      <c r="F16" s="67" t="s">
        <v>595</v>
      </c>
      <c r="G16" s="67" t="s">
        <v>894</v>
      </c>
      <c r="H16" s="69" t="s">
        <v>30</v>
      </c>
      <c r="I16" s="69">
        <v>2</v>
      </c>
      <c r="J16" s="70">
        <v>1250</v>
      </c>
      <c r="K16" s="54">
        <f t="shared" si="0"/>
        <v>2500</v>
      </c>
      <c r="L16" s="55" t="b">
        <v>1</v>
      </c>
      <c r="M16" s="56">
        <v>20520240953</v>
      </c>
      <c r="N16" s="57" t="b">
        <v>1</v>
      </c>
      <c r="O16" s="58" t="s">
        <v>39</v>
      </c>
      <c r="P16" s="59" t="b">
        <v>1</v>
      </c>
      <c r="Q16" s="129" t="s">
        <v>895</v>
      </c>
      <c r="R16" s="60"/>
      <c r="S16" s="47" t="b">
        <v>1</v>
      </c>
      <c r="T16" s="61" t="s">
        <v>896</v>
      </c>
      <c r="U16" s="54">
        <f>2*800</f>
        <v>1600</v>
      </c>
      <c r="V16" s="54">
        <f t="shared" si="1"/>
        <v>900</v>
      </c>
      <c r="W16" s="49"/>
      <c r="X16" s="49"/>
    </row>
    <row r="17" spans="1:24" ht="15.75" customHeight="1">
      <c r="A17" s="1"/>
      <c r="B17" s="32"/>
      <c r="C17" s="82">
        <v>45414</v>
      </c>
      <c r="D17" s="66" t="s">
        <v>51</v>
      </c>
      <c r="E17" s="67" t="s">
        <v>594</v>
      </c>
      <c r="F17" s="67" t="s">
        <v>595</v>
      </c>
      <c r="G17" s="67" t="s">
        <v>892</v>
      </c>
      <c r="H17" s="69" t="s">
        <v>30</v>
      </c>
      <c r="I17" s="69">
        <v>100</v>
      </c>
      <c r="J17" s="70">
        <v>35</v>
      </c>
      <c r="K17" s="54">
        <f t="shared" si="0"/>
        <v>3500</v>
      </c>
      <c r="L17" s="55" t="b">
        <v>1</v>
      </c>
      <c r="M17" s="56">
        <v>20520240953</v>
      </c>
      <c r="N17" s="57" t="b">
        <v>1</v>
      </c>
      <c r="O17" s="58" t="s">
        <v>39</v>
      </c>
      <c r="P17" s="59" t="b">
        <v>1</v>
      </c>
      <c r="Q17" s="129" t="s">
        <v>781</v>
      </c>
      <c r="R17" s="60"/>
      <c r="S17" s="47" t="b">
        <v>1</v>
      </c>
      <c r="T17" s="61" t="s">
        <v>896</v>
      </c>
      <c r="U17" s="54">
        <f>100*25</f>
        <v>2500</v>
      </c>
      <c r="V17" s="54">
        <f t="shared" si="1"/>
        <v>1000</v>
      </c>
      <c r="W17" s="49"/>
      <c r="X17" s="49"/>
    </row>
    <row r="18" spans="1:24" ht="15.75" customHeight="1">
      <c r="A18" s="1"/>
      <c r="B18" s="32"/>
      <c r="C18" s="82">
        <v>45414</v>
      </c>
      <c r="D18" s="53" t="s">
        <v>51</v>
      </c>
      <c r="E18" s="53" t="s">
        <v>61</v>
      </c>
      <c r="F18" s="53" t="s">
        <v>548</v>
      </c>
      <c r="G18" s="53" t="s">
        <v>892</v>
      </c>
      <c r="H18" s="53" t="s">
        <v>30</v>
      </c>
      <c r="I18" s="53">
        <v>60</v>
      </c>
      <c r="J18" s="54">
        <v>35</v>
      </c>
      <c r="K18" s="54">
        <f t="shared" si="0"/>
        <v>2100</v>
      </c>
      <c r="L18" s="55" t="b">
        <v>1</v>
      </c>
      <c r="M18" s="56">
        <v>20520240953</v>
      </c>
      <c r="N18" s="57" t="b">
        <v>1</v>
      </c>
      <c r="O18" s="58" t="s">
        <v>39</v>
      </c>
      <c r="P18" s="59" t="b">
        <v>1</v>
      </c>
      <c r="Q18" s="129" t="s">
        <v>701</v>
      </c>
      <c r="R18" s="60"/>
      <c r="S18" s="47" t="b">
        <v>1</v>
      </c>
      <c r="T18" s="61" t="s">
        <v>897</v>
      </c>
      <c r="U18" s="54">
        <f>60*25</f>
        <v>1500</v>
      </c>
      <c r="V18" s="54">
        <f t="shared" si="1"/>
        <v>600</v>
      </c>
      <c r="W18" s="49"/>
      <c r="X18" s="49"/>
    </row>
    <row r="19" spans="1:24" ht="15.75" customHeight="1">
      <c r="A19" s="1"/>
      <c r="B19" s="32"/>
      <c r="C19" s="82">
        <v>45414</v>
      </c>
      <c r="D19" s="53" t="s">
        <v>51</v>
      </c>
      <c r="E19" s="53" t="s">
        <v>61</v>
      </c>
      <c r="F19" s="53" t="s">
        <v>548</v>
      </c>
      <c r="G19" s="53" t="s">
        <v>898</v>
      </c>
      <c r="H19" s="53" t="s">
        <v>30</v>
      </c>
      <c r="I19" s="53">
        <v>1</v>
      </c>
      <c r="J19" s="54">
        <v>3600</v>
      </c>
      <c r="K19" s="54">
        <f t="shared" si="0"/>
        <v>3600</v>
      </c>
      <c r="L19" s="55" t="b">
        <v>1</v>
      </c>
      <c r="M19" s="56">
        <v>20520240953</v>
      </c>
      <c r="N19" s="57" t="b">
        <v>1</v>
      </c>
      <c r="O19" s="58" t="s">
        <v>39</v>
      </c>
      <c r="P19" s="59" t="b">
        <v>1</v>
      </c>
      <c r="Q19" s="129" t="s">
        <v>899</v>
      </c>
      <c r="R19" s="60"/>
      <c r="S19" s="47" t="b">
        <v>1</v>
      </c>
      <c r="T19" s="61" t="s">
        <v>897</v>
      </c>
      <c r="U19" s="54">
        <f>1*2400</f>
        <v>2400</v>
      </c>
      <c r="V19" s="54">
        <f t="shared" si="1"/>
        <v>1200</v>
      </c>
      <c r="W19" s="49"/>
      <c r="X19" s="49"/>
    </row>
    <row r="20" spans="1:24" ht="15.75" customHeight="1">
      <c r="A20" s="1"/>
      <c r="B20" s="32"/>
      <c r="C20" s="82">
        <v>45414</v>
      </c>
      <c r="D20" s="53" t="s">
        <v>51</v>
      </c>
      <c r="E20" s="53" t="s">
        <v>89</v>
      </c>
      <c r="F20" s="53" t="s">
        <v>90</v>
      </c>
      <c r="G20" s="53" t="s">
        <v>900</v>
      </c>
      <c r="H20" s="53" t="s">
        <v>30</v>
      </c>
      <c r="I20" s="53">
        <v>1</v>
      </c>
      <c r="J20" s="54">
        <v>1500</v>
      </c>
      <c r="K20" s="54">
        <f t="shared" si="0"/>
        <v>1500</v>
      </c>
      <c r="L20" s="55" t="b">
        <v>1</v>
      </c>
      <c r="M20" s="56">
        <v>20520241605</v>
      </c>
      <c r="N20" s="57" t="b">
        <v>1</v>
      </c>
      <c r="O20" s="58" t="s">
        <v>31</v>
      </c>
      <c r="P20" s="59" t="b">
        <v>1</v>
      </c>
      <c r="Q20" s="129"/>
      <c r="R20" s="60"/>
      <c r="S20" s="47" t="b">
        <v>1</v>
      </c>
      <c r="T20" s="61" t="s">
        <v>901</v>
      </c>
      <c r="U20" s="54">
        <v>600</v>
      </c>
      <c r="V20" s="54">
        <f t="shared" si="1"/>
        <v>900</v>
      </c>
      <c r="W20" s="49"/>
      <c r="X20" s="49"/>
    </row>
    <row r="21" spans="1:24" ht="15.75" customHeight="1">
      <c r="A21" s="1"/>
      <c r="B21" s="32"/>
      <c r="C21" s="82">
        <v>45414</v>
      </c>
      <c r="D21" s="53" t="s">
        <v>51</v>
      </c>
      <c r="E21" s="53" t="s">
        <v>201</v>
      </c>
      <c r="F21" s="53" t="s">
        <v>202</v>
      </c>
      <c r="G21" s="53" t="s">
        <v>785</v>
      </c>
      <c r="H21" s="53" t="s">
        <v>30</v>
      </c>
      <c r="I21" s="53">
        <v>1</v>
      </c>
      <c r="J21" s="54">
        <v>2750</v>
      </c>
      <c r="K21" s="54">
        <f t="shared" si="0"/>
        <v>2750</v>
      </c>
      <c r="L21" s="55" t="b">
        <v>1</v>
      </c>
      <c r="M21" s="56">
        <v>20520241605</v>
      </c>
      <c r="N21" s="57" t="b">
        <v>1</v>
      </c>
      <c r="O21" s="58" t="s">
        <v>31</v>
      </c>
      <c r="P21" s="59" t="b">
        <v>1</v>
      </c>
      <c r="Q21" s="129"/>
      <c r="R21" s="60"/>
      <c r="S21" s="47" t="b">
        <v>1</v>
      </c>
      <c r="T21" s="61" t="s">
        <v>902</v>
      </c>
      <c r="U21" s="54"/>
      <c r="V21" s="54">
        <f t="shared" si="1"/>
        <v>2750</v>
      </c>
      <c r="W21" s="49"/>
      <c r="X21" s="49"/>
    </row>
    <row r="22" spans="1:24" ht="15.75" customHeight="1">
      <c r="A22" s="1"/>
      <c r="B22" s="32"/>
      <c r="C22" s="82">
        <v>45414</v>
      </c>
      <c r="D22" s="53" t="s">
        <v>51</v>
      </c>
      <c r="E22" s="53" t="s">
        <v>201</v>
      </c>
      <c r="F22" s="53" t="s">
        <v>202</v>
      </c>
      <c r="G22" s="53" t="s">
        <v>787</v>
      </c>
      <c r="H22" s="53" t="s">
        <v>30</v>
      </c>
      <c r="I22" s="53">
        <v>1</v>
      </c>
      <c r="J22" s="54">
        <v>3400</v>
      </c>
      <c r="K22" s="54">
        <f t="shared" si="0"/>
        <v>3400</v>
      </c>
      <c r="L22" s="55" t="b">
        <v>1</v>
      </c>
      <c r="M22" s="56">
        <v>20520241605</v>
      </c>
      <c r="N22" s="57" t="b">
        <v>1</v>
      </c>
      <c r="O22" s="58" t="s">
        <v>31</v>
      </c>
      <c r="P22" s="59" t="b">
        <v>1</v>
      </c>
      <c r="Q22" s="129"/>
      <c r="R22" s="60"/>
      <c r="S22" s="47" t="b">
        <v>1</v>
      </c>
      <c r="T22" s="61" t="s">
        <v>902</v>
      </c>
      <c r="U22" s="54"/>
      <c r="V22" s="54">
        <f t="shared" si="1"/>
        <v>3400</v>
      </c>
      <c r="W22" s="49"/>
      <c r="X22" s="49"/>
    </row>
    <row r="23" spans="1:24" ht="13.5" customHeight="1">
      <c r="A23" s="1"/>
      <c r="B23" s="32"/>
      <c r="C23" s="71" t="s">
        <v>903</v>
      </c>
      <c r="D23" s="53" t="s">
        <v>904</v>
      </c>
      <c r="E23" s="53">
        <v>41</v>
      </c>
      <c r="F23" s="53" t="s">
        <v>166</v>
      </c>
      <c r="G23" s="53" t="s">
        <v>49</v>
      </c>
      <c r="H23" s="53" t="s">
        <v>30</v>
      </c>
      <c r="I23" s="53">
        <v>10</v>
      </c>
      <c r="J23" s="54">
        <v>695</v>
      </c>
      <c r="K23" s="54">
        <f t="shared" si="0"/>
        <v>6950</v>
      </c>
      <c r="L23" s="55" t="b">
        <v>1</v>
      </c>
      <c r="M23" s="56">
        <v>30520240913</v>
      </c>
      <c r="N23" s="57" t="b">
        <v>1</v>
      </c>
      <c r="O23" s="58" t="s">
        <v>31</v>
      </c>
      <c r="P23" s="59" t="b">
        <v>1</v>
      </c>
      <c r="Q23" s="129"/>
      <c r="R23" s="60"/>
      <c r="S23" s="47" t="b">
        <v>1</v>
      </c>
      <c r="T23" s="61" t="s">
        <v>905</v>
      </c>
      <c r="U23" s="54">
        <f>10000*0.46</f>
        <v>4600</v>
      </c>
      <c r="V23" s="54">
        <f t="shared" si="1"/>
        <v>2350</v>
      </c>
      <c r="W23" s="49"/>
      <c r="X23" s="49"/>
    </row>
    <row r="24" spans="1:24" ht="15.75" customHeight="1">
      <c r="A24" s="1"/>
      <c r="B24" s="32"/>
      <c r="C24" s="71" t="s">
        <v>903</v>
      </c>
      <c r="D24" s="53" t="s">
        <v>904</v>
      </c>
      <c r="E24" s="53">
        <v>41</v>
      </c>
      <c r="F24" s="53" t="s">
        <v>166</v>
      </c>
      <c r="G24" s="53" t="s">
        <v>83</v>
      </c>
      <c r="H24" s="53" t="s">
        <v>30</v>
      </c>
      <c r="I24" s="53">
        <v>2000</v>
      </c>
      <c r="J24" s="54">
        <v>1.5</v>
      </c>
      <c r="K24" s="54">
        <f t="shared" si="0"/>
        <v>3000</v>
      </c>
      <c r="L24" s="55" t="b">
        <v>1</v>
      </c>
      <c r="M24" s="56">
        <v>30520240913</v>
      </c>
      <c r="N24" s="57" t="b">
        <v>1</v>
      </c>
      <c r="O24" s="58" t="s">
        <v>31</v>
      </c>
      <c r="P24" s="59" t="b">
        <v>1</v>
      </c>
      <c r="Q24" s="129"/>
      <c r="R24" s="60"/>
      <c r="S24" s="47" t="b">
        <v>1</v>
      </c>
      <c r="T24" s="61" t="s">
        <v>906</v>
      </c>
      <c r="U24" s="54">
        <f>2000*0.95</f>
        <v>1900</v>
      </c>
      <c r="V24" s="54">
        <f t="shared" si="1"/>
        <v>1100</v>
      </c>
      <c r="W24" s="49"/>
      <c r="X24" s="49"/>
    </row>
    <row r="25" spans="1:24" ht="15.75" customHeight="1">
      <c r="A25" s="1"/>
      <c r="B25" s="32"/>
      <c r="C25" s="71" t="s">
        <v>903</v>
      </c>
      <c r="D25" s="53" t="s">
        <v>904</v>
      </c>
      <c r="E25" s="53">
        <v>41</v>
      </c>
      <c r="F25" s="53" t="s">
        <v>166</v>
      </c>
      <c r="G25" s="53" t="s">
        <v>907</v>
      </c>
      <c r="H25" s="53" t="s">
        <v>30</v>
      </c>
      <c r="I25" s="53">
        <v>400</v>
      </c>
      <c r="J25" s="54">
        <v>9.75</v>
      </c>
      <c r="K25" s="54">
        <f t="shared" si="0"/>
        <v>3900</v>
      </c>
      <c r="L25" s="55" t="b">
        <v>1</v>
      </c>
      <c r="M25" s="56">
        <v>30520240913</v>
      </c>
      <c r="N25" s="57" t="b">
        <v>1</v>
      </c>
      <c r="O25" s="58"/>
      <c r="P25" s="59" t="b">
        <v>1</v>
      </c>
      <c r="Q25" s="129"/>
      <c r="R25" s="60"/>
      <c r="S25" s="47" t="b">
        <v>1</v>
      </c>
      <c r="T25" s="61" t="s">
        <v>906</v>
      </c>
      <c r="U25" s="54">
        <v>2400</v>
      </c>
      <c r="V25" s="54">
        <f t="shared" si="1"/>
        <v>1500</v>
      </c>
      <c r="W25" s="49"/>
      <c r="X25" s="49"/>
    </row>
    <row r="26" spans="1:24" ht="15.75" customHeight="1">
      <c r="A26" s="1"/>
      <c r="B26" s="32"/>
      <c r="C26" s="71" t="s">
        <v>903</v>
      </c>
      <c r="D26" s="53" t="s">
        <v>51</v>
      </c>
      <c r="E26" s="53" t="s">
        <v>372</v>
      </c>
      <c r="F26" s="53" t="s">
        <v>373</v>
      </c>
      <c r="G26" s="53" t="s">
        <v>639</v>
      </c>
      <c r="H26" s="53" t="s">
        <v>30</v>
      </c>
      <c r="I26" s="53">
        <v>48</v>
      </c>
      <c r="J26" s="54">
        <v>185</v>
      </c>
      <c r="K26" s="54">
        <f t="shared" si="0"/>
        <v>8880</v>
      </c>
      <c r="L26" s="55" t="b">
        <v>1</v>
      </c>
      <c r="M26" s="56">
        <v>30520240913</v>
      </c>
      <c r="N26" s="57" t="b">
        <v>1</v>
      </c>
      <c r="O26" s="58" t="s">
        <v>31</v>
      </c>
      <c r="P26" s="59" t="b">
        <v>1</v>
      </c>
      <c r="Q26" s="129"/>
      <c r="R26" s="60"/>
      <c r="S26" s="47" t="b">
        <v>1</v>
      </c>
      <c r="T26" s="61" t="s">
        <v>908</v>
      </c>
      <c r="U26" s="54">
        <f>48*145</f>
        <v>6960</v>
      </c>
      <c r="V26" s="54">
        <f t="shared" si="1"/>
        <v>1920</v>
      </c>
      <c r="W26" s="49"/>
      <c r="X26" s="49"/>
    </row>
    <row r="27" spans="1:24" ht="15.75" customHeight="1">
      <c r="A27" s="1"/>
      <c r="B27" s="32"/>
      <c r="C27" s="71" t="s">
        <v>903</v>
      </c>
      <c r="D27" s="53" t="s">
        <v>904</v>
      </c>
      <c r="E27" s="53" t="s">
        <v>56</v>
      </c>
      <c r="F27" s="53" t="s">
        <v>57</v>
      </c>
      <c r="G27" s="53" t="s">
        <v>49</v>
      </c>
      <c r="H27" s="53" t="s">
        <v>30</v>
      </c>
      <c r="I27" s="53">
        <v>10</v>
      </c>
      <c r="J27" s="54">
        <v>695</v>
      </c>
      <c r="K27" s="54">
        <f t="shared" si="0"/>
        <v>6950</v>
      </c>
      <c r="L27" s="55" t="b">
        <v>1</v>
      </c>
      <c r="M27" s="56">
        <v>30520240913</v>
      </c>
      <c r="N27" s="57" t="b">
        <v>1</v>
      </c>
      <c r="O27" s="58" t="s">
        <v>31</v>
      </c>
      <c r="P27" s="59" t="b">
        <v>1</v>
      </c>
      <c r="Q27" s="129"/>
      <c r="R27" s="60"/>
      <c r="S27" s="47" t="b">
        <v>1</v>
      </c>
      <c r="T27" s="61" t="s">
        <v>909</v>
      </c>
      <c r="U27" s="54">
        <f>10000*0.46</f>
        <v>4600</v>
      </c>
      <c r="V27" s="54">
        <f t="shared" si="1"/>
        <v>2350</v>
      </c>
      <c r="W27" s="49"/>
      <c r="X27" s="49"/>
    </row>
    <row r="28" spans="1:24" ht="15.75" customHeight="1">
      <c r="A28" s="1"/>
      <c r="B28" s="32"/>
      <c r="C28" s="71" t="s">
        <v>903</v>
      </c>
      <c r="D28" s="53" t="s">
        <v>51</v>
      </c>
      <c r="E28" s="53" t="s">
        <v>89</v>
      </c>
      <c r="F28" s="53" t="s">
        <v>90</v>
      </c>
      <c r="G28" s="53" t="s">
        <v>910</v>
      </c>
      <c r="H28" s="53" t="s">
        <v>30</v>
      </c>
      <c r="I28" s="53">
        <v>5</v>
      </c>
      <c r="J28" s="54">
        <v>650</v>
      </c>
      <c r="K28" s="54">
        <f t="shared" si="0"/>
        <v>3250</v>
      </c>
      <c r="L28" s="55" t="b">
        <v>1</v>
      </c>
      <c r="M28" s="56">
        <v>30520240913</v>
      </c>
      <c r="N28" s="57" t="b">
        <v>1</v>
      </c>
      <c r="O28" s="58" t="s">
        <v>31</v>
      </c>
      <c r="P28" s="59" t="b">
        <v>1</v>
      </c>
      <c r="Q28" s="129"/>
      <c r="R28" s="60"/>
      <c r="S28" s="47" t="b">
        <v>1</v>
      </c>
      <c r="T28" s="61" t="s">
        <v>901</v>
      </c>
      <c r="U28" s="54">
        <v>1875</v>
      </c>
      <c r="V28" s="54">
        <f t="shared" si="1"/>
        <v>1375</v>
      </c>
      <c r="W28" s="49"/>
      <c r="X28" s="49"/>
    </row>
    <row r="29" spans="1:24" ht="15.75" customHeight="1">
      <c r="A29" s="1"/>
      <c r="B29" s="32"/>
      <c r="C29" s="71" t="s">
        <v>903</v>
      </c>
      <c r="D29" s="53" t="s">
        <v>51</v>
      </c>
      <c r="E29" s="53" t="s">
        <v>89</v>
      </c>
      <c r="F29" s="53" t="s">
        <v>90</v>
      </c>
      <c r="G29" s="53" t="s">
        <v>911</v>
      </c>
      <c r="H29" s="53" t="s">
        <v>30</v>
      </c>
      <c r="I29" s="53">
        <v>5</v>
      </c>
      <c r="J29" s="54">
        <v>105</v>
      </c>
      <c r="K29" s="54">
        <f t="shared" si="0"/>
        <v>525</v>
      </c>
      <c r="L29" s="55" t="b">
        <v>1</v>
      </c>
      <c r="M29" s="56">
        <v>30520240913</v>
      </c>
      <c r="N29" s="57" t="b">
        <v>1</v>
      </c>
      <c r="O29" s="58"/>
      <c r="P29" s="59" t="b">
        <v>1</v>
      </c>
      <c r="Q29" s="129"/>
      <c r="R29" s="60"/>
      <c r="S29" s="47" t="b">
        <v>1</v>
      </c>
      <c r="T29" s="61" t="s">
        <v>901</v>
      </c>
      <c r="U29" s="54">
        <f>10*75</f>
        <v>750</v>
      </c>
      <c r="V29" s="54">
        <f t="shared" si="1"/>
        <v>-225</v>
      </c>
      <c r="W29" s="49"/>
      <c r="X29" s="49"/>
    </row>
    <row r="30" spans="1:24" ht="15.75" customHeight="1">
      <c r="A30" s="1"/>
      <c r="B30" s="32"/>
      <c r="C30" s="71" t="s">
        <v>912</v>
      </c>
      <c r="D30" s="53" t="s">
        <v>104</v>
      </c>
      <c r="E30" s="53" t="s">
        <v>620</v>
      </c>
      <c r="F30" s="66" t="s">
        <v>913</v>
      </c>
      <c r="G30" s="67" t="s">
        <v>374</v>
      </c>
      <c r="H30" s="67" t="s">
        <v>30</v>
      </c>
      <c r="I30" s="67">
        <v>100</v>
      </c>
      <c r="J30" s="68">
        <v>35</v>
      </c>
      <c r="K30" s="54">
        <f t="shared" si="0"/>
        <v>3500</v>
      </c>
      <c r="L30" s="55" t="b">
        <v>1</v>
      </c>
      <c r="M30" s="56">
        <v>40520241012</v>
      </c>
      <c r="N30" s="57" t="b">
        <v>1</v>
      </c>
      <c r="O30" s="58"/>
      <c r="P30" s="59" t="b">
        <v>1</v>
      </c>
      <c r="Q30" s="129"/>
      <c r="R30" s="60"/>
      <c r="S30" s="47" t="b">
        <v>1</v>
      </c>
      <c r="T30" s="61" t="s">
        <v>914</v>
      </c>
      <c r="U30" s="54">
        <f>100*7</f>
        <v>700</v>
      </c>
      <c r="V30" s="54">
        <f t="shared" si="1"/>
        <v>2800</v>
      </c>
      <c r="W30" s="49"/>
      <c r="X30" s="49"/>
    </row>
    <row r="31" spans="1:24" ht="15.75" customHeight="1">
      <c r="A31" s="1"/>
      <c r="B31" s="32"/>
      <c r="C31" s="71" t="s">
        <v>912</v>
      </c>
      <c r="D31" s="53" t="s">
        <v>104</v>
      </c>
      <c r="E31" s="53" t="s">
        <v>620</v>
      </c>
      <c r="F31" s="66" t="s">
        <v>913</v>
      </c>
      <c r="G31" s="69" t="s">
        <v>915</v>
      </c>
      <c r="H31" s="69" t="s">
        <v>30</v>
      </c>
      <c r="I31" s="69">
        <v>150</v>
      </c>
      <c r="J31" s="70">
        <v>19.5</v>
      </c>
      <c r="K31" s="54">
        <f t="shared" si="0"/>
        <v>2925</v>
      </c>
      <c r="L31" s="55" t="b">
        <v>1</v>
      </c>
      <c r="M31" s="56">
        <v>40520241012</v>
      </c>
      <c r="N31" s="57" t="b">
        <v>1</v>
      </c>
      <c r="O31" s="58" t="s">
        <v>31</v>
      </c>
      <c r="P31" s="59" t="b">
        <v>1</v>
      </c>
      <c r="Q31" s="129"/>
      <c r="R31" s="60"/>
      <c r="S31" s="47" t="b">
        <v>1</v>
      </c>
      <c r="T31" s="61" t="s">
        <v>914</v>
      </c>
      <c r="U31" s="54">
        <f>150*10</f>
        <v>1500</v>
      </c>
      <c r="V31" s="54">
        <f t="shared" si="1"/>
        <v>1425</v>
      </c>
      <c r="W31" s="49"/>
      <c r="X31" s="49"/>
    </row>
    <row r="32" spans="1:24" ht="15.75" customHeight="1">
      <c r="A32" s="1"/>
      <c r="B32" s="32"/>
      <c r="C32" s="71" t="s">
        <v>912</v>
      </c>
      <c r="D32" s="53" t="s">
        <v>104</v>
      </c>
      <c r="E32" s="53" t="s">
        <v>620</v>
      </c>
      <c r="F32" s="66" t="s">
        <v>913</v>
      </c>
      <c r="G32" s="69" t="s">
        <v>916</v>
      </c>
      <c r="H32" s="69" t="s">
        <v>30</v>
      </c>
      <c r="I32" s="69">
        <v>39</v>
      </c>
      <c r="J32" s="70">
        <v>80</v>
      </c>
      <c r="K32" s="54">
        <f t="shared" si="0"/>
        <v>3120</v>
      </c>
      <c r="L32" s="55" t="b">
        <v>1</v>
      </c>
      <c r="M32" s="56">
        <v>40520241012</v>
      </c>
      <c r="N32" s="57" t="b">
        <v>1</v>
      </c>
      <c r="O32" s="58"/>
      <c r="P32" s="59" t="b">
        <v>1</v>
      </c>
      <c r="Q32" s="129"/>
      <c r="R32" s="60"/>
      <c r="S32" s="47" t="b">
        <v>1</v>
      </c>
      <c r="T32" s="61" t="s">
        <v>914</v>
      </c>
      <c r="U32" s="54">
        <f>39*40</f>
        <v>1560</v>
      </c>
      <c r="V32" s="54">
        <f t="shared" si="1"/>
        <v>1560</v>
      </c>
      <c r="W32" s="49"/>
      <c r="X32" s="49"/>
    </row>
    <row r="33" spans="1:24" ht="15.75" customHeight="1">
      <c r="A33" s="1"/>
      <c r="B33" s="32"/>
      <c r="C33" s="71" t="s">
        <v>912</v>
      </c>
      <c r="D33" s="53" t="s">
        <v>46</v>
      </c>
      <c r="E33" s="53" t="s">
        <v>47</v>
      </c>
      <c r="F33" s="66" t="s">
        <v>599</v>
      </c>
      <c r="G33" s="69" t="s">
        <v>49</v>
      </c>
      <c r="H33" s="69" t="s">
        <v>30</v>
      </c>
      <c r="I33" s="69">
        <v>4</v>
      </c>
      <c r="J33" s="70">
        <v>695</v>
      </c>
      <c r="K33" s="54">
        <f t="shared" si="0"/>
        <v>2780</v>
      </c>
      <c r="L33" s="55" t="b">
        <v>1</v>
      </c>
      <c r="M33" s="56">
        <v>40520241021</v>
      </c>
      <c r="N33" s="57" t="b">
        <v>1</v>
      </c>
      <c r="O33" s="58" t="s">
        <v>31</v>
      </c>
      <c r="P33" s="59" t="b">
        <v>1</v>
      </c>
      <c r="Q33" s="129"/>
      <c r="R33" s="60"/>
      <c r="S33" s="47" t="b">
        <v>1</v>
      </c>
      <c r="T33" s="61" t="s">
        <v>917</v>
      </c>
      <c r="U33" s="54">
        <f>4000*0.46</f>
        <v>1840</v>
      </c>
      <c r="V33" s="54">
        <f t="shared" si="1"/>
        <v>940</v>
      </c>
      <c r="W33" s="49"/>
      <c r="X33" s="49"/>
    </row>
    <row r="34" spans="1:24" ht="15.75" customHeight="1">
      <c r="A34" s="1"/>
      <c r="B34" s="32"/>
      <c r="C34" s="71" t="s">
        <v>912</v>
      </c>
      <c r="D34" s="53" t="s">
        <v>104</v>
      </c>
      <c r="E34" s="53" t="s">
        <v>918</v>
      </c>
      <c r="F34" s="66" t="s">
        <v>919</v>
      </c>
      <c r="G34" s="69" t="s">
        <v>467</v>
      </c>
      <c r="H34" s="69" t="s">
        <v>30</v>
      </c>
      <c r="I34" s="69">
        <v>15</v>
      </c>
      <c r="J34" s="70">
        <v>650</v>
      </c>
      <c r="K34" s="54">
        <f t="shared" si="0"/>
        <v>9750</v>
      </c>
      <c r="L34" s="55" t="b">
        <v>1</v>
      </c>
      <c r="M34" s="56">
        <v>40520241023</v>
      </c>
      <c r="N34" s="57" t="b">
        <v>0</v>
      </c>
      <c r="O34" s="58"/>
      <c r="P34" s="59" t="b">
        <v>1</v>
      </c>
      <c r="Q34" s="129" t="s">
        <v>920</v>
      </c>
      <c r="R34" s="60"/>
      <c r="S34" s="47" t="b">
        <v>1</v>
      </c>
      <c r="T34" s="61" t="s">
        <v>921</v>
      </c>
      <c r="U34" s="54">
        <f>15*300</f>
        <v>4500</v>
      </c>
      <c r="V34" s="54">
        <f t="shared" si="1"/>
        <v>5250</v>
      </c>
      <c r="W34" s="49"/>
      <c r="X34" s="49"/>
    </row>
    <row r="35" spans="1:24" ht="15.75" customHeight="1">
      <c r="A35" s="1"/>
      <c r="B35" s="32"/>
      <c r="C35" s="71" t="s">
        <v>912</v>
      </c>
      <c r="D35" s="53" t="s">
        <v>93</v>
      </c>
      <c r="E35" s="53" t="s">
        <v>137</v>
      </c>
      <c r="F35" s="66" t="s">
        <v>922</v>
      </c>
      <c r="G35" s="69" t="s">
        <v>49</v>
      </c>
      <c r="H35" s="69" t="s">
        <v>30</v>
      </c>
      <c r="I35" s="69">
        <v>2</v>
      </c>
      <c r="J35" s="70">
        <v>695</v>
      </c>
      <c r="K35" s="54">
        <f t="shared" si="0"/>
        <v>1390</v>
      </c>
      <c r="L35" s="55" t="b">
        <v>1</v>
      </c>
      <c r="M35" s="56">
        <v>40520241023</v>
      </c>
      <c r="N35" s="57" t="b">
        <v>1</v>
      </c>
      <c r="O35" s="58" t="s">
        <v>31</v>
      </c>
      <c r="P35" s="59" t="b">
        <v>1</v>
      </c>
      <c r="Q35" s="129"/>
      <c r="R35" s="60"/>
      <c r="S35" s="47" t="b">
        <v>1</v>
      </c>
      <c r="T35" s="61" t="s">
        <v>923</v>
      </c>
      <c r="U35" s="54">
        <f>2000*0.46</f>
        <v>920</v>
      </c>
      <c r="V35" s="54">
        <f t="shared" si="1"/>
        <v>470</v>
      </c>
      <c r="W35" s="49"/>
      <c r="X35" s="49"/>
    </row>
    <row r="36" spans="1:24" ht="15.75" customHeight="1">
      <c r="A36" s="1"/>
      <c r="B36" s="32"/>
      <c r="C36" s="71" t="s">
        <v>912</v>
      </c>
      <c r="D36" s="53" t="s">
        <v>93</v>
      </c>
      <c r="E36" s="53" t="s">
        <v>137</v>
      </c>
      <c r="F36" s="66" t="s">
        <v>922</v>
      </c>
      <c r="G36" s="69" t="s">
        <v>83</v>
      </c>
      <c r="H36" s="69" t="s">
        <v>30</v>
      </c>
      <c r="I36" s="69">
        <v>1000</v>
      </c>
      <c r="J36" s="70">
        <v>1.5</v>
      </c>
      <c r="K36" s="54">
        <f t="shared" si="0"/>
        <v>1500</v>
      </c>
      <c r="L36" s="55" t="b">
        <v>1</v>
      </c>
      <c r="M36" s="56">
        <v>40520241023</v>
      </c>
      <c r="N36" s="57" t="b">
        <v>1</v>
      </c>
      <c r="O36" s="58" t="s">
        <v>31</v>
      </c>
      <c r="P36" s="59" t="b">
        <v>1</v>
      </c>
      <c r="Q36" s="129"/>
      <c r="R36" s="60"/>
      <c r="S36" s="47" t="b">
        <v>1</v>
      </c>
      <c r="T36" s="61" t="s">
        <v>924</v>
      </c>
      <c r="U36" s="54">
        <f>1000*0.9</f>
        <v>900</v>
      </c>
      <c r="V36" s="54">
        <f t="shared" si="1"/>
        <v>600</v>
      </c>
      <c r="W36" s="49"/>
      <c r="X36" s="49"/>
    </row>
    <row r="37" spans="1:24" ht="15.75" customHeight="1">
      <c r="A37" s="1"/>
      <c r="B37" s="32"/>
      <c r="C37" s="71" t="s">
        <v>925</v>
      </c>
      <c r="D37" s="53" t="s">
        <v>51</v>
      </c>
      <c r="E37" s="53" t="s">
        <v>89</v>
      </c>
      <c r="F37" s="66" t="s">
        <v>90</v>
      </c>
      <c r="G37" s="69" t="s">
        <v>926</v>
      </c>
      <c r="H37" s="69" t="s">
        <v>30</v>
      </c>
      <c r="I37" s="69">
        <v>10</v>
      </c>
      <c r="J37" s="70">
        <v>105</v>
      </c>
      <c r="K37" s="54">
        <f t="shared" si="0"/>
        <v>1050</v>
      </c>
      <c r="L37" s="55" t="b">
        <v>1</v>
      </c>
      <c r="M37" s="56">
        <v>60520240903</v>
      </c>
      <c r="N37" s="57" t="b">
        <v>1</v>
      </c>
      <c r="O37" s="58"/>
      <c r="P37" s="59" t="b">
        <v>1</v>
      </c>
      <c r="Q37" s="129"/>
      <c r="R37" s="60"/>
      <c r="S37" s="47" t="b">
        <v>1</v>
      </c>
      <c r="T37" s="61" t="s">
        <v>901</v>
      </c>
      <c r="U37" s="54">
        <f>15*75</f>
        <v>1125</v>
      </c>
      <c r="V37" s="54">
        <f t="shared" si="1"/>
        <v>-75</v>
      </c>
      <c r="W37" s="49"/>
      <c r="X37" s="49"/>
    </row>
    <row r="38" spans="1:24" ht="15.75" customHeight="1">
      <c r="A38" s="1"/>
      <c r="B38" s="32"/>
      <c r="C38" s="71" t="s">
        <v>925</v>
      </c>
      <c r="D38" s="53" t="s">
        <v>345</v>
      </c>
      <c r="E38" s="53" t="s">
        <v>342</v>
      </c>
      <c r="F38" s="66" t="s">
        <v>927</v>
      </c>
      <c r="G38" s="69" t="s">
        <v>139</v>
      </c>
      <c r="H38" s="69" t="s">
        <v>30</v>
      </c>
      <c r="I38" s="69">
        <v>50</v>
      </c>
      <c r="J38" s="70">
        <v>29</v>
      </c>
      <c r="K38" s="54">
        <f t="shared" si="0"/>
        <v>1450</v>
      </c>
      <c r="L38" s="55" t="b">
        <v>1</v>
      </c>
      <c r="M38" s="56">
        <v>60520241112</v>
      </c>
      <c r="N38" s="57" t="b">
        <v>1</v>
      </c>
      <c r="O38" s="58" t="s">
        <v>31</v>
      </c>
      <c r="P38" s="59" t="b">
        <v>1</v>
      </c>
      <c r="Q38" s="149"/>
      <c r="R38" s="60"/>
      <c r="S38" s="47" t="b">
        <v>1</v>
      </c>
      <c r="T38" s="61" t="s">
        <v>928</v>
      </c>
      <c r="U38" s="54">
        <f>50*15</f>
        <v>750</v>
      </c>
      <c r="V38" s="54">
        <f t="shared" si="1"/>
        <v>700</v>
      </c>
      <c r="W38" s="49"/>
      <c r="X38" s="49"/>
    </row>
    <row r="39" spans="1:24" ht="15.75" customHeight="1">
      <c r="A39" s="1"/>
      <c r="B39" s="32"/>
      <c r="C39" s="71" t="s">
        <v>925</v>
      </c>
      <c r="D39" s="53" t="s">
        <v>282</v>
      </c>
      <c r="E39" s="53" t="s">
        <v>74</v>
      </c>
      <c r="F39" s="66" t="s">
        <v>929</v>
      </c>
      <c r="G39" s="69" t="s">
        <v>236</v>
      </c>
      <c r="H39" s="69" t="s">
        <v>30</v>
      </c>
      <c r="I39" s="69">
        <v>12</v>
      </c>
      <c r="J39" s="70">
        <v>140</v>
      </c>
      <c r="K39" s="54">
        <f t="shared" si="0"/>
        <v>1680</v>
      </c>
      <c r="L39" s="55" t="b">
        <v>1</v>
      </c>
      <c r="M39" s="56">
        <v>60520241116</v>
      </c>
      <c r="N39" s="57" t="b">
        <v>1</v>
      </c>
      <c r="O39" s="58" t="s">
        <v>31</v>
      </c>
      <c r="P39" s="59" t="b">
        <v>1</v>
      </c>
      <c r="Q39" s="129"/>
      <c r="R39" s="60"/>
      <c r="S39" s="47" t="b">
        <v>1</v>
      </c>
      <c r="T39" s="61" t="s">
        <v>930</v>
      </c>
      <c r="U39" s="54">
        <f>12*97</f>
        <v>1164</v>
      </c>
      <c r="V39" s="54">
        <f t="shared" si="1"/>
        <v>516</v>
      </c>
      <c r="W39" s="49"/>
      <c r="X39" s="49"/>
    </row>
    <row r="40" spans="1:24" ht="15.75" customHeight="1">
      <c r="A40" s="1"/>
      <c r="B40" s="32"/>
      <c r="C40" s="71" t="s">
        <v>925</v>
      </c>
      <c r="D40" s="53" t="s">
        <v>51</v>
      </c>
      <c r="E40" s="53" t="s">
        <v>594</v>
      </c>
      <c r="F40" s="66" t="s">
        <v>595</v>
      </c>
      <c r="G40" s="69" t="s">
        <v>931</v>
      </c>
      <c r="H40" s="69" t="s">
        <v>30</v>
      </c>
      <c r="I40" s="69">
        <v>1</v>
      </c>
      <c r="J40" s="70">
        <v>1250</v>
      </c>
      <c r="K40" s="54">
        <f t="shared" si="0"/>
        <v>1250</v>
      </c>
      <c r="L40" s="55" t="b">
        <v>1</v>
      </c>
      <c r="M40" s="56">
        <v>60520241157</v>
      </c>
      <c r="N40" s="57" t="b">
        <v>1</v>
      </c>
      <c r="O40" s="58" t="s">
        <v>39</v>
      </c>
      <c r="P40" s="59" t="b">
        <v>1</v>
      </c>
      <c r="Q40" s="129" t="s">
        <v>932</v>
      </c>
      <c r="R40" s="60"/>
      <c r="S40" s="47" t="b">
        <v>1</v>
      </c>
      <c r="T40" s="61" t="s">
        <v>933</v>
      </c>
      <c r="U40" s="54">
        <f>1*800</f>
        <v>800</v>
      </c>
      <c r="V40" s="54">
        <f t="shared" si="1"/>
        <v>450</v>
      </c>
      <c r="W40" s="49"/>
      <c r="X40" s="49"/>
    </row>
    <row r="41" spans="1:24" ht="15.75" customHeight="1">
      <c r="A41" s="1"/>
      <c r="B41" s="32"/>
      <c r="C41" s="71" t="s">
        <v>925</v>
      </c>
      <c r="D41" s="53" t="s">
        <v>51</v>
      </c>
      <c r="E41" s="53" t="s">
        <v>594</v>
      </c>
      <c r="F41" s="66" t="s">
        <v>595</v>
      </c>
      <c r="G41" s="69" t="s">
        <v>934</v>
      </c>
      <c r="H41" s="69" t="s">
        <v>30</v>
      </c>
      <c r="I41" s="69">
        <v>1</v>
      </c>
      <c r="J41" s="70">
        <v>1700</v>
      </c>
      <c r="K41" s="54">
        <f t="shared" si="0"/>
        <v>1700</v>
      </c>
      <c r="L41" s="55" t="b">
        <v>1</v>
      </c>
      <c r="M41" s="56">
        <v>60520241157</v>
      </c>
      <c r="N41" s="57" t="b">
        <v>1</v>
      </c>
      <c r="O41" s="58" t="s">
        <v>39</v>
      </c>
      <c r="P41" s="59" t="b">
        <v>1</v>
      </c>
      <c r="Q41" s="129" t="s">
        <v>935</v>
      </c>
      <c r="R41" s="60"/>
      <c r="S41" s="47" t="b">
        <v>1</v>
      </c>
      <c r="T41" s="61" t="s">
        <v>933</v>
      </c>
      <c r="U41" s="54">
        <f>1*1200</f>
        <v>1200</v>
      </c>
      <c r="V41" s="54">
        <f t="shared" si="1"/>
        <v>500</v>
      </c>
      <c r="W41" s="49"/>
      <c r="X41" s="49"/>
    </row>
    <row r="42" spans="1:24" ht="15.75" customHeight="1">
      <c r="A42" s="1"/>
      <c r="B42" s="32"/>
      <c r="C42" s="71" t="s">
        <v>925</v>
      </c>
      <c r="D42" s="53" t="s">
        <v>51</v>
      </c>
      <c r="E42" s="53" t="s">
        <v>475</v>
      </c>
      <c r="F42" s="66" t="s">
        <v>168</v>
      </c>
      <c r="G42" s="69" t="s">
        <v>936</v>
      </c>
      <c r="H42" s="69" t="s">
        <v>30</v>
      </c>
      <c r="I42" s="69">
        <v>100</v>
      </c>
      <c r="J42" s="70">
        <v>150</v>
      </c>
      <c r="K42" s="54">
        <f t="shared" si="0"/>
        <v>15000</v>
      </c>
      <c r="L42" s="55" t="b">
        <v>1</v>
      </c>
      <c r="M42" s="56">
        <v>60520241806</v>
      </c>
      <c r="N42" s="57" t="b">
        <v>1</v>
      </c>
      <c r="O42" s="58" t="s">
        <v>31</v>
      </c>
      <c r="P42" s="59" t="b">
        <v>1</v>
      </c>
      <c r="Q42" s="129"/>
      <c r="R42" s="60"/>
      <c r="S42" s="47" t="b">
        <v>1</v>
      </c>
      <c r="T42" s="61" t="s">
        <v>937</v>
      </c>
      <c r="U42" s="54">
        <f>100*100</f>
        <v>10000</v>
      </c>
      <c r="V42" s="54">
        <f t="shared" si="1"/>
        <v>5000</v>
      </c>
      <c r="W42" s="49"/>
      <c r="X42" s="49"/>
    </row>
    <row r="43" spans="1:24" ht="15.75" customHeight="1">
      <c r="A43" s="1"/>
      <c r="B43" s="32"/>
      <c r="C43" s="132" t="s">
        <v>938</v>
      </c>
      <c r="D43" s="67" t="s">
        <v>51</v>
      </c>
      <c r="E43" s="67" t="s">
        <v>594</v>
      </c>
      <c r="F43" s="67" t="s">
        <v>595</v>
      </c>
      <c r="G43" s="67" t="s">
        <v>308</v>
      </c>
      <c r="H43" s="67" t="s">
        <v>30</v>
      </c>
      <c r="I43" s="67">
        <v>4</v>
      </c>
      <c r="J43" s="68">
        <v>550</v>
      </c>
      <c r="K43" s="54">
        <f t="shared" si="0"/>
        <v>2200</v>
      </c>
      <c r="L43" s="55" t="b">
        <v>1</v>
      </c>
      <c r="M43" s="56">
        <v>70520241200</v>
      </c>
      <c r="N43" s="57" t="b">
        <v>1</v>
      </c>
      <c r="O43" s="58" t="s">
        <v>31</v>
      </c>
      <c r="P43" s="59" t="b">
        <v>1</v>
      </c>
      <c r="Q43" s="129"/>
      <c r="R43" s="60"/>
      <c r="S43" s="47" t="b">
        <v>1</v>
      </c>
      <c r="T43" s="61" t="s">
        <v>933</v>
      </c>
      <c r="U43" s="54">
        <v>2000</v>
      </c>
      <c r="V43" s="54">
        <f t="shared" si="1"/>
        <v>200</v>
      </c>
      <c r="W43" s="49"/>
      <c r="X43" s="49"/>
    </row>
    <row r="44" spans="1:24" ht="15.75" customHeight="1">
      <c r="A44" s="1"/>
      <c r="B44" s="32"/>
      <c r="C44" s="133" t="s">
        <v>938</v>
      </c>
      <c r="D44" s="69" t="s">
        <v>418</v>
      </c>
      <c r="E44" s="69" t="s">
        <v>84</v>
      </c>
      <c r="F44" s="69" t="s">
        <v>939</v>
      </c>
      <c r="G44" s="69" t="s">
        <v>940</v>
      </c>
      <c r="H44" s="69" t="s">
        <v>30</v>
      </c>
      <c r="I44" s="69">
        <v>50</v>
      </c>
      <c r="J44" s="70">
        <v>150</v>
      </c>
      <c r="K44" s="54">
        <f t="shared" si="0"/>
        <v>7500</v>
      </c>
      <c r="L44" s="55" t="b">
        <v>1</v>
      </c>
      <c r="M44" s="56">
        <v>70520241603</v>
      </c>
      <c r="N44" s="57" t="b">
        <v>1</v>
      </c>
      <c r="O44" s="58" t="s">
        <v>31</v>
      </c>
      <c r="P44" s="59" t="b">
        <v>1</v>
      </c>
      <c r="Q44" s="129"/>
      <c r="R44" s="60"/>
      <c r="S44" s="47" t="b">
        <v>1</v>
      </c>
      <c r="T44" s="61" t="s">
        <v>941</v>
      </c>
      <c r="U44" s="54">
        <f>50*100</f>
        <v>5000</v>
      </c>
      <c r="V44" s="54">
        <f t="shared" si="1"/>
        <v>2500</v>
      </c>
      <c r="W44" s="49"/>
      <c r="X44" s="49"/>
    </row>
    <row r="45" spans="1:24" ht="15.75" customHeight="1">
      <c r="A45" s="1"/>
      <c r="B45" s="32"/>
      <c r="C45" s="71" t="s">
        <v>938</v>
      </c>
      <c r="D45" s="53" t="s">
        <v>26</v>
      </c>
      <c r="E45" s="53" t="s">
        <v>220</v>
      </c>
      <c r="F45" s="66" t="s">
        <v>221</v>
      </c>
      <c r="G45" s="69" t="s">
        <v>49</v>
      </c>
      <c r="H45" s="69" t="s">
        <v>30</v>
      </c>
      <c r="I45" s="69">
        <v>2</v>
      </c>
      <c r="J45" s="70">
        <v>695</v>
      </c>
      <c r="K45" s="54">
        <f t="shared" si="0"/>
        <v>1390</v>
      </c>
      <c r="L45" s="55" t="b">
        <v>1</v>
      </c>
      <c r="M45" s="56">
        <v>70520241606</v>
      </c>
      <c r="N45" s="57" t="b">
        <v>1</v>
      </c>
      <c r="O45" s="58" t="s">
        <v>31</v>
      </c>
      <c r="P45" s="59" t="b">
        <v>1</v>
      </c>
      <c r="Q45" s="129"/>
      <c r="R45" s="60"/>
      <c r="S45" s="47" t="b">
        <v>1</v>
      </c>
      <c r="T45" s="61" t="s">
        <v>942</v>
      </c>
      <c r="U45" s="54">
        <f>2000*0.46</f>
        <v>920</v>
      </c>
      <c r="V45" s="54">
        <f t="shared" si="1"/>
        <v>470</v>
      </c>
      <c r="W45" s="49"/>
      <c r="X45" s="49"/>
    </row>
    <row r="46" spans="1:24" ht="15.75" customHeight="1">
      <c r="A46" s="1"/>
      <c r="B46" s="32"/>
      <c r="C46" s="71" t="s">
        <v>938</v>
      </c>
      <c r="D46" s="53" t="s">
        <v>474</v>
      </c>
      <c r="E46" s="53" t="s">
        <v>943</v>
      </c>
      <c r="F46" s="66" t="s">
        <v>944</v>
      </c>
      <c r="G46" s="69" t="s">
        <v>945</v>
      </c>
      <c r="H46" s="69" t="s">
        <v>30</v>
      </c>
      <c r="I46" s="69">
        <v>1</v>
      </c>
      <c r="J46" s="70">
        <v>13300</v>
      </c>
      <c r="K46" s="54">
        <f t="shared" si="0"/>
        <v>13300</v>
      </c>
      <c r="L46" s="55" t="b">
        <v>1</v>
      </c>
      <c r="M46" s="56">
        <v>70520241659</v>
      </c>
      <c r="N46" s="57" t="b">
        <v>1</v>
      </c>
      <c r="O46" s="58" t="s">
        <v>39</v>
      </c>
      <c r="P46" s="59" t="b">
        <v>1</v>
      </c>
      <c r="Q46" s="129" t="s">
        <v>946</v>
      </c>
      <c r="R46" s="60"/>
      <c r="S46" s="47" t="b">
        <v>1</v>
      </c>
      <c r="T46" s="61" t="s">
        <v>947</v>
      </c>
      <c r="U46" s="54">
        <v>8863</v>
      </c>
      <c r="V46" s="54">
        <f t="shared" si="1"/>
        <v>4437</v>
      </c>
      <c r="W46" s="49"/>
      <c r="X46" s="49"/>
    </row>
    <row r="47" spans="1:24" ht="15.75" customHeight="1">
      <c r="A47" s="1"/>
      <c r="B47" s="32"/>
      <c r="C47" s="71" t="s">
        <v>948</v>
      </c>
      <c r="D47" s="53" t="s">
        <v>51</v>
      </c>
      <c r="E47" s="53" t="s">
        <v>372</v>
      </c>
      <c r="F47" s="66" t="s">
        <v>373</v>
      </c>
      <c r="G47" s="69" t="s">
        <v>949</v>
      </c>
      <c r="H47" s="69" t="s">
        <v>30</v>
      </c>
      <c r="I47" s="69">
        <v>4</v>
      </c>
      <c r="J47" s="70">
        <v>5750</v>
      </c>
      <c r="K47" s="54">
        <f t="shared" si="0"/>
        <v>23000</v>
      </c>
      <c r="L47" s="55" t="b">
        <v>1</v>
      </c>
      <c r="M47" s="56">
        <v>80520240933</v>
      </c>
      <c r="N47" s="57" t="b">
        <v>1</v>
      </c>
      <c r="O47" s="58"/>
      <c r="P47" s="59" t="b">
        <v>1</v>
      </c>
      <c r="Q47" s="129"/>
      <c r="R47" s="60"/>
      <c r="S47" s="47" t="b">
        <v>1</v>
      </c>
      <c r="T47" s="61" t="s">
        <v>950</v>
      </c>
      <c r="U47" s="54">
        <f>4*1500</f>
        <v>6000</v>
      </c>
      <c r="V47" s="54">
        <f t="shared" si="1"/>
        <v>17000</v>
      </c>
      <c r="W47" s="49"/>
      <c r="X47" s="49"/>
    </row>
    <row r="48" spans="1:24" ht="15.75" customHeight="1">
      <c r="A48" s="101"/>
      <c r="B48" s="102"/>
      <c r="C48" s="71" t="s">
        <v>948</v>
      </c>
      <c r="D48" s="53" t="s">
        <v>51</v>
      </c>
      <c r="E48" s="53" t="s">
        <v>335</v>
      </c>
      <c r="F48" s="66" t="s">
        <v>944</v>
      </c>
      <c r="G48" s="69" t="s">
        <v>951</v>
      </c>
      <c r="H48" s="69" t="s">
        <v>30</v>
      </c>
      <c r="I48" s="69">
        <v>1</v>
      </c>
      <c r="J48" s="70">
        <v>5600</v>
      </c>
      <c r="K48" s="54">
        <f t="shared" si="0"/>
        <v>5600</v>
      </c>
      <c r="L48" s="55" t="b">
        <v>1</v>
      </c>
      <c r="M48" s="56">
        <v>80520240935</v>
      </c>
      <c r="N48" s="57" t="b">
        <v>1</v>
      </c>
      <c r="O48" s="58"/>
      <c r="P48" s="59" t="b">
        <v>1</v>
      </c>
      <c r="Q48" s="129"/>
      <c r="R48" s="60"/>
      <c r="S48" s="47" t="b">
        <v>1</v>
      </c>
      <c r="T48" s="61" t="s">
        <v>952</v>
      </c>
      <c r="U48" s="54">
        <v>950</v>
      </c>
      <c r="V48" s="54">
        <f t="shared" si="1"/>
        <v>4650</v>
      </c>
      <c r="W48" s="49"/>
      <c r="X48" s="49"/>
    </row>
    <row r="49" spans="1:24" ht="15.75" customHeight="1">
      <c r="A49" s="101"/>
      <c r="B49" s="102"/>
      <c r="C49" s="71" t="s">
        <v>948</v>
      </c>
      <c r="D49" s="53" t="s">
        <v>282</v>
      </c>
      <c r="E49" s="53" t="s">
        <v>282</v>
      </c>
      <c r="F49" s="66" t="s">
        <v>365</v>
      </c>
      <c r="G49" s="69" t="s">
        <v>953</v>
      </c>
      <c r="H49" s="69" t="s">
        <v>30</v>
      </c>
      <c r="I49" s="69">
        <v>2</v>
      </c>
      <c r="J49" s="70">
        <v>105</v>
      </c>
      <c r="K49" s="54">
        <f t="shared" si="0"/>
        <v>210</v>
      </c>
      <c r="L49" s="55" t="b">
        <v>1</v>
      </c>
      <c r="M49" s="56">
        <v>80520240947</v>
      </c>
      <c r="N49" s="57" t="b">
        <v>1</v>
      </c>
      <c r="O49" s="58" t="s">
        <v>31</v>
      </c>
      <c r="P49" s="59" t="b">
        <v>1</v>
      </c>
      <c r="Q49" s="129"/>
      <c r="R49" s="60"/>
      <c r="S49" s="47" t="b">
        <v>1</v>
      </c>
      <c r="T49" s="61" t="s">
        <v>954</v>
      </c>
      <c r="U49" s="54">
        <f>2*75</f>
        <v>150</v>
      </c>
      <c r="V49" s="54">
        <f t="shared" si="1"/>
        <v>60</v>
      </c>
      <c r="W49" s="49"/>
      <c r="X49" s="49"/>
    </row>
    <row r="50" spans="1:24" ht="15.75" customHeight="1">
      <c r="A50" s="101"/>
      <c r="B50" s="32"/>
      <c r="C50" s="71" t="s">
        <v>948</v>
      </c>
      <c r="D50" s="53" t="s">
        <v>104</v>
      </c>
      <c r="E50" s="53" t="s">
        <v>486</v>
      </c>
      <c r="F50" s="66" t="s">
        <v>241</v>
      </c>
      <c r="G50" s="69" t="s">
        <v>49</v>
      </c>
      <c r="H50" s="69" t="s">
        <v>30</v>
      </c>
      <c r="I50" s="69">
        <v>5</v>
      </c>
      <c r="J50" s="70">
        <v>695</v>
      </c>
      <c r="K50" s="54">
        <f t="shared" si="0"/>
        <v>3475</v>
      </c>
      <c r="L50" s="55" t="b">
        <v>1</v>
      </c>
      <c r="M50" s="56">
        <v>80520241022</v>
      </c>
      <c r="N50" s="57" t="b">
        <v>1</v>
      </c>
      <c r="O50" s="58" t="s">
        <v>31</v>
      </c>
      <c r="P50" s="59" t="b">
        <v>1</v>
      </c>
      <c r="Q50" s="129"/>
      <c r="R50" s="60"/>
      <c r="S50" s="47" t="b">
        <v>1</v>
      </c>
      <c r="T50" s="61" t="s">
        <v>955</v>
      </c>
      <c r="U50" s="54">
        <f>5000*0.46</f>
        <v>2300</v>
      </c>
      <c r="V50" s="54">
        <f t="shared" si="1"/>
        <v>1175</v>
      </c>
      <c r="W50" s="49"/>
      <c r="X50" s="49"/>
    </row>
    <row r="51" spans="1:24" ht="15.75" customHeight="1">
      <c r="A51" s="101"/>
      <c r="B51" s="32"/>
      <c r="C51" s="71" t="s">
        <v>948</v>
      </c>
      <c r="D51" s="53" t="s">
        <v>104</v>
      </c>
      <c r="E51" s="53" t="s">
        <v>486</v>
      </c>
      <c r="F51" s="66" t="s">
        <v>241</v>
      </c>
      <c r="G51" s="69" t="s">
        <v>68</v>
      </c>
      <c r="H51" s="69" t="s">
        <v>30</v>
      </c>
      <c r="I51" s="69">
        <v>3000</v>
      </c>
      <c r="J51" s="70">
        <v>0.75</v>
      </c>
      <c r="K51" s="54">
        <f t="shared" si="0"/>
        <v>2250</v>
      </c>
      <c r="L51" s="55" t="b">
        <v>1</v>
      </c>
      <c r="M51" s="56">
        <v>80520241022</v>
      </c>
      <c r="N51" s="57" t="b">
        <v>1</v>
      </c>
      <c r="O51" s="58" t="s">
        <v>31</v>
      </c>
      <c r="P51" s="59" t="b">
        <v>1</v>
      </c>
      <c r="Q51" s="129"/>
      <c r="R51" s="60"/>
      <c r="S51" s="47" t="b">
        <v>1</v>
      </c>
      <c r="T51" s="61" t="s">
        <v>955</v>
      </c>
      <c r="U51" s="54">
        <f>3000*0.3194</f>
        <v>958.2</v>
      </c>
      <c r="V51" s="54">
        <f t="shared" si="1"/>
        <v>1291.8</v>
      </c>
      <c r="W51" s="49"/>
      <c r="X51" s="49"/>
    </row>
    <row r="52" spans="1:24" ht="15.75" customHeight="1">
      <c r="A52" s="101"/>
      <c r="B52" s="32"/>
      <c r="C52" s="71" t="s">
        <v>948</v>
      </c>
      <c r="D52" s="53" t="s">
        <v>263</v>
      </c>
      <c r="E52" s="53" t="s">
        <v>956</v>
      </c>
      <c r="F52" s="66" t="s">
        <v>957</v>
      </c>
      <c r="G52" s="69" t="s">
        <v>49</v>
      </c>
      <c r="H52" s="69" t="s">
        <v>30</v>
      </c>
      <c r="I52" s="69">
        <v>3</v>
      </c>
      <c r="J52" s="70">
        <v>695</v>
      </c>
      <c r="K52" s="54">
        <f t="shared" si="0"/>
        <v>2085</v>
      </c>
      <c r="L52" s="55" t="b">
        <v>1</v>
      </c>
      <c r="M52" s="56">
        <v>80520241024</v>
      </c>
      <c r="N52" s="57" t="b">
        <v>1</v>
      </c>
      <c r="O52" s="58"/>
      <c r="P52" s="59" t="b">
        <v>1</v>
      </c>
      <c r="Q52" s="129"/>
      <c r="R52" s="60"/>
      <c r="S52" s="47" t="b">
        <v>1</v>
      </c>
      <c r="T52" s="61" t="s">
        <v>958</v>
      </c>
      <c r="U52" s="54">
        <f>3000*0.46</f>
        <v>1380</v>
      </c>
      <c r="V52" s="54">
        <f t="shared" si="1"/>
        <v>705</v>
      </c>
      <c r="W52" s="49"/>
      <c r="X52" s="49"/>
    </row>
    <row r="53" spans="1:24" ht="15.75" customHeight="1">
      <c r="A53" s="101"/>
      <c r="B53" s="32"/>
      <c r="C53" s="71" t="s">
        <v>948</v>
      </c>
      <c r="D53" s="53" t="s">
        <v>474</v>
      </c>
      <c r="E53" s="53" t="s">
        <v>66</v>
      </c>
      <c r="F53" s="66"/>
      <c r="G53" s="69" t="s">
        <v>940</v>
      </c>
      <c r="H53" s="69" t="s">
        <v>30</v>
      </c>
      <c r="I53" s="69">
        <v>100</v>
      </c>
      <c r="J53" s="70">
        <v>180</v>
      </c>
      <c r="K53" s="54">
        <f t="shared" si="0"/>
        <v>18000</v>
      </c>
      <c r="L53" s="55" t="b">
        <v>1</v>
      </c>
      <c r="M53" s="56" t="s">
        <v>529</v>
      </c>
      <c r="N53" s="57" t="b">
        <v>1</v>
      </c>
      <c r="O53" s="58" t="s">
        <v>31</v>
      </c>
      <c r="P53" s="59" t="b">
        <v>1</v>
      </c>
      <c r="Q53" s="129"/>
      <c r="R53" s="60"/>
      <c r="S53" s="47" t="b">
        <v>1</v>
      </c>
      <c r="T53" s="61" t="s">
        <v>959</v>
      </c>
      <c r="U53" s="54">
        <f>100*100</f>
        <v>10000</v>
      </c>
      <c r="V53" s="54">
        <f t="shared" si="1"/>
        <v>8000</v>
      </c>
      <c r="W53" s="49"/>
      <c r="X53" s="49"/>
    </row>
    <row r="54" spans="1:24" ht="15.75" customHeight="1">
      <c r="A54" s="101"/>
      <c r="B54" s="32"/>
      <c r="C54" s="71" t="s">
        <v>948</v>
      </c>
      <c r="D54" s="53" t="s">
        <v>51</v>
      </c>
      <c r="E54" s="53" t="s">
        <v>137</v>
      </c>
      <c r="F54" s="66" t="s">
        <v>960</v>
      </c>
      <c r="G54" s="69" t="s">
        <v>898</v>
      </c>
      <c r="H54" s="69" t="s">
        <v>30</v>
      </c>
      <c r="I54" s="69">
        <v>1</v>
      </c>
      <c r="J54" s="70">
        <v>3600</v>
      </c>
      <c r="K54" s="54">
        <f t="shared" si="0"/>
        <v>3600</v>
      </c>
      <c r="L54" s="55" t="b">
        <v>1</v>
      </c>
      <c r="M54" s="56">
        <v>80520241436</v>
      </c>
      <c r="N54" s="57" t="b">
        <v>1</v>
      </c>
      <c r="O54" s="58" t="s">
        <v>39</v>
      </c>
      <c r="P54" s="59" t="b">
        <v>1</v>
      </c>
      <c r="Q54" s="129" t="s">
        <v>899</v>
      </c>
      <c r="R54" s="60"/>
      <c r="S54" s="47" t="b">
        <v>1</v>
      </c>
      <c r="T54" s="61" t="s">
        <v>961</v>
      </c>
      <c r="U54" s="54">
        <f>1*2400</f>
        <v>2400</v>
      </c>
      <c r="V54" s="54">
        <f t="shared" si="1"/>
        <v>1200</v>
      </c>
      <c r="W54" s="49"/>
      <c r="X54" s="49"/>
    </row>
    <row r="55" spans="1:24" ht="15.75" customHeight="1">
      <c r="A55" s="101"/>
      <c r="B55" s="32"/>
      <c r="C55" s="71" t="s">
        <v>948</v>
      </c>
      <c r="D55" s="53" t="s">
        <v>51</v>
      </c>
      <c r="E55" s="53" t="s">
        <v>137</v>
      </c>
      <c r="F55" s="66" t="s">
        <v>960</v>
      </c>
      <c r="G55" s="69" t="s">
        <v>768</v>
      </c>
      <c r="H55" s="69" t="s">
        <v>30</v>
      </c>
      <c r="I55" s="69">
        <v>55</v>
      </c>
      <c r="J55" s="70">
        <v>35</v>
      </c>
      <c r="K55" s="54">
        <f t="shared" si="0"/>
        <v>1925</v>
      </c>
      <c r="L55" s="55" t="b">
        <v>1</v>
      </c>
      <c r="M55" s="56">
        <v>80520241437</v>
      </c>
      <c r="N55" s="57" t="b">
        <v>1</v>
      </c>
      <c r="O55" s="58" t="s">
        <v>39</v>
      </c>
      <c r="P55" s="59" t="b">
        <v>1</v>
      </c>
      <c r="Q55" s="129" t="s">
        <v>962</v>
      </c>
      <c r="R55" s="60"/>
      <c r="S55" s="47" t="b">
        <v>1</v>
      </c>
      <c r="T55" s="61" t="s">
        <v>961</v>
      </c>
      <c r="U55" s="54">
        <f>50*25</f>
        <v>1250</v>
      </c>
      <c r="V55" s="54">
        <f t="shared" si="1"/>
        <v>675</v>
      </c>
      <c r="W55" s="49"/>
      <c r="X55" s="49"/>
    </row>
    <row r="56" spans="1:24" ht="15.75" customHeight="1">
      <c r="A56" s="101"/>
      <c r="B56" s="32"/>
      <c r="C56" s="71" t="s">
        <v>948</v>
      </c>
      <c r="D56" s="53" t="s">
        <v>51</v>
      </c>
      <c r="E56" s="53" t="s">
        <v>137</v>
      </c>
      <c r="F56" s="66" t="s">
        <v>138</v>
      </c>
      <c r="G56" s="69" t="s">
        <v>963</v>
      </c>
      <c r="H56" s="69" t="s">
        <v>30</v>
      </c>
      <c r="I56" s="69">
        <v>17</v>
      </c>
      <c r="J56" s="70">
        <v>160</v>
      </c>
      <c r="K56" s="54">
        <f t="shared" si="0"/>
        <v>2720</v>
      </c>
      <c r="L56" s="55" t="b">
        <v>1</v>
      </c>
      <c r="M56" s="56">
        <v>80520241448</v>
      </c>
      <c r="N56" s="57" t="b">
        <v>1</v>
      </c>
      <c r="O56" s="58" t="s">
        <v>39</v>
      </c>
      <c r="P56" s="59" t="b">
        <v>1</v>
      </c>
      <c r="Q56" s="129" t="s">
        <v>964</v>
      </c>
      <c r="R56" s="60"/>
      <c r="S56" s="47" t="b">
        <v>1</v>
      </c>
      <c r="T56" s="61" t="s">
        <v>961</v>
      </c>
      <c r="U56" s="54">
        <f>17*105</f>
        <v>1785</v>
      </c>
      <c r="V56" s="54">
        <f t="shared" si="1"/>
        <v>935</v>
      </c>
      <c r="W56" s="49"/>
      <c r="X56" s="49"/>
    </row>
    <row r="57" spans="1:24" ht="15.75" customHeight="1">
      <c r="A57" s="101"/>
      <c r="B57" s="32"/>
      <c r="C57" s="71" t="s">
        <v>948</v>
      </c>
      <c r="D57" s="53" t="s">
        <v>51</v>
      </c>
      <c r="E57" s="53" t="s">
        <v>66</v>
      </c>
      <c r="F57" s="66" t="s">
        <v>67</v>
      </c>
      <c r="G57" s="69" t="s">
        <v>965</v>
      </c>
      <c r="H57" s="69" t="s">
        <v>30</v>
      </c>
      <c r="I57" s="69">
        <v>15</v>
      </c>
      <c r="J57" s="70">
        <v>105</v>
      </c>
      <c r="K57" s="54">
        <f t="shared" si="0"/>
        <v>1575</v>
      </c>
      <c r="L57" s="55" t="b">
        <v>1</v>
      </c>
      <c r="M57" s="56">
        <v>80520241501</v>
      </c>
      <c r="N57" s="57" t="b">
        <v>1</v>
      </c>
      <c r="O57" s="58" t="s">
        <v>39</v>
      </c>
      <c r="P57" s="59" t="b">
        <v>1</v>
      </c>
      <c r="Q57" s="129" t="s">
        <v>966</v>
      </c>
      <c r="R57" s="60"/>
      <c r="S57" s="47" t="b">
        <v>1</v>
      </c>
      <c r="T57" s="61" t="s">
        <v>967</v>
      </c>
      <c r="U57" s="54">
        <f>15*70</f>
        <v>1050</v>
      </c>
      <c r="V57" s="54">
        <f t="shared" si="1"/>
        <v>525</v>
      </c>
      <c r="W57" s="49"/>
      <c r="X57" s="49"/>
    </row>
    <row r="58" spans="1:24" ht="15.75" customHeight="1">
      <c r="A58" s="101"/>
      <c r="B58" s="32"/>
      <c r="C58" s="71" t="s">
        <v>948</v>
      </c>
      <c r="D58" s="53" t="s">
        <v>51</v>
      </c>
      <c r="E58" s="53" t="s">
        <v>137</v>
      </c>
      <c r="F58" s="66" t="s">
        <v>138</v>
      </c>
      <c r="G58" s="69" t="s">
        <v>968</v>
      </c>
      <c r="H58" s="69" t="s">
        <v>30</v>
      </c>
      <c r="I58" s="69">
        <v>1</v>
      </c>
      <c r="J58" s="70">
        <v>3000</v>
      </c>
      <c r="K58" s="54">
        <f t="shared" si="0"/>
        <v>3000</v>
      </c>
      <c r="L58" s="55" t="b">
        <v>1</v>
      </c>
      <c r="M58" s="56">
        <v>80520241503</v>
      </c>
      <c r="N58" s="57" t="b">
        <v>1</v>
      </c>
      <c r="O58" s="58" t="s">
        <v>39</v>
      </c>
      <c r="P58" s="59" t="b">
        <v>1</v>
      </c>
      <c r="Q58" s="129" t="s">
        <v>969</v>
      </c>
      <c r="R58" s="60"/>
      <c r="S58" s="47" t="b">
        <v>1</v>
      </c>
      <c r="T58" s="61" t="s">
        <v>970</v>
      </c>
      <c r="U58" s="54">
        <v>2000</v>
      </c>
      <c r="V58" s="54">
        <f t="shared" si="1"/>
        <v>1000</v>
      </c>
      <c r="W58" s="49"/>
      <c r="X58" s="49"/>
    </row>
    <row r="59" spans="1:24" ht="15.75" customHeight="1">
      <c r="A59" s="101"/>
      <c r="B59" s="32"/>
      <c r="C59" s="71" t="s">
        <v>948</v>
      </c>
      <c r="D59" s="53" t="s">
        <v>51</v>
      </c>
      <c r="E59" s="53" t="s">
        <v>201</v>
      </c>
      <c r="F59" s="66" t="s">
        <v>395</v>
      </c>
      <c r="G59" s="69" t="s">
        <v>971</v>
      </c>
      <c r="H59" s="69" t="s">
        <v>30</v>
      </c>
      <c r="I59" s="69">
        <v>1</v>
      </c>
      <c r="J59" s="70">
        <v>11500</v>
      </c>
      <c r="K59" s="54">
        <f t="shared" si="0"/>
        <v>11500</v>
      </c>
      <c r="L59" s="55" t="b">
        <v>1</v>
      </c>
      <c r="M59" s="56">
        <v>80520241557</v>
      </c>
      <c r="N59" s="57" t="b">
        <v>1</v>
      </c>
      <c r="O59" s="58" t="s">
        <v>39</v>
      </c>
      <c r="P59" s="59" t="b">
        <v>1</v>
      </c>
      <c r="Q59" s="129" t="s">
        <v>972</v>
      </c>
      <c r="R59" s="60"/>
      <c r="S59" s="47" t="b">
        <v>1</v>
      </c>
      <c r="T59" s="61" t="s">
        <v>973</v>
      </c>
      <c r="U59" s="54">
        <v>7727</v>
      </c>
      <c r="V59" s="54">
        <f t="shared" si="1"/>
        <v>3773</v>
      </c>
      <c r="W59" s="49"/>
      <c r="X59" s="49"/>
    </row>
    <row r="60" spans="1:24" ht="15.75" customHeight="1">
      <c r="A60" s="101"/>
      <c r="B60" s="32"/>
      <c r="C60" s="71" t="s">
        <v>948</v>
      </c>
      <c r="D60" s="53" t="s">
        <v>104</v>
      </c>
      <c r="E60" s="53" t="s">
        <v>974</v>
      </c>
      <c r="F60" s="66" t="s">
        <v>975</v>
      </c>
      <c r="G60" s="69" t="s">
        <v>83</v>
      </c>
      <c r="H60" s="69" t="s">
        <v>30</v>
      </c>
      <c r="I60" s="69">
        <v>3000</v>
      </c>
      <c r="J60" s="70">
        <v>1.5</v>
      </c>
      <c r="K60" s="54">
        <f t="shared" si="0"/>
        <v>4500</v>
      </c>
      <c r="L60" s="55" t="b">
        <v>1</v>
      </c>
      <c r="M60" s="56">
        <v>80520241637</v>
      </c>
      <c r="N60" s="57" t="b">
        <v>1</v>
      </c>
      <c r="O60" s="58" t="s">
        <v>31</v>
      </c>
      <c r="P60" s="59" t="b">
        <v>1</v>
      </c>
      <c r="Q60" s="129"/>
      <c r="R60" s="60"/>
      <c r="S60" s="47" t="b">
        <v>1</v>
      </c>
      <c r="T60" s="61" t="s">
        <v>976</v>
      </c>
      <c r="U60" s="54">
        <f>3000*0.95</f>
        <v>2850</v>
      </c>
      <c r="V60" s="54">
        <f t="shared" si="1"/>
        <v>1650</v>
      </c>
      <c r="W60" s="49"/>
      <c r="X60" s="49"/>
    </row>
    <row r="61" spans="1:24" ht="15.75" customHeight="1">
      <c r="A61" s="101"/>
      <c r="B61" s="32"/>
      <c r="C61" s="71" t="s">
        <v>948</v>
      </c>
      <c r="D61" s="53" t="s">
        <v>104</v>
      </c>
      <c r="E61" s="53" t="s">
        <v>974</v>
      </c>
      <c r="F61" s="66" t="s">
        <v>975</v>
      </c>
      <c r="G61" s="69" t="s">
        <v>300</v>
      </c>
      <c r="H61" s="69" t="s">
        <v>30</v>
      </c>
      <c r="I61" s="69">
        <v>30</v>
      </c>
      <c r="J61" s="70">
        <v>100</v>
      </c>
      <c r="K61" s="54">
        <f t="shared" si="0"/>
        <v>3000</v>
      </c>
      <c r="L61" s="55" t="b">
        <v>1</v>
      </c>
      <c r="M61" s="56">
        <v>80520241645</v>
      </c>
      <c r="N61" s="57" t="b">
        <v>1</v>
      </c>
      <c r="O61" s="58"/>
      <c r="P61" s="59" t="b">
        <v>1</v>
      </c>
      <c r="Q61" s="129"/>
      <c r="R61" s="60"/>
      <c r="S61" s="47" t="b">
        <v>1</v>
      </c>
      <c r="T61" s="61" t="s">
        <v>977</v>
      </c>
      <c r="U61" s="54">
        <f>30*30</f>
        <v>900</v>
      </c>
      <c r="V61" s="54">
        <f t="shared" si="1"/>
        <v>2100</v>
      </c>
      <c r="W61" s="49"/>
      <c r="X61" s="49"/>
    </row>
    <row r="62" spans="1:24" ht="15.75" customHeight="1">
      <c r="A62" s="101"/>
      <c r="B62" s="32"/>
      <c r="C62" s="71" t="s">
        <v>978</v>
      </c>
      <c r="D62" s="53" t="s">
        <v>46</v>
      </c>
      <c r="E62" s="53" t="s">
        <v>47</v>
      </c>
      <c r="F62" s="66" t="s">
        <v>48</v>
      </c>
      <c r="G62" s="69" t="s">
        <v>49</v>
      </c>
      <c r="H62" s="69" t="s">
        <v>30</v>
      </c>
      <c r="I62" s="69">
        <v>10</v>
      </c>
      <c r="J62" s="70">
        <v>695</v>
      </c>
      <c r="K62" s="54">
        <f t="shared" si="0"/>
        <v>6950</v>
      </c>
      <c r="L62" s="55" t="b">
        <v>1</v>
      </c>
      <c r="M62" s="56">
        <v>90520240906</v>
      </c>
      <c r="N62" s="57" t="b">
        <v>1</v>
      </c>
      <c r="O62" s="58" t="s">
        <v>31</v>
      </c>
      <c r="P62" s="59" t="b">
        <v>1</v>
      </c>
      <c r="Q62" s="129"/>
      <c r="R62" s="60"/>
      <c r="S62" s="47" t="b">
        <v>1</v>
      </c>
      <c r="T62" s="61" t="s">
        <v>979</v>
      </c>
      <c r="U62" s="54">
        <f>10000*0.46</f>
        <v>4600</v>
      </c>
      <c r="V62" s="54">
        <f t="shared" si="1"/>
        <v>2350</v>
      </c>
      <c r="W62" s="49"/>
      <c r="X62" s="49"/>
    </row>
    <row r="63" spans="1:24" ht="16.5" customHeight="1">
      <c r="A63" s="101"/>
      <c r="B63" s="32"/>
      <c r="C63" s="71" t="s">
        <v>978</v>
      </c>
      <c r="D63" s="53" t="s">
        <v>144</v>
      </c>
      <c r="E63" s="53" t="s">
        <v>980</v>
      </c>
      <c r="F63" s="66" t="s">
        <v>981</v>
      </c>
      <c r="G63" s="69" t="s">
        <v>124</v>
      </c>
      <c r="H63" s="69" t="s">
        <v>30</v>
      </c>
      <c r="I63" s="69">
        <v>2</v>
      </c>
      <c r="J63" s="70">
        <v>595</v>
      </c>
      <c r="K63" s="54">
        <f t="shared" si="0"/>
        <v>1190</v>
      </c>
      <c r="L63" s="55" t="b">
        <v>1</v>
      </c>
      <c r="M63" s="56">
        <v>90520240908</v>
      </c>
      <c r="N63" s="57" t="b">
        <v>1</v>
      </c>
      <c r="O63" s="58" t="s">
        <v>31</v>
      </c>
      <c r="P63" s="59" t="b">
        <v>1</v>
      </c>
      <c r="Q63" s="129"/>
      <c r="R63" s="60"/>
      <c r="S63" s="47" t="b">
        <v>1</v>
      </c>
      <c r="T63" s="61" t="s">
        <v>982</v>
      </c>
      <c r="U63" s="54">
        <f>2*300</f>
        <v>600</v>
      </c>
      <c r="V63" s="54">
        <f t="shared" si="1"/>
        <v>590</v>
      </c>
      <c r="W63" s="49"/>
      <c r="X63" s="49"/>
    </row>
    <row r="64" spans="1:24" ht="16.5" customHeight="1">
      <c r="A64" s="101"/>
      <c r="B64" s="32"/>
      <c r="C64" s="71" t="s">
        <v>978</v>
      </c>
      <c r="D64" s="53" t="s">
        <v>51</v>
      </c>
      <c r="E64" s="53" t="s">
        <v>335</v>
      </c>
      <c r="F64" s="66" t="s">
        <v>944</v>
      </c>
      <c r="G64" s="69" t="s">
        <v>650</v>
      </c>
      <c r="H64" s="69" t="s">
        <v>30</v>
      </c>
      <c r="I64" s="69">
        <v>1</v>
      </c>
      <c r="J64" s="70">
        <v>1250</v>
      </c>
      <c r="K64" s="54">
        <f t="shared" si="0"/>
        <v>1250</v>
      </c>
      <c r="L64" s="55" t="b">
        <v>1</v>
      </c>
      <c r="M64" s="56">
        <v>90520240911</v>
      </c>
      <c r="N64" s="57" t="b">
        <v>1</v>
      </c>
      <c r="O64" s="58" t="s">
        <v>31</v>
      </c>
      <c r="P64" s="59" t="b">
        <v>1</v>
      </c>
      <c r="Q64" s="129"/>
      <c r="R64" s="60"/>
      <c r="S64" s="47" t="b">
        <v>1</v>
      </c>
      <c r="T64" s="61" t="s">
        <v>983</v>
      </c>
      <c r="U64" s="54">
        <v>750</v>
      </c>
      <c r="V64" s="54">
        <f t="shared" si="1"/>
        <v>500</v>
      </c>
      <c r="W64" s="49"/>
      <c r="X64" s="49"/>
    </row>
    <row r="65" spans="1:24" ht="16.5" customHeight="1">
      <c r="A65" s="101"/>
      <c r="B65" s="32"/>
      <c r="C65" s="71" t="s">
        <v>978</v>
      </c>
      <c r="D65" s="53" t="s">
        <v>51</v>
      </c>
      <c r="E65" s="53" t="s">
        <v>335</v>
      </c>
      <c r="F65" s="66" t="s">
        <v>457</v>
      </c>
      <c r="G65" s="69" t="s">
        <v>83</v>
      </c>
      <c r="H65" s="69" t="s">
        <v>30</v>
      </c>
      <c r="I65" s="69">
        <v>3000</v>
      </c>
      <c r="J65" s="70">
        <v>1.5</v>
      </c>
      <c r="K65" s="54">
        <f t="shared" si="0"/>
        <v>4500</v>
      </c>
      <c r="L65" s="55" t="b">
        <v>1</v>
      </c>
      <c r="M65" s="56">
        <v>90520241742</v>
      </c>
      <c r="N65" s="57" t="b">
        <v>1</v>
      </c>
      <c r="O65" s="58" t="s">
        <v>31</v>
      </c>
      <c r="P65" s="59" t="b">
        <v>1</v>
      </c>
      <c r="Q65" s="129"/>
      <c r="R65" s="60"/>
      <c r="S65" s="47" t="b">
        <v>1</v>
      </c>
      <c r="T65" s="61" t="s">
        <v>984</v>
      </c>
      <c r="U65" s="54">
        <f>3000*0.95</f>
        <v>2850</v>
      </c>
      <c r="V65" s="54">
        <f t="shared" si="1"/>
        <v>1650</v>
      </c>
      <c r="W65" s="49"/>
      <c r="X65" s="49"/>
    </row>
    <row r="66" spans="1:24" ht="15.75" customHeight="1">
      <c r="A66" s="101"/>
      <c r="B66" s="32"/>
      <c r="C66" s="71" t="s">
        <v>978</v>
      </c>
      <c r="D66" s="53" t="s">
        <v>144</v>
      </c>
      <c r="E66" s="53" t="s">
        <v>285</v>
      </c>
      <c r="F66" s="66" t="s">
        <v>985</v>
      </c>
      <c r="G66" s="69" t="s">
        <v>986</v>
      </c>
      <c r="H66" s="69" t="s">
        <v>30</v>
      </c>
      <c r="I66" s="69">
        <v>25</v>
      </c>
      <c r="J66" s="70">
        <v>320</v>
      </c>
      <c r="K66" s="54">
        <f t="shared" si="0"/>
        <v>8000</v>
      </c>
      <c r="L66" s="55" t="b">
        <v>1</v>
      </c>
      <c r="M66" s="56">
        <v>90520241744</v>
      </c>
      <c r="N66" s="57" t="b">
        <v>1</v>
      </c>
      <c r="O66" s="58" t="s">
        <v>31</v>
      </c>
      <c r="P66" s="59" t="b">
        <v>1</v>
      </c>
      <c r="Q66" s="129"/>
      <c r="R66" s="60"/>
      <c r="S66" s="47" t="b">
        <v>1</v>
      </c>
      <c r="T66" s="61" t="s">
        <v>987</v>
      </c>
      <c r="U66" s="54">
        <f>25*120</f>
        <v>3000</v>
      </c>
      <c r="V66" s="54">
        <f t="shared" si="1"/>
        <v>5000</v>
      </c>
      <c r="W66" s="49"/>
      <c r="X66" s="49"/>
    </row>
    <row r="67" spans="1:24" ht="15.75" customHeight="1">
      <c r="A67" s="101"/>
      <c r="B67" s="32"/>
      <c r="C67" s="71" t="s">
        <v>978</v>
      </c>
      <c r="D67" s="53" t="s">
        <v>988</v>
      </c>
      <c r="E67" s="53" t="s">
        <v>137</v>
      </c>
      <c r="F67" s="66" t="s">
        <v>989</v>
      </c>
      <c r="G67" s="69" t="s">
        <v>990</v>
      </c>
      <c r="H67" s="69" t="s">
        <v>30</v>
      </c>
      <c r="I67" s="69">
        <v>2</v>
      </c>
      <c r="J67" s="70">
        <v>1200</v>
      </c>
      <c r="K67" s="54">
        <f t="shared" si="0"/>
        <v>2400</v>
      </c>
      <c r="L67" s="55" t="b">
        <v>1</v>
      </c>
      <c r="M67" s="56">
        <v>90520241754</v>
      </c>
      <c r="N67" s="57" t="b">
        <v>1</v>
      </c>
      <c r="O67" s="58" t="s">
        <v>31</v>
      </c>
      <c r="P67" s="59" t="b">
        <v>1</v>
      </c>
      <c r="Q67" s="129"/>
      <c r="R67" s="60"/>
      <c r="S67" s="47" t="b">
        <v>1</v>
      </c>
      <c r="T67" s="61" t="s">
        <v>991</v>
      </c>
      <c r="U67" s="54">
        <f>2*650</f>
        <v>1300</v>
      </c>
      <c r="V67" s="54">
        <f t="shared" si="1"/>
        <v>1100</v>
      </c>
      <c r="W67" s="49"/>
      <c r="X67" s="49"/>
    </row>
    <row r="68" spans="1:24" ht="15.75" customHeight="1">
      <c r="A68" s="101"/>
      <c r="B68" s="32"/>
      <c r="C68" s="71" t="s">
        <v>978</v>
      </c>
      <c r="D68" s="53" t="s">
        <v>988</v>
      </c>
      <c r="E68" s="53" t="s">
        <v>137</v>
      </c>
      <c r="F68" s="66" t="s">
        <v>989</v>
      </c>
      <c r="G68" s="69" t="s">
        <v>992</v>
      </c>
      <c r="H68" s="69" t="s">
        <v>30</v>
      </c>
      <c r="I68" s="69">
        <v>1</v>
      </c>
      <c r="J68" s="70">
        <v>900</v>
      </c>
      <c r="K68" s="54">
        <f t="shared" si="0"/>
        <v>900</v>
      </c>
      <c r="L68" s="55" t="b">
        <v>1</v>
      </c>
      <c r="M68" s="56">
        <v>90520241755</v>
      </c>
      <c r="N68" s="57" t="b">
        <v>1</v>
      </c>
      <c r="O68" s="58" t="s">
        <v>31</v>
      </c>
      <c r="P68" s="59" t="b">
        <v>1</v>
      </c>
      <c r="Q68" s="129"/>
      <c r="R68" s="60"/>
      <c r="S68" s="47" t="b">
        <v>1</v>
      </c>
      <c r="T68" s="61" t="s">
        <v>991</v>
      </c>
      <c r="U68" s="54">
        <v>400</v>
      </c>
      <c r="V68" s="54">
        <f t="shared" si="1"/>
        <v>500</v>
      </c>
      <c r="W68" s="49"/>
      <c r="X68" s="49"/>
    </row>
    <row r="69" spans="1:24" ht="15.75" customHeight="1">
      <c r="A69" s="101"/>
      <c r="B69" s="32"/>
      <c r="C69" s="71" t="s">
        <v>993</v>
      </c>
      <c r="D69" s="53" t="s">
        <v>51</v>
      </c>
      <c r="E69" s="53" t="s">
        <v>66</v>
      </c>
      <c r="F69" s="66" t="s">
        <v>67</v>
      </c>
      <c r="G69" s="66" t="s">
        <v>68</v>
      </c>
      <c r="H69" s="69" t="s">
        <v>30</v>
      </c>
      <c r="I69" s="69">
        <v>9000</v>
      </c>
      <c r="J69" s="70">
        <v>0.75</v>
      </c>
      <c r="K69" s="54">
        <f t="shared" si="0"/>
        <v>6750</v>
      </c>
      <c r="L69" s="55" t="b">
        <v>1</v>
      </c>
      <c r="M69" s="56">
        <v>100520241116</v>
      </c>
      <c r="N69" s="57" t="b">
        <v>1</v>
      </c>
      <c r="O69" s="58" t="s">
        <v>31</v>
      </c>
      <c r="P69" s="59" t="b">
        <v>1</v>
      </c>
      <c r="Q69" s="129"/>
      <c r="R69" s="60"/>
      <c r="S69" s="47" t="b">
        <v>1</v>
      </c>
      <c r="T69" s="61" t="s">
        <v>994</v>
      </c>
      <c r="U69" s="54">
        <f>9000*0.3194</f>
        <v>2874.6000000000004</v>
      </c>
      <c r="V69" s="54">
        <f t="shared" si="1"/>
        <v>3875.3999999999996</v>
      </c>
      <c r="W69" s="49"/>
      <c r="X69" s="49"/>
    </row>
    <row r="70" spans="1:24" ht="15.75" customHeight="1">
      <c r="A70" s="101"/>
      <c r="B70" s="32"/>
      <c r="C70" s="71" t="s">
        <v>993</v>
      </c>
      <c r="D70" s="53" t="s">
        <v>104</v>
      </c>
      <c r="E70" s="53" t="s">
        <v>61</v>
      </c>
      <c r="F70" s="66" t="s">
        <v>181</v>
      </c>
      <c r="G70" s="69" t="s">
        <v>366</v>
      </c>
      <c r="H70" s="69" t="s">
        <v>30</v>
      </c>
      <c r="I70" s="69">
        <v>12</v>
      </c>
      <c r="J70" s="70">
        <v>140</v>
      </c>
      <c r="K70" s="54">
        <f t="shared" si="0"/>
        <v>1680</v>
      </c>
      <c r="L70" s="55" t="b">
        <v>1</v>
      </c>
      <c r="M70" s="56">
        <v>100520241350</v>
      </c>
      <c r="N70" s="57" t="b">
        <v>1</v>
      </c>
      <c r="O70" s="58" t="s">
        <v>31</v>
      </c>
      <c r="P70" s="59" t="b">
        <v>1</v>
      </c>
      <c r="Q70" s="129"/>
      <c r="R70" s="60"/>
      <c r="S70" s="47" t="b">
        <v>1</v>
      </c>
      <c r="T70" s="61" t="s">
        <v>995</v>
      </c>
      <c r="U70" s="54">
        <f>12*105</f>
        <v>1260</v>
      </c>
      <c r="V70" s="54">
        <f t="shared" si="1"/>
        <v>420</v>
      </c>
      <c r="W70" s="49"/>
      <c r="X70" s="49"/>
    </row>
    <row r="71" spans="1:24" ht="15.75" customHeight="1">
      <c r="A71" s="101"/>
      <c r="B71" s="32"/>
      <c r="C71" s="71" t="s">
        <v>993</v>
      </c>
      <c r="D71" s="53" t="s">
        <v>51</v>
      </c>
      <c r="E71" s="53" t="s">
        <v>201</v>
      </c>
      <c r="F71" s="66" t="s">
        <v>996</v>
      </c>
      <c r="G71" s="69" t="s">
        <v>997</v>
      </c>
      <c r="H71" s="69" t="s">
        <v>30</v>
      </c>
      <c r="I71" s="69">
        <v>1</v>
      </c>
      <c r="J71" s="70">
        <v>1475</v>
      </c>
      <c r="K71" s="54">
        <f t="shared" si="0"/>
        <v>1475</v>
      </c>
      <c r="L71" s="55" t="b">
        <v>1</v>
      </c>
      <c r="M71" s="56">
        <v>100520241350</v>
      </c>
      <c r="N71" s="57" t="b">
        <v>1</v>
      </c>
      <c r="O71" s="58" t="s">
        <v>31</v>
      </c>
      <c r="P71" s="59" t="b">
        <v>1</v>
      </c>
      <c r="Q71" s="129"/>
      <c r="R71" s="60"/>
      <c r="S71" s="47" t="b">
        <v>1</v>
      </c>
      <c r="T71" s="61" t="s">
        <v>998</v>
      </c>
      <c r="U71" s="54">
        <v>750</v>
      </c>
      <c r="V71" s="54">
        <f t="shared" si="1"/>
        <v>725</v>
      </c>
      <c r="W71" s="49"/>
      <c r="X71" s="49"/>
    </row>
    <row r="72" spans="1:24" ht="15.75" customHeight="1">
      <c r="A72" s="101"/>
      <c r="B72" s="32"/>
      <c r="C72" s="71" t="s">
        <v>999</v>
      </c>
      <c r="D72" s="53" t="s">
        <v>51</v>
      </c>
      <c r="E72" s="53" t="s">
        <v>335</v>
      </c>
      <c r="F72" s="66" t="s">
        <v>339</v>
      </c>
      <c r="G72" s="69" t="s">
        <v>1000</v>
      </c>
      <c r="H72" s="69" t="s">
        <v>30</v>
      </c>
      <c r="I72" s="69">
        <v>40</v>
      </c>
      <c r="J72" s="70">
        <v>160</v>
      </c>
      <c r="K72" s="54">
        <f t="shared" si="0"/>
        <v>6400</v>
      </c>
      <c r="L72" s="55" t="b">
        <v>1</v>
      </c>
      <c r="M72" s="56">
        <v>110520241747</v>
      </c>
      <c r="N72" s="57" t="b">
        <v>1</v>
      </c>
      <c r="O72" s="58" t="s">
        <v>39</v>
      </c>
      <c r="P72" s="59" t="b">
        <v>1</v>
      </c>
      <c r="Q72" s="129" t="s">
        <v>964</v>
      </c>
      <c r="R72" s="60"/>
      <c r="S72" s="47" t="b">
        <v>1</v>
      </c>
      <c r="T72" s="61" t="s">
        <v>1001</v>
      </c>
      <c r="U72" s="54">
        <f>40*105</f>
        <v>4200</v>
      </c>
      <c r="V72" s="54">
        <f t="shared" si="1"/>
        <v>2200</v>
      </c>
      <c r="W72" s="49"/>
      <c r="X72" s="49"/>
    </row>
    <row r="73" spans="1:24" ht="15.75" customHeight="1">
      <c r="A73" s="101"/>
      <c r="B73" s="32"/>
      <c r="C73" s="71" t="s">
        <v>999</v>
      </c>
      <c r="D73" s="53" t="s">
        <v>51</v>
      </c>
      <c r="E73" s="53" t="s">
        <v>475</v>
      </c>
      <c r="F73" s="66" t="s">
        <v>168</v>
      </c>
      <c r="G73" s="69" t="s">
        <v>563</v>
      </c>
      <c r="H73" s="69" t="s">
        <v>30</v>
      </c>
      <c r="I73" s="69">
        <v>50</v>
      </c>
      <c r="J73" s="70">
        <v>17.5</v>
      </c>
      <c r="K73" s="54">
        <f t="shared" si="0"/>
        <v>875</v>
      </c>
      <c r="L73" s="55" t="b">
        <v>1</v>
      </c>
      <c r="M73" s="56">
        <v>110520241749</v>
      </c>
      <c r="N73" s="57" t="b">
        <v>1</v>
      </c>
      <c r="O73" s="58" t="s">
        <v>31</v>
      </c>
      <c r="P73" s="59" t="b">
        <v>1</v>
      </c>
      <c r="Q73" s="129"/>
      <c r="R73" s="60"/>
      <c r="S73" s="47" t="b">
        <v>1</v>
      </c>
      <c r="T73" s="61" t="s">
        <v>1002</v>
      </c>
      <c r="U73" s="54">
        <v>550</v>
      </c>
      <c r="V73" s="54">
        <f t="shared" si="1"/>
        <v>325</v>
      </c>
      <c r="W73" s="49"/>
      <c r="X73" s="49"/>
    </row>
    <row r="74" spans="1:24" ht="15.75" customHeight="1">
      <c r="A74" s="101"/>
      <c r="B74" s="32"/>
      <c r="C74" s="71" t="s">
        <v>999</v>
      </c>
      <c r="D74" s="53" t="s">
        <v>51</v>
      </c>
      <c r="E74" s="53" t="s">
        <v>89</v>
      </c>
      <c r="F74" s="66" t="s">
        <v>505</v>
      </c>
      <c r="G74" s="69" t="s">
        <v>1003</v>
      </c>
      <c r="H74" s="69" t="s">
        <v>30</v>
      </c>
      <c r="I74" s="69">
        <v>1</v>
      </c>
      <c r="J74" s="70">
        <v>975</v>
      </c>
      <c r="K74" s="54">
        <f t="shared" si="0"/>
        <v>975</v>
      </c>
      <c r="L74" s="55" t="b">
        <v>1</v>
      </c>
      <c r="M74" s="56">
        <v>110520241749</v>
      </c>
      <c r="N74" s="57" t="b">
        <v>1</v>
      </c>
      <c r="O74" s="58"/>
      <c r="P74" s="59" t="b">
        <v>1</v>
      </c>
      <c r="Q74" s="129"/>
      <c r="R74" s="60"/>
      <c r="S74" s="47" t="b">
        <v>1</v>
      </c>
      <c r="T74" s="61" t="s">
        <v>1004</v>
      </c>
      <c r="U74" s="54">
        <v>550</v>
      </c>
      <c r="V74" s="54">
        <f t="shared" si="1"/>
        <v>425</v>
      </c>
      <c r="W74" s="49"/>
      <c r="X74" s="49"/>
    </row>
    <row r="75" spans="1:24" ht="15.75" customHeight="1">
      <c r="A75" s="101"/>
      <c r="B75" s="32"/>
      <c r="C75" s="71" t="s">
        <v>1005</v>
      </c>
      <c r="D75" s="53" t="s">
        <v>51</v>
      </c>
      <c r="E75" s="53" t="s">
        <v>335</v>
      </c>
      <c r="F75" s="66" t="s">
        <v>944</v>
      </c>
      <c r="G75" s="69" t="s">
        <v>1006</v>
      </c>
      <c r="H75" s="69" t="s">
        <v>30</v>
      </c>
      <c r="I75" s="69">
        <v>1</v>
      </c>
      <c r="J75" s="70">
        <v>13000</v>
      </c>
      <c r="K75" s="54">
        <f t="shared" si="0"/>
        <v>13000</v>
      </c>
      <c r="L75" s="55" t="b">
        <v>1</v>
      </c>
      <c r="M75" s="56">
        <v>130520241120</v>
      </c>
      <c r="N75" s="57" t="b">
        <v>1</v>
      </c>
      <c r="O75" s="58"/>
      <c r="P75" s="59" t="b">
        <v>1</v>
      </c>
      <c r="Q75" s="129"/>
      <c r="R75" s="60"/>
      <c r="S75" s="47" t="b">
        <v>1</v>
      </c>
      <c r="T75" s="61" t="s">
        <v>1007</v>
      </c>
      <c r="U75" s="54"/>
      <c r="V75" s="54">
        <f t="shared" si="1"/>
        <v>13000</v>
      </c>
      <c r="W75" s="49"/>
      <c r="X75" s="49"/>
    </row>
    <row r="76" spans="1:24" ht="15.75" customHeight="1">
      <c r="A76" s="101"/>
      <c r="B76" s="32"/>
      <c r="C76" s="71" t="s">
        <v>1005</v>
      </c>
      <c r="D76" s="53" t="s">
        <v>26</v>
      </c>
      <c r="E76" s="53" t="s">
        <v>220</v>
      </c>
      <c r="F76" s="66" t="s">
        <v>1008</v>
      </c>
      <c r="G76" s="69" t="s">
        <v>49</v>
      </c>
      <c r="H76" s="69" t="s">
        <v>30</v>
      </c>
      <c r="I76" s="69">
        <v>5</v>
      </c>
      <c r="J76" s="70">
        <v>695</v>
      </c>
      <c r="K76" s="54">
        <f t="shared" si="0"/>
        <v>3475</v>
      </c>
      <c r="L76" s="55" t="b">
        <v>1</v>
      </c>
      <c r="M76" s="56">
        <v>130520251507</v>
      </c>
      <c r="N76" s="57" t="b">
        <v>1</v>
      </c>
      <c r="O76" s="58" t="s">
        <v>39</v>
      </c>
      <c r="P76" s="59" t="b">
        <v>1</v>
      </c>
      <c r="Q76" s="129"/>
      <c r="R76" s="60"/>
      <c r="S76" s="47" t="b">
        <v>1</v>
      </c>
      <c r="T76" s="61" t="s">
        <v>1009</v>
      </c>
      <c r="U76" s="54">
        <f>5000*0.46</f>
        <v>2300</v>
      </c>
      <c r="V76" s="54">
        <f t="shared" si="1"/>
        <v>1175</v>
      </c>
      <c r="W76" s="49"/>
      <c r="X76" s="49"/>
    </row>
    <row r="77" spans="1:24" ht="15.75" customHeight="1">
      <c r="A77" s="101"/>
      <c r="B77" s="32"/>
      <c r="C77" s="71" t="s">
        <v>1005</v>
      </c>
      <c r="D77" s="53" t="s">
        <v>474</v>
      </c>
      <c r="E77" s="53" t="s">
        <v>89</v>
      </c>
      <c r="F77" s="66" t="s">
        <v>178</v>
      </c>
      <c r="G77" s="69" t="s">
        <v>142</v>
      </c>
      <c r="H77" s="69" t="s">
        <v>30</v>
      </c>
      <c r="I77" s="69">
        <v>1500</v>
      </c>
      <c r="J77" s="70">
        <v>1</v>
      </c>
      <c r="K77" s="54">
        <f t="shared" si="0"/>
        <v>1500</v>
      </c>
      <c r="L77" s="55" t="b">
        <v>1</v>
      </c>
      <c r="M77" s="56">
        <v>130520251509</v>
      </c>
      <c r="N77" s="57" t="b">
        <v>1</v>
      </c>
      <c r="O77" s="58" t="s">
        <v>39</v>
      </c>
      <c r="P77" s="59" t="b">
        <v>1</v>
      </c>
      <c r="Q77" s="129"/>
      <c r="R77" s="60"/>
      <c r="S77" s="47" t="b">
        <v>1</v>
      </c>
      <c r="T77" s="61" t="s">
        <v>1010</v>
      </c>
      <c r="U77" s="54">
        <f>1500*0.8</f>
        <v>1200</v>
      </c>
      <c r="V77" s="54">
        <f t="shared" si="1"/>
        <v>300</v>
      </c>
      <c r="W77" s="49"/>
      <c r="X77" s="49"/>
    </row>
    <row r="78" spans="1:24" ht="15.75" customHeight="1">
      <c r="A78" s="101"/>
      <c r="B78" s="32"/>
      <c r="C78" s="71" t="s">
        <v>1005</v>
      </c>
      <c r="D78" s="53" t="s">
        <v>46</v>
      </c>
      <c r="E78" s="53" t="s">
        <v>47</v>
      </c>
      <c r="F78" s="66" t="s">
        <v>48</v>
      </c>
      <c r="G78" s="69" t="s">
        <v>1011</v>
      </c>
      <c r="H78" s="69" t="s">
        <v>30</v>
      </c>
      <c r="I78" s="69">
        <v>20</v>
      </c>
      <c r="J78" s="70">
        <v>180</v>
      </c>
      <c r="K78" s="54">
        <f t="shared" si="0"/>
        <v>3600</v>
      </c>
      <c r="L78" s="55" t="b">
        <v>1</v>
      </c>
      <c r="M78" s="56">
        <v>130520241511</v>
      </c>
      <c r="N78" s="57" t="b">
        <v>1</v>
      </c>
      <c r="O78" s="58"/>
      <c r="P78" s="59" t="b">
        <v>1</v>
      </c>
      <c r="Q78" s="129"/>
      <c r="R78" s="60"/>
      <c r="S78" s="47" t="b">
        <v>1</v>
      </c>
      <c r="T78" s="61" t="s">
        <v>1012</v>
      </c>
      <c r="U78" s="54">
        <v>1800</v>
      </c>
      <c r="V78" s="54">
        <f t="shared" si="1"/>
        <v>1800</v>
      </c>
      <c r="W78" s="49"/>
      <c r="X78" s="49"/>
    </row>
    <row r="79" spans="1:24" ht="15.75" customHeight="1">
      <c r="A79" s="101"/>
      <c r="B79" s="32"/>
      <c r="C79" s="71" t="s">
        <v>1013</v>
      </c>
      <c r="D79" s="53" t="s">
        <v>26</v>
      </c>
      <c r="E79" s="53" t="s">
        <v>158</v>
      </c>
      <c r="F79" s="66" t="s">
        <v>1014</v>
      </c>
      <c r="G79" s="69" t="s">
        <v>563</v>
      </c>
      <c r="H79" s="69" t="s">
        <v>30</v>
      </c>
      <c r="I79" s="69">
        <v>50</v>
      </c>
      <c r="J79" s="70">
        <v>17.5</v>
      </c>
      <c r="K79" s="54">
        <f t="shared" si="0"/>
        <v>875</v>
      </c>
      <c r="L79" s="55" t="b">
        <v>1</v>
      </c>
      <c r="M79" s="56">
        <v>140520240905</v>
      </c>
      <c r="N79" s="57" t="b">
        <v>1</v>
      </c>
      <c r="O79" s="58" t="s">
        <v>31</v>
      </c>
      <c r="P79" s="59" t="b">
        <v>1</v>
      </c>
      <c r="Q79" s="129"/>
      <c r="R79" s="60"/>
      <c r="S79" s="47" t="b">
        <v>1</v>
      </c>
      <c r="T79" s="61" t="s">
        <v>1015</v>
      </c>
      <c r="U79" s="54">
        <v>550</v>
      </c>
      <c r="V79" s="54">
        <f t="shared" si="1"/>
        <v>325</v>
      </c>
      <c r="W79" s="49"/>
      <c r="X79" s="49"/>
    </row>
    <row r="80" spans="1:24" ht="15.75" customHeight="1">
      <c r="A80" s="1"/>
      <c r="B80" s="32"/>
      <c r="C80" s="71" t="s">
        <v>1013</v>
      </c>
      <c r="D80" s="53" t="s">
        <v>26</v>
      </c>
      <c r="E80" s="53" t="s">
        <v>158</v>
      </c>
      <c r="F80" s="66" t="s">
        <v>1014</v>
      </c>
      <c r="G80" s="69" t="s">
        <v>1016</v>
      </c>
      <c r="H80" s="69" t="s">
        <v>30</v>
      </c>
      <c r="I80" s="69">
        <v>25</v>
      </c>
      <c r="J80" s="70">
        <v>37.5</v>
      </c>
      <c r="K80" s="54">
        <f t="shared" si="0"/>
        <v>937.5</v>
      </c>
      <c r="L80" s="55" t="b">
        <v>1</v>
      </c>
      <c r="M80" s="56">
        <v>140520240906</v>
      </c>
      <c r="N80" s="57" t="b">
        <v>1</v>
      </c>
      <c r="O80" s="58" t="s">
        <v>31</v>
      </c>
      <c r="P80" s="59" t="b">
        <v>1</v>
      </c>
      <c r="Q80" s="129"/>
      <c r="R80" s="60"/>
      <c r="S80" s="47" t="b">
        <v>1</v>
      </c>
      <c r="T80" s="61" t="s">
        <v>1017</v>
      </c>
      <c r="U80" s="54">
        <v>600</v>
      </c>
      <c r="V80" s="54">
        <f t="shared" si="1"/>
        <v>337.5</v>
      </c>
      <c r="W80" s="49"/>
      <c r="X80" s="49"/>
    </row>
    <row r="81" spans="1:24" ht="15.75" customHeight="1">
      <c r="A81" s="101"/>
      <c r="B81" s="32"/>
      <c r="C81" s="71" t="s">
        <v>1013</v>
      </c>
      <c r="D81" s="53" t="s">
        <v>51</v>
      </c>
      <c r="E81" s="53" t="s">
        <v>475</v>
      </c>
      <c r="F81" s="66" t="s">
        <v>168</v>
      </c>
      <c r="G81" s="69" t="s">
        <v>308</v>
      </c>
      <c r="H81" s="69" t="s">
        <v>30</v>
      </c>
      <c r="I81" s="69">
        <v>5</v>
      </c>
      <c r="J81" s="70">
        <v>825</v>
      </c>
      <c r="K81" s="54">
        <f t="shared" si="0"/>
        <v>4125</v>
      </c>
      <c r="L81" s="55" t="b">
        <v>1</v>
      </c>
      <c r="M81" s="56">
        <v>140520240910</v>
      </c>
      <c r="N81" s="57" t="b">
        <v>1</v>
      </c>
      <c r="O81" s="58"/>
      <c r="P81" s="59" t="b">
        <v>1</v>
      </c>
      <c r="Q81" s="129"/>
      <c r="R81" s="60"/>
      <c r="S81" s="47" t="b">
        <v>1</v>
      </c>
      <c r="T81" s="61" t="s">
        <v>1018</v>
      </c>
      <c r="U81" s="54">
        <v>2000</v>
      </c>
      <c r="V81" s="54">
        <f t="shared" si="1"/>
        <v>2125</v>
      </c>
      <c r="W81" s="49"/>
      <c r="X81" s="49"/>
    </row>
    <row r="82" spans="1:24" ht="15.75" customHeight="1">
      <c r="A82" s="101"/>
      <c r="B82" s="32"/>
      <c r="C82" s="71" t="s">
        <v>1013</v>
      </c>
      <c r="D82" s="53" t="s">
        <v>51</v>
      </c>
      <c r="E82" s="53" t="s">
        <v>475</v>
      </c>
      <c r="F82" s="66" t="s">
        <v>168</v>
      </c>
      <c r="G82" s="69" t="s">
        <v>1019</v>
      </c>
      <c r="H82" s="69" t="s">
        <v>30</v>
      </c>
      <c r="I82" s="69">
        <v>5</v>
      </c>
      <c r="J82" s="70">
        <v>650</v>
      </c>
      <c r="K82" s="54">
        <f t="shared" si="0"/>
        <v>3250</v>
      </c>
      <c r="L82" s="55" t="b">
        <v>1</v>
      </c>
      <c r="M82" s="56">
        <v>140520240919</v>
      </c>
      <c r="N82" s="57" t="b">
        <v>1</v>
      </c>
      <c r="O82" s="58" t="s">
        <v>31</v>
      </c>
      <c r="P82" s="59" t="b">
        <v>1</v>
      </c>
      <c r="Q82" s="129"/>
      <c r="R82" s="60"/>
      <c r="S82" s="47" t="b">
        <v>1</v>
      </c>
      <c r="T82" s="61" t="s">
        <v>1002</v>
      </c>
      <c r="U82" s="54">
        <v>750</v>
      </c>
      <c r="V82" s="54">
        <f t="shared" si="1"/>
        <v>2500</v>
      </c>
      <c r="W82" s="49"/>
      <c r="X82" s="49"/>
    </row>
    <row r="83" spans="1:24" ht="15.75" customHeight="1">
      <c r="A83" s="101"/>
      <c r="B83" s="32"/>
      <c r="C83" s="71" t="s">
        <v>1013</v>
      </c>
      <c r="D83" s="53" t="s">
        <v>104</v>
      </c>
      <c r="E83" s="53" t="s">
        <v>1020</v>
      </c>
      <c r="F83" s="66" t="s">
        <v>1021</v>
      </c>
      <c r="G83" s="69" t="s">
        <v>1022</v>
      </c>
      <c r="H83" s="69" t="s">
        <v>30</v>
      </c>
      <c r="I83" s="69">
        <v>22</v>
      </c>
      <c r="J83" s="70">
        <v>105</v>
      </c>
      <c r="K83" s="54">
        <f t="shared" si="0"/>
        <v>2310</v>
      </c>
      <c r="L83" s="55" t="b">
        <v>1</v>
      </c>
      <c r="M83" s="56">
        <v>140520241319</v>
      </c>
      <c r="N83" s="57" t="b">
        <v>1</v>
      </c>
      <c r="O83" s="58" t="s">
        <v>31</v>
      </c>
      <c r="P83" s="59" t="b">
        <v>1</v>
      </c>
      <c r="Q83" s="129"/>
      <c r="R83" s="60"/>
      <c r="S83" s="47" t="b">
        <v>1</v>
      </c>
      <c r="T83" s="61" t="s">
        <v>1023</v>
      </c>
      <c r="U83" s="54">
        <f>22*75</f>
        <v>1650</v>
      </c>
      <c r="V83" s="54">
        <f t="shared" si="1"/>
        <v>660</v>
      </c>
      <c r="W83" s="49"/>
      <c r="X83" s="49"/>
    </row>
    <row r="84" spans="1:24" ht="15.75" customHeight="1">
      <c r="A84" s="101"/>
      <c r="B84" s="32"/>
      <c r="C84" s="71" t="s">
        <v>1013</v>
      </c>
      <c r="D84" s="53" t="s">
        <v>104</v>
      </c>
      <c r="E84" s="53" t="s">
        <v>1020</v>
      </c>
      <c r="F84" s="66" t="s">
        <v>1021</v>
      </c>
      <c r="G84" s="69" t="s">
        <v>1024</v>
      </c>
      <c r="H84" s="69" t="s">
        <v>30</v>
      </c>
      <c r="I84" s="69">
        <v>5</v>
      </c>
      <c r="J84" s="70">
        <v>95</v>
      </c>
      <c r="K84" s="54">
        <f t="shared" si="0"/>
        <v>475</v>
      </c>
      <c r="L84" s="55" t="b">
        <v>1</v>
      </c>
      <c r="M84" s="56">
        <v>140520241320</v>
      </c>
      <c r="N84" s="57" t="b">
        <v>1</v>
      </c>
      <c r="O84" s="58"/>
      <c r="P84" s="59" t="b">
        <v>1</v>
      </c>
      <c r="Q84" s="129"/>
      <c r="R84" s="60"/>
      <c r="S84" s="47" t="b">
        <v>1</v>
      </c>
      <c r="T84" s="61" t="s">
        <v>1025</v>
      </c>
      <c r="U84" s="54">
        <v>175</v>
      </c>
      <c r="V84" s="54">
        <f t="shared" si="1"/>
        <v>300</v>
      </c>
      <c r="W84" s="49"/>
      <c r="X84" s="49"/>
    </row>
    <row r="85" spans="1:24" ht="15.75" customHeight="1">
      <c r="A85" s="101"/>
      <c r="B85" s="32"/>
      <c r="C85" s="71" t="s">
        <v>1013</v>
      </c>
      <c r="D85" s="53" t="s">
        <v>51</v>
      </c>
      <c r="E85" s="53" t="s">
        <v>61</v>
      </c>
      <c r="F85" s="66" t="s">
        <v>1026</v>
      </c>
      <c r="G85" s="69" t="s">
        <v>101</v>
      </c>
      <c r="H85" s="69" t="s">
        <v>30</v>
      </c>
      <c r="I85" s="69">
        <v>15</v>
      </c>
      <c r="J85" s="70">
        <v>565</v>
      </c>
      <c r="K85" s="54">
        <f t="shared" si="0"/>
        <v>8475</v>
      </c>
      <c r="L85" s="55" t="b">
        <v>1</v>
      </c>
      <c r="M85" s="56">
        <v>140520241523</v>
      </c>
      <c r="N85" s="57" t="b">
        <v>1</v>
      </c>
      <c r="O85" s="58" t="s">
        <v>31</v>
      </c>
      <c r="P85" s="59" t="b">
        <v>1</v>
      </c>
      <c r="Q85" s="129"/>
      <c r="R85" s="60"/>
      <c r="S85" s="47" t="b">
        <v>1</v>
      </c>
      <c r="T85" s="61" t="s">
        <v>1027</v>
      </c>
      <c r="U85" s="54">
        <f>15*450</f>
        <v>6750</v>
      </c>
      <c r="V85" s="54">
        <f t="shared" si="1"/>
        <v>1725</v>
      </c>
      <c r="W85" s="49"/>
      <c r="X85" s="49"/>
    </row>
    <row r="86" spans="1:24" ht="15.75" customHeight="1">
      <c r="A86" s="101"/>
      <c r="B86" s="32"/>
      <c r="C86" s="71" t="s">
        <v>1028</v>
      </c>
      <c r="D86" s="53" t="s">
        <v>904</v>
      </c>
      <c r="E86" s="53" t="s">
        <v>56</v>
      </c>
      <c r="F86" s="66" t="s">
        <v>57</v>
      </c>
      <c r="G86" s="69" t="s">
        <v>366</v>
      </c>
      <c r="H86" s="69" t="s">
        <v>30</v>
      </c>
      <c r="I86" s="69">
        <v>6</v>
      </c>
      <c r="J86" s="70">
        <v>140</v>
      </c>
      <c r="K86" s="54">
        <f t="shared" si="0"/>
        <v>840</v>
      </c>
      <c r="L86" s="55" t="b">
        <v>1</v>
      </c>
      <c r="M86" s="56">
        <v>150520241851</v>
      </c>
      <c r="N86" s="57" t="b">
        <v>1</v>
      </c>
      <c r="O86" s="58" t="s">
        <v>39</v>
      </c>
      <c r="P86" s="59" t="b">
        <v>1</v>
      </c>
      <c r="Q86" s="129"/>
      <c r="R86" s="60"/>
      <c r="S86" s="47" t="b">
        <v>1</v>
      </c>
      <c r="T86" s="61" t="s">
        <v>1029</v>
      </c>
      <c r="U86" s="54">
        <f>6*105</f>
        <v>630</v>
      </c>
      <c r="V86" s="54">
        <f t="shared" si="1"/>
        <v>210</v>
      </c>
      <c r="W86" s="49"/>
      <c r="X86" s="49"/>
    </row>
    <row r="87" spans="1:24" ht="15.75" customHeight="1">
      <c r="A87" s="101"/>
      <c r="B87" s="32"/>
      <c r="C87" s="71" t="s">
        <v>1028</v>
      </c>
      <c r="D87" s="53" t="s">
        <v>51</v>
      </c>
      <c r="E87" s="53" t="s">
        <v>61</v>
      </c>
      <c r="F87" s="53" t="s">
        <v>1026</v>
      </c>
      <c r="G87" s="69" t="s">
        <v>1030</v>
      </c>
      <c r="H87" s="69" t="s">
        <v>30</v>
      </c>
      <c r="I87" s="69">
        <v>2</v>
      </c>
      <c r="J87" s="70">
        <v>5000</v>
      </c>
      <c r="K87" s="54">
        <f t="shared" si="0"/>
        <v>10000</v>
      </c>
      <c r="L87" s="55" t="b">
        <v>1</v>
      </c>
      <c r="M87" s="150" t="s">
        <v>529</v>
      </c>
      <c r="N87" s="57" t="b">
        <v>1</v>
      </c>
      <c r="O87" s="58" t="s">
        <v>351</v>
      </c>
      <c r="P87" s="59" t="b">
        <v>1</v>
      </c>
      <c r="Q87" s="129"/>
      <c r="R87" s="60"/>
      <c r="S87" s="47" t="b">
        <v>1</v>
      </c>
      <c r="T87" s="61" t="s">
        <v>1031</v>
      </c>
      <c r="U87" s="54">
        <f>2*2500</f>
        <v>5000</v>
      </c>
      <c r="V87" s="54">
        <f t="shared" si="1"/>
        <v>5000</v>
      </c>
      <c r="W87" s="49"/>
      <c r="X87" s="49"/>
    </row>
    <row r="88" spans="1:24" ht="15.75" customHeight="1">
      <c r="C88" s="71" t="s">
        <v>1032</v>
      </c>
      <c r="D88" s="53" t="s">
        <v>144</v>
      </c>
      <c r="E88" s="53" t="s">
        <v>1033</v>
      </c>
      <c r="F88" s="66" t="s">
        <v>582</v>
      </c>
      <c r="G88" s="69" t="s">
        <v>49</v>
      </c>
      <c r="H88" s="69" t="s">
        <v>30</v>
      </c>
      <c r="I88" s="69">
        <v>10</v>
      </c>
      <c r="J88" s="70">
        <v>695</v>
      </c>
      <c r="K88" s="54">
        <f t="shared" si="0"/>
        <v>6950</v>
      </c>
      <c r="L88" s="55" t="b">
        <v>1</v>
      </c>
      <c r="M88" s="56">
        <v>160520241236</v>
      </c>
      <c r="N88" s="57" t="b">
        <v>1</v>
      </c>
      <c r="O88" s="58" t="s">
        <v>39</v>
      </c>
      <c r="P88" s="59" t="b">
        <v>1</v>
      </c>
      <c r="Q88" s="129"/>
      <c r="R88" s="60"/>
      <c r="S88" s="47" t="b">
        <v>1</v>
      </c>
      <c r="T88" s="61" t="s">
        <v>1034</v>
      </c>
      <c r="U88" s="54">
        <f>10000*0.46</f>
        <v>4600</v>
      </c>
      <c r="V88" s="54">
        <f t="shared" si="1"/>
        <v>2350</v>
      </c>
      <c r="W88" s="49"/>
      <c r="X88" s="49"/>
    </row>
    <row r="89" spans="1:24" ht="15.75" customHeight="1">
      <c r="A89" s="101"/>
      <c r="B89" s="32"/>
      <c r="C89" s="71" t="s">
        <v>1032</v>
      </c>
      <c r="D89" s="53" t="s">
        <v>51</v>
      </c>
      <c r="E89" s="53" t="s">
        <v>372</v>
      </c>
      <c r="F89" s="66" t="s">
        <v>1035</v>
      </c>
      <c r="G89" s="69" t="s">
        <v>83</v>
      </c>
      <c r="H89" s="69" t="s">
        <v>30</v>
      </c>
      <c r="I89" s="69">
        <v>3000</v>
      </c>
      <c r="J89" s="70">
        <v>1.5</v>
      </c>
      <c r="K89" s="54">
        <f t="shared" si="0"/>
        <v>4500</v>
      </c>
      <c r="L89" s="55" t="b">
        <v>1</v>
      </c>
      <c r="M89" s="56">
        <v>160520242000</v>
      </c>
      <c r="N89" s="57" t="b">
        <v>1</v>
      </c>
      <c r="O89" s="58" t="s">
        <v>31</v>
      </c>
      <c r="P89" s="59" t="b">
        <v>1</v>
      </c>
      <c r="Q89" s="129"/>
      <c r="R89" s="60"/>
      <c r="S89" s="47" t="b">
        <v>1</v>
      </c>
      <c r="T89" s="61" t="s">
        <v>1036</v>
      </c>
      <c r="U89" s="54">
        <f>3000*0.95</f>
        <v>2850</v>
      </c>
      <c r="V89" s="54">
        <f t="shared" si="1"/>
        <v>1650</v>
      </c>
      <c r="W89" s="49"/>
      <c r="X89" s="49"/>
    </row>
    <row r="90" spans="1:24" ht="15.75" customHeight="1">
      <c r="A90" s="101"/>
      <c r="B90" s="32"/>
      <c r="C90" s="71" t="s">
        <v>1032</v>
      </c>
      <c r="D90" s="53" t="s">
        <v>418</v>
      </c>
      <c r="E90" s="53" t="s">
        <v>1037</v>
      </c>
      <c r="F90" s="66" t="s">
        <v>420</v>
      </c>
      <c r="G90" s="69" t="s">
        <v>677</v>
      </c>
      <c r="H90" s="69" t="s">
        <v>30</v>
      </c>
      <c r="I90" s="69">
        <v>10</v>
      </c>
      <c r="J90" s="70">
        <v>100</v>
      </c>
      <c r="K90" s="54">
        <f t="shared" si="0"/>
        <v>1000</v>
      </c>
      <c r="L90" s="55" t="b">
        <v>1</v>
      </c>
      <c r="M90" s="56">
        <v>160520242100</v>
      </c>
      <c r="N90" s="57" t="b">
        <v>1</v>
      </c>
      <c r="O90" s="58"/>
      <c r="P90" s="59" t="b">
        <v>1</v>
      </c>
      <c r="Q90" s="129"/>
      <c r="R90" s="60"/>
      <c r="S90" s="47" t="b">
        <v>1</v>
      </c>
      <c r="T90" s="61" t="s">
        <v>1038</v>
      </c>
      <c r="U90" s="54">
        <v>400</v>
      </c>
      <c r="V90" s="54">
        <f t="shared" si="1"/>
        <v>600</v>
      </c>
      <c r="W90" s="49"/>
      <c r="X90" s="49"/>
    </row>
    <row r="91" spans="1:24" ht="15.75" customHeight="1">
      <c r="A91" s="121"/>
      <c r="B91" s="32"/>
      <c r="C91" s="71" t="s">
        <v>1032</v>
      </c>
      <c r="D91" s="53" t="s">
        <v>418</v>
      </c>
      <c r="E91" s="53" t="s">
        <v>1037</v>
      </c>
      <c r="F91" s="66" t="s">
        <v>420</v>
      </c>
      <c r="G91" s="69" t="s">
        <v>1039</v>
      </c>
      <c r="H91" s="69" t="s">
        <v>30</v>
      </c>
      <c r="I91" s="69">
        <v>5</v>
      </c>
      <c r="J91" s="70">
        <v>105</v>
      </c>
      <c r="K91" s="54">
        <f t="shared" si="0"/>
        <v>525</v>
      </c>
      <c r="L91" s="55" t="b">
        <v>1</v>
      </c>
      <c r="M91" s="56">
        <v>160520242100</v>
      </c>
      <c r="N91" s="57" t="b">
        <v>1</v>
      </c>
      <c r="O91" s="58" t="s">
        <v>31</v>
      </c>
      <c r="P91" s="59" t="b">
        <v>1</v>
      </c>
      <c r="Q91" s="129"/>
      <c r="R91" s="60"/>
      <c r="S91" s="47" t="b">
        <v>1</v>
      </c>
      <c r="T91" s="61" t="s">
        <v>1040</v>
      </c>
      <c r="U91" s="54">
        <f>5*75</f>
        <v>375</v>
      </c>
      <c r="V91" s="54">
        <f t="shared" si="1"/>
        <v>150</v>
      </c>
      <c r="W91" s="49"/>
      <c r="X91" s="49"/>
    </row>
    <row r="92" spans="1:24" ht="15.75" customHeight="1">
      <c r="A92" s="101"/>
      <c r="B92" s="32"/>
      <c r="C92" s="71" t="s">
        <v>1032</v>
      </c>
      <c r="D92" s="53" t="s">
        <v>418</v>
      </c>
      <c r="E92" s="53" t="s">
        <v>137</v>
      </c>
      <c r="F92" s="66" t="s">
        <v>43</v>
      </c>
      <c r="G92" s="69" t="s">
        <v>374</v>
      </c>
      <c r="H92" s="69" t="s">
        <v>30</v>
      </c>
      <c r="I92" s="69">
        <v>30</v>
      </c>
      <c r="J92" s="70">
        <v>33</v>
      </c>
      <c r="K92" s="54">
        <f t="shared" si="0"/>
        <v>990</v>
      </c>
      <c r="L92" s="55" t="b">
        <v>1</v>
      </c>
      <c r="M92" s="56">
        <v>160520242100</v>
      </c>
      <c r="N92" s="57" t="b">
        <v>1</v>
      </c>
      <c r="O92" s="58"/>
      <c r="P92" s="59" t="b">
        <v>1</v>
      </c>
      <c r="Q92" s="129"/>
      <c r="R92" s="60"/>
      <c r="S92" s="47" t="b">
        <v>1</v>
      </c>
      <c r="T92" s="61" t="s">
        <v>1041</v>
      </c>
      <c r="U92" s="54">
        <f>7*30</f>
        <v>210</v>
      </c>
      <c r="V92" s="54">
        <f t="shared" si="1"/>
        <v>780</v>
      </c>
      <c r="W92" s="49"/>
      <c r="X92" s="49"/>
    </row>
    <row r="93" spans="1:24" ht="15.75" customHeight="1">
      <c r="A93" s="101"/>
      <c r="B93" s="32"/>
      <c r="C93" s="71" t="s">
        <v>1032</v>
      </c>
      <c r="D93" s="53" t="s">
        <v>418</v>
      </c>
      <c r="E93" s="53" t="s">
        <v>137</v>
      </c>
      <c r="F93" s="66" t="s">
        <v>43</v>
      </c>
      <c r="G93" s="69" t="s">
        <v>1042</v>
      </c>
      <c r="H93" s="69" t="s">
        <v>30</v>
      </c>
      <c r="I93" s="69">
        <v>60</v>
      </c>
      <c r="J93" s="70">
        <v>19.5</v>
      </c>
      <c r="K93" s="54">
        <f t="shared" si="0"/>
        <v>1170</v>
      </c>
      <c r="L93" s="55" t="b">
        <v>1</v>
      </c>
      <c r="M93" s="56">
        <v>160520242100</v>
      </c>
      <c r="N93" s="57" t="b">
        <v>1</v>
      </c>
      <c r="O93" s="58" t="s">
        <v>31</v>
      </c>
      <c r="P93" s="59" t="b">
        <v>1</v>
      </c>
      <c r="Q93" s="129"/>
      <c r="R93" s="60"/>
      <c r="S93" s="47" t="b">
        <v>1</v>
      </c>
      <c r="T93" s="61" t="s">
        <v>1043</v>
      </c>
      <c r="U93" s="54">
        <v>600</v>
      </c>
      <c r="V93" s="54">
        <f t="shared" si="1"/>
        <v>570</v>
      </c>
      <c r="W93" s="49"/>
      <c r="X93" s="49"/>
    </row>
    <row r="94" spans="1:24" ht="15.75" customHeight="1">
      <c r="A94" s="101"/>
      <c r="B94" s="32"/>
      <c r="C94" s="71" t="s">
        <v>1044</v>
      </c>
      <c r="D94" s="53" t="s">
        <v>418</v>
      </c>
      <c r="E94" s="53" t="s">
        <v>1045</v>
      </c>
      <c r="F94" s="66" t="s">
        <v>1046</v>
      </c>
      <c r="G94" s="69" t="s">
        <v>49</v>
      </c>
      <c r="H94" s="69" t="s">
        <v>30</v>
      </c>
      <c r="I94" s="69">
        <v>5</v>
      </c>
      <c r="J94" s="70">
        <v>695</v>
      </c>
      <c r="K94" s="54">
        <f t="shared" si="0"/>
        <v>3475</v>
      </c>
      <c r="L94" s="55" t="b">
        <v>1</v>
      </c>
      <c r="M94" s="56">
        <v>170520241127</v>
      </c>
      <c r="N94" s="57" t="b">
        <v>1</v>
      </c>
      <c r="O94" s="58" t="s">
        <v>39</v>
      </c>
      <c r="P94" s="59" t="b">
        <v>1</v>
      </c>
      <c r="Q94" s="129"/>
      <c r="R94" s="60"/>
      <c r="S94" s="47" t="b">
        <v>1</v>
      </c>
      <c r="T94" s="61" t="s">
        <v>1047</v>
      </c>
      <c r="U94" s="54">
        <f>5000*0.46</f>
        <v>2300</v>
      </c>
      <c r="V94" s="54">
        <f t="shared" si="1"/>
        <v>1175</v>
      </c>
      <c r="W94" s="49"/>
      <c r="X94" s="49"/>
    </row>
    <row r="95" spans="1:24" ht="15.75" customHeight="1">
      <c r="A95" s="101"/>
      <c r="B95" s="32"/>
      <c r="C95" s="71" t="s">
        <v>1044</v>
      </c>
      <c r="D95" s="53" t="s">
        <v>104</v>
      </c>
      <c r="E95" s="53" t="s">
        <v>1048</v>
      </c>
      <c r="F95" s="66" t="s">
        <v>1049</v>
      </c>
      <c r="G95" s="69" t="s">
        <v>746</v>
      </c>
      <c r="H95" s="69" t="s">
        <v>30</v>
      </c>
      <c r="I95" s="69">
        <v>5</v>
      </c>
      <c r="J95" s="70">
        <v>745</v>
      </c>
      <c r="K95" s="54">
        <f t="shared" si="0"/>
        <v>3725</v>
      </c>
      <c r="L95" s="55" t="b">
        <v>1</v>
      </c>
      <c r="M95" s="56">
        <v>170520241156</v>
      </c>
      <c r="N95" s="57" t="b">
        <v>1</v>
      </c>
      <c r="O95" s="58" t="s">
        <v>31</v>
      </c>
      <c r="P95" s="59" t="b">
        <v>1</v>
      </c>
      <c r="Q95" s="129" t="s">
        <v>1050</v>
      </c>
      <c r="R95" s="60"/>
      <c r="S95" s="47" t="b">
        <v>1</v>
      </c>
      <c r="T95" s="61" t="s">
        <v>1051</v>
      </c>
      <c r="U95" s="54">
        <v>2000</v>
      </c>
      <c r="V95" s="54">
        <f t="shared" si="1"/>
        <v>1725</v>
      </c>
      <c r="W95" s="49"/>
      <c r="X95" s="49"/>
    </row>
    <row r="96" spans="1:24" ht="15.75" customHeight="1">
      <c r="A96" s="101"/>
      <c r="B96" s="32"/>
      <c r="C96" s="71" t="s">
        <v>1044</v>
      </c>
      <c r="D96" s="53" t="s">
        <v>104</v>
      </c>
      <c r="E96" s="53" t="s">
        <v>1048</v>
      </c>
      <c r="F96" s="66" t="s">
        <v>1049</v>
      </c>
      <c r="G96" s="69" t="s">
        <v>139</v>
      </c>
      <c r="H96" s="69" t="s">
        <v>30</v>
      </c>
      <c r="I96" s="69">
        <v>30</v>
      </c>
      <c r="J96" s="70">
        <v>29.75</v>
      </c>
      <c r="K96" s="54">
        <f t="shared" si="0"/>
        <v>892.5</v>
      </c>
      <c r="L96" s="55" t="b">
        <v>1</v>
      </c>
      <c r="M96" s="56">
        <v>170520241156</v>
      </c>
      <c r="N96" s="57" t="b">
        <v>1</v>
      </c>
      <c r="O96" s="58" t="s">
        <v>31</v>
      </c>
      <c r="P96" s="59" t="b">
        <v>1</v>
      </c>
      <c r="Q96" s="149" t="s">
        <v>1052</v>
      </c>
      <c r="R96" s="60"/>
      <c r="S96" s="47" t="b">
        <v>1</v>
      </c>
      <c r="T96" s="61" t="s">
        <v>1053</v>
      </c>
      <c r="U96" s="54">
        <f>30*15</f>
        <v>450</v>
      </c>
      <c r="V96" s="54">
        <f t="shared" si="1"/>
        <v>442.5</v>
      </c>
      <c r="W96" s="49"/>
      <c r="X96" s="49"/>
    </row>
    <row r="97" spans="1:24" ht="15.75" customHeight="1">
      <c r="A97" s="101"/>
      <c r="B97" s="32"/>
      <c r="C97" s="71" t="s">
        <v>1044</v>
      </c>
      <c r="D97" s="53" t="s">
        <v>51</v>
      </c>
      <c r="E97" s="53" t="s">
        <v>594</v>
      </c>
      <c r="F97" s="66" t="s">
        <v>595</v>
      </c>
      <c r="G97" s="69" t="s">
        <v>1054</v>
      </c>
      <c r="H97" s="69" t="s">
        <v>30</v>
      </c>
      <c r="I97" s="69">
        <v>1</v>
      </c>
      <c r="J97" s="70">
        <v>3600</v>
      </c>
      <c r="K97" s="54">
        <f t="shared" si="0"/>
        <v>3600</v>
      </c>
      <c r="L97" s="55" t="b">
        <v>1</v>
      </c>
      <c r="M97" s="56">
        <v>170520241202</v>
      </c>
      <c r="N97" s="57" t="b">
        <v>1</v>
      </c>
      <c r="O97" s="58"/>
      <c r="P97" s="59" t="b">
        <v>1</v>
      </c>
      <c r="Q97" s="129"/>
      <c r="R97" s="60"/>
      <c r="S97" s="47" t="b">
        <v>1</v>
      </c>
      <c r="T97" s="61" t="s">
        <v>1055</v>
      </c>
      <c r="U97" s="54"/>
      <c r="V97" s="54">
        <f t="shared" si="1"/>
        <v>3600</v>
      </c>
      <c r="W97" s="49"/>
      <c r="X97" s="49"/>
    </row>
    <row r="98" spans="1:24" ht="15.75" customHeight="1">
      <c r="A98" s="101"/>
      <c r="B98" s="32"/>
      <c r="C98" s="71" t="s">
        <v>1044</v>
      </c>
      <c r="D98" s="53" t="s">
        <v>104</v>
      </c>
      <c r="E98" s="53" t="s">
        <v>292</v>
      </c>
      <c r="F98" s="66" t="s">
        <v>919</v>
      </c>
      <c r="G98" s="69" t="s">
        <v>49</v>
      </c>
      <c r="H98" s="69" t="s">
        <v>30</v>
      </c>
      <c r="I98" s="69">
        <v>10</v>
      </c>
      <c r="J98" s="70">
        <v>695</v>
      </c>
      <c r="K98" s="54">
        <f t="shared" si="0"/>
        <v>6950</v>
      </c>
      <c r="L98" s="55" t="b">
        <v>1</v>
      </c>
      <c r="M98" s="56">
        <v>170520241205</v>
      </c>
      <c r="N98" s="57" t="b">
        <v>1</v>
      </c>
      <c r="O98" s="58" t="s">
        <v>31</v>
      </c>
      <c r="P98" s="59" t="b">
        <v>1</v>
      </c>
      <c r="Q98" s="129"/>
      <c r="R98" s="60"/>
      <c r="S98" s="47" t="b">
        <v>1</v>
      </c>
      <c r="T98" s="61" t="s">
        <v>1056</v>
      </c>
      <c r="U98" s="54">
        <f>10000*0.46</f>
        <v>4600</v>
      </c>
      <c r="V98" s="54">
        <f t="shared" si="1"/>
        <v>2350</v>
      </c>
      <c r="W98" s="49"/>
      <c r="X98" s="49"/>
    </row>
    <row r="99" spans="1:24" ht="15.75" customHeight="1">
      <c r="A99" s="101"/>
      <c r="B99" s="32"/>
      <c r="C99" s="71" t="s">
        <v>1044</v>
      </c>
      <c r="D99" s="53" t="s">
        <v>51</v>
      </c>
      <c r="E99" s="53" t="s">
        <v>475</v>
      </c>
      <c r="F99" s="66" t="s">
        <v>168</v>
      </c>
      <c r="G99" s="69" t="s">
        <v>650</v>
      </c>
      <c r="H99" s="69" t="s">
        <v>30</v>
      </c>
      <c r="I99" s="69">
        <v>3</v>
      </c>
      <c r="J99" s="70">
        <v>1250</v>
      </c>
      <c r="K99" s="54">
        <f t="shared" si="0"/>
        <v>3750</v>
      </c>
      <c r="L99" s="55" t="b">
        <v>1</v>
      </c>
      <c r="M99" s="56">
        <v>170520241752</v>
      </c>
      <c r="N99" s="57" t="b">
        <v>1</v>
      </c>
      <c r="O99" s="58" t="s">
        <v>31</v>
      </c>
      <c r="P99" s="59" t="b">
        <v>1</v>
      </c>
      <c r="Q99" s="129"/>
      <c r="R99" s="60"/>
      <c r="S99" s="47" t="b">
        <v>1</v>
      </c>
      <c r="T99" s="61" t="s">
        <v>1057</v>
      </c>
      <c r="U99" s="54">
        <f>3*700</f>
        <v>2100</v>
      </c>
      <c r="V99" s="54">
        <f t="shared" si="1"/>
        <v>1650</v>
      </c>
      <c r="W99" s="49"/>
      <c r="X99" s="49"/>
    </row>
    <row r="100" spans="1:24" ht="15.75" customHeight="1">
      <c r="A100" s="101"/>
      <c r="B100" s="32"/>
      <c r="C100" s="71" t="s">
        <v>1044</v>
      </c>
      <c r="D100" s="53" t="s">
        <v>418</v>
      </c>
      <c r="E100" s="53" t="s">
        <v>1037</v>
      </c>
      <c r="F100" s="66" t="s">
        <v>420</v>
      </c>
      <c r="G100" s="69" t="s">
        <v>1058</v>
      </c>
      <c r="H100" s="69" t="s">
        <v>30</v>
      </c>
      <c r="I100" s="69">
        <v>2</v>
      </c>
      <c r="J100" s="70">
        <v>675</v>
      </c>
      <c r="K100" s="54">
        <f t="shared" si="0"/>
        <v>1350</v>
      </c>
      <c r="L100" s="55" t="b">
        <v>1</v>
      </c>
      <c r="M100" s="56">
        <v>170520241753</v>
      </c>
      <c r="N100" s="57" t="b">
        <v>1</v>
      </c>
      <c r="O100" s="58" t="s">
        <v>39</v>
      </c>
      <c r="P100" s="59" t="b">
        <v>1</v>
      </c>
      <c r="Q100" s="129"/>
      <c r="R100" s="60"/>
      <c r="S100" s="47" t="b">
        <v>1</v>
      </c>
      <c r="T100" s="61" t="s">
        <v>1059</v>
      </c>
      <c r="U100" s="54">
        <f>2*302</f>
        <v>604</v>
      </c>
      <c r="V100" s="54">
        <f t="shared" si="1"/>
        <v>746</v>
      </c>
      <c r="W100" s="49"/>
      <c r="X100" s="49"/>
    </row>
    <row r="101" spans="1:24" ht="15.75" customHeight="1">
      <c r="A101" s="101"/>
      <c r="B101" s="32"/>
      <c r="C101" s="71" t="s">
        <v>1044</v>
      </c>
      <c r="D101" s="53" t="s">
        <v>51</v>
      </c>
      <c r="E101" s="53" t="s">
        <v>594</v>
      </c>
      <c r="F101" s="66" t="s">
        <v>595</v>
      </c>
      <c r="G101" s="69" t="s">
        <v>1060</v>
      </c>
      <c r="H101" s="69" t="s">
        <v>30</v>
      </c>
      <c r="I101" s="69">
        <v>1</v>
      </c>
      <c r="J101" s="70">
        <v>3600</v>
      </c>
      <c r="K101" s="54">
        <f t="shared" si="0"/>
        <v>3600</v>
      </c>
      <c r="L101" s="55" t="b">
        <v>1</v>
      </c>
      <c r="M101" s="56">
        <v>170520241804</v>
      </c>
      <c r="N101" s="57" t="b">
        <v>1</v>
      </c>
      <c r="O101" s="58"/>
      <c r="P101" s="59" t="b">
        <v>1</v>
      </c>
      <c r="Q101" s="129"/>
      <c r="R101" s="60"/>
      <c r="S101" s="47" t="b">
        <v>1</v>
      </c>
      <c r="T101" s="61" t="s">
        <v>1055</v>
      </c>
      <c r="U101" s="54"/>
      <c r="V101" s="54">
        <f t="shared" si="1"/>
        <v>3600</v>
      </c>
      <c r="W101" s="49"/>
      <c r="X101" s="49"/>
    </row>
    <row r="102" spans="1:24" ht="15.75" customHeight="1">
      <c r="A102" s="101"/>
      <c r="B102" s="32"/>
      <c r="C102" s="71" t="s">
        <v>1044</v>
      </c>
      <c r="D102" s="53" t="s">
        <v>282</v>
      </c>
      <c r="E102" s="53" t="s">
        <v>282</v>
      </c>
      <c r="F102" s="66" t="s">
        <v>365</v>
      </c>
      <c r="G102" s="69" t="s">
        <v>1061</v>
      </c>
      <c r="H102" s="69" t="s">
        <v>30</v>
      </c>
      <c r="I102" s="69">
        <v>2</v>
      </c>
      <c r="J102" s="70">
        <v>7500</v>
      </c>
      <c r="K102" s="54">
        <f t="shared" si="0"/>
        <v>15000</v>
      </c>
      <c r="L102" s="55" t="b">
        <v>1</v>
      </c>
      <c r="M102" s="56">
        <v>170520241931</v>
      </c>
      <c r="N102" s="57" t="b">
        <v>1</v>
      </c>
      <c r="O102" s="58" t="s">
        <v>351</v>
      </c>
      <c r="P102" s="59" t="b">
        <v>1</v>
      </c>
      <c r="Q102" s="129"/>
      <c r="R102" s="60"/>
      <c r="S102" s="47" t="b">
        <v>1</v>
      </c>
      <c r="T102" s="61" t="s">
        <v>1062</v>
      </c>
      <c r="U102" s="54">
        <f>2*2500</f>
        <v>5000</v>
      </c>
      <c r="V102" s="54">
        <f t="shared" si="1"/>
        <v>10000</v>
      </c>
      <c r="W102" s="49"/>
      <c r="X102" s="49"/>
    </row>
    <row r="103" spans="1:24" ht="15.75" customHeight="1">
      <c r="A103" s="101"/>
      <c r="B103" s="32"/>
      <c r="C103" s="71" t="s">
        <v>1044</v>
      </c>
      <c r="D103" s="53" t="s">
        <v>282</v>
      </c>
      <c r="E103" s="53" t="s">
        <v>282</v>
      </c>
      <c r="F103" s="66" t="s">
        <v>365</v>
      </c>
      <c r="G103" s="69" t="s">
        <v>72</v>
      </c>
      <c r="H103" s="69" t="s">
        <v>30</v>
      </c>
      <c r="I103" s="69">
        <v>1</v>
      </c>
      <c r="J103" s="70">
        <v>2850</v>
      </c>
      <c r="K103" s="54">
        <f t="shared" si="0"/>
        <v>2850</v>
      </c>
      <c r="L103" s="55" t="b">
        <v>1</v>
      </c>
      <c r="M103" s="56">
        <v>170520241931</v>
      </c>
      <c r="N103" s="57" t="b">
        <v>1</v>
      </c>
      <c r="O103" s="58" t="s">
        <v>31</v>
      </c>
      <c r="P103" s="59" t="b">
        <v>1</v>
      </c>
      <c r="Q103" s="129"/>
      <c r="R103" s="60"/>
      <c r="S103" s="47" t="b">
        <v>1</v>
      </c>
      <c r="T103" s="61" t="s">
        <v>1062</v>
      </c>
      <c r="U103" s="54">
        <v>1500</v>
      </c>
      <c r="V103" s="54">
        <f t="shared" si="1"/>
        <v>1350</v>
      </c>
      <c r="W103" s="49"/>
      <c r="X103" s="49"/>
    </row>
    <row r="104" spans="1:24" ht="15.75" customHeight="1">
      <c r="A104" s="101"/>
      <c r="B104" s="32"/>
      <c r="C104" s="71" t="s">
        <v>1063</v>
      </c>
      <c r="D104" s="53" t="s">
        <v>51</v>
      </c>
      <c r="E104" s="53" t="s">
        <v>61</v>
      </c>
      <c r="F104" s="151" t="s">
        <v>1026</v>
      </c>
      <c r="G104" s="69" t="s">
        <v>614</v>
      </c>
      <c r="H104" s="69" t="s">
        <v>30</v>
      </c>
      <c r="I104" s="69">
        <v>92</v>
      </c>
      <c r="J104" s="70">
        <v>30</v>
      </c>
      <c r="K104" s="54">
        <f t="shared" si="0"/>
        <v>2760</v>
      </c>
      <c r="L104" s="55" t="b">
        <v>1</v>
      </c>
      <c r="M104" s="56">
        <v>200520241012</v>
      </c>
      <c r="N104" s="57" t="b">
        <v>1</v>
      </c>
      <c r="O104" s="58" t="s">
        <v>31</v>
      </c>
      <c r="P104" s="59" t="b">
        <v>1</v>
      </c>
      <c r="Q104" s="129"/>
      <c r="R104" s="60"/>
      <c r="S104" s="47" t="b">
        <v>1</v>
      </c>
      <c r="T104" s="61" t="s">
        <v>1064</v>
      </c>
      <c r="U104" s="54">
        <f>92*23</f>
        <v>2116</v>
      </c>
      <c r="V104" s="54">
        <f t="shared" si="1"/>
        <v>644</v>
      </c>
      <c r="W104" s="49"/>
      <c r="X104" s="49"/>
    </row>
    <row r="105" spans="1:24" ht="15.75" customHeight="1">
      <c r="A105" s="101"/>
      <c r="B105" s="32"/>
      <c r="C105" s="71" t="s">
        <v>1063</v>
      </c>
      <c r="D105" s="53" t="s">
        <v>51</v>
      </c>
      <c r="E105" s="53" t="s">
        <v>61</v>
      </c>
      <c r="F105" s="151" t="s">
        <v>1026</v>
      </c>
      <c r="G105" s="69" t="s">
        <v>1065</v>
      </c>
      <c r="H105" s="69" t="s">
        <v>30</v>
      </c>
      <c r="I105" s="69">
        <v>5</v>
      </c>
      <c r="J105" s="70">
        <v>150</v>
      </c>
      <c r="K105" s="54">
        <f t="shared" si="0"/>
        <v>750</v>
      </c>
      <c r="L105" s="55" t="b">
        <v>1</v>
      </c>
      <c r="M105" s="56">
        <v>200520241012</v>
      </c>
      <c r="N105" s="57" t="b">
        <v>1</v>
      </c>
      <c r="O105" s="58" t="s">
        <v>31</v>
      </c>
      <c r="P105" s="59" t="b">
        <v>1</v>
      </c>
      <c r="Q105" s="129"/>
      <c r="R105" s="60"/>
      <c r="S105" s="47" t="b">
        <v>1</v>
      </c>
      <c r="T105" s="61" t="s">
        <v>1064</v>
      </c>
      <c r="U105" s="54">
        <v>400</v>
      </c>
      <c r="V105" s="54">
        <f t="shared" si="1"/>
        <v>350</v>
      </c>
      <c r="W105" s="49"/>
      <c r="X105" s="49"/>
    </row>
    <row r="106" spans="1:24" ht="15.75" customHeight="1">
      <c r="A106" s="101"/>
      <c r="B106" s="32"/>
      <c r="C106" s="71" t="s">
        <v>1063</v>
      </c>
      <c r="D106" s="53" t="s">
        <v>51</v>
      </c>
      <c r="E106" s="53" t="s">
        <v>61</v>
      </c>
      <c r="F106" s="151" t="s">
        <v>1026</v>
      </c>
      <c r="G106" s="69" t="s">
        <v>1066</v>
      </c>
      <c r="H106" s="69" t="s">
        <v>30</v>
      </c>
      <c r="I106" s="69">
        <v>10</v>
      </c>
      <c r="J106" s="70">
        <v>75</v>
      </c>
      <c r="K106" s="54">
        <f t="shared" si="0"/>
        <v>750</v>
      </c>
      <c r="L106" s="55" t="b">
        <v>1</v>
      </c>
      <c r="M106" s="56">
        <v>200520241012</v>
      </c>
      <c r="N106" s="57" t="b">
        <v>1</v>
      </c>
      <c r="O106" s="58" t="s">
        <v>31</v>
      </c>
      <c r="P106" s="59" t="b">
        <v>1</v>
      </c>
      <c r="Q106" s="129"/>
      <c r="R106" s="60"/>
      <c r="S106" s="47" t="b">
        <v>1</v>
      </c>
      <c r="T106" s="61" t="s">
        <v>1064</v>
      </c>
      <c r="U106" s="54">
        <f>10*45</f>
        <v>450</v>
      </c>
      <c r="V106" s="54">
        <f t="shared" si="1"/>
        <v>300</v>
      </c>
      <c r="W106" s="49"/>
      <c r="X106" s="49"/>
    </row>
    <row r="107" spans="1:24" ht="15.75" customHeight="1">
      <c r="A107" s="101"/>
      <c r="B107" s="32"/>
      <c r="C107" s="71" t="s">
        <v>1063</v>
      </c>
      <c r="D107" s="53" t="s">
        <v>832</v>
      </c>
      <c r="E107" s="53" t="s">
        <v>833</v>
      </c>
      <c r="F107" s="151" t="s">
        <v>834</v>
      </c>
      <c r="G107" s="69" t="s">
        <v>1067</v>
      </c>
      <c r="H107" s="69" t="s">
        <v>30</v>
      </c>
      <c r="I107" s="69">
        <v>12</v>
      </c>
      <c r="J107" s="70">
        <v>105</v>
      </c>
      <c r="K107" s="54">
        <f t="shared" si="0"/>
        <v>1260</v>
      </c>
      <c r="L107" s="55" t="b">
        <v>1</v>
      </c>
      <c r="M107" s="56">
        <v>200520241012</v>
      </c>
      <c r="N107" s="57" t="b">
        <v>1</v>
      </c>
      <c r="O107" s="58" t="s">
        <v>31</v>
      </c>
      <c r="P107" s="59" t="b">
        <v>1</v>
      </c>
      <c r="Q107" s="129"/>
      <c r="R107" s="60"/>
      <c r="S107" s="47" t="b">
        <v>1</v>
      </c>
      <c r="T107" s="61" t="s">
        <v>1068</v>
      </c>
      <c r="U107" s="54">
        <f>10*75</f>
        <v>750</v>
      </c>
      <c r="V107" s="54">
        <f t="shared" si="1"/>
        <v>510</v>
      </c>
      <c r="W107" s="49"/>
      <c r="X107" s="49"/>
    </row>
    <row r="108" spans="1:24" ht="15.75" customHeight="1">
      <c r="A108" s="101"/>
      <c r="B108" s="32"/>
      <c r="C108" s="71" t="s">
        <v>1063</v>
      </c>
      <c r="D108" s="53" t="s">
        <v>418</v>
      </c>
      <c r="E108" s="53" t="s">
        <v>1069</v>
      </c>
      <c r="F108" s="66" t="s">
        <v>420</v>
      </c>
      <c r="G108" s="69" t="s">
        <v>1070</v>
      </c>
      <c r="H108" s="69" t="s">
        <v>30</v>
      </c>
      <c r="I108" s="69">
        <v>10</v>
      </c>
      <c r="J108" s="70">
        <v>85</v>
      </c>
      <c r="K108" s="54">
        <f t="shared" si="0"/>
        <v>850</v>
      </c>
      <c r="L108" s="55" t="b">
        <v>1</v>
      </c>
      <c r="M108" s="56">
        <v>200520241047</v>
      </c>
      <c r="N108" s="57" t="b">
        <v>1</v>
      </c>
      <c r="O108" s="58"/>
      <c r="P108" s="59" t="b">
        <v>1</v>
      </c>
      <c r="Q108" s="129"/>
      <c r="R108" s="60"/>
      <c r="S108" s="47" t="b">
        <v>1</v>
      </c>
      <c r="T108" s="61" t="s">
        <v>1071</v>
      </c>
      <c r="U108" s="54">
        <f>10*45</f>
        <v>450</v>
      </c>
      <c r="V108" s="54">
        <f t="shared" si="1"/>
        <v>400</v>
      </c>
      <c r="W108" s="49"/>
      <c r="X108" s="49"/>
    </row>
    <row r="109" spans="1:24" ht="15.75" customHeight="1">
      <c r="A109" s="101"/>
      <c r="B109" s="32"/>
      <c r="C109" s="71" t="s">
        <v>1063</v>
      </c>
      <c r="D109" s="53" t="s">
        <v>418</v>
      </c>
      <c r="E109" s="53" t="s">
        <v>565</v>
      </c>
      <c r="F109" s="66" t="s">
        <v>43</v>
      </c>
      <c r="G109" s="69" t="s">
        <v>1072</v>
      </c>
      <c r="H109" s="69" t="s">
        <v>30</v>
      </c>
      <c r="I109" s="69">
        <v>1</v>
      </c>
      <c r="J109" s="70">
        <v>300</v>
      </c>
      <c r="K109" s="54">
        <f t="shared" si="0"/>
        <v>300</v>
      </c>
      <c r="L109" s="55" t="b">
        <v>1</v>
      </c>
      <c r="M109" s="56">
        <v>200520241340</v>
      </c>
      <c r="N109" s="57" t="b">
        <v>1</v>
      </c>
      <c r="O109" s="58" t="s">
        <v>31</v>
      </c>
      <c r="P109" s="59" t="b">
        <v>1</v>
      </c>
      <c r="Q109" s="129"/>
      <c r="R109" s="60"/>
      <c r="S109" s="47" t="b">
        <v>1</v>
      </c>
      <c r="T109" s="61" t="s">
        <v>1073</v>
      </c>
      <c r="U109" s="54">
        <v>200</v>
      </c>
      <c r="V109" s="54">
        <f t="shared" si="1"/>
        <v>100</v>
      </c>
      <c r="W109" s="49"/>
      <c r="X109" s="49"/>
    </row>
    <row r="110" spans="1:24" ht="15.75" customHeight="1">
      <c r="A110" s="101"/>
      <c r="B110" s="32"/>
      <c r="C110" s="71" t="s">
        <v>1063</v>
      </c>
      <c r="D110" s="53" t="s">
        <v>26</v>
      </c>
      <c r="E110" s="53" t="s">
        <v>27</v>
      </c>
      <c r="F110" s="66" t="s">
        <v>218</v>
      </c>
      <c r="G110" s="69" t="s">
        <v>101</v>
      </c>
      <c r="H110" s="69" t="s">
        <v>30</v>
      </c>
      <c r="I110" s="69">
        <v>10</v>
      </c>
      <c r="J110" s="70">
        <v>695</v>
      </c>
      <c r="K110" s="54">
        <f t="shared" si="0"/>
        <v>6950</v>
      </c>
      <c r="L110" s="55" t="b">
        <v>1</v>
      </c>
      <c r="M110" s="56">
        <v>200520241401</v>
      </c>
      <c r="N110" s="57" t="b">
        <v>1</v>
      </c>
      <c r="O110" s="58" t="s">
        <v>31</v>
      </c>
      <c r="P110" s="59" t="b">
        <v>1</v>
      </c>
      <c r="Q110" s="129"/>
      <c r="R110" s="60"/>
      <c r="S110" s="47" t="b">
        <v>1</v>
      </c>
      <c r="T110" s="61" t="s">
        <v>1074</v>
      </c>
      <c r="U110" s="54">
        <f>10*450</f>
        <v>4500</v>
      </c>
      <c r="V110" s="54">
        <f t="shared" si="1"/>
        <v>2450</v>
      </c>
      <c r="W110" s="49"/>
      <c r="X110" s="49"/>
    </row>
    <row r="111" spans="1:24" ht="15.75" customHeight="1">
      <c r="A111" s="101"/>
      <c r="B111" s="32"/>
      <c r="C111" s="71" t="s">
        <v>1063</v>
      </c>
      <c r="D111" s="53" t="s">
        <v>171</v>
      </c>
      <c r="E111" s="53" t="s">
        <v>137</v>
      </c>
      <c r="F111" s="66" t="s">
        <v>172</v>
      </c>
      <c r="G111" s="69" t="s">
        <v>49</v>
      </c>
      <c r="H111" s="69" t="s">
        <v>30</v>
      </c>
      <c r="I111" s="69">
        <v>15</v>
      </c>
      <c r="J111" s="70">
        <v>695</v>
      </c>
      <c r="K111" s="54">
        <f t="shared" si="0"/>
        <v>10425</v>
      </c>
      <c r="L111" s="55" t="b">
        <v>1</v>
      </c>
      <c r="M111" s="56">
        <v>200520241402</v>
      </c>
      <c r="N111" s="57" t="b">
        <v>1</v>
      </c>
      <c r="O111" s="58" t="s">
        <v>31</v>
      </c>
      <c r="P111" s="59" t="b">
        <v>1</v>
      </c>
      <c r="Q111" s="129"/>
      <c r="R111" s="60"/>
      <c r="S111" s="47" t="b">
        <v>1</v>
      </c>
      <c r="T111" s="61" t="s">
        <v>1075</v>
      </c>
      <c r="U111" s="54">
        <f>15000*0.46</f>
        <v>6900</v>
      </c>
      <c r="V111" s="54">
        <f t="shared" si="1"/>
        <v>3525</v>
      </c>
      <c r="W111" s="49"/>
      <c r="X111" s="49"/>
    </row>
    <row r="112" spans="1:24" ht="15.75" customHeight="1">
      <c r="A112" s="101"/>
      <c r="B112" s="32"/>
      <c r="C112" s="71" t="s">
        <v>1063</v>
      </c>
      <c r="D112" s="53" t="s">
        <v>171</v>
      </c>
      <c r="E112" s="53" t="s">
        <v>137</v>
      </c>
      <c r="F112" s="66" t="s">
        <v>172</v>
      </c>
      <c r="G112" s="69" t="s">
        <v>1076</v>
      </c>
      <c r="H112" s="69" t="s">
        <v>30</v>
      </c>
      <c r="I112" s="69">
        <v>40</v>
      </c>
      <c r="J112" s="70">
        <v>115</v>
      </c>
      <c r="K112" s="54">
        <f t="shared" si="0"/>
        <v>4600</v>
      </c>
      <c r="L112" s="55" t="b">
        <v>1</v>
      </c>
      <c r="M112" s="56">
        <v>200520241403</v>
      </c>
      <c r="N112" s="57" t="b">
        <v>1</v>
      </c>
      <c r="O112" s="58" t="s">
        <v>31</v>
      </c>
      <c r="P112" s="59" t="b">
        <v>1</v>
      </c>
      <c r="Q112" s="129"/>
      <c r="R112" s="60"/>
      <c r="S112" s="47" t="b">
        <v>1</v>
      </c>
      <c r="T112" s="61" t="s">
        <v>1077</v>
      </c>
      <c r="U112" s="54">
        <f>40*75</f>
        <v>3000</v>
      </c>
      <c r="V112" s="54">
        <f t="shared" si="1"/>
        <v>1600</v>
      </c>
      <c r="W112" s="49"/>
      <c r="X112" s="49"/>
    </row>
    <row r="113" spans="1:24" ht="15.75" customHeight="1">
      <c r="A113" s="101"/>
      <c r="B113" s="32"/>
      <c r="C113" s="71" t="s">
        <v>1063</v>
      </c>
      <c r="D113" s="53" t="s">
        <v>171</v>
      </c>
      <c r="E113" s="53" t="s">
        <v>137</v>
      </c>
      <c r="F113" s="66" t="s">
        <v>172</v>
      </c>
      <c r="G113" s="69" t="s">
        <v>758</v>
      </c>
      <c r="H113" s="69" t="s">
        <v>30</v>
      </c>
      <c r="I113" s="69">
        <v>60</v>
      </c>
      <c r="J113" s="70">
        <v>300</v>
      </c>
      <c r="K113" s="54">
        <f t="shared" si="0"/>
        <v>18000</v>
      </c>
      <c r="L113" s="55" t="b">
        <v>1</v>
      </c>
      <c r="M113" s="56">
        <v>200520241403</v>
      </c>
      <c r="N113" s="57" t="b">
        <v>1</v>
      </c>
      <c r="O113" s="58" t="s">
        <v>31</v>
      </c>
      <c r="P113" s="59" t="b">
        <v>1</v>
      </c>
      <c r="Q113" s="129"/>
      <c r="R113" s="60"/>
      <c r="S113" s="47" t="b">
        <v>1</v>
      </c>
      <c r="T113" s="61" t="s">
        <v>1077</v>
      </c>
      <c r="U113" s="54">
        <f>60*145</f>
        <v>8700</v>
      </c>
      <c r="V113" s="54">
        <f t="shared" si="1"/>
        <v>9300</v>
      </c>
      <c r="W113" s="49"/>
      <c r="X113" s="49"/>
    </row>
    <row r="114" spans="1:24" ht="15.75" customHeight="1">
      <c r="A114" s="101"/>
      <c r="B114" s="32"/>
      <c r="C114" s="71" t="s">
        <v>1063</v>
      </c>
      <c r="D114" s="53" t="s">
        <v>171</v>
      </c>
      <c r="E114" s="53" t="s">
        <v>137</v>
      </c>
      <c r="F114" s="66" t="s">
        <v>172</v>
      </c>
      <c r="G114" s="69" t="s">
        <v>83</v>
      </c>
      <c r="H114" s="69" t="s">
        <v>30</v>
      </c>
      <c r="I114" s="69">
        <v>3000</v>
      </c>
      <c r="J114" s="70">
        <v>1.5</v>
      </c>
      <c r="K114" s="54">
        <f t="shared" si="0"/>
        <v>4500</v>
      </c>
      <c r="L114" s="55" t="b">
        <v>1</v>
      </c>
      <c r="M114" s="56">
        <v>200520241405</v>
      </c>
      <c r="N114" s="57" t="b">
        <v>1</v>
      </c>
      <c r="O114" s="58"/>
      <c r="P114" s="59" t="b">
        <v>1</v>
      </c>
      <c r="Q114" s="129"/>
      <c r="R114" s="60"/>
      <c r="S114" s="47" t="b">
        <v>1</v>
      </c>
      <c r="T114" s="61" t="s">
        <v>1078</v>
      </c>
      <c r="U114" s="54">
        <f>3000*0.9</f>
        <v>2700</v>
      </c>
      <c r="V114" s="54">
        <f t="shared" si="1"/>
        <v>1800</v>
      </c>
      <c r="W114" s="49"/>
      <c r="X114" s="49"/>
    </row>
    <row r="115" spans="1:24" ht="15.75" customHeight="1">
      <c r="A115" s="101"/>
      <c r="B115" s="32"/>
      <c r="C115" s="71" t="s">
        <v>1063</v>
      </c>
      <c r="D115" s="53" t="s">
        <v>171</v>
      </c>
      <c r="E115" s="53" t="s">
        <v>137</v>
      </c>
      <c r="F115" s="66" t="s">
        <v>172</v>
      </c>
      <c r="G115" s="152" t="s">
        <v>1079</v>
      </c>
      <c r="H115" s="69" t="s">
        <v>30</v>
      </c>
      <c r="I115" s="69">
        <v>1</v>
      </c>
      <c r="J115" s="70">
        <v>100</v>
      </c>
      <c r="K115" s="54">
        <f t="shared" si="0"/>
        <v>100</v>
      </c>
      <c r="L115" s="55" t="b">
        <v>1</v>
      </c>
      <c r="M115" s="56">
        <v>200520241411</v>
      </c>
      <c r="N115" s="57" t="b">
        <v>1</v>
      </c>
      <c r="O115" s="58"/>
      <c r="P115" s="59" t="b">
        <v>1</v>
      </c>
      <c r="Q115" s="129"/>
      <c r="R115" s="60"/>
      <c r="S115" s="47" t="b">
        <v>1</v>
      </c>
      <c r="T115" s="61" t="s">
        <v>1080</v>
      </c>
      <c r="U115" s="54">
        <v>45</v>
      </c>
      <c r="V115" s="54">
        <f t="shared" si="1"/>
        <v>55</v>
      </c>
      <c r="W115" s="49"/>
      <c r="X115" s="49"/>
    </row>
    <row r="116" spans="1:24" ht="15.75" customHeight="1">
      <c r="A116" s="101"/>
      <c r="B116" s="32"/>
      <c r="C116" s="71" t="s">
        <v>1081</v>
      </c>
      <c r="D116" s="53" t="s">
        <v>51</v>
      </c>
      <c r="E116" s="53" t="s">
        <v>372</v>
      </c>
      <c r="F116" s="66" t="s">
        <v>1035</v>
      </c>
      <c r="G116" s="69" t="s">
        <v>1082</v>
      </c>
      <c r="H116" s="69" t="s">
        <v>30</v>
      </c>
      <c r="I116" s="69">
        <v>1</v>
      </c>
      <c r="J116" s="70">
        <v>675</v>
      </c>
      <c r="K116" s="54">
        <f t="shared" si="0"/>
        <v>675</v>
      </c>
      <c r="L116" s="55" t="b">
        <v>1</v>
      </c>
      <c r="M116" s="56">
        <v>210520241153</v>
      </c>
      <c r="N116" s="57" t="b">
        <v>1</v>
      </c>
      <c r="O116" s="58" t="s">
        <v>39</v>
      </c>
      <c r="P116" s="59" t="b">
        <v>1</v>
      </c>
      <c r="Q116" s="129"/>
      <c r="R116" s="60"/>
      <c r="S116" s="47" t="b">
        <v>1</v>
      </c>
      <c r="T116" s="61" t="s">
        <v>1083</v>
      </c>
      <c r="U116" s="54">
        <v>302</v>
      </c>
      <c r="V116" s="54">
        <f t="shared" si="1"/>
        <v>373</v>
      </c>
      <c r="W116" s="49"/>
      <c r="X116" s="49"/>
    </row>
    <row r="117" spans="1:24" ht="15.75" customHeight="1">
      <c r="A117" s="101"/>
      <c r="B117" s="32"/>
      <c r="C117" s="71" t="s">
        <v>1081</v>
      </c>
      <c r="D117" s="53" t="s">
        <v>144</v>
      </c>
      <c r="E117" s="53" t="s">
        <v>122</v>
      </c>
      <c r="F117" s="66" t="s">
        <v>582</v>
      </c>
      <c r="G117" s="69" t="s">
        <v>1084</v>
      </c>
      <c r="H117" s="69" t="s">
        <v>30</v>
      </c>
      <c r="I117" s="69">
        <v>50</v>
      </c>
      <c r="J117" s="70">
        <v>35</v>
      </c>
      <c r="K117" s="54">
        <f t="shared" si="0"/>
        <v>1750</v>
      </c>
      <c r="L117" s="55" t="b">
        <v>1</v>
      </c>
      <c r="M117" s="56">
        <v>210520241410</v>
      </c>
      <c r="N117" s="57" t="b">
        <v>1</v>
      </c>
      <c r="O117" s="58" t="s">
        <v>31</v>
      </c>
      <c r="P117" s="59" t="b">
        <v>1</v>
      </c>
      <c r="Q117" s="129"/>
      <c r="R117" s="60"/>
      <c r="S117" s="47" t="b">
        <v>1</v>
      </c>
      <c r="T117" s="61" t="s">
        <v>1085</v>
      </c>
      <c r="U117" s="54">
        <f>50*7</f>
        <v>350</v>
      </c>
      <c r="V117" s="54">
        <f t="shared" si="1"/>
        <v>1400</v>
      </c>
      <c r="W117" s="49"/>
      <c r="X117" s="49"/>
    </row>
    <row r="118" spans="1:24" ht="15.75" customHeight="1">
      <c r="A118" s="101"/>
      <c r="B118" s="32"/>
      <c r="C118" s="71" t="s">
        <v>1081</v>
      </c>
      <c r="D118" s="53" t="s">
        <v>144</v>
      </c>
      <c r="E118" s="53" t="s">
        <v>122</v>
      </c>
      <c r="F118" s="66" t="s">
        <v>582</v>
      </c>
      <c r="G118" s="69" t="s">
        <v>668</v>
      </c>
      <c r="H118" s="69" t="s">
        <v>30</v>
      </c>
      <c r="I118" s="69">
        <v>5</v>
      </c>
      <c r="J118" s="70">
        <v>100</v>
      </c>
      <c r="K118" s="54">
        <f t="shared" si="0"/>
        <v>500</v>
      </c>
      <c r="L118" s="55" t="b">
        <v>1</v>
      </c>
      <c r="M118" s="56">
        <v>210520241412</v>
      </c>
      <c r="N118" s="57" t="b">
        <v>1</v>
      </c>
      <c r="O118" s="58"/>
      <c r="P118" s="59" t="b">
        <v>1</v>
      </c>
      <c r="Q118" s="129"/>
      <c r="R118" s="60"/>
      <c r="S118" s="47" t="b">
        <v>1</v>
      </c>
      <c r="T118" s="61" t="s">
        <v>1086</v>
      </c>
      <c r="U118" s="54">
        <f>5*47.5</f>
        <v>237.5</v>
      </c>
      <c r="V118" s="54">
        <f t="shared" si="1"/>
        <v>262.5</v>
      </c>
      <c r="W118" s="49"/>
      <c r="X118" s="49"/>
    </row>
    <row r="119" spans="1:24" ht="15.75" customHeight="1">
      <c r="A119" s="101"/>
      <c r="B119" s="32"/>
      <c r="C119" s="71" t="s">
        <v>1087</v>
      </c>
      <c r="D119" s="53" t="s">
        <v>51</v>
      </c>
      <c r="E119" s="53" t="s">
        <v>66</v>
      </c>
      <c r="F119" s="66" t="s">
        <v>1088</v>
      </c>
      <c r="G119" s="69" t="s">
        <v>1089</v>
      </c>
      <c r="H119" s="69" t="s">
        <v>30</v>
      </c>
      <c r="I119" s="69">
        <v>1</v>
      </c>
      <c r="J119" s="70">
        <v>1250</v>
      </c>
      <c r="K119" s="54">
        <f t="shared" si="0"/>
        <v>1250</v>
      </c>
      <c r="L119" s="55" t="b">
        <v>1</v>
      </c>
      <c r="M119" s="56">
        <v>220520241540</v>
      </c>
      <c r="N119" s="57" t="b">
        <v>1</v>
      </c>
      <c r="O119" s="58"/>
      <c r="P119" s="59" t="b">
        <v>1</v>
      </c>
      <c r="Q119" s="129"/>
      <c r="R119" s="60"/>
      <c r="S119" s="47" t="b">
        <v>1</v>
      </c>
      <c r="T119" s="61" t="s">
        <v>1090</v>
      </c>
      <c r="U119" s="54">
        <v>600</v>
      </c>
      <c r="V119" s="54">
        <f t="shared" si="1"/>
        <v>650</v>
      </c>
      <c r="W119" s="49"/>
      <c r="X119" s="49"/>
    </row>
    <row r="120" spans="1:24" ht="15.75" customHeight="1">
      <c r="A120" s="101"/>
      <c r="B120" s="124"/>
      <c r="C120" s="71" t="s">
        <v>1087</v>
      </c>
      <c r="D120" s="53" t="s">
        <v>51</v>
      </c>
      <c r="E120" s="53" t="s">
        <v>594</v>
      </c>
      <c r="F120" s="66" t="s">
        <v>764</v>
      </c>
      <c r="G120" s="66" t="s">
        <v>1091</v>
      </c>
      <c r="H120" s="69" t="s">
        <v>30</v>
      </c>
      <c r="I120" s="69">
        <v>1</v>
      </c>
      <c r="J120" s="70">
        <v>3600</v>
      </c>
      <c r="K120" s="54">
        <f t="shared" si="0"/>
        <v>3600</v>
      </c>
      <c r="L120" s="55" t="b">
        <v>1</v>
      </c>
      <c r="M120" s="56">
        <v>220520241542</v>
      </c>
      <c r="N120" s="57" t="b">
        <v>1</v>
      </c>
      <c r="O120" s="58"/>
      <c r="P120" s="59" t="b">
        <v>1</v>
      </c>
      <c r="Q120" s="129"/>
      <c r="R120" s="60"/>
      <c r="S120" s="47" t="b">
        <v>1</v>
      </c>
      <c r="T120" s="61" t="s">
        <v>1092</v>
      </c>
      <c r="U120" s="54"/>
      <c r="V120" s="54">
        <f t="shared" si="1"/>
        <v>3600</v>
      </c>
      <c r="W120" s="49"/>
      <c r="X120" s="49"/>
    </row>
    <row r="121" spans="1:24" ht="15.75" customHeight="1">
      <c r="A121" s="101"/>
      <c r="B121" s="124"/>
      <c r="C121" s="71" t="s">
        <v>1087</v>
      </c>
      <c r="D121" s="53" t="s">
        <v>104</v>
      </c>
      <c r="E121" s="53" t="s">
        <v>61</v>
      </c>
      <c r="F121" s="66" t="s">
        <v>181</v>
      </c>
      <c r="G121" s="69" t="s">
        <v>746</v>
      </c>
      <c r="H121" s="69" t="s">
        <v>30</v>
      </c>
      <c r="I121" s="69">
        <v>5</v>
      </c>
      <c r="J121" s="70">
        <v>745</v>
      </c>
      <c r="K121" s="54">
        <f t="shared" si="0"/>
        <v>3725</v>
      </c>
      <c r="L121" s="55" t="b">
        <v>1</v>
      </c>
      <c r="M121" s="56">
        <v>220520241819</v>
      </c>
      <c r="N121" s="57" t="b">
        <v>1</v>
      </c>
      <c r="O121" s="58" t="s">
        <v>31</v>
      </c>
      <c r="P121" s="59" t="b">
        <v>1</v>
      </c>
      <c r="Q121" s="129"/>
      <c r="R121" s="60" t="s">
        <v>1093</v>
      </c>
      <c r="S121" s="47" t="b">
        <v>1</v>
      </c>
      <c r="T121" s="61" t="s">
        <v>1094</v>
      </c>
      <c r="U121" s="54">
        <f>5*455</f>
        <v>2275</v>
      </c>
      <c r="V121" s="54">
        <f t="shared" si="1"/>
        <v>1450</v>
      </c>
      <c r="W121" s="49"/>
      <c r="X121" s="49"/>
    </row>
    <row r="122" spans="1:24" ht="15.75" customHeight="1">
      <c r="A122" s="101"/>
      <c r="B122" s="124"/>
      <c r="C122" s="71" t="s">
        <v>804</v>
      </c>
      <c r="D122" s="53" t="s">
        <v>104</v>
      </c>
      <c r="E122" s="53" t="s">
        <v>486</v>
      </c>
      <c r="F122" s="66" t="s">
        <v>241</v>
      </c>
      <c r="G122" s="69" t="s">
        <v>68</v>
      </c>
      <c r="H122" s="69" t="s">
        <v>30</v>
      </c>
      <c r="I122" s="69">
        <v>3000</v>
      </c>
      <c r="J122" s="70">
        <v>0.75</v>
      </c>
      <c r="K122" s="54">
        <f t="shared" si="0"/>
        <v>2250</v>
      </c>
      <c r="L122" s="55" t="b">
        <v>1</v>
      </c>
      <c r="M122" s="56">
        <v>220520241821</v>
      </c>
      <c r="N122" s="57" t="b">
        <v>1</v>
      </c>
      <c r="O122" s="58" t="s">
        <v>31</v>
      </c>
      <c r="P122" s="59" t="b">
        <v>1</v>
      </c>
      <c r="Q122" s="129"/>
      <c r="R122" s="60"/>
      <c r="S122" s="47" t="b">
        <v>1</v>
      </c>
      <c r="T122" s="61" t="s">
        <v>1095</v>
      </c>
      <c r="U122" s="54">
        <f>3000*0.3194</f>
        <v>958.2</v>
      </c>
      <c r="V122" s="54">
        <f t="shared" si="1"/>
        <v>1291.8</v>
      </c>
      <c r="W122" s="49"/>
      <c r="X122" s="49"/>
    </row>
    <row r="123" spans="1:24" ht="15.75" customHeight="1">
      <c r="A123" s="101"/>
      <c r="B123" s="124"/>
      <c r="C123" s="71" t="s">
        <v>804</v>
      </c>
      <c r="D123" s="53" t="s">
        <v>104</v>
      </c>
      <c r="E123" s="53" t="s">
        <v>486</v>
      </c>
      <c r="F123" s="66" t="s">
        <v>241</v>
      </c>
      <c r="G123" s="69" t="s">
        <v>1096</v>
      </c>
      <c r="H123" s="69" t="s">
        <v>30</v>
      </c>
      <c r="I123" s="69">
        <v>6</v>
      </c>
      <c r="J123" s="70">
        <v>165</v>
      </c>
      <c r="K123" s="54">
        <f t="shared" si="0"/>
        <v>990</v>
      </c>
      <c r="L123" s="55" t="b">
        <v>1</v>
      </c>
      <c r="M123" s="56">
        <v>220520241823</v>
      </c>
      <c r="N123" s="57" t="b">
        <v>1</v>
      </c>
      <c r="O123" s="58" t="s">
        <v>31</v>
      </c>
      <c r="P123" s="59" t="b">
        <v>1</v>
      </c>
      <c r="Q123" s="129"/>
      <c r="R123" s="60"/>
      <c r="S123" s="47" t="b">
        <v>1</v>
      </c>
      <c r="T123" s="61" t="s">
        <v>1095</v>
      </c>
      <c r="U123" s="54">
        <f>6*65</f>
        <v>390</v>
      </c>
      <c r="V123" s="54">
        <f t="shared" si="1"/>
        <v>600</v>
      </c>
      <c r="W123" s="49"/>
      <c r="X123" s="49"/>
    </row>
    <row r="124" spans="1:24" ht="16.5" customHeight="1">
      <c r="A124" s="101"/>
      <c r="B124" s="124"/>
      <c r="C124" s="71" t="s">
        <v>1097</v>
      </c>
      <c r="D124" s="53" t="s">
        <v>418</v>
      </c>
      <c r="E124" s="53" t="s">
        <v>84</v>
      </c>
      <c r="F124" s="66" t="s">
        <v>1098</v>
      </c>
      <c r="G124" s="69" t="s">
        <v>467</v>
      </c>
      <c r="H124" s="69" t="s">
        <v>30</v>
      </c>
      <c r="I124" s="69">
        <v>10</v>
      </c>
      <c r="J124" s="70">
        <v>675</v>
      </c>
      <c r="K124" s="54">
        <f t="shared" si="0"/>
        <v>6750</v>
      </c>
      <c r="L124" s="55" t="b">
        <v>1</v>
      </c>
      <c r="M124" s="56">
        <v>230520241026</v>
      </c>
      <c r="N124" s="57" t="b">
        <v>1</v>
      </c>
      <c r="O124" s="58" t="s">
        <v>31</v>
      </c>
      <c r="P124" s="59" t="b">
        <v>1</v>
      </c>
      <c r="Q124" s="129"/>
      <c r="R124" s="60"/>
      <c r="S124" s="47" t="b">
        <v>1</v>
      </c>
      <c r="T124" s="61" t="s">
        <v>1099</v>
      </c>
      <c r="U124" s="54">
        <f t="shared" ref="U124:U125" si="2">10*350</f>
        <v>3500</v>
      </c>
      <c r="V124" s="54">
        <f t="shared" si="1"/>
        <v>3250</v>
      </c>
      <c r="W124" s="49"/>
      <c r="X124" s="49"/>
    </row>
    <row r="125" spans="1:24" ht="15.75" customHeight="1">
      <c r="A125" s="101"/>
      <c r="B125" s="124"/>
      <c r="C125" s="71" t="s">
        <v>1097</v>
      </c>
      <c r="D125" s="53" t="s">
        <v>418</v>
      </c>
      <c r="E125" s="53" t="s">
        <v>84</v>
      </c>
      <c r="F125" s="66" t="s">
        <v>1098</v>
      </c>
      <c r="G125" s="69" t="s">
        <v>574</v>
      </c>
      <c r="H125" s="69" t="s">
        <v>30</v>
      </c>
      <c r="I125" s="69">
        <v>10</v>
      </c>
      <c r="J125" s="70">
        <v>675</v>
      </c>
      <c r="K125" s="54">
        <f t="shared" si="0"/>
        <v>6750</v>
      </c>
      <c r="L125" s="55" t="b">
        <v>1</v>
      </c>
      <c r="M125" s="56">
        <v>230520241026</v>
      </c>
      <c r="N125" s="57" t="b">
        <v>1</v>
      </c>
      <c r="O125" s="58" t="s">
        <v>31</v>
      </c>
      <c r="P125" s="59" t="b">
        <v>1</v>
      </c>
      <c r="Q125" s="129"/>
      <c r="R125" s="60"/>
      <c r="S125" s="47" t="b">
        <v>1</v>
      </c>
      <c r="T125" s="61" t="s">
        <v>1099</v>
      </c>
      <c r="U125" s="54">
        <f t="shared" si="2"/>
        <v>3500</v>
      </c>
      <c r="V125" s="54">
        <f t="shared" si="1"/>
        <v>3250</v>
      </c>
      <c r="W125" s="49"/>
      <c r="X125" s="49"/>
    </row>
    <row r="126" spans="1:24" ht="15.75" customHeight="1">
      <c r="A126" s="101"/>
      <c r="B126" s="32"/>
      <c r="C126" s="71" t="s">
        <v>1097</v>
      </c>
      <c r="D126" s="53" t="s">
        <v>104</v>
      </c>
      <c r="E126" s="53" t="s">
        <v>486</v>
      </c>
      <c r="F126" s="66" t="s">
        <v>241</v>
      </c>
      <c r="G126" s="69" t="s">
        <v>300</v>
      </c>
      <c r="H126" s="69" t="s">
        <v>30</v>
      </c>
      <c r="I126" s="69">
        <v>20</v>
      </c>
      <c r="J126" s="70">
        <v>100</v>
      </c>
      <c r="K126" s="54">
        <f t="shared" si="0"/>
        <v>2000</v>
      </c>
      <c r="L126" s="55" t="b">
        <v>1</v>
      </c>
      <c r="M126" s="56">
        <v>230520241117</v>
      </c>
      <c r="N126" s="57" t="b">
        <v>1</v>
      </c>
      <c r="O126" s="58" t="s">
        <v>31</v>
      </c>
      <c r="P126" s="59" t="b">
        <v>1</v>
      </c>
      <c r="Q126" s="129"/>
      <c r="R126" s="60" t="s">
        <v>1100</v>
      </c>
      <c r="S126" s="47" t="b">
        <v>1</v>
      </c>
      <c r="T126" s="61" t="s">
        <v>1101</v>
      </c>
      <c r="U126" s="54">
        <f>20*35</f>
        <v>700</v>
      </c>
      <c r="V126" s="54">
        <f t="shared" si="1"/>
        <v>1300</v>
      </c>
      <c r="W126" s="49"/>
      <c r="X126" s="49"/>
    </row>
    <row r="127" spans="1:24" ht="15.75" customHeight="1">
      <c r="A127" s="101"/>
      <c r="B127" s="32"/>
      <c r="C127" s="71" t="s">
        <v>1097</v>
      </c>
      <c r="D127" s="53" t="s">
        <v>418</v>
      </c>
      <c r="E127" s="53" t="s">
        <v>84</v>
      </c>
      <c r="F127" s="66" t="s">
        <v>1098</v>
      </c>
      <c r="G127" s="69" t="s">
        <v>68</v>
      </c>
      <c r="H127" s="69" t="s">
        <v>30</v>
      </c>
      <c r="I127" s="69">
        <v>3000</v>
      </c>
      <c r="J127" s="70">
        <v>0.75</v>
      </c>
      <c r="K127" s="54">
        <f t="shared" si="0"/>
        <v>2250</v>
      </c>
      <c r="L127" s="55" t="b">
        <v>1</v>
      </c>
      <c r="M127" s="56">
        <v>230520241440</v>
      </c>
      <c r="N127" s="57" t="b">
        <v>1</v>
      </c>
      <c r="O127" s="58" t="s">
        <v>31</v>
      </c>
      <c r="P127" s="59" t="b">
        <v>1</v>
      </c>
      <c r="Q127" s="129"/>
      <c r="R127" s="60"/>
      <c r="S127" s="47" t="b">
        <v>1</v>
      </c>
      <c r="T127" s="61" t="s">
        <v>1102</v>
      </c>
      <c r="U127" s="54">
        <f>3000*0.3194</f>
        <v>958.2</v>
      </c>
      <c r="V127" s="54">
        <f t="shared" si="1"/>
        <v>1291.8</v>
      </c>
      <c r="W127" s="49"/>
      <c r="X127" s="49"/>
    </row>
    <row r="128" spans="1:24" ht="15.75" customHeight="1">
      <c r="A128" s="101"/>
      <c r="B128" s="32"/>
      <c r="C128" s="71" t="s">
        <v>1103</v>
      </c>
      <c r="D128" s="53" t="s">
        <v>194</v>
      </c>
      <c r="E128" s="53" t="s">
        <v>137</v>
      </c>
      <c r="F128" s="66" t="s">
        <v>1104</v>
      </c>
      <c r="G128" s="69" t="s">
        <v>1105</v>
      </c>
      <c r="H128" s="69" t="s">
        <v>30</v>
      </c>
      <c r="I128" s="69">
        <v>1</v>
      </c>
      <c r="J128" s="70">
        <v>1150</v>
      </c>
      <c r="K128" s="54">
        <f t="shared" si="0"/>
        <v>1150</v>
      </c>
      <c r="L128" s="55" t="b">
        <v>1</v>
      </c>
      <c r="M128" s="56">
        <v>240520241631</v>
      </c>
      <c r="N128" s="57" t="b">
        <v>1</v>
      </c>
      <c r="O128" s="58" t="s">
        <v>31</v>
      </c>
      <c r="P128" s="59" t="b">
        <v>1</v>
      </c>
      <c r="Q128" s="129"/>
      <c r="R128" s="60"/>
      <c r="S128" s="47" t="b">
        <v>1</v>
      </c>
      <c r="T128" s="61" t="s">
        <v>1106</v>
      </c>
      <c r="U128" s="54">
        <v>300</v>
      </c>
      <c r="V128" s="54">
        <f t="shared" si="1"/>
        <v>850</v>
      </c>
      <c r="W128" s="49"/>
      <c r="X128" s="49"/>
    </row>
    <row r="129" spans="1:24" ht="15.75" customHeight="1">
      <c r="A129" s="101"/>
      <c r="B129" s="32"/>
      <c r="C129" s="71" t="s">
        <v>1103</v>
      </c>
      <c r="D129" s="53" t="s">
        <v>104</v>
      </c>
      <c r="E129" s="53" t="s">
        <v>292</v>
      </c>
      <c r="F129" s="66" t="s">
        <v>919</v>
      </c>
      <c r="G129" s="69" t="s">
        <v>874</v>
      </c>
      <c r="H129" s="69" t="s">
        <v>30</v>
      </c>
      <c r="I129" s="69">
        <v>1000</v>
      </c>
      <c r="J129" s="70">
        <v>1.5</v>
      </c>
      <c r="K129" s="54">
        <f t="shared" si="0"/>
        <v>1500</v>
      </c>
      <c r="L129" s="55" t="b">
        <v>1</v>
      </c>
      <c r="M129" s="56">
        <v>240520241500</v>
      </c>
      <c r="N129" s="57" t="b">
        <v>1</v>
      </c>
      <c r="O129" s="58" t="s">
        <v>31</v>
      </c>
      <c r="P129" s="59" t="b">
        <v>1</v>
      </c>
      <c r="Q129" s="129"/>
      <c r="R129" s="60"/>
      <c r="S129" s="47" t="b">
        <v>1</v>
      </c>
      <c r="T129" s="61" t="s">
        <v>1107</v>
      </c>
      <c r="U129" s="54">
        <f>1000*1</f>
        <v>1000</v>
      </c>
      <c r="V129" s="54">
        <f t="shared" si="1"/>
        <v>500</v>
      </c>
      <c r="W129" s="49"/>
      <c r="X129" s="49"/>
    </row>
    <row r="130" spans="1:24" ht="15.75" customHeight="1">
      <c r="A130" s="101"/>
      <c r="B130" s="32"/>
      <c r="C130" s="71" t="s">
        <v>1103</v>
      </c>
      <c r="D130" s="53" t="s">
        <v>104</v>
      </c>
      <c r="E130" s="53" t="s">
        <v>1108</v>
      </c>
      <c r="F130" s="66" t="s">
        <v>360</v>
      </c>
      <c r="G130" s="69" t="s">
        <v>1109</v>
      </c>
      <c r="H130" s="69" t="s">
        <v>30</v>
      </c>
      <c r="I130" s="69">
        <v>8</v>
      </c>
      <c r="J130" s="70">
        <v>105</v>
      </c>
      <c r="K130" s="54">
        <f t="shared" si="0"/>
        <v>840</v>
      </c>
      <c r="L130" s="55" t="b">
        <v>1</v>
      </c>
      <c r="M130" s="56">
        <v>240520241500</v>
      </c>
      <c r="N130" s="57" t="b">
        <v>1</v>
      </c>
      <c r="O130" s="58" t="s">
        <v>31</v>
      </c>
      <c r="P130" s="59" t="b">
        <v>1</v>
      </c>
      <c r="Q130" s="129"/>
      <c r="R130" s="60"/>
      <c r="S130" s="47" t="b">
        <v>1</v>
      </c>
      <c r="T130" s="61" t="s">
        <v>1110</v>
      </c>
      <c r="U130" s="54">
        <f>8*75</f>
        <v>600</v>
      </c>
      <c r="V130" s="54">
        <f t="shared" si="1"/>
        <v>240</v>
      </c>
      <c r="W130" s="49"/>
      <c r="X130" s="49"/>
    </row>
    <row r="131" spans="1:24" ht="15.75" customHeight="1">
      <c r="A131" s="101"/>
      <c r="B131" s="32"/>
      <c r="C131" s="71" t="s">
        <v>1111</v>
      </c>
      <c r="D131" s="53" t="s">
        <v>418</v>
      </c>
      <c r="E131" s="53" t="s">
        <v>230</v>
      </c>
      <c r="F131" s="66" t="s">
        <v>231</v>
      </c>
      <c r="G131" s="69" t="s">
        <v>68</v>
      </c>
      <c r="H131" s="69" t="s">
        <v>30</v>
      </c>
      <c r="I131" s="69">
        <v>6000</v>
      </c>
      <c r="J131" s="70">
        <v>0.75</v>
      </c>
      <c r="K131" s="54">
        <f t="shared" si="0"/>
        <v>4500</v>
      </c>
      <c r="L131" s="55" t="b">
        <v>1</v>
      </c>
      <c r="M131" s="56">
        <v>250520241048</v>
      </c>
      <c r="N131" s="57" t="b">
        <v>1</v>
      </c>
      <c r="O131" s="58" t="s">
        <v>31</v>
      </c>
      <c r="P131" s="59" t="b">
        <v>1</v>
      </c>
      <c r="Q131" s="129"/>
      <c r="R131" s="60"/>
      <c r="S131" s="47" t="b">
        <v>1</v>
      </c>
      <c r="T131" s="61" t="s">
        <v>1112</v>
      </c>
      <c r="U131" s="54">
        <f>6000*0.3194</f>
        <v>1916.4</v>
      </c>
      <c r="V131" s="54">
        <f t="shared" si="1"/>
        <v>2583.6</v>
      </c>
      <c r="W131" s="49"/>
      <c r="X131" s="49"/>
    </row>
    <row r="132" spans="1:24" ht="15.75" customHeight="1">
      <c r="A132" s="101"/>
      <c r="B132" s="32"/>
      <c r="C132" s="71" t="s">
        <v>1113</v>
      </c>
      <c r="D132" s="53" t="s">
        <v>144</v>
      </c>
      <c r="E132" s="53" t="s">
        <v>463</v>
      </c>
      <c r="F132" s="66" t="s">
        <v>1114</v>
      </c>
      <c r="G132" s="69" t="s">
        <v>1115</v>
      </c>
      <c r="H132" s="69" t="s">
        <v>30</v>
      </c>
      <c r="I132" s="69">
        <v>1</v>
      </c>
      <c r="J132" s="70">
        <v>850</v>
      </c>
      <c r="K132" s="54">
        <f t="shared" si="0"/>
        <v>850</v>
      </c>
      <c r="L132" s="55" t="b">
        <v>1</v>
      </c>
      <c r="M132" s="56">
        <v>250520241058</v>
      </c>
      <c r="N132" s="57" t="b">
        <v>1</v>
      </c>
      <c r="O132" s="58" t="s">
        <v>31</v>
      </c>
      <c r="P132" s="59" t="b">
        <v>1</v>
      </c>
      <c r="Q132" s="129"/>
      <c r="R132" s="60"/>
      <c r="S132" s="47" t="b">
        <v>1</v>
      </c>
      <c r="T132" s="61" t="s">
        <v>1116</v>
      </c>
      <c r="U132" s="54">
        <v>450</v>
      </c>
      <c r="V132" s="54">
        <f t="shared" si="1"/>
        <v>400</v>
      </c>
      <c r="W132" s="49"/>
      <c r="X132" s="49"/>
    </row>
    <row r="133" spans="1:24" ht="15.75" customHeight="1">
      <c r="A133" s="101"/>
      <c r="B133" s="32"/>
      <c r="C133" s="71" t="s">
        <v>1113</v>
      </c>
      <c r="D133" s="53" t="s">
        <v>144</v>
      </c>
      <c r="E133" s="53" t="s">
        <v>463</v>
      </c>
      <c r="F133" s="66" t="s">
        <v>1114</v>
      </c>
      <c r="G133" s="69" t="s">
        <v>1117</v>
      </c>
      <c r="H133" s="69" t="s">
        <v>30</v>
      </c>
      <c r="I133" s="69">
        <v>1</v>
      </c>
      <c r="J133" s="70">
        <v>1150</v>
      </c>
      <c r="K133" s="54">
        <f t="shared" si="0"/>
        <v>1150</v>
      </c>
      <c r="L133" s="55" t="b">
        <v>1</v>
      </c>
      <c r="M133" s="56">
        <v>250520241102</v>
      </c>
      <c r="N133" s="57" t="b">
        <v>1</v>
      </c>
      <c r="O133" s="58" t="s">
        <v>31</v>
      </c>
      <c r="P133" s="59" t="b">
        <v>1</v>
      </c>
      <c r="Q133" s="129"/>
      <c r="R133" s="60"/>
      <c r="S133" s="47" t="b">
        <v>1</v>
      </c>
      <c r="T133" s="61" t="s">
        <v>1116</v>
      </c>
      <c r="U133" s="54">
        <v>650</v>
      </c>
      <c r="V133" s="54">
        <f t="shared" si="1"/>
        <v>500</v>
      </c>
      <c r="W133" s="49"/>
      <c r="X133" s="49"/>
    </row>
    <row r="134" spans="1:24" ht="15.75" customHeight="1">
      <c r="A134" s="101"/>
      <c r="B134" s="32"/>
      <c r="C134" s="71" t="s">
        <v>1113</v>
      </c>
      <c r="D134" s="53" t="s">
        <v>51</v>
      </c>
      <c r="E134" s="53" t="s">
        <v>372</v>
      </c>
      <c r="F134" s="66" t="s">
        <v>1035</v>
      </c>
      <c r="G134" s="69" t="s">
        <v>677</v>
      </c>
      <c r="H134" s="69" t="s">
        <v>30</v>
      </c>
      <c r="I134" s="69">
        <v>12</v>
      </c>
      <c r="J134" s="70">
        <v>100</v>
      </c>
      <c r="K134" s="54">
        <f t="shared" si="0"/>
        <v>1200</v>
      </c>
      <c r="L134" s="55" t="b">
        <v>1</v>
      </c>
      <c r="M134" s="56">
        <v>250520241748</v>
      </c>
      <c r="N134" s="57" t="b">
        <v>1</v>
      </c>
      <c r="O134" s="58" t="s">
        <v>31</v>
      </c>
      <c r="P134" s="59" t="b">
        <v>1</v>
      </c>
      <c r="Q134" s="129"/>
      <c r="R134" s="60" t="s">
        <v>1118</v>
      </c>
      <c r="S134" s="47" t="b">
        <v>1</v>
      </c>
      <c r="T134" s="61" t="s">
        <v>1119</v>
      </c>
      <c r="U134" s="54">
        <f>12*35</f>
        <v>420</v>
      </c>
      <c r="V134" s="54">
        <f t="shared" si="1"/>
        <v>780</v>
      </c>
      <c r="W134" s="49"/>
      <c r="X134" s="49"/>
    </row>
    <row r="135" spans="1:24" ht="15.75" customHeight="1">
      <c r="A135" s="101"/>
      <c r="B135" s="32"/>
      <c r="C135" s="71" t="s">
        <v>1113</v>
      </c>
      <c r="D135" s="53" t="s">
        <v>51</v>
      </c>
      <c r="E135" s="53" t="s">
        <v>66</v>
      </c>
      <c r="F135" s="66" t="s">
        <v>67</v>
      </c>
      <c r="G135" s="69" t="s">
        <v>304</v>
      </c>
      <c r="H135" s="69" t="s">
        <v>30</v>
      </c>
      <c r="I135" s="69">
        <v>24</v>
      </c>
      <c r="J135" s="70">
        <v>55</v>
      </c>
      <c r="K135" s="54">
        <f t="shared" si="0"/>
        <v>1320</v>
      </c>
      <c r="L135" s="55" t="b">
        <v>1</v>
      </c>
      <c r="M135" s="56">
        <v>250520241751</v>
      </c>
      <c r="N135" s="57" t="b">
        <v>1</v>
      </c>
      <c r="O135" s="58" t="s">
        <v>31</v>
      </c>
      <c r="P135" s="59" t="b">
        <v>1</v>
      </c>
      <c r="Q135" s="129"/>
      <c r="R135" s="60"/>
      <c r="S135" s="47" t="b">
        <v>1</v>
      </c>
      <c r="T135" s="61" t="s">
        <v>1090</v>
      </c>
      <c r="U135" s="54">
        <f>24*30</f>
        <v>720</v>
      </c>
      <c r="V135" s="54">
        <f t="shared" si="1"/>
        <v>600</v>
      </c>
      <c r="W135" s="49"/>
      <c r="X135" s="49"/>
    </row>
    <row r="136" spans="1:24" ht="15.75" customHeight="1">
      <c r="A136" s="101"/>
      <c r="B136" s="32"/>
      <c r="C136" s="71" t="s">
        <v>1120</v>
      </c>
      <c r="D136" s="53" t="s">
        <v>397</v>
      </c>
      <c r="E136" s="53" t="s">
        <v>213</v>
      </c>
      <c r="F136" s="66" t="s">
        <v>859</v>
      </c>
      <c r="G136" s="69" t="s">
        <v>940</v>
      </c>
      <c r="H136" s="69" t="s">
        <v>30</v>
      </c>
      <c r="I136" s="69">
        <v>50</v>
      </c>
      <c r="J136" s="70">
        <v>180</v>
      </c>
      <c r="K136" s="54">
        <f t="shared" si="0"/>
        <v>9000</v>
      </c>
      <c r="L136" s="55" t="b">
        <v>1</v>
      </c>
      <c r="M136" s="56">
        <v>270520241120</v>
      </c>
      <c r="N136" s="57" t="b">
        <v>1</v>
      </c>
      <c r="O136" s="58" t="s">
        <v>31</v>
      </c>
      <c r="P136" s="59" t="b">
        <v>1</v>
      </c>
      <c r="Q136" s="129"/>
      <c r="R136" s="60"/>
      <c r="S136" s="47" t="b">
        <v>1</v>
      </c>
      <c r="T136" s="61" t="s">
        <v>1121</v>
      </c>
      <c r="U136" s="54">
        <f>50*120</f>
        <v>6000</v>
      </c>
      <c r="V136" s="54">
        <f t="shared" si="1"/>
        <v>3000</v>
      </c>
      <c r="W136" s="49"/>
      <c r="X136" s="49"/>
    </row>
    <row r="137" spans="1:24" ht="15.75" customHeight="1">
      <c r="A137" s="1"/>
      <c r="B137" s="1"/>
      <c r="C137" s="71" t="s">
        <v>1120</v>
      </c>
      <c r="D137" s="53" t="s">
        <v>51</v>
      </c>
      <c r="E137" s="53" t="s">
        <v>89</v>
      </c>
      <c r="F137" s="66" t="s">
        <v>90</v>
      </c>
      <c r="G137" s="69" t="s">
        <v>1122</v>
      </c>
      <c r="H137" s="69" t="s">
        <v>30</v>
      </c>
      <c r="I137" s="69">
        <v>1</v>
      </c>
      <c r="J137" s="70">
        <v>1500</v>
      </c>
      <c r="K137" s="54">
        <f t="shared" si="0"/>
        <v>1500</v>
      </c>
      <c r="L137" s="55" t="b">
        <v>1</v>
      </c>
      <c r="M137" s="56">
        <v>270520241700</v>
      </c>
      <c r="N137" s="57" t="b">
        <v>1</v>
      </c>
      <c r="O137" s="58" t="s">
        <v>31</v>
      </c>
      <c r="P137" s="59" t="b">
        <v>1</v>
      </c>
      <c r="Q137" s="129"/>
      <c r="R137" s="60"/>
      <c r="S137" s="47" t="b">
        <v>1</v>
      </c>
      <c r="T137" s="61" t="s">
        <v>1123</v>
      </c>
      <c r="U137" s="54">
        <v>900</v>
      </c>
      <c r="V137" s="54">
        <f t="shared" si="1"/>
        <v>600</v>
      </c>
      <c r="W137" s="49"/>
      <c r="X137" s="49"/>
    </row>
    <row r="138" spans="1:24" ht="15.75" customHeight="1">
      <c r="A138" s="1"/>
      <c r="B138" s="1"/>
      <c r="C138" s="71" t="s">
        <v>1120</v>
      </c>
      <c r="D138" s="53" t="s">
        <v>51</v>
      </c>
      <c r="E138" s="53" t="s">
        <v>201</v>
      </c>
      <c r="F138" s="66" t="s">
        <v>202</v>
      </c>
      <c r="G138" s="69" t="s">
        <v>1124</v>
      </c>
      <c r="H138" s="69" t="s">
        <v>30</v>
      </c>
      <c r="I138" s="69">
        <v>1</v>
      </c>
      <c r="J138" s="70">
        <v>15440</v>
      </c>
      <c r="K138" s="54">
        <f t="shared" si="0"/>
        <v>15440</v>
      </c>
      <c r="L138" s="55" t="b">
        <v>1</v>
      </c>
      <c r="M138" s="56">
        <v>270520241902</v>
      </c>
      <c r="N138" s="57" t="b">
        <v>1</v>
      </c>
      <c r="O138" s="58" t="s">
        <v>351</v>
      </c>
      <c r="P138" s="59" t="b">
        <v>1</v>
      </c>
      <c r="Q138" s="129"/>
      <c r="R138" s="60"/>
      <c r="S138" s="47" t="b">
        <v>1</v>
      </c>
      <c r="T138" s="61" t="s">
        <v>1125</v>
      </c>
      <c r="U138" s="54">
        <v>9200</v>
      </c>
      <c r="V138" s="54">
        <f t="shared" si="1"/>
        <v>6240</v>
      </c>
      <c r="W138" s="49"/>
      <c r="X138" s="49"/>
    </row>
    <row r="139" spans="1:24" ht="15.75" customHeight="1">
      <c r="A139" s="1"/>
      <c r="B139" s="1"/>
      <c r="C139" s="71" t="s">
        <v>1126</v>
      </c>
      <c r="D139" s="53" t="s">
        <v>433</v>
      </c>
      <c r="E139" s="53" t="s">
        <v>751</v>
      </c>
      <c r="F139" s="66" t="s">
        <v>752</v>
      </c>
      <c r="G139" s="69" t="s">
        <v>574</v>
      </c>
      <c r="H139" s="69" t="s">
        <v>30</v>
      </c>
      <c r="I139" s="69">
        <v>5</v>
      </c>
      <c r="J139" s="70">
        <v>650</v>
      </c>
      <c r="K139" s="54">
        <f t="shared" si="0"/>
        <v>3250</v>
      </c>
      <c r="L139" s="55" t="b">
        <v>1</v>
      </c>
      <c r="M139" s="56">
        <v>280520240654</v>
      </c>
      <c r="N139" s="57" t="b">
        <v>0</v>
      </c>
      <c r="O139" s="58"/>
      <c r="P139" s="59" t="b">
        <v>1</v>
      </c>
      <c r="Q139" s="129"/>
      <c r="R139" s="60"/>
      <c r="S139" s="47" t="b">
        <v>1</v>
      </c>
      <c r="T139" s="61" t="s">
        <v>1127</v>
      </c>
      <c r="U139" s="54">
        <f>5*375</f>
        <v>1875</v>
      </c>
      <c r="V139" s="54">
        <f t="shared" si="1"/>
        <v>1375</v>
      </c>
      <c r="W139" s="49"/>
      <c r="X139" s="49"/>
    </row>
    <row r="140" spans="1:24" ht="15.75" customHeight="1">
      <c r="A140" s="1"/>
      <c r="B140" s="1"/>
      <c r="C140" s="71" t="s">
        <v>1126</v>
      </c>
      <c r="D140" s="53" t="s">
        <v>26</v>
      </c>
      <c r="E140" s="53" t="s">
        <v>158</v>
      </c>
      <c r="F140" s="66" t="s">
        <v>1014</v>
      </c>
      <c r="G140" s="153" t="s">
        <v>1128</v>
      </c>
      <c r="H140" s="69" t="s">
        <v>30</v>
      </c>
      <c r="I140" s="69">
        <v>1</v>
      </c>
      <c r="J140" s="70">
        <v>31000</v>
      </c>
      <c r="K140" s="75">
        <f t="shared" si="0"/>
        <v>31000</v>
      </c>
      <c r="L140" s="55" t="b">
        <v>1</v>
      </c>
      <c r="M140" s="154">
        <v>280520241617</v>
      </c>
      <c r="N140" s="57" t="b">
        <v>1</v>
      </c>
      <c r="O140" s="58"/>
      <c r="P140" s="59" t="b">
        <v>1</v>
      </c>
      <c r="Q140" s="155" t="s">
        <v>1129</v>
      </c>
      <c r="R140" s="60"/>
      <c r="S140" s="47" t="b">
        <v>1</v>
      </c>
      <c r="T140" s="61" t="s">
        <v>1130</v>
      </c>
      <c r="U140" s="54">
        <v>9000</v>
      </c>
      <c r="V140" s="54">
        <f t="shared" si="1"/>
        <v>22000</v>
      </c>
      <c r="W140" s="49"/>
      <c r="X140" s="49"/>
    </row>
    <row r="141" spans="1:24" ht="15.75" customHeight="1">
      <c r="A141" s="1"/>
      <c r="B141" s="1"/>
      <c r="C141" s="71" t="s">
        <v>1126</v>
      </c>
      <c r="D141" s="53" t="s">
        <v>26</v>
      </c>
      <c r="E141" s="53" t="s">
        <v>158</v>
      </c>
      <c r="F141" s="66" t="s">
        <v>1014</v>
      </c>
      <c r="G141" s="153" t="s">
        <v>1131</v>
      </c>
      <c r="H141" s="69" t="s">
        <v>30</v>
      </c>
      <c r="I141" s="69">
        <v>1</v>
      </c>
      <c r="J141" s="70">
        <v>2500</v>
      </c>
      <c r="K141" s="75">
        <v>2500</v>
      </c>
      <c r="L141" s="55" t="b">
        <v>1</v>
      </c>
      <c r="M141" s="154"/>
      <c r="N141" s="57" t="b">
        <v>1</v>
      </c>
      <c r="O141" s="58"/>
      <c r="P141" s="59" t="b">
        <v>1</v>
      </c>
      <c r="Q141" s="155"/>
      <c r="R141" s="60"/>
      <c r="S141" s="47" t="b">
        <v>1</v>
      </c>
      <c r="T141" s="61" t="s">
        <v>1130</v>
      </c>
      <c r="U141" s="54">
        <v>2320</v>
      </c>
      <c r="V141" s="54">
        <f t="shared" si="1"/>
        <v>180</v>
      </c>
      <c r="W141" s="49"/>
      <c r="X141" s="49"/>
    </row>
    <row r="142" spans="1:24" ht="15.75" customHeight="1">
      <c r="A142" s="1"/>
      <c r="B142" s="1"/>
      <c r="C142" s="71" t="s">
        <v>1126</v>
      </c>
      <c r="D142" s="53" t="s">
        <v>98</v>
      </c>
      <c r="E142" s="53" t="s">
        <v>99</v>
      </c>
      <c r="F142" s="66" t="s">
        <v>444</v>
      </c>
      <c r="G142" s="69" t="s">
        <v>366</v>
      </c>
      <c r="H142" s="69" t="s">
        <v>30</v>
      </c>
      <c r="I142" s="69">
        <v>12</v>
      </c>
      <c r="J142" s="70">
        <v>140</v>
      </c>
      <c r="K142" s="54">
        <f t="shared" ref="K142:K181" si="3">I142*J142</f>
        <v>1680</v>
      </c>
      <c r="L142" s="55" t="b">
        <v>1</v>
      </c>
      <c r="M142" s="56">
        <v>280520241800</v>
      </c>
      <c r="N142" s="57" t="b">
        <v>1</v>
      </c>
      <c r="O142" s="58" t="s">
        <v>31</v>
      </c>
      <c r="P142" s="59" t="b">
        <v>1</v>
      </c>
      <c r="Q142" s="129"/>
      <c r="R142" s="60"/>
      <c r="S142" s="47" t="b">
        <v>1</v>
      </c>
      <c r="T142" s="61" t="s">
        <v>1132</v>
      </c>
      <c r="U142" s="54">
        <f>12*105</f>
        <v>1260</v>
      </c>
      <c r="V142" s="54">
        <f t="shared" si="1"/>
        <v>420</v>
      </c>
      <c r="W142" s="49"/>
      <c r="X142" s="49"/>
    </row>
    <row r="143" spans="1:24" ht="15.75" customHeight="1">
      <c r="A143" s="1"/>
      <c r="B143" s="1"/>
      <c r="C143" s="71" t="s">
        <v>1126</v>
      </c>
      <c r="D143" s="53" t="s">
        <v>1133</v>
      </c>
      <c r="E143" s="53" t="s">
        <v>1133</v>
      </c>
      <c r="F143" s="66" t="s">
        <v>1134</v>
      </c>
      <c r="G143" s="69" t="s">
        <v>1135</v>
      </c>
      <c r="H143" s="69" t="s">
        <v>30</v>
      </c>
      <c r="I143" s="69">
        <v>2</v>
      </c>
      <c r="J143" s="70">
        <v>3350</v>
      </c>
      <c r="K143" s="54">
        <f t="shared" si="3"/>
        <v>6700</v>
      </c>
      <c r="L143" s="55" t="b">
        <v>1</v>
      </c>
      <c r="M143" s="56">
        <v>280520241839</v>
      </c>
      <c r="N143" s="57" t="b">
        <v>1</v>
      </c>
      <c r="O143" s="58" t="s">
        <v>31</v>
      </c>
      <c r="P143" s="59" t="b">
        <v>1</v>
      </c>
      <c r="Q143" s="129"/>
      <c r="R143" s="60"/>
      <c r="S143" s="47" t="b">
        <v>1</v>
      </c>
      <c r="T143" s="61" t="s">
        <v>1136</v>
      </c>
      <c r="U143" s="54">
        <v>5518</v>
      </c>
      <c r="V143" s="54">
        <f t="shared" si="1"/>
        <v>1182</v>
      </c>
      <c r="W143" s="49"/>
      <c r="X143" s="49"/>
    </row>
    <row r="144" spans="1:24" ht="15.75" customHeight="1">
      <c r="A144" s="1"/>
      <c r="B144" s="1"/>
      <c r="C144" s="71" t="s">
        <v>1137</v>
      </c>
      <c r="D144" s="53" t="s">
        <v>104</v>
      </c>
      <c r="E144" s="53" t="s">
        <v>61</v>
      </c>
      <c r="F144" s="66" t="s">
        <v>181</v>
      </c>
      <c r="G144" s="69" t="s">
        <v>300</v>
      </c>
      <c r="H144" s="69" t="s">
        <v>30</v>
      </c>
      <c r="I144" s="69">
        <v>10</v>
      </c>
      <c r="J144" s="70">
        <v>100</v>
      </c>
      <c r="K144" s="54">
        <f t="shared" si="3"/>
        <v>1000</v>
      </c>
      <c r="L144" s="55" t="b">
        <v>1</v>
      </c>
      <c r="M144" s="56">
        <v>290520241324</v>
      </c>
      <c r="N144" s="57" t="b">
        <v>1</v>
      </c>
      <c r="O144" s="58" t="s">
        <v>31</v>
      </c>
      <c r="P144" s="59" t="b">
        <v>1</v>
      </c>
      <c r="Q144" s="129"/>
      <c r="R144" s="60" t="s">
        <v>1138</v>
      </c>
      <c r="S144" s="47" t="b">
        <v>1</v>
      </c>
      <c r="T144" s="61" t="s">
        <v>1139</v>
      </c>
      <c r="U144" s="54">
        <f>10*35</f>
        <v>350</v>
      </c>
      <c r="V144" s="54">
        <f t="shared" si="1"/>
        <v>650</v>
      </c>
      <c r="W144" s="49"/>
      <c r="X144" s="49"/>
    </row>
    <row r="145" spans="1:24" ht="15.75" customHeight="1">
      <c r="A145" s="1"/>
      <c r="B145" s="1"/>
      <c r="C145" s="71" t="s">
        <v>1137</v>
      </c>
      <c r="D145" s="53" t="s">
        <v>104</v>
      </c>
      <c r="E145" s="53" t="s">
        <v>61</v>
      </c>
      <c r="F145" s="66" t="s">
        <v>1140</v>
      </c>
      <c r="G145" s="69" t="s">
        <v>101</v>
      </c>
      <c r="H145" s="69" t="s">
        <v>30</v>
      </c>
      <c r="I145" s="69">
        <v>20</v>
      </c>
      <c r="J145" s="70">
        <v>675</v>
      </c>
      <c r="K145" s="54">
        <f t="shared" si="3"/>
        <v>13500</v>
      </c>
      <c r="L145" s="55" t="b">
        <v>1</v>
      </c>
      <c r="M145" s="56">
        <v>290520241636</v>
      </c>
      <c r="N145" s="57" t="b">
        <v>1</v>
      </c>
      <c r="O145" s="58"/>
      <c r="P145" s="59" t="b">
        <v>1</v>
      </c>
      <c r="Q145" s="129"/>
      <c r="R145" s="60"/>
      <c r="S145" s="47" t="b">
        <v>1</v>
      </c>
      <c r="T145" s="61" t="s">
        <v>1141</v>
      </c>
      <c r="U145" s="54">
        <f>20*375</f>
        <v>7500</v>
      </c>
      <c r="V145" s="54">
        <f t="shared" si="1"/>
        <v>6000</v>
      </c>
      <c r="W145" s="49"/>
      <c r="X145" s="49"/>
    </row>
    <row r="146" spans="1:24" ht="15.75" customHeight="1">
      <c r="A146" s="1"/>
      <c r="B146" s="1"/>
      <c r="C146" s="71" t="s">
        <v>1142</v>
      </c>
      <c r="D146" s="53" t="s">
        <v>104</v>
      </c>
      <c r="E146" s="53" t="s">
        <v>1143</v>
      </c>
      <c r="F146" s="66" t="s">
        <v>1144</v>
      </c>
      <c r="G146" s="69" t="s">
        <v>49</v>
      </c>
      <c r="H146" s="69" t="s">
        <v>30</v>
      </c>
      <c r="I146" s="69">
        <v>10</v>
      </c>
      <c r="J146" s="70">
        <v>695</v>
      </c>
      <c r="K146" s="54">
        <f t="shared" si="3"/>
        <v>6950</v>
      </c>
      <c r="L146" s="55" t="b">
        <v>1</v>
      </c>
      <c r="M146" s="56">
        <v>3005202451314</v>
      </c>
      <c r="N146" s="57" t="b">
        <v>1</v>
      </c>
      <c r="O146" s="58" t="s">
        <v>39</v>
      </c>
      <c r="P146" s="59" t="b">
        <v>1</v>
      </c>
      <c r="Q146" s="129" t="s">
        <v>529</v>
      </c>
      <c r="R146" s="60"/>
      <c r="S146" s="47" t="b">
        <v>1</v>
      </c>
      <c r="T146" s="61" t="s">
        <v>1145</v>
      </c>
      <c r="U146" s="54">
        <f>10000*0.46</f>
        <v>4600</v>
      </c>
      <c r="V146" s="54">
        <f t="shared" si="1"/>
        <v>2350</v>
      </c>
      <c r="W146" s="49"/>
      <c r="X146" s="49"/>
    </row>
    <row r="147" spans="1:24" ht="15.75" customHeight="1">
      <c r="A147" s="1"/>
      <c r="B147" s="1"/>
      <c r="C147" s="71" t="s">
        <v>1146</v>
      </c>
      <c r="D147" s="53" t="s">
        <v>463</v>
      </c>
      <c r="E147" s="53" t="s">
        <v>463</v>
      </c>
      <c r="F147" s="66" t="s">
        <v>1147</v>
      </c>
      <c r="G147" s="69" t="s">
        <v>1148</v>
      </c>
      <c r="H147" s="69" t="s">
        <v>30</v>
      </c>
      <c r="I147" s="69">
        <v>1</v>
      </c>
      <c r="J147" s="70">
        <v>1150</v>
      </c>
      <c r="K147" s="54">
        <f t="shared" si="3"/>
        <v>1150</v>
      </c>
      <c r="L147" s="55" t="b">
        <v>1</v>
      </c>
      <c r="M147" s="56">
        <v>310520241319</v>
      </c>
      <c r="N147" s="57" t="b">
        <v>1</v>
      </c>
      <c r="O147" s="58"/>
      <c r="P147" s="59" t="b">
        <v>1</v>
      </c>
      <c r="Q147" s="129"/>
      <c r="R147" s="60"/>
      <c r="S147" s="47" t="b">
        <v>1</v>
      </c>
      <c r="T147" s="61" t="s">
        <v>1149</v>
      </c>
      <c r="U147" s="54">
        <v>650</v>
      </c>
      <c r="V147" s="54">
        <f t="shared" si="1"/>
        <v>500</v>
      </c>
      <c r="W147" s="49"/>
      <c r="X147" s="49"/>
    </row>
    <row r="148" spans="1:24" ht="15.75" customHeight="1">
      <c r="A148" s="1"/>
      <c r="B148" s="1"/>
      <c r="C148" s="71" t="s">
        <v>1146</v>
      </c>
      <c r="D148" s="53" t="s">
        <v>108</v>
      </c>
      <c r="E148" s="53" t="s">
        <v>109</v>
      </c>
      <c r="F148" s="66" t="s">
        <v>110</v>
      </c>
      <c r="G148" s="69" t="s">
        <v>374</v>
      </c>
      <c r="H148" s="69" t="s">
        <v>30</v>
      </c>
      <c r="I148" s="69">
        <v>200</v>
      </c>
      <c r="J148" s="70">
        <v>25</v>
      </c>
      <c r="K148" s="54">
        <f t="shared" si="3"/>
        <v>5000</v>
      </c>
      <c r="L148" s="55" t="b">
        <v>1</v>
      </c>
      <c r="M148" s="56">
        <v>310520241930</v>
      </c>
      <c r="N148" s="57" t="b">
        <v>1</v>
      </c>
      <c r="O148" s="58"/>
      <c r="P148" s="59" t="b">
        <v>1</v>
      </c>
      <c r="Q148" s="129"/>
      <c r="R148" s="60"/>
      <c r="S148" s="47" t="b">
        <v>1</v>
      </c>
      <c r="T148" s="61" t="s">
        <v>1150</v>
      </c>
      <c r="U148" s="54">
        <f>200*8</f>
        <v>1600</v>
      </c>
      <c r="V148" s="54">
        <f t="shared" si="1"/>
        <v>3400</v>
      </c>
      <c r="W148" s="49"/>
      <c r="X148" s="49"/>
    </row>
    <row r="149" spans="1:24" ht="15.75" customHeight="1">
      <c r="A149" s="1"/>
      <c r="B149" s="1"/>
      <c r="C149" s="71" t="s">
        <v>1146</v>
      </c>
      <c r="D149" s="53" t="s">
        <v>418</v>
      </c>
      <c r="E149" s="53" t="s">
        <v>137</v>
      </c>
      <c r="F149" s="66" t="s">
        <v>419</v>
      </c>
      <c r="G149" s="69" t="s">
        <v>1151</v>
      </c>
      <c r="H149" s="69" t="s">
        <v>30</v>
      </c>
      <c r="I149" s="69">
        <v>10</v>
      </c>
      <c r="J149" s="70">
        <v>325</v>
      </c>
      <c r="K149" s="54">
        <f t="shared" si="3"/>
        <v>3250</v>
      </c>
      <c r="L149" s="55" t="b">
        <v>1</v>
      </c>
      <c r="M149" s="56">
        <v>310520241950</v>
      </c>
      <c r="N149" s="57" t="b">
        <v>1</v>
      </c>
      <c r="O149" s="58"/>
      <c r="P149" s="59" t="b">
        <v>1</v>
      </c>
      <c r="Q149" s="129"/>
      <c r="R149" s="60"/>
      <c r="S149" s="47" t="b">
        <v>1</v>
      </c>
      <c r="T149" s="61" t="s">
        <v>1152</v>
      </c>
      <c r="U149" s="54">
        <f>10*325</f>
        <v>3250</v>
      </c>
      <c r="V149" s="54">
        <f t="shared" si="1"/>
        <v>0</v>
      </c>
      <c r="W149" s="49"/>
      <c r="X149" s="49"/>
    </row>
    <row r="150" spans="1:24" ht="15.75" customHeight="1">
      <c r="A150" s="1"/>
      <c r="B150" s="1"/>
      <c r="C150" s="71"/>
      <c r="D150" s="53"/>
      <c r="E150" s="53"/>
      <c r="F150" s="66"/>
      <c r="G150" s="69"/>
      <c r="H150" s="69"/>
      <c r="I150" s="69"/>
      <c r="J150" s="70"/>
      <c r="K150" s="54">
        <f t="shared" si="3"/>
        <v>0</v>
      </c>
      <c r="L150" s="55" t="b">
        <v>0</v>
      </c>
      <c r="M150" s="56"/>
      <c r="N150" s="57" t="b">
        <v>0</v>
      </c>
      <c r="O150" s="58"/>
      <c r="P150" s="59" t="b">
        <v>0</v>
      </c>
      <c r="Q150" s="129"/>
      <c r="R150" s="60"/>
      <c r="S150" s="47" t="b">
        <v>0</v>
      </c>
      <c r="T150" s="61"/>
      <c r="U150" s="54"/>
      <c r="V150" s="54">
        <f t="shared" si="1"/>
        <v>0</v>
      </c>
      <c r="W150" s="49"/>
      <c r="X150" s="49"/>
    </row>
    <row r="151" spans="1:24" ht="15.75" customHeight="1">
      <c r="A151" s="1"/>
      <c r="B151" s="1"/>
      <c r="C151" s="71"/>
      <c r="D151" s="53"/>
      <c r="E151" s="53"/>
      <c r="F151" s="66"/>
      <c r="G151" s="69"/>
      <c r="H151" s="69"/>
      <c r="I151" s="69"/>
      <c r="J151" s="70"/>
      <c r="K151" s="54">
        <f t="shared" si="3"/>
        <v>0</v>
      </c>
      <c r="L151" s="55" t="b">
        <v>0</v>
      </c>
      <c r="M151" s="56"/>
      <c r="N151" s="57" t="b">
        <v>0</v>
      </c>
      <c r="O151" s="58"/>
      <c r="P151" s="59" t="b">
        <v>0</v>
      </c>
      <c r="Q151" s="129"/>
      <c r="R151" s="60"/>
      <c r="S151" s="47" t="b">
        <v>0</v>
      </c>
      <c r="T151" s="61"/>
      <c r="U151" s="54"/>
      <c r="V151" s="54">
        <f t="shared" si="1"/>
        <v>0</v>
      </c>
      <c r="W151" s="49"/>
      <c r="X151" s="49"/>
    </row>
    <row r="152" spans="1:24" ht="15.75" customHeight="1">
      <c r="A152" s="1"/>
      <c r="B152" s="1"/>
      <c r="C152" s="71"/>
      <c r="D152" s="53"/>
      <c r="E152" s="53"/>
      <c r="F152" s="66"/>
      <c r="G152" s="69"/>
      <c r="H152" s="69"/>
      <c r="I152" s="69"/>
      <c r="J152" s="70"/>
      <c r="K152" s="54">
        <f t="shared" si="3"/>
        <v>0</v>
      </c>
      <c r="L152" s="55" t="b">
        <v>0</v>
      </c>
      <c r="M152" s="56"/>
      <c r="N152" s="57" t="b">
        <v>0</v>
      </c>
      <c r="O152" s="58"/>
      <c r="P152" s="59" t="b">
        <v>0</v>
      </c>
      <c r="Q152" s="129"/>
      <c r="R152" s="60"/>
      <c r="S152" s="47" t="b">
        <v>0</v>
      </c>
      <c r="T152" s="61"/>
      <c r="U152" s="54"/>
      <c r="V152" s="54">
        <f t="shared" si="1"/>
        <v>0</v>
      </c>
      <c r="W152" s="49"/>
      <c r="X152" s="49"/>
    </row>
    <row r="153" spans="1:24" ht="15.75" customHeight="1">
      <c r="A153" s="1"/>
      <c r="B153" s="1"/>
      <c r="C153" s="71"/>
      <c r="D153" s="53"/>
      <c r="E153" s="53"/>
      <c r="F153" s="66"/>
      <c r="G153" s="69"/>
      <c r="H153" s="69"/>
      <c r="I153" s="69"/>
      <c r="J153" s="70"/>
      <c r="K153" s="54">
        <f t="shared" si="3"/>
        <v>0</v>
      </c>
      <c r="L153" s="55" t="b">
        <v>0</v>
      </c>
      <c r="M153" s="56"/>
      <c r="N153" s="57" t="b">
        <v>0</v>
      </c>
      <c r="O153" s="58"/>
      <c r="P153" s="59" t="b">
        <v>0</v>
      </c>
      <c r="Q153" s="129"/>
      <c r="R153" s="60"/>
      <c r="S153" s="47" t="b">
        <v>0</v>
      </c>
      <c r="T153" s="61"/>
      <c r="U153" s="54"/>
      <c r="V153" s="54">
        <f t="shared" si="1"/>
        <v>0</v>
      </c>
      <c r="W153" s="49"/>
      <c r="X153" s="49"/>
    </row>
    <row r="154" spans="1:24" ht="15.75" customHeight="1">
      <c r="A154" s="1"/>
      <c r="B154" s="1"/>
      <c r="C154" s="71"/>
      <c r="D154" s="53"/>
      <c r="E154" s="53"/>
      <c r="F154" s="66"/>
      <c r="G154" s="69"/>
      <c r="H154" s="69"/>
      <c r="I154" s="69"/>
      <c r="J154" s="70"/>
      <c r="K154" s="54">
        <f t="shared" si="3"/>
        <v>0</v>
      </c>
      <c r="L154" s="55" t="b">
        <v>0</v>
      </c>
      <c r="M154" s="56"/>
      <c r="N154" s="57" t="b">
        <v>0</v>
      </c>
      <c r="O154" s="58"/>
      <c r="P154" s="59" t="b">
        <v>0</v>
      </c>
      <c r="Q154" s="129"/>
      <c r="R154" s="60"/>
      <c r="S154" s="47" t="b">
        <v>0</v>
      </c>
      <c r="T154" s="61"/>
      <c r="U154" s="54"/>
      <c r="V154" s="54">
        <f t="shared" si="1"/>
        <v>0</v>
      </c>
      <c r="W154" s="49"/>
      <c r="X154" s="49"/>
    </row>
    <row r="155" spans="1:24" ht="15.75" customHeight="1">
      <c r="A155" s="1"/>
      <c r="B155" s="1"/>
      <c r="C155" s="71"/>
      <c r="D155" s="53"/>
      <c r="E155" s="53"/>
      <c r="F155" s="66"/>
      <c r="G155" s="69"/>
      <c r="H155" s="69"/>
      <c r="I155" s="69"/>
      <c r="J155" s="70"/>
      <c r="K155" s="54">
        <f t="shared" si="3"/>
        <v>0</v>
      </c>
      <c r="L155" s="55" t="b">
        <v>0</v>
      </c>
      <c r="M155" s="56"/>
      <c r="N155" s="57" t="b">
        <v>0</v>
      </c>
      <c r="O155" s="58"/>
      <c r="P155" s="59" t="b">
        <v>0</v>
      </c>
      <c r="Q155" s="129"/>
      <c r="R155" s="60"/>
      <c r="S155" s="47" t="b">
        <v>0</v>
      </c>
      <c r="T155" s="61"/>
      <c r="U155" s="54"/>
      <c r="V155" s="54">
        <f t="shared" si="1"/>
        <v>0</v>
      </c>
      <c r="W155" s="49"/>
      <c r="X155" s="49"/>
    </row>
    <row r="156" spans="1:24" ht="15.75" customHeight="1">
      <c r="A156" s="1"/>
      <c r="B156" s="1"/>
      <c r="C156" s="71"/>
      <c r="D156" s="53"/>
      <c r="E156" s="53"/>
      <c r="F156" s="66"/>
      <c r="G156" s="69"/>
      <c r="H156" s="69"/>
      <c r="I156" s="69"/>
      <c r="J156" s="70"/>
      <c r="K156" s="54">
        <f t="shared" si="3"/>
        <v>0</v>
      </c>
      <c r="L156" s="55" t="b">
        <v>0</v>
      </c>
      <c r="M156" s="56"/>
      <c r="N156" s="57" t="b">
        <v>0</v>
      </c>
      <c r="O156" s="58"/>
      <c r="P156" s="59" t="b">
        <v>0</v>
      </c>
      <c r="Q156" s="129"/>
      <c r="R156" s="60"/>
      <c r="S156" s="47" t="b">
        <v>0</v>
      </c>
      <c r="T156" s="61"/>
      <c r="U156" s="54"/>
      <c r="V156" s="54">
        <f t="shared" si="1"/>
        <v>0</v>
      </c>
      <c r="W156" s="49"/>
      <c r="X156" s="49"/>
    </row>
    <row r="157" spans="1:24" ht="15.75" customHeight="1">
      <c r="A157" s="1"/>
      <c r="B157" s="1"/>
      <c r="C157" s="71"/>
      <c r="D157" s="53"/>
      <c r="E157" s="53"/>
      <c r="F157" s="66"/>
      <c r="G157" s="69"/>
      <c r="H157" s="69"/>
      <c r="I157" s="69"/>
      <c r="J157" s="70"/>
      <c r="K157" s="54">
        <f t="shared" si="3"/>
        <v>0</v>
      </c>
      <c r="L157" s="55" t="b">
        <v>0</v>
      </c>
      <c r="M157" s="56"/>
      <c r="N157" s="57" t="b">
        <v>0</v>
      </c>
      <c r="O157" s="58"/>
      <c r="P157" s="59" t="b">
        <v>0</v>
      </c>
      <c r="Q157" s="129"/>
      <c r="R157" s="60"/>
      <c r="S157" s="47" t="b">
        <v>0</v>
      </c>
      <c r="T157" s="61"/>
      <c r="U157" s="54"/>
      <c r="V157" s="54">
        <f t="shared" si="1"/>
        <v>0</v>
      </c>
      <c r="W157" s="49"/>
      <c r="X157" s="49"/>
    </row>
    <row r="158" spans="1:24" ht="15.75" customHeight="1">
      <c r="A158" s="1"/>
      <c r="B158" s="1"/>
      <c r="C158" s="71"/>
      <c r="D158" s="53"/>
      <c r="E158" s="53"/>
      <c r="F158" s="66"/>
      <c r="G158" s="69"/>
      <c r="H158" s="69"/>
      <c r="I158" s="69"/>
      <c r="J158" s="70"/>
      <c r="K158" s="54">
        <f t="shared" si="3"/>
        <v>0</v>
      </c>
      <c r="L158" s="55" t="b">
        <v>0</v>
      </c>
      <c r="M158" s="56"/>
      <c r="N158" s="57" t="b">
        <v>0</v>
      </c>
      <c r="O158" s="58"/>
      <c r="P158" s="59" t="b">
        <v>0</v>
      </c>
      <c r="Q158" s="129"/>
      <c r="R158" s="60"/>
      <c r="S158" s="47" t="b">
        <v>0</v>
      </c>
      <c r="T158" s="61"/>
      <c r="U158" s="54"/>
      <c r="V158" s="54">
        <f t="shared" si="1"/>
        <v>0</v>
      </c>
      <c r="W158" s="49"/>
      <c r="X158" s="49"/>
    </row>
    <row r="159" spans="1:24" ht="15.75" customHeight="1">
      <c r="A159" s="1"/>
      <c r="B159" s="1"/>
      <c r="C159" s="71"/>
      <c r="D159" s="53"/>
      <c r="E159" s="53"/>
      <c r="F159" s="66"/>
      <c r="G159" s="69"/>
      <c r="H159" s="69"/>
      <c r="I159" s="69"/>
      <c r="J159" s="70"/>
      <c r="K159" s="54">
        <f t="shared" si="3"/>
        <v>0</v>
      </c>
      <c r="L159" s="55" t="b">
        <v>0</v>
      </c>
      <c r="M159" s="56"/>
      <c r="N159" s="57" t="b">
        <v>0</v>
      </c>
      <c r="O159" s="58"/>
      <c r="P159" s="59" t="b">
        <v>0</v>
      </c>
      <c r="Q159" s="129"/>
      <c r="R159" s="60"/>
      <c r="S159" s="47" t="b">
        <v>0</v>
      </c>
      <c r="T159" s="61"/>
      <c r="U159" s="54"/>
      <c r="V159" s="54">
        <f t="shared" si="1"/>
        <v>0</v>
      </c>
      <c r="W159" s="49"/>
      <c r="X159" s="49"/>
    </row>
    <row r="160" spans="1:24" ht="15.75" customHeight="1">
      <c r="A160" s="1"/>
      <c r="B160" s="1"/>
      <c r="C160" s="71"/>
      <c r="D160" s="53"/>
      <c r="E160" s="53"/>
      <c r="F160" s="66"/>
      <c r="G160" s="69"/>
      <c r="H160" s="69"/>
      <c r="I160" s="69"/>
      <c r="J160" s="70"/>
      <c r="K160" s="54">
        <f t="shared" si="3"/>
        <v>0</v>
      </c>
      <c r="L160" s="55" t="b">
        <v>0</v>
      </c>
      <c r="M160" s="56"/>
      <c r="N160" s="57" t="b">
        <v>0</v>
      </c>
      <c r="O160" s="58"/>
      <c r="P160" s="59" t="b">
        <v>0</v>
      </c>
      <c r="Q160" s="129"/>
      <c r="R160" s="60"/>
      <c r="S160" s="47" t="b">
        <v>0</v>
      </c>
      <c r="T160" s="61"/>
      <c r="U160" s="54"/>
      <c r="V160" s="54">
        <f t="shared" si="1"/>
        <v>0</v>
      </c>
      <c r="W160" s="49"/>
      <c r="X160" s="49"/>
    </row>
    <row r="161" spans="1:24" ht="15.75" customHeight="1">
      <c r="A161" s="1"/>
      <c r="B161" s="1"/>
      <c r="C161" s="71"/>
      <c r="D161" s="53"/>
      <c r="E161" s="53"/>
      <c r="F161" s="66"/>
      <c r="G161" s="69"/>
      <c r="H161" s="69"/>
      <c r="I161" s="69"/>
      <c r="J161" s="70"/>
      <c r="K161" s="54">
        <f t="shared" si="3"/>
        <v>0</v>
      </c>
      <c r="L161" s="55" t="b">
        <v>0</v>
      </c>
      <c r="M161" s="56"/>
      <c r="N161" s="57" t="b">
        <v>0</v>
      </c>
      <c r="O161" s="58"/>
      <c r="P161" s="59" t="b">
        <v>0</v>
      </c>
      <c r="Q161" s="129"/>
      <c r="R161" s="60"/>
      <c r="S161" s="47" t="b">
        <v>0</v>
      </c>
      <c r="T161" s="61"/>
      <c r="U161" s="54"/>
      <c r="V161" s="54">
        <f t="shared" si="1"/>
        <v>0</v>
      </c>
      <c r="W161" s="49"/>
      <c r="X161" s="49"/>
    </row>
    <row r="162" spans="1:24" ht="15.75" customHeight="1">
      <c r="A162" s="1"/>
      <c r="B162" s="1"/>
      <c r="C162" s="71"/>
      <c r="D162" s="53"/>
      <c r="E162" s="53"/>
      <c r="F162" s="66"/>
      <c r="G162" s="69"/>
      <c r="H162" s="69"/>
      <c r="I162" s="69"/>
      <c r="J162" s="70"/>
      <c r="K162" s="54">
        <f t="shared" si="3"/>
        <v>0</v>
      </c>
      <c r="L162" s="55" t="b">
        <v>0</v>
      </c>
      <c r="M162" s="56"/>
      <c r="N162" s="57" t="b">
        <v>0</v>
      </c>
      <c r="O162" s="58"/>
      <c r="P162" s="59" t="b">
        <v>0</v>
      </c>
      <c r="Q162" s="129"/>
      <c r="R162" s="60"/>
      <c r="S162" s="47" t="b">
        <v>0</v>
      </c>
      <c r="T162" s="61"/>
      <c r="U162" s="54"/>
      <c r="V162" s="54">
        <f t="shared" si="1"/>
        <v>0</v>
      </c>
      <c r="W162" s="49"/>
      <c r="X162" s="49"/>
    </row>
    <row r="163" spans="1:24" ht="15.75" customHeight="1">
      <c r="A163" s="1"/>
      <c r="B163" s="1"/>
      <c r="C163" s="71"/>
      <c r="D163" s="53"/>
      <c r="E163" s="53"/>
      <c r="F163" s="66"/>
      <c r="G163" s="69"/>
      <c r="H163" s="69"/>
      <c r="I163" s="69"/>
      <c r="J163" s="70"/>
      <c r="K163" s="54">
        <f t="shared" si="3"/>
        <v>0</v>
      </c>
      <c r="L163" s="55" t="b">
        <v>0</v>
      </c>
      <c r="M163" s="56"/>
      <c r="N163" s="57" t="b">
        <v>0</v>
      </c>
      <c r="O163" s="58"/>
      <c r="P163" s="59" t="b">
        <v>0</v>
      </c>
      <c r="Q163" s="129"/>
      <c r="R163" s="60"/>
      <c r="S163" s="47" t="b">
        <v>0</v>
      </c>
      <c r="T163" s="61"/>
      <c r="U163" s="54"/>
      <c r="V163" s="54">
        <f t="shared" si="1"/>
        <v>0</v>
      </c>
      <c r="W163" s="49"/>
      <c r="X163" s="49"/>
    </row>
    <row r="164" spans="1:24" ht="15.75" customHeight="1">
      <c r="A164" s="1"/>
      <c r="B164" s="1"/>
      <c r="C164" s="71"/>
      <c r="D164" s="53"/>
      <c r="E164" s="53"/>
      <c r="F164" s="66"/>
      <c r="G164" s="69"/>
      <c r="H164" s="69"/>
      <c r="I164" s="69"/>
      <c r="J164" s="70"/>
      <c r="K164" s="54">
        <f t="shared" si="3"/>
        <v>0</v>
      </c>
      <c r="L164" s="55" t="b">
        <v>0</v>
      </c>
      <c r="M164" s="56"/>
      <c r="N164" s="57" t="b">
        <v>0</v>
      </c>
      <c r="O164" s="58"/>
      <c r="P164" s="59" t="b">
        <v>0</v>
      </c>
      <c r="Q164" s="129"/>
      <c r="R164" s="60"/>
      <c r="S164" s="47" t="b">
        <v>0</v>
      </c>
      <c r="T164" s="61"/>
      <c r="U164" s="54"/>
      <c r="V164" s="54">
        <f t="shared" si="1"/>
        <v>0</v>
      </c>
      <c r="W164" s="49"/>
      <c r="X164" s="49"/>
    </row>
    <row r="165" spans="1:24" ht="15.75" customHeight="1">
      <c r="A165" s="1"/>
      <c r="B165" s="1"/>
      <c r="C165" s="71"/>
      <c r="D165" s="53"/>
      <c r="E165" s="53"/>
      <c r="F165" s="66"/>
      <c r="G165" s="69"/>
      <c r="H165" s="69"/>
      <c r="I165" s="69"/>
      <c r="J165" s="70"/>
      <c r="K165" s="54">
        <f t="shared" si="3"/>
        <v>0</v>
      </c>
      <c r="L165" s="55" t="b">
        <v>0</v>
      </c>
      <c r="M165" s="56"/>
      <c r="N165" s="57" t="b">
        <v>0</v>
      </c>
      <c r="O165" s="58"/>
      <c r="P165" s="59" t="b">
        <v>0</v>
      </c>
      <c r="Q165" s="129"/>
      <c r="R165" s="60"/>
      <c r="S165" s="47" t="b">
        <v>0</v>
      </c>
      <c r="T165" s="61"/>
      <c r="U165" s="54"/>
      <c r="V165" s="54">
        <f t="shared" si="1"/>
        <v>0</v>
      </c>
      <c r="W165" s="49"/>
      <c r="X165" s="49"/>
    </row>
    <row r="166" spans="1:24" ht="15.75" customHeight="1">
      <c r="A166" s="1"/>
      <c r="B166" s="1"/>
      <c r="C166" s="71"/>
      <c r="D166" s="53"/>
      <c r="E166" s="53"/>
      <c r="F166" s="66"/>
      <c r="G166" s="69"/>
      <c r="H166" s="69"/>
      <c r="I166" s="69"/>
      <c r="J166" s="70"/>
      <c r="K166" s="54">
        <f t="shared" si="3"/>
        <v>0</v>
      </c>
      <c r="L166" s="55" t="b">
        <v>0</v>
      </c>
      <c r="M166" s="56"/>
      <c r="N166" s="57" t="b">
        <v>0</v>
      </c>
      <c r="O166" s="58"/>
      <c r="P166" s="59" t="b">
        <v>0</v>
      </c>
      <c r="Q166" s="129"/>
      <c r="R166" s="60"/>
      <c r="S166" s="47" t="b">
        <v>0</v>
      </c>
      <c r="T166" s="61"/>
      <c r="U166" s="54"/>
      <c r="V166" s="54">
        <f t="shared" si="1"/>
        <v>0</v>
      </c>
      <c r="W166" s="49"/>
      <c r="X166" s="49"/>
    </row>
    <row r="167" spans="1:24" ht="15.75" customHeight="1">
      <c r="A167" s="1"/>
      <c r="B167" s="1"/>
      <c r="C167" s="71"/>
      <c r="D167" s="53"/>
      <c r="E167" s="53"/>
      <c r="F167" s="66"/>
      <c r="G167" s="69"/>
      <c r="H167" s="69"/>
      <c r="I167" s="69"/>
      <c r="J167" s="70"/>
      <c r="K167" s="54">
        <f t="shared" si="3"/>
        <v>0</v>
      </c>
      <c r="L167" s="55" t="b">
        <v>0</v>
      </c>
      <c r="M167" s="56"/>
      <c r="N167" s="57" t="b">
        <v>0</v>
      </c>
      <c r="O167" s="58"/>
      <c r="P167" s="59" t="b">
        <v>0</v>
      </c>
      <c r="Q167" s="129"/>
      <c r="R167" s="60"/>
      <c r="S167" s="47" t="b">
        <v>0</v>
      </c>
      <c r="T167" s="61"/>
      <c r="U167" s="54"/>
      <c r="V167" s="54">
        <f t="shared" si="1"/>
        <v>0</v>
      </c>
      <c r="W167" s="49"/>
      <c r="X167" s="49"/>
    </row>
    <row r="168" spans="1:24" ht="15.75" customHeight="1">
      <c r="A168" s="1"/>
      <c r="B168" s="1"/>
      <c r="C168" s="71"/>
      <c r="D168" s="53"/>
      <c r="E168" s="53"/>
      <c r="F168" s="66"/>
      <c r="G168" s="69"/>
      <c r="H168" s="69"/>
      <c r="I168" s="69"/>
      <c r="J168" s="70"/>
      <c r="K168" s="54">
        <f t="shared" si="3"/>
        <v>0</v>
      </c>
      <c r="L168" s="55" t="b">
        <v>0</v>
      </c>
      <c r="M168" s="56"/>
      <c r="N168" s="57" t="b">
        <v>0</v>
      </c>
      <c r="O168" s="58"/>
      <c r="P168" s="59" t="b">
        <v>0</v>
      </c>
      <c r="Q168" s="129"/>
      <c r="R168" s="60"/>
      <c r="S168" s="47" t="b">
        <v>0</v>
      </c>
      <c r="T168" s="61"/>
      <c r="U168" s="54"/>
      <c r="V168" s="54">
        <f t="shared" si="1"/>
        <v>0</v>
      </c>
      <c r="W168" s="49"/>
      <c r="X168" s="49"/>
    </row>
    <row r="169" spans="1:24" ht="15.75" customHeight="1">
      <c r="A169" s="1"/>
      <c r="B169" s="1"/>
      <c r="C169" s="71"/>
      <c r="D169" s="53"/>
      <c r="E169" s="53"/>
      <c r="F169" s="66"/>
      <c r="G169" s="69"/>
      <c r="H169" s="69"/>
      <c r="I169" s="69"/>
      <c r="J169" s="70"/>
      <c r="K169" s="54">
        <f t="shared" si="3"/>
        <v>0</v>
      </c>
      <c r="L169" s="55" t="b">
        <v>0</v>
      </c>
      <c r="M169" s="56"/>
      <c r="N169" s="57" t="b">
        <v>0</v>
      </c>
      <c r="O169" s="58"/>
      <c r="P169" s="59" t="b">
        <v>0</v>
      </c>
      <c r="Q169" s="129"/>
      <c r="R169" s="60"/>
      <c r="S169" s="47" t="b">
        <v>0</v>
      </c>
      <c r="T169" s="61"/>
      <c r="U169" s="54"/>
      <c r="V169" s="54">
        <f t="shared" si="1"/>
        <v>0</v>
      </c>
      <c r="W169" s="49"/>
      <c r="X169" s="49"/>
    </row>
    <row r="170" spans="1:24" ht="15.75" customHeight="1">
      <c r="A170" s="1"/>
      <c r="B170" s="1"/>
      <c r="C170" s="71"/>
      <c r="D170" s="53"/>
      <c r="E170" s="53"/>
      <c r="F170" s="66"/>
      <c r="G170" s="69"/>
      <c r="H170" s="69"/>
      <c r="I170" s="69"/>
      <c r="J170" s="70"/>
      <c r="K170" s="54">
        <f t="shared" si="3"/>
        <v>0</v>
      </c>
      <c r="L170" s="55" t="b">
        <v>0</v>
      </c>
      <c r="M170" s="56"/>
      <c r="N170" s="57" t="b">
        <v>0</v>
      </c>
      <c r="O170" s="58"/>
      <c r="P170" s="59" t="b">
        <v>0</v>
      </c>
      <c r="Q170" s="129"/>
      <c r="R170" s="60"/>
      <c r="S170" s="47" t="b">
        <v>0</v>
      </c>
      <c r="T170" s="61"/>
      <c r="U170" s="54"/>
      <c r="V170" s="54">
        <f t="shared" si="1"/>
        <v>0</v>
      </c>
      <c r="W170" s="49"/>
      <c r="X170" s="49"/>
    </row>
    <row r="171" spans="1:24" ht="15.75" customHeight="1">
      <c r="A171" s="1"/>
      <c r="B171" s="1"/>
      <c r="C171" s="71"/>
      <c r="D171" s="53"/>
      <c r="E171" s="53"/>
      <c r="F171" s="66"/>
      <c r="G171" s="69"/>
      <c r="H171" s="69"/>
      <c r="I171" s="69"/>
      <c r="J171" s="70"/>
      <c r="K171" s="54">
        <f t="shared" si="3"/>
        <v>0</v>
      </c>
      <c r="L171" s="55" t="b">
        <v>0</v>
      </c>
      <c r="M171" s="56"/>
      <c r="N171" s="57" t="b">
        <v>0</v>
      </c>
      <c r="O171" s="58"/>
      <c r="P171" s="59" t="b">
        <v>0</v>
      </c>
      <c r="Q171" s="129"/>
      <c r="R171" s="60"/>
      <c r="S171" s="47" t="b">
        <v>0</v>
      </c>
      <c r="T171" s="61"/>
      <c r="U171" s="54"/>
      <c r="V171" s="54">
        <f t="shared" si="1"/>
        <v>0</v>
      </c>
      <c r="W171" s="49"/>
      <c r="X171" s="49"/>
    </row>
    <row r="172" spans="1:24" ht="15.75" customHeight="1">
      <c r="A172" s="1"/>
      <c r="B172" s="1"/>
      <c r="C172" s="71"/>
      <c r="D172" s="53"/>
      <c r="E172" s="53"/>
      <c r="F172" s="66"/>
      <c r="G172" s="69"/>
      <c r="H172" s="69"/>
      <c r="I172" s="69"/>
      <c r="J172" s="70"/>
      <c r="K172" s="54">
        <f t="shared" si="3"/>
        <v>0</v>
      </c>
      <c r="L172" s="55" t="b">
        <v>0</v>
      </c>
      <c r="M172" s="56"/>
      <c r="N172" s="57" t="b">
        <v>0</v>
      </c>
      <c r="O172" s="58"/>
      <c r="P172" s="59" t="b">
        <v>0</v>
      </c>
      <c r="Q172" s="129"/>
      <c r="R172" s="60"/>
      <c r="S172" s="47" t="b">
        <v>0</v>
      </c>
      <c r="T172" s="61"/>
      <c r="U172" s="54"/>
      <c r="V172" s="54">
        <f t="shared" si="1"/>
        <v>0</v>
      </c>
      <c r="W172" s="49"/>
      <c r="X172" s="49"/>
    </row>
    <row r="173" spans="1:24" ht="15.75" customHeight="1">
      <c r="A173" s="1"/>
      <c r="B173" s="1"/>
      <c r="C173" s="71"/>
      <c r="D173" s="53"/>
      <c r="E173" s="53"/>
      <c r="F173" s="66"/>
      <c r="G173" s="69"/>
      <c r="H173" s="69"/>
      <c r="I173" s="69"/>
      <c r="J173" s="70"/>
      <c r="K173" s="54">
        <f t="shared" si="3"/>
        <v>0</v>
      </c>
      <c r="L173" s="55" t="b">
        <v>0</v>
      </c>
      <c r="M173" s="56"/>
      <c r="N173" s="57" t="b">
        <v>0</v>
      </c>
      <c r="O173" s="58"/>
      <c r="P173" s="59" t="b">
        <v>0</v>
      </c>
      <c r="Q173" s="129"/>
      <c r="R173" s="60"/>
      <c r="S173" s="47" t="b">
        <v>0</v>
      </c>
      <c r="T173" s="61"/>
      <c r="U173" s="54"/>
      <c r="V173" s="54">
        <f t="shared" si="1"/>
        <v>0</v>
      </c>
      <c r="W173" s="49"/>
      <c r="X173" s="49"/>
    </row>
    <row r="174" spans="1:24" ht="15.75" customHeight="1">
      <c r="A174" s="1"/>
      <c r="B174" s="1"/>
      <c r="C174" s="71"/>
      <c r="D174" s="53"/>
      <c r="E174" s="53"/>
      <c r="F174" s="66"/>
      <c r="G174" s="69"/>
      <c r="H174" s="69"/>
      <c r="I174" s="69"/>
      <c r="J174" s="70"/>
      <c r="K174" s="54">
        <f t="shared" si="3"/>
        <v>0</v>
      </c>
      <c r="L174" s="55" t="b">
        <v>0</v>
      </c>
      <c r="M174" s="56"/>
      <c r="N174" s="57" t="b">
        <v>0</v>
      </c>
      <c r="O174" s="58"/>
      <c r="P174" s="59" t="b">
        <v>0</v>
      </c>
      <c r="Q174" s="129"/>
      <c r="R174" s="60"/>
      <c r="S174" s="47" t="b">
        <v>0</v>
      </c>
      <c r="T174" s="61"/>
      <c r="U174" s="54"/>
      <c r="V174" s="54">
        <f t="shared" si="1"/>
        <v>0</v>
      </c>
      <c r="W174" s="49"/>
      <c r="X174" s="49"/>
    </row>
    <row r="175" spans="1:24" ht="15.75" customHeight="1">
      <c r="A175" s="1"/>
      <c r="B175" s="1"/>
      <c r="C175" s="71"/>
      <c r="D175" s="53"/>
      <c r="E175" s="53"/>
      <c r="F175" s="66"/>
      <c r="G175" s="69"/>
      <c r="H175" s="69"/>
      <c r="I175" s="69"/>
      <c r="J175" s="70"/>
      <c r="K175" s="54">
        <f t="shared" si="3"/>
        <v>0</v>
      </c>
      <c r="L175" s="55" t="b">
        <v>0</v>
      </c>
      <c r="M175" s="56"/>
      <c r="N175" s="57" t="b">
        <v>0</v>
      </c>
      <c r="O175" s="58"/>
      <c r="P175" s="59" t="b">
        <v>0</v>
      </c>
      <c r="Q175" s="129"/>
      <c r="R175" s="60"/>
      <c r="S175" s="47" t="b">
        <v>0</v>
      </c>
      <c r="T175" s="61"/>
      <c r="U175" s="54"/>
      <c r="V175" s="54">
        <f t="shared" si="1"/>
        <v>0</v>
      </c>
      <c r="W175" s="49"/>
      <c r="X175" s="49"/>
    </row>
    <row r="176" spans="1:24" ht="15.75" customHeight="1">
      <c r="A176" s="1"/>
      <c r="B176" s="1"/>
      <c r="C176" s="71"/>
      <c r="D176" s="53"/>
      <c r="E176" s="53"/>
      <c r="F176" s="66"/>
      <c r="G176" s="69"/>
      <c r="H176" s="69"/>
      <c r="I176" s="69"/>
      <c r="J176" s="70"/>
      <c r="K176" s="54">
        <f t="shared" si="3"/>
        <v>0</v>
      </c>
      <c r="L176" s="55" t="b">
        <v>0</v>
      </c>
      <c r="M176" s="56"/>
      <c r="N176" s="57" t="b">
        <v>0</v>
      </c>
      <c r="O176" s="58"/>
      <c r="P176" s="59" t="b">
        <v>0</v>
      </c>
      <c r="Q176" s="129"/>
      <c r="R176" s="60"/>
      <c r="S176" s="47" t="b">
        <v>0</v>
      </c>
      <c r="T176" s="61"/>
      <c r="U176" s="54"/>
      <c r="V176" s="54">
        <f t="shared" si="1"/>
        <v>0</v>
      </c>
      <c r="W176" s="49"/>
      <c r="X176" s="49"/>
    </row>
    <row r="177" spans="1:24" ht="15.75" customHeight="1">
      <c r="A177" s="1"/>
      <c r="B177" s="1"/>
      <c r="C177" s="71"/>
      <c r="D177" s="53"/>
      <c r="E177" s="53"/>
      <c r="F177" s="66"/>
      <c r="G177" s="69"/>
      <c r="H177" s="69"/>
      <c r="I177" s="69"/>
      <c r="J177" s="70"/>
      <c r="K177" s="54">
        <f t="shared" si="3"/>
        <v>0</v>
      </c>
      <c r="L177" s="55" t="b">
        <v>0</v>
      </c>
      <c r="M177" s="56"/>
      <c r="N177" s="57" t="b">
        <v>0</v>
      </c>
      <c r="O177" s="58"/>
      <c r="P177" s="59" t="b">
        <v>0</v>
      </c>
      <c r="Q177" s="129"/>
      <c r="R177" s="60"/>
      <c r="S177" s="47" t="b">
        <v>0</v>
      </c>
      <c r="T177" s="61"/>
      <c r="U177" s="54"/>
      <c r="V177" s="54">
        <f t="shared" si="1"/>
        <v>0</v>
      </c>
      <c r="W177" s="49"/>
      <c r="X177" s="49"/>
    </row>
    <row r="178" spans="1:24" ht="15.75" customHeight="1">
      <c r="A178" s="1"/>
      <c r="B178" s="1"/>
      <c r="C178" s="71"/>
      <c r="D178" s="53"/>
      <c r="E178" s="53"/>
      <c r="F178" s="66"/>
      <c r="G178" s="69"/>
      <c r="H178" s="69"/>
      <c r="I178" s="69"/>
      <c r="J178" s="70"/>
      <c r="K178" s="54">
        <f t="shared" si="3"/>
        <v>0</v>
      </c>
      <c r="L178" s="55" t="b">
        <v>0</v>
      </c>
      <c r="M178" s="56"/>
      <c r="N178" s="57" t="b">
        <v>0</v>
      </c>
      <c r="O178" s="58"/>
      <c r="P178" s="59" t="b">
        <v>0</v>
      </c>
      <c r="Q178" s="129"/>
      <c r="R178" s="60"/>
      <c r="S178" s="47" t="b">
        <v>0</v>
      </c>
      <c r="T178" s="61"/>
      <c r="U178" s="54"/>
      <c r="V178" s="54">
        <f t="shared" si="1"/>
        <v>0</v>
      </c>
      <c r="W178" s="49"/>
      <c r="X178" s="49"/>
    </row>
    <row r="179" spans="1:24" ht="15.75" customHeight="1">
      <c r="A179" s="1"/>
      <c r="B179" s="1"/>
      <c r="C179" s="71"/>
      <c r="D179" s="53"/>
      <c r="E179" s="53"/>
      <c r="F179" s="66"/>
      <c r="G179" s="69"/>
      <c r="H179" s="69"/>
      <c r="I179" s="69"/>
      <c r="J179" s="70"/>
      <c r="K179" s="54">
        <f t="shared" si="3"/>
        <v>0</v>
      </c>
      <c r="L179" s="55" t="b">
        <v>0</v>
      </c>
      <c r="M179" s="56"/>
      <c r="N179" s="57" t="b">
        <v>0</v>
      </c>
      <c r="O179" s="58"/>
      <c r="P179" s="59" t="b">
        <v>0</v>
      </c>
      <c r="Q179" s="129"/>
      <c r="R179" s="60"/>
      <c r="S179" s="47" t="b">
        <v>0</v>
      </c>
      <c r="T179" s="61"/>
      <c r="U179" s="54"/>
      <c r="V179" s="54">
        <f t="shared" si="1"/>
        <v>0</v>
      </c>
      <c r="W179" s="49"/>
      <c r="X179" s="49"/>
    </row>
    <row r="180" spans="1:24" ht="15.75" customHeight="1">
      <c r="A180" s="1"/>
      <c r="B180" s="1"/>
      <c r="C180" s="71"/>
      <c r="D180" s="53"/>
      <c r="E180" s="53"/>
      <c r="F180" s="66"/>
      <c r="G180" s="69"/>
      <c r="H180" s="69"/>
      <c r="I180" s="69"/>
      <c r="J180" s="70"/>
      <c r="K180" s="54">
        <f t="shared" si="3"/>
        <v>0</v>
      </c>
      <c r="L180" s="55" t="b">
        <v>0</v>
      </c>
      <c r="M180" s="56"/>
      <c r="N180" s="57" t="b">
        <v>0</v>
      </c>
      <c r="O180" s="58"/>
      <c r="P180" s="59" t="b">
        <v>0</v>
      </c>
      <c r="Q180" s="129"/>
      <c r="R180" s="60"/>
      <c r="S180" s="47" t="b">
        <v>0</v>
      </c>
      <c r="T180" s="61"/>
      <c r="U180" s="54"/>
      <c r="V180" s="54">
        <f t="shared" si="1"/>
        <v>0</v>
      </c>
      <c r="W180" s="49"/>
      <c r="X180" s="49"/>
    </row>
    <row r="181" spans="1:24" ht="15.75" customHeight="1">
      <c r="A181" s="1"/>
      <c r="B181" s="1"/>
      <c r="C181" s="71"/>
      <c r="D181" s="53"/>
      <c r="E181" s="53"/>
      <c r="F181" s="66"/>
      <c r="G181" s="69"/>
      <c r="H181" s="69"/>
      <c r="I181" s="69"/>
      <c r="J181" s="70"/>
      <c r="K181" s="54">
        <f t="shared" si="3"/>
        <v>0</v>
      </c>
      <c r="L181" s="55" t="b">
        <v>0</v>
      </c>
      <c r="M181" s="56"/>
      <c r="N181" s="57" t="b">
        <v>0</v>
      </c>
      <c r="O181" s="58"/>
      <c r="P181" s="59" t="b">
        <v>0</v>
      </c>
      <c r="Q181" s="129"/>
      <c r="R181" s="60"/>
      <c r="S181" s="47" t="b">
        <v>0</v>
      </c>
      <c r="T181" s="61"/>
      <c r="U181" s="54"/>
      <c r="V181" s="54">
        <f t="shared" si="1"/>
        <v>0</v>
      </c>
      <c r="W181" s="49"/>
      <c r="X181" s="49"/>
    </row>
    <row r="182" spans="1:24" ht="15.75" customHeight="1">
      <c r="A182" s="1"/>
      <c r="B182" s="1"/>
      <c r="C182" s="71"/>
      <c r="D182" s="53"/>
      <c r="E182" s="53"/>
      <c r="F182" s="66"/>
      <c r="G182" s="69"/>
      <c r="H182" s="69"/>
      <c r="I182" s="69"/>
      <c r="J182" s="70"/>
      <c r="K182" s="54"/>
      <c r="L182" s="55"/>
      <c r="M182" s="56"/>
      <c r="N182" s="57"/>
      <c r="O182" s="58"/>
      <c r="P182" s="59"/>
      <c r="Q182" s="129"/>
      <c r="R182" s="60"/>
      <c r="S182" s="47"/>
      <c r="T182" s="61"/>
      <c r="U182" s="54"/>
      <c r="V182" s="54"/>
      <c r="W182" s="49"/>
      <c r="X182" s="49"/>
    </row>
    <row r="183" spans="1:24" ht="15.75" customHeight="1">
      <c r="A183" s="1"/>
      <c r="B183" s="1"/>
      <c r="C183" s="71"/>
      <c r="D183" s="53"/>
      <c r="E183" s="53"/>
      <c r="F183" s="66"/>
      <c r="G183" s="69"/>
      <c r="H183" s="69"/>
      <c r="I183" s="69"/>
      <c r="J183" s="70"/>
      <c r="K183" s="54"/>
      <c r="L183" s="55"/>
      <c r="M183" s="56"/>
      <c r="N183" s="57"/>
      <c r="O183" s="58"/>
      <c r="P183" s="59"/>
      <c r="Q183" s="129"/>
      <c r="R183" s="60"/>
      <c r="S183" s="47"/>
      <c r="T183" s="61"/>
      <c r="U183" s="54"/>
      <c r="V183" s="54"/>
      <c r="W183" s="49"/>
      <c r="X183" s="49"/>
    </row>
    <row r="184" spans="1:24" ht="15.75" customHeight="1">
      <c r="A184" s="1"/>
      <c r="B184" s="1"/>
      <c r="C184" s="71"/>
      <c r="D184" s="53"/>
      <c r="E184" s="53"/>
      <c r="F184" s="66"/>
      <c r="G184" s="69"/>
      <c r="H184" s="69"/>
      <c r="I184" s="69"/>
      <c r="J184" s="70"/>
      <c r="K184" s="54"/>
      <c r="L184" s="55"/>
      <c r="M184" s="56"/>
      <c r="N184" s="57"/>
      <c r="O184" s="58"/>
      <c r="P184" s="59"/>
      <c r="Q184" s="129"/>
      <c r="R184" s="60"/>
      <c r="S184" s="47"/>
      <c r="T184" s="61"/>
      <c r="U184" s="54"/>
      <c r="V184" s="54"/>
      <c r="W184" s="49"/>
      <c r="X184" s="49"/>
    </row>
    <row r="185" spans="1:24" ht="15.75" customHeight="1">
      <c r="A185" s="1"/>
      <c r="B185" s="1"/>
      <c r="C185" s="71"/>
      <c r="D185" s="53"/>
      <c r="E185" s="53"/>
      <c r="F185" s="66"/>
      <c r="G185" s="69"/>
      <c r="H185" s="69"/>
      <c r="I185" s="69"/>
      <c r="J185" s="70"/>
      <c r="K185" s="54"/>
      <c r="L185" s="55"/>
      <c r="M185" s="56"/>
      <c r="N185" s="57"/>
      <c r="O185" s="58"/>
      <c r="P185" s="59"/>
      <c r="Q185" s="129"/>
      <c r="R185" s="60"/>
      <c r="S185" s="47"/>
      <c r="T185" s="61"/>
      <c r="U185" s="54"/>
      <c r="V185" s="54"/>
      <c r="W185" s="49"/>
      <c r="X185" s="49"/>
    </row>
    <row r="186" spans="1:24" ht="15.75" customHeight="1">
      <c r="A186" s="1"/>
      <c r="B186" s="1"/>
      <c r="C186" s="71"/>
      <c r="D186" s="53"/>
      <c r="E186" s="53"/>
      <c r="F186" s="66"/>
      <c r="G186" s="69"/>
      <c r="H186" s="69"/>
      <c r="I186" s="69"/>
      <c r="J186" s="70"/>
      <c r="K186" s="54"/>
      <c r="L186" s="55"/>
      <c r="M186" s="56"/>
      <c r="N186" s="57"/>
      <c r="O186" s="58"/>
      <c r="P186" s="59"/>
      <c r="Q186" s="129"/>
      <c r="R186" s="60"/>
      <c r="S186" s="47"/>
      <c r="T186" s="61"/>
      <c r="U186" s="54"/>
      <c r="V186" s="54"/>
      <c r="W186" s="49"/>
      <c r="X186" s="49"/>
    </row>
    <row r="187" spans="1:24" ht="15.75" customHeight="1">
      <c r="A187" s="1"/>
      <c r="B187" s="1"/>
      <c r="C187" s="71"/>
      <c r="D187" s="53"/>
      <c r="E187" s="53"/>
      <c r="F187" s="66"/>
      <c r="G187" s="69"/>
      <c r="H187" s="69"/>
      <c r="I187" s="69"/>
      <c r="J187" s="70"/>
      <c r="K187" s="54"/>
      <c r="L187" s="55"/>
      <c r="M187" s="56"/>
      <c r="N187" s="57"/>
      <c r="O187" s="58"/>
      <c r="P187" s="59"/>
      <c r="Q187" s="129"/>
      <c r="R187" s="60"/>
      <c r="S187" s="47"/>
      <c r="T187" s="61"/>
      <c r="U187" s="54"/>
      <c r="V187" s="54"/>
      <c r="W187" s="49"/>
      <c r="X187" s="49"/>
    </row>
    <row r="188" spans="1:24" ht="15.75" customHeight="1">
      <c r="A188" s="1"/>
      <c r="B188" s="1"/>
      <c r="C188" s="71"/>
      <c r="D188" s="53"/>
      <c r="E188" s="53"/>
      <c r="F188" s="66"/>
      <c r="G188" s="69"/>
      <c r="H188" s="69"/>
      <c r="I188" s="69"/>
      <c r="J188" s="70"/>
      <c r="K188" s="54"/>
      <c r="L188" s="55"/>
      <c r="M188" s="56"/>
      <c r="N188" s="57"/>
      <c r="O188" s="58"/>
      <c r="P188" s="59"/>
      <c r="Q188" s="129"/>
      <c r="R188" s="60"/>
      <c r="S188" s="47"/>
      <c r="T188" s="61"/>
      <c r="U188" s="54"/>
      <c r="V188" s="54"/>
      <c r="W188" s="49"/>
      <c r="X188" s="49"/>
    </row>
    <row r="189" spans="1:24" ht="15.75" customHeight="1">
      <c r="A189" s="1"/>
      <c r="B189" s="1"/>
      <c r="C189" s="1"/>
      <c r="D189" s="1"/>
      <c r="E189" s="1"/>
      <c r="F189" s="1"/>
      <c r="G189" s="18"/>
      <c r="H189" s="1"/>
      <c r="I189" s="1"/>
      <c r="J189" s="8"/>
      <c r="K189" s="8"/>
      <c r="L189" s="1"/>
      <c r="M189" s="1"/>
      <c r="N189" s="9"/>
      <c r="O189" s="10"/>
      <c r="P189" s="1"/>
      <c r="Q189" s="126"/>
      <c r="R189" s="1"/>
      <c r="S189" s="1"/>
      <c r="T189" s="1"/>
      <c r="U189" s="1"/>
    </row>
    <row r="190" spans="1:24" ht="15.75" customHeight="1">
      <c r="A190" s="1"/>
      <c r="B190" s="1"/>
      <c r="C190" s="1"/>
      <c r="D190" s="1"/>
      <c r="E190" s="1"/>
      <c r="F190" s="1"/>
      <c r="G190" s="18"/>
      <c r="H190" s="1"/>
      <c r="I190" s="1"/>
      <c r="J190" s="8"/>
      <c r="K190" s="8"/>
      <c r="L190" s="1"/>
      <c r="M190" s="1"/>
      <c r="N190" s="9"/>
      <c r="O190" s="10"/>
      <c r="P190" s="1"/>
      <c r="Q190" s="126"/>
      <c r="R190" s="1"/>
      <c r="S190" s="1"/>
      <c r="T190" s="1"/>
      <c r="U190" s="1"/>
    </row>
    <row r="191" spans="1:24" ht="15.75" customHeight="1">
      <c r="A191" s="1"/>
      <c r="B191" s="1"/>
      <c r="C191" s="1"/>
      <c r="D191" s="1"/>
      <c r="E191" s="1"/>
      <c r="F191" s="1"/>
      <c r="G191" s="18"/>
      <c r="H191" s="1"/>
      <c r="I191" s="1"/>
      <c r="J191" s="8"/>
      <c r="K191" s="8"/>
      <c r="L191" s="1"/>
      <c r="M191" s="1"/>
      <c r="N191" s="9"/>
      <c r="O191" s="10"/>
      <c r="P191" s="1"/>
      <c r="Q191" s="126"/>
      <c r="R191" s="1"/>
      <c r="S191" s="1"/>
      <c r="T191" s="1"/>
      <c r="U191" s="1"/>
    </row>
    <row r="192" spans="1:24" ht="15.75" customHeight="1">
      <c r="A192" s="1"/>
      <c r="B192" s="1"/>
      <c r="C192" s="1"/>
      <c r="D192" s="1"/>
      <c r="E192" s="1"/>
      <c r="F192" s="1"/>
      <c r="G192" s="18"/>
      <c r="H192" s="1"/>
      <c r="I192" s="1"/>
      <c r="J192" s="8"/>
      <c r="K192" s="8"/>
      <c r="L192" s="1"/>
      <c r="M192" s="1"/>
      <c r="N192" s="9"/>
      <c r="O192" s="10"/>
      <c r="P192" s="1"/>
      <c r="Q192" s="126"/>
      <c r="R192" s="1"/>
      <c r="S192" s="1"/>
      <c r="T192" s="1"/>
      <c r="U192" s="1"/>
    </row>
    <row r="193" spans="1:21" ht="15.75" customHeight="1">
      <c r="A193" s="1"/>
      <c r="B193" s="1"/>
      <c r="C193" s="1"/>
      <c r="D193" s="1"/>
      <c r="E193" s="1"/>
      <c r="F193" s="1"/>
      <c r="G193" s="18"/>
      <c r="H193" s="1"/>
      <c r="I193" s="1"/>
      <c r="J193" s="8"/>
      <c r="K193" s="8"/>
      <c r="L193" s="1"/>
      <c r="M193" s="1"/>
      <c r="N193" s="9"/>
      <c r="O193" s="10"/>
      <c r="P193" s="1"/>
      <c r="Q193" s="126"/>
      <c r="R193" s="1"/>
      <c r="S193" s="1"/>
      <c r="T193" s="1"/>
      <c r="U193" s="1"/>
    </row>
    <row r="194" spans="1:21" ht="15.75" customHeight="1">
      <c r="A194" s="1"/>
      <c r="B194" s="1"/>
      <c r="C194" s="1"/>
      <c r="D194" s="1"/>
      <c r="E194" s="1"/>
      <c r="F194" s="1"/>
      <c r="G194" s="18"/>
      <c r="H194" s="1"/>
      <c r="I194" s="1"/>
      <c r="J194" s="8"/>
      <c r="K194" s="8"/>
      <c r="L194" s="1"/>
      <c r="M194" s="1"/>
      <c r="N194" s="9"/>
      <c r="O194" s="10"/>
      <c r="P194" s="1"/>
      <c r="Q194" s="126"/>
      <c r="R194" s="1"/>
      <c r="S194" s="1"/>
      <c r="T194" s="1"/>
      <c r="U194" s="1"/>
    </row>
    <row r="195" spans="1:21" ht="15.75" customHeight="1">
      <c r="A195" s="1"/>
      <c r="B195" s="1"/>
      <c r="C195" s="1"/>
      <c r="D195" s="1"/>
      <c r="E195" s="1"/>
      <c r="F195" s="1"/>
      <c r="G195" s="18"/>
      <c r="H195" s="1"/>
      <c r="I195" s="1"/>
      <c r="J195" s="8"/>
      <c r="K195" s="8"/>
      <c r="L195" s="1"/>
      <c r="M195" s="1"/>
      <c r="N195" s="9"/>
      <c r="O195" s="10"/>
      <c r="P195" s="1"/>
      <c r="Q195" s="126"/>
      <c r="R195" s="1"/>
      <c r="S195" s="1"/>
      <c r="T195" s="1"/>
      <c r="U195" s="1"/>
    </row>
    <row r="196" spans="1:21" ht="15.75" customHeight="1">
      <c r="A196" s="1"/>
      <c r="B196" s="1"/>
      <c r="C196" s="1"/>
      <c r="D196" s="1"/>
      <c r="E196" s="1"/>
      <c r="F196" s="1"/>
      <c r="G196" s="18"/>
      <c r="H196" s="1"/>
      <c r="I196" s="1"/>
      <c r="J196" s="8"/>
      <c r="K196" s="8"/>
      <c r="L196" s="1"/>
      <c r="M196" s="1"/>
      <c r="N196" s="9"/>
      <c r="O196" s="10"/>
      <c r="P196" s="1"/>
      <c r="Q196" s="126"/>
      <c r="R196" s="1"/>
      <c r="S196" s="1"/>
      <c r="T196" s="1"/>
      <c r="U196" s="1"/>
    </row>
    <row r="197" spans="1:21" ht="15.75" customHeight="1">
      <c r="A197" s="1"/>
      <c r="B197" s="1"/>
      <c r="C197" s="1"/>
      <c r="D197" s="1"/>
      <c r="E197" s="1"/>
      <c r="F197" s="1"/>
      <c r="G197" s="18"/>
      <c r="H197" s="1"/>
      <c r="I197" s="1"/>
      <c r="J197" s="8"/>
      <c r="K197" s="8"/>
      <c r="L197" s="1"/>
      <c r="M197" s="1"/>
      <c r="N197" s="9"/>
      <c r="O197" s="10"/>
      <c r="P197" s="1"/>
      <c r="Q197" s="126"/>
      <c r="R197" s="1"/>
      <c r="S197" s="1"/>
      <c r="T197" s="1"/>
      <c r="U197" s="1"/>
    </row>
    <row r="198" spans="1:21" ht="15.75" customHeight="1">
      <c r="A198" s="1"/>
      <c r="B198" s="1"/>
      <c r="C198" s="1"/>
      <c r="D198" s="1"/>
      <c r="E198" s="1"/>
      <c r="F198" s="1"/>
      <c r="G198" s="18"/>
      <c r="H198" s="1"/>
      <c r="I198" s="1"/>
      <c r="J198" s="8"/>
      <c r="K198" s="8"/>
      <c r="L198" s="1"/>
      <c r="M198" s="1"/>
      <c r="N198" s="9"/>
      <c r="O198" s="10"/>
      <c r="P198" s="1"/>
      <c r="Q198" s="126"/>
      <c r="R198" s="1"/>
      <c r="S198" s="1"/>
      <c r="T198" s="1"/>
      <c r="U198" s="1"/>
    </row>
    <row r="199" spans="1:21" ht="15.75" customHeight="1">
      <c r="A199" s="1"/>
      <c r="B199" s="1"/>
      <c r="C199" s="1"/>
      <c r="D199" s="1"/>
      <c r="E199" s="1"/>
      <c r="F199" s="1"/>
      <c r="G199" s="18"/>
      <c r="H199" s="1"/>
      <c r="I199" s="1"/>
      <c r="J199" s="8"/>
      <c r="K199" s="8"/>
      <c r="L199" s="1"/>
      <c r="M199" s="1"/>
      <c r="N199" s="9"/>
      <c r="O199" s="10"/>
      <c r="P199" s="1"/>
      <c r="Q199" s="126"/>
      <c r="R199" s="1"/>
      <c r="S199" s="1"/>
      <c r="T199" s="1"/>
      <c r="U199" s="1"/>
    </row>
    <row r="200" spans="1:21" ht="15.75" customHeight="1">
      <c r="A200" s="1"/>
      <c r="B200" s="1"/>
      <c r="C200" s="1"/>
      <c r="D200" s="1"/>
      <c r="E200" s="1"/>
      <c r="F200" s="1"/>
      <c r="G200" s="18"/>
      <c r="H200" s="1"/>
      <c r="I200" s="1"/>
      <c r="J200" s="8"/>
      <c r="K200" s="8"/>
      <c r="L200" s="1"/>
      <c r="M200" s="1"/>
      <c r="N200" s="9"/>
      <c r="O200" s="10"/>
      <c r="P200" s="1"/>
      <c r="Q200" s="126"/>
      <c r="R200" s="1"/>
      <c r="S200" s="1"/>
      <c r="T200" s="1"/>
      <c r="U200" s="1"/>
    </row>
    <row r="201" spans="1:21" ht="15.75" customHeight="1">
      <c r="A201" s="1"/>
      <c r="B201" s="1"/>
      <c r="C201" s="1"/>
      <c r="D201" s="1"/>
      <c r="E201" s="1"/>
      <c r="F201" s="1"/>
      <c r="G201" s="18"/>
      <c r="H201" s="1"/>
      <c r="I201" s="1"/>
      <c r="J201" s="8"/>
      <c r="K201" s="8"/>
      <c r="L201" s="1"/>
      <c r="M201" s="1"/>
      <c r="N201" s="9"/>
      <c r="O201" s="10"/>
      <c r="P201" s="1"/>
      <c r="Q201" s="126"/>
      <c r="R201" s="1"/>
      <c r="S201" s="1"/>
      <c r="T201" s="1"/>
      <c r="U201" s="1"/>
    </row>
    <row r="202" spans="1:21" ht="15.75" customHeight="1">
      <c r="A202" s="1"/>
      <c r="B202" s="1"/>
      <c r="C202" s="1"/>
      <c r="D202" s="1"/>
      <c r="E202" s="1"/>
      <c r="F202" s="1"/>
      <c r="G202" s="18"/>
      <c r="H202" s="1"/>
      <c r="I202" s="1"/>
      <c r="J202" s="8"/>
      <c r="K202" s="8"/>
      <c r="L202" s="1"/>
      <c r="M202" s="1"/>
      <c r="N202" s="9"/>
      <c r="O202" s="10"/>
      <c r="P202" s="1"/>
      <c r="Q202" s="126"/>
      <c r="R202" s="1"/>
      <c r="S202" s="1"/>
      <c r="T202" s="1"/>
      <c r="U202" s="1"/>
    </row>
    <row r="203" spans="1:21" ht="15.75" customHeight="1">
      <c r="A203" s="1"/>
      <c r="B203" s="1"/>
      <c r="C203" s="1"/>
      <c r="D203" s="1"/>
      <c r="E203" s="1"/>
      <c r="F203" s="1"/>
      <c r="G203" s="18"/>
      <c r="H203" s="1"/>
      <c r="I203" s="1"/>
      <c r="J203" s="8"/>
      <c r="K203" s="8"/>
      <c r="L203" s="1"/>
      <c r="M203" s="1"/>
      <c r="N203" s="9"/>
      <c r="O203" s="10"/>
      <c r="P203" s="1"/>
      <c r="Q203" s="126"/>
      <c r="R203" s="1"/>
      <c r="S203" s="1"/>
      <c r="T203" s="1"/>
      <c r="U203" s="1"/>
    </row>
    <row r="204" spans="1:21" ht="15.75" customHeight="1">
      <c r="A204" s="1"/>
      <c r="B204" s="1"/>
      <c r="C204" s="1"/>
      <c r="D204" s="1"/>
      <c r="E204" s="1"/>
      <c r="F204" s="1"/>
      <c r="G204" s="18"/>
      <c r="H204" s="1"/>
      <c r="I204" s="1"/>
      <c r="J204" s="8"/>
      <c r="K204" s="8"/>
      <c r="L204" s="1"/>
      <c r="M204" s="1"/>
      <c r="N204" s="9"/>
      <c r="O204" s="10"/>
      <c r="P204" s="1"/>
      <c r="Q204" s="126"/>
      <c r="R204" s="1"/>
      <c r="S204" s="1"/>
      <c r="T204" s="1"/>
      <c r="U204" s="1"/>
    </row>
    <row r="205" spans="1:21" ht="15.75" customHeight="1">
      <c r="A205" s="1"/>
      <c r="B205" s="1"/>
      <c r="C205" s="1"/>
      <c r="D205" s="1"/>
      <c r="E205" s="1"/>
      <c r="F205" s="1"/>
      <c r="G205" s="18"/>
      <c r="H205" s="1"/>
      <c r="I205" s="1"/>
      <c r="J205" s="8"/>
      <c r="K205" s="8"/>
      <c r="L205" s="1"/>
      <c r="M205" s="1"/>
      <c r="N205" s="9"/>
      <c r="O205" s="10"/>
      <c r="P205" s="1"/>
      <c r="Q205" s="126"/>
      <c r="R205" s="1"/>
      <c r="S205" s="1"/>
      <c r="T205" s="1"/>
      <c r="U205" s="1"/>
    </row>
    <row r="206" spans="1:21" ht="15.75" customHeight="1">
      <c r="A206" s="1"/>
      <c r="B206" s="1"/>
      <c r="C206" s="1"/>
      <c r="D206" s="1"/>
      <c r="E206" s="1"/>
      <c r="F206" s="1"/>
      <c r="G206" s="18"/>
      <c r="H206" s="1"/>
      <c r="I206" s="1"/>
      <c r="J206" s="8"/>
      <c r="K206" s="8"/>
      <c r="L206" s="1"/>
      <c r="M206" s="1"/>
      <c r="N206" s="9"/>
      <c r="O206" s="10"/>
      <c r="P206" s="1"/>
      <c r="Q206" s="126"/>
      <c r="R206" s="1"/>
      <c r="S206" s="1"/>
      <c r="T206" s="1"/>
      <c r="U206" s="1"/>
    </row>
    <row r="207" spans="1:21" ht="15.75" customHeight="1">
      <c r="A207" s="1"/>
      <c r="B207" s="1"/>
      <c r="C207" s="1"/>
      <c r="D207" s="1"/>
      <c r="E207" s="1"/>
      <c r="F207" s="1"/>
      <c r="G207" s="18"/>
      <c r="H207" s="1"/>
      <c r="I207" s="1"/>
      <c r="J207" s="8"/>
      <c r="K207" s="8"/>
      <c r="L207" s="1"/>
      <c r="M207" s="1"/>
      <c r="N207" s="9"/>
      <c r="O207" s="10"/>
      <c r="P207" s="1"/>
      <c r="Q207" s="126"/>
      <c r="R207" s="1"/>
      <c r="S207" s="1"/>
      <c r="T207" s="1"/>
      <c r="U207" s="1"/>
    </row>
    <row r="208" spans="1:21" ht="15.75" customHeight="1">
      <c r="A208" s="1"/>
      <c r="B208" s="1"/>
      <c r="C208" s="1"/>
      <c r="D208" s="1"/>
      <c r="E208" s="1"/>
      <c r="F208" s="1"/>
      <c r="G208" s="18"/>
      <c r="H208" s="1"/>
      <c r="I208" s="1"/>
      <c r="J208" s="8"/>
      <c r="K208" s="8"/>
      <c r="L208" s="1"/>
      <c r="M208" s="1"/>
      <c r="N208" s="9"/>
      <c r="O208" s="10"/>
      <c r="P208" s="1"/>
      <c r="Q208" s="126"/>
      <c r="R208" s="1"/>
      <c r="S208" s="1"/>
      <c r="T208" s="1"/>
      <c r="U208" s="1"/>
    </row>
    <row r="209" spans="1:21" ht="15.75" customHeight="1">
      <c r="A209" s="1"/>
      <c r="B209" s="1"/>
      <c r="C209" s="1"/>
      <c r="D209" s="1"/>
      <c r="E209" s="1"/>
      <c r="F209" s="1"/>
      <c r="G209" s="18"/>
      <c r="H209" s="1"/>
      <c r="I209" s="1"/>
      <c r="J209" s="8"/>
      <c r="K209" s="8"/>
      <c r="L209" s="1"/>
      <c r="M209" s="1"/>
      <c r="N209" s="9"/>
      <c r="O209" s="10"/>
      <c r="P209" s="1"/>
      <c r="Q209" s="126"/>
      <c r="R209" s="1"/>
      <c r="S209" s="1"/>
      <c r="T209" s="1"/>
      <c r="U209" s="1"/>
    </row>
    <row r="210" spans="1:21" ht="15.75" customHeight="1">
      <c r="A210" s="1"/>
      <c r="B210" s="1"/>
      <c r="C210" s="1"/>
      <c r="D210" s="1"/>
      <c r="E210" s="1"/>
      <c r="F210" s="1"/>
      <c r="G210" s="18"/>
      <c r="H210" s="1"/>
      <c r="I210" s="1"/>
      <c r="J210" s="8"/>
      <c r="K210" s="8"/>
      <c r="L210" s="1"/>
      <c r="M210" s="1"/>
      <c r="N210" s="9"/>
      <c r="O210" s="10"/>
      <c r="P210" s="1"/>
      <c r="Q210" s="126"/>
      <c r="R210" s="1"/>
      <c r="S210" s="1"/>
      <c r="T210" s="1"/>
      <c r="U210" s="1"/>
    </row>
    <row r="211" spans="1:21" ht="15.75" customHeight="1">
      <c r="A211" s="1"/>
      <c r="B211" s="1"/>
      <c r="C211" s="1"/>
      <c r="D211" s="1"/>
      <c r="E211" s="1"/>
      <c r="F211" s="1"/>
      <c r="G211" s="18"/>
      <c r="H211" s="1"/>
      <c r="I211" s="1"/>
      <c r="J211" s="8"/>
      <c r="K211" s="8"/>
      <c r="L211" s="1"/>
      <c r="M211" s="1"/>
      <c r="N211" s="9"/>
      <c r="O211" s="10"/>
      <c r="P211" s="1"/>
      <c r="Q211" s="126"/>
      <c r="R211" s="1"/>
      <c r="S211" s="1"/>
      <c r="T211" s="1"/>
      <c r="U211" s="1"/>
    </row>
    <row r="212" spans="1:21" ht="15.75" customHeight="1">
      <c r="A212" s="1"/>
      <c r="B212" s="1"/>
      <c r="C212" s="1"/>
      <c r="D212" s="1"/>
      <c r="E212" s="1"/>
      <c r="F212" s="1"/>
      <c r="G212" s="18"/>
      <c r="H212" s="1"/>
      <c r="I212" s="1"/>
      <c r="J212" s="8"/>
      <c r="K212" s="8"/>
      <c r="L212" s="1"/>
      <c r="M212" s="1"/>
      <c r="N212" s="9"/>
      <c r="O212" s="10"/>
      <c r="P212" s="1"/>
      <c r="Q212" s="126"/>
      <c r="R212" s="1"/>
      <c r="S212" s="1"/>
      <c r="T212" s="1"/>
      <c r="U212" s="1"/>
    </row>
    <row r="213" spans="1:21" ht="15.75" customHeight="1">
      <c r="A213" s="1"/>
      <c r="B213" s="1"/>
      <c r="C213" s="1"/>
      <c r="D213" s="1"/>
      <c r="E213" s="1"/>
      <c r="F213" s="1"/>
      <c r="G213" s="18"/>
      <c r="H213" s="1"/>
      <c r="I213" s="1"/>
      <c r="J213" s="8"/>
      <c r="K213" s="8"/>
      <c r="L213" s="1"/>
      <c r="M213" s="1"/>
      <c r="N213" s="9"/>
      <c r="O213" s="10"/>
      <c r="P213" s="1"/>
      <c r="Q213" s="126"/>
      <c r="R213" s="1"/>
      <c r="S213" s="1"/>
      <c r="T213" s="1"/>
      <c r="U213" s="1"/>
    </row>
    <row r="214" spans="1:21" ht="15.75" customHeight="1">
      <c r="A214" s="1"/>
      <c r="B214" s="1"/>
      <c r="C214" s="1"/>
      <c r="D214" s="1"/>
      <c r="E214" s="1"/>
      <c r="F214" s="1"/>
      <c r="G214" s="18"/>
      <c r="H214" s="1"/>
      <c r="I214" s="1"/>
      <c r="J214" s="8"/>
      <c r="K214" s="8"/>
      <c r="L214" s="1"/>
      <c r="M214" s="1"/>
      <c r="N214" s="9"/>
      <c r="O214" s="10"/>
      <c r="P214" s="1"/>
      <c r="Q214" s="126"/>
      <c r="R214" s="1"/>
      <c r="S214" s="1"/>
      <c r="T214" s="1"/>
      <c r="U214" s="1"/>
    </row>
    <row r="215" spans="1:21" ht="15.75" customHeight="1">
      <c r="A215" s="1"/>
      <c r="B215" s="1"/>
      <c r="C215" s="1"/>
      <c r="D215" s="1"/>
      <c r="E215" s="1"/>
      <c r="F215" s="1"/>
      <c r="G215" s="18"/>
      <c r="H215" s="1"/>
      <c r="I215" s="1"/>
      <c r="J215" s="8"/>
      <c r="K215" s="8"/>
      <c r="L215" s="1"/>
      <c r="M215" s="1"/>
      <c r="N215" s="9"/>
      <c r="O215" s="10"/>
      <c r="P215" s="1"/>
      <c r="Q215" s="126"/>
      <c r="R215" s="1"/>
      <c r="S215" s="1"/>
      <c r="T215" s="1"/>
      <c r="U215" s="1"/>
    </row>
    <row r="216" spans="1:21" ht="15.75" customHeight="1">
      <c r="A216" s="1"/>
      <c r="B216" s="1"/>
      <c r="C216" s="1"/>
      <c r="D216" s="1"/>
      <c r="E216" s="1"/>
      <c r="F216" s="1"/>
      <c r="G216" s="18"/>
      <c r="H216" s="1"/>
      <c r="I216" s="1"/>
      <c r="J216" s="8"/>
      <c r="K216" s="8"/>
      <c r="L216" s="1"/>
      <c r="M216" s="1"/>
      <c r="N216" s="9"/>
      <c r="O216" s="10"/>
      <c r="P216" s="1"/>
      <c r="Q216" s="126"/>
      <c r="R216" s="1"/>
      <c r="S216" s="1"/>
      <c r="T216" s="1"/>
      <c r="U216" s="1"/>
    </row>
    <row r="217" spans="1:21" ht="15.75" customHeight="1">
      <c r="A217" s="1"/>
      <c r="B217" s="1"/>
      <c r="C217" s="1"/>
      <c r="D217" s="1"/>
      <c r="E217" s="1"/>
      <c r="F217" s="1"/>
      <c r="G217" s="18"/>
      <c r="H217" s="1"/>
      <c r="I217" s="1"/>
      <c r="J217" s="8"/>
      <c r="K217" s="8"/>
      <c r="L217" s="1"/>
      <c r="M217" s="1"/>
      <c r="N217" s="9"/>
      <c r="O217" s="10"/>
      <c r="P217" s="1"/>
      <c r="Q217" s="126"/>
      <c r="R217" s="1"/>
      <c r="S217" s="1"/>
      <c r="T217" s="1"/>
      <c r="U217" s="1"/>
    </row>
    <row r="218" spans="1:21" ht="15.75" customHeight="1">
      <c r="A218" s="1"/>
      <c r="B218" s="1"/>
      <c r="C218" s="1"/>
      <c r="D218" s="1"/>
      <c r="E218" s="1"/>
      <c r="F218" s="1"/>
      <c r="G218" s="18"/>
      <c r="H218" s="1"/>
      <c r="I218" s="1"/>
      <c r="J218" s="8"/>
      <c r="K218" s="8"/>
      <c r="L218" s="1"/>
      <c r="M218" s="1"/>
      <c r="N218" s="9"/>
      <c r="O218" s="10"/>
      <c r="P218" s="1"/>
      <c r="Q218" s="126"/>
      <c r="R218" s="1"/>
      <c r="S218" s="1"/>
      <c r="T218" s="1"/>
      <c r="U218" s="1"/>
    </row>
    <row r="219" spans="1:21" ht="15.75" customHeight="1">
      <c r="A219" s="1"/>
      <c r="B219" s="1"/>
      <c r="C219" s="1"/>
      <c r="D219" s="1"/>
      <c r="E219" s="1"/>
      <c r="F219" s="1"/>
      <c r="G219" s="18"/>
      <c r="H219" s="1"/>
      <c r="I219" s="1"/>
      <c r="J219" s="8"/>
      <c r="K219" s="8"/>
      <c r="L219" s="1"/>
      <c r="M219" s="1"/>
      <c r="N219" s="9"/>
      <c r="O219" s="10"/>
      <c r="P219" s="1"/>
      <c r="Q219" s="126"/>
      <c r="R219" s="1"/>
      <c r="S219" s="1"/>
      <c r="T219" s="1"/>
      <c r="U219" s="1"/>
    </row>
    <row r="220" spans="1:21" ht="15.75" customHeight="1">
      <c r="A220" s="1"/>
      <c r="B220" s="1"/>
      <c r="C220" s="1"/>
      <c r="D220" s="1"/>
      <c r="E220" s="1"/>
      <c r="F220" s="1"/>
      <c r="G220" s="18"/>
      <c r="H220" s="1"/>
      <c r="I220" s="1"/>
      <c r="J220" s="8"/>
      <c r="K220" s="8"/>
      <c r="L220" s="1"/>
      <c r="M220" s="1"/>
      <c r="N220" s="9"/>
      <c r="O220" s="10"/>
      <c r="P220" s="1"/>
      <c r="Q220" s="126"/>
      <c r="R220" s="1"/>
      <c r="S220" s="1"/>
      <c r="T220" s="1"/>
      <c r="U220" s="1"/>
    </row>
    <row r="221" spans="1:21" ht="15.75" customHeight="1">
      <c r="A221" s="1"/>
      <c r="B221" s="1"/>
      <c r="C221" s="1"/>
      <c r="D221" s="1"/>
      <c r="E221" s="1"/>
      <c r="F221" s="1"/>
      <c r="G221" s="18"/>
      <c r="H221" s="1"/>
      <c r="I221" s="1"/>
      <c r="J221" s="8"/>
      <c r="K221" s="8"/>
      <c r="L221" s="1"/>
      <c r="M221" s="1"/>
      <c r="N221" s="9"/>
      <c r="O221" s="10"/>
      <c r="P221" s="1"/>
      <c r="Q221" s="126"/>
      <c r="R221" s="1"/>
      <c r="S221" s="1"/>
      <c r="T221" s="1"/>
      <c r="U221" s="1"/>
    </row>
    <row r="222" spans="1:21" ht="15.75" customHeight="1">
      <c r="A222" s="1"/>
      <c r="B222" s="1"/>
      <c r="C222" s="1"/>
      <c r="D222" s="1"/>
      <c r="E222" s="1"/>
      <c r="F222" s="1"/>
      <c r="G222" s="18"/>
      <c r="H222" s="1"/>
      <c r="I222" s="1"/>
      <c r="J222" s="8"/>
      <c r="K222" s="8"/>
      <c r="L222" s="1"/>
      <c r="M222" s="1"/>
      <c r="N222" s="9"/>
      <c r="O222" s="10"/>
      <c r="P222" s="1"/>
      <c r="Q222" s="126"/>
      <c r="R222" s="1"/>
      <c r="S222" s="1"/>
      <c r="T222" s="1"/>
      <c r="U222" s="1"/>
    </row>
    <row r="223" spans="1:21" ht="15.75" customHeight="1">
      <c r="A223" s="1"/>
      <c r="B223" s="1"/>
      <c r="C223" s="1"/>
      <c r="D223" s="1"/>
      <c r="E223" s="1"/>
      <c r="F223" s="1"/>
      <c r="G223" s="18"/>
      <c r="H223" s="1"/>
      <c r="I223" s="1"/>
      <c r="J223" s="8"/>
      <c r="K223" s="8"/>
      <c r="L223" s="1"/>
      <c r="M223" s="1"/>
      <c r="N223" s="9"/>
      <c r="O223" s="10"/>
      <c r="P223" s="1"/>
      <c r="Q223" s="126"/>
      <c r="R223" s="1"/>
      <c r="S223" s="1"/>
      <c r="T223" s="1"/>
      <c r="U223" s="1"/>
    </row>
    <row r="224" spans="1:21" ht="15.75" customHeight="1">
      <c r="A224" s="1"/>
      <c r="B224" s="1"/>
      <c r="C224" s="1"/>
      <c r="D224" s="1"/>
      <c r="E224" s="1"/>
      <c r="F224" s="1"/>
      <c r="G224" s="18"/>
      <c r="H224" s="1"/>
      <c r="I224" s="1"/>
      <c r="J224" s="8"/>
      <c r="K224" s="8"/>
      <c r="L224" s="1"/>
      <c r="M224" s="1"/>
      <c r="N224" s="9"/>
      <c r="O224" s="10"/>
      <c r="P224" s="1"/>
      <c r="Q224" s="126"/>
      <c r="R224" s="1"/>
      <c r="S224" s="1"/>
      <c r="T224" s="1"/>
      <c r="U224" s="1"/>
    </row>
    <row r="225" spans="1:21" ht="15.75" customHeight="1">
      <c r="A225" s="1"/>
      <c r="B225" s="1"/>
      <c r="C225" s="1"/>
      <c r="D225" s="1"/>
      <c r="E225" s="1"/>
      <c r="F225" s="1"/>
      <c r="G225" s="18"/>
      <c r="H225" s="1"/>
      <c r="I225" s="1"/>
      <c r="J225" s="8"/>
      <c r="K225" s="8"/>
      <c r="L225" s="1"/>
      <c r="M225" s="1"/>
      <c r="N225" s="9"/>
      <c r="O225" s="10"/>
      <c r="P225" s="1"/>
      <c r="Q225" s="126"/>
      <c r="R225" s="1"/>
      <c r="S225" s="1"/>
      <c r="T225" s="1"/>
      <c r="U225" s="1"/>
    </row>
    <row r="226" spans="1:21" ht="15.75" customHeight="1">
      <c r="A226" s="1"/>
      <c r="B226" s="1"/>
      <c r="C226" s="1"/>
      <c r="D226" s="1"/>
      <c r="E226" s="1"/>
      <c r="F226" s="1"/>
      <c r="G226" s="18"/>
      <c r="H226" s="1"/>
      <c r="I226" s="1"/>
      <c r="J226" s="8"/>
      <c r="K226" s="8"/>
      <c r="L226" s="1"/>
      <c r="M226" s="1"/>
      <c r="N226" s="9"/>
      <c r="O226" s="10"/>
      <c r="P226" s="1"/>
      <c r="Q226" s="126"/>
      <c r="R226" s="1"/>
      <c r="S226" s="1"/>
      <c r="T226" s="1"/>
      <c r="U226" s="1"/>
    </row>
    <row r="227" spans="1:21" ht="15.75" customHeight="1">
      <c r="A227" s="1"/>
      <c r="B227" s="1"/>
      <c r="C227" s="1"/>
      <c r="D227" s="1"/>
      <c r="E227" s="1"/>
      <c r="F227" s="1"/>
      <c r="G227" s="18"/>
      <c r="H227" s="1"/>
      <c r="I227" s="1"/>
      <c r="J227" s="8"/>
      <c r="K227" s="8"/>
      <c r="L227" s="1"/>
      <c r="M227" s="1"/>
      <c r="N227" s="9"/>
      <c r="O227" s="10"/>
      <c r="P227" s="1"/>
      <c r="Q227" s="126"/>
      <c r="R227" s="1"/>
      <c r="S227" s="1"/>
      <c r="T227" s="1"/>
      <c r="U227" s="1"/>
    </row>
    <row r="228" spans="1:21" ht="15.75" customHeight="1">
      <c r="A228" s="1"/>
      <c r="B228" s="1"/>
      <c r="C228" s="1"/>
      <c r="D228" s="1"/>
      <c r="E228" s="1"/>
      <c r="F228" s="1"/>
      <c r="G228" s="18"/>
      <c r="H228" s="1"/>
      <c r="I228" s="1"/>
      <c r="J228" s="8"/>
      <c r="K228" s="8"/>
      <c r="L228" s="1"/>
      <c r="M228" s="1"/>
      <c r="N228" s="9"/>
      <c r="O228" s="10"/>
      <c r="P228" s="1"/>
      <c r="Q228" s="126"/>
      <c r="R228" s="1"/>
      <c r="S228" s="1"/>
      <c r="T228" s="1"/>
      <c r="U228" s="1"/>
    </row>
    <row r="229" spans="1:21" ht="15.75" customHeight="1">
      <c r="A229" s="1"/>
      <c r="B229" s="1"/>
      <c r="C229" s="1"/>
      <c r="D229" s="1"/>
      <c r="E229" s="1"/>
      <c r="F229" s="1"/>
      <c r="G229" s="18"/>
      <c r="H229" s="1"/>
      <c r="I229" s="1"/>
      <c r="J229" s="8"/>
      <c r="K229" s="8"/>
      <c r="L229" s="1"/>
      <c r="M229" s="1"/>
      <c r="N229" s="9"/>
      <c r="O229" s="10"/>
      <c r="P229" s="1"/>
      <c r="Q229" s="126"/>
      <c r="R229" s="1"/>
      <c r="S229" s="1"/>
      <c r="T229" s="1"/>
      <c r="U229" s="1"/>
    </row>
    <row r="230" spans="1:21" ht="15.75" customHeight="1">
      <c r="A230" s="1"/>
      <c r="B230" s="1"/>
      <c r="C230" s="1"/>
      <c r="D230" s="1"/>
      <c r="E230" s="1"/>
      <c r="F230" s="1"/>
      <c r="G230" s="18"/>
      <c r="H230" s="1"/>
      <c r="I230" s="1"/>
      <c r="J230" s="8"/>
      <c r="K230" s="8"/>
      <c r="L230" s="1"/>
      <c r="M230" s="1"/>
      <c r="N230" s="9"/>
      <c r="O230" s="10"/>
      <c r="P230" s="1"/>
      <c r="Q230" s="126"/>
      <c r="R230" s="1"/>
      <c r="S230" s="1"/>
      <c r="T230" s="1"/>
      <c r="U230" s="1"/>
    </row>
    <row r="231" spans="1:21" ht="15.75" customHeight="1">
      <c r="A231" s="1"/>
      <c r="B231" s="1"/>
      <c r="C231" s="1"/>
      <c r="D231" s="1"/>
      <c r="E231" s="1"/>
      <c r="F231" s="1"/>
      <c r="G231" s="18"/>
      <c r="H231" s="1"/>
      <c r="I231" s="1"/>
      <c r="J231" s="8"/>
      <c r="K231" s="8"/>
      <c r="L231" s="1"/>
      <c r="M231" s="1"/>
      <c r="N231" s="9"/>
      <c r="O231" s="10"/>
      <c r="P231" s="1"/>
      <c r="Q231" s="126"/>
      <c r="R231" s="1"/>
      <c r="S231" s="1"/>
      <c r="T231" s="1"/>
      <c r="U231" s="1"/>
    </row>
    <row r="232" spans="1:21" ht="15.75" customHeight="1">
      <c r="A232" s="1"/>
      <c r="B232" s="1"/>
      <c r="C232" s="1"/>
      <c r="D232" s="1"/>
      <c r="E232" s="1"/>
      <c r="F232" s="1"/>
      <c r="G232" s="18"/>
      <c r="H232" s="1"/>
      <c r="I232" s="1"/>
      <c r="J232" s="8"/>
      <c r="K232" s="8"/>
      <c r="L232" s="1"/>
      <c r="M232" s="1"/>
      <c r="N232" s="9"/>
      <c r="O232" s="10"/>
      <c r="P232" s="1"/>
      <c r="Q232" s="126"/>
      <c r="R232" s="1"/>
      <c r="S232" s="1"/>
      <c r="T232" s="1"/>
      <c r="U232" s="1"/>
    </row>
    <row r="233" spans="1:21" ht="15.75" customHeight="1">
      <c r="A233" s="1"/>
      <c r="B233" s="1"/>
      <c r="C233" s="1"/>
      <c r="D233" s="1"/>
      <c r="E233" s="1"/>
      <c r="F233" s="1"/>
      <c r="G233" s="18"/>
      <c r="H233" s="1"/>
      <c r="I233" s="1"/>
      <c r="J233" s="8"/>
      <c r="K233" s="8"/>
      <c r="L233" s="1"/>
      <c r="M233" s="1"/>
      <c r="N233" s="9"/>
      <c r="O233" s="10"/>
      <c r="P233" s="1"/>
      <c r="Q233" s="126"/>
      <c r="R233" s="1"/>
      <c r="S233" s="1"/>
      <c r="T233" s="1"/>
      <c r="U233" s="1"/>
    </row>
    <row r="234" spans="1:21" ht="15.75" customHeight="1">
      <c r="A234" s="1"/>
      <c r="B234" s="1"/>
      <c r="C234" s="1"/>
      <c r="D234" s="1"/>
      <c r="E234" s="1"/>
      <c r="F234" s="1"/>
      <c r="G234" s="18"/>
      <c r="H234" s="1"/>
      <c r="I234" s="1"/>
      <c r="J234" s="8"/>
      <c r="K234" s="8"/>
      <c r="L234" s="1"/>
      <c r="M234" s="1"/>
      <c r="N234" s="9"/>
      <c r="O234" s="10"/>
      <c r="P234" s="1"/>
      <c r="Q234" s="126"/>
      <c r="R234" s="1"/>
      <c r="S234" s="1"/>
      <c r="T234" s="1"/>
      <c r="U234" s="1"/>
    </row>
    <row r="235" spans="1:21" ht="15.75" customHeight="1">
      <c r="A235" s="1"/>
      <c r="B235" s="1"/>
      <c r="C235" s="1"/>
      <c r="D235" s="1"/>
      <c r="E235" s="1"/>
      <c r="F235" s="1"/>
      <c r="G235" s="18"/>
      <c r="H235" s="1"/>
      <c r="I235" s="1"/>
      <c r="J235" s="8"/>
      <c r="K235" s="8"/>
      <c r="L235" s="1"/>
      <c r="M235" s="1"/>
      <c r="N235" s="9"/>
      <c r="O235" s="10"/>
      <c r="P235" s="1"/>
      <c r="Q235" s="126"/>
      <c r="R235" s="1"/>
      <c r="S235" s="1"/>
      <c r="T235" s="1"/>
      <c r="U235" s="1"/>
    </row>
    <row r="236" spans="1:21" ht="15.75" customHeight="1">
      <c r="A236" s="1"/>
      <c r="B236" s="1"/>
      <c r="C236" s="1"/>
      <c r="D236" s="1"/>
      <c r="E236" s="1"/>
      <c r="F236" s="1"/>
      <c r="G236" s="18"/>
      <c r="H236" s="1"/>
      <c r="I236" s="1"/>
      <c r="J236" s="8"/>
      <c r="K236" s="8"/>
      <c r="L236" s="1"/>
      <c r="M236" s="1"/>
      <c r="N236" s="9"/>
      <c r="O236" s="10"/>
      <c r="P236" s="1"/>
      <c r="Q236" s="126"/>
      <c r="R236" s="1"/>
      <c r="S236" s="1"/>
      <c r="T236" s="1"/>
      <c r="U236" s="1"/>
    </row>
    <row r="237" spans="1:21" ht="15.75" customHeight="1">
      <c r="A237" s="1"/>
      <c r="B237" s="1"/>
      <c r="C237" s="1"/>
      <c r="D237" s="1"/>
      <c r="E237" s="1"/>
      <c r="F237" s="1"/>
      <c r="G237" s="18"/>
      <c r="H237" s="1"/>
      <c r="I237" s="1"/>
      <c r="J237" s="8"/>
      <c r="K237" s="8"/>
      <c r="L237" s="1"/>
      <c r="M237" s="1"/>
      <c r="N237" s="9"/>
      <c r="O237" s="10"/>
      <c r="P237" s="1"/>
      <c r="Q237" s="126"/>
      <c r="R237" s="1"/>
      <c r="S237" s="1"/>
      <c r="T237" s="1"/>
      <c r="U237" s="1"/>
    </row>
    <row r="238" spans="1:21" ht="15.75" customHeight="1">
      <c r="A238" s="1"/>
      <c r="B238" s="1"/>
      <c r="C238" s="1"/>
      <c r="D238" s="1"/>
      <c r="E238" s="1"/>
      <c r="F238" s="1"/>
      <c r="G238" s="18"/>
      <c r="H238" s="1"/>
      <c r="I238" s="1"/>
      <c r="J238" s="8"/>
      <c r="K238" s="8"/>
      <c r="L238" s="1"/>
      <c r="M238" s="1"/>
      <c r="N238" s="9"/>
      <c r="O238" s="10"/>
      <c r="P238" s="1"/>
      <c r="Q238" s="126"/>
      <c r="R238" s="1"/>
      <c r="S238" s="1"/>
      <c r="T238" s="1"/>
      <c r="U238" s="1"/>
    </row>
    <row r="239" spans="1:21" ht="15.75" customHeight="1">
      <c r="A239" s="1"/>
      <c r="B239" s="1"/>
      <c r="C239" s="1"/>
      <c r="D239" s="1"/>
      <c r="E239" s="1"/>
      <c r="F239" s="1"/>
      <c r="G239" s="18"/>
      <c r="H239" s="1"/>
      <c r="I239" s="1"/>
      <c r="J239" s="8"/>
      <c r="K239" s="8"/>
      <c r="L239" s="1"/>
      <c r="M239" s="1"/>
      <c r="N239" s="9"/>
      <c r="O239" s="10"/>
      <c r="P239" s="1"/>
      <c r="Q239" s="126"/>
      <c r="R239" s="1"/>
      <c r="S239" s="1"/>
      <c r="T239" s="1"/>
      <c r="U239" s="1"/>
    </row>
    <row r="240" spans="1:21" ht="15.75" customHeight="1">
      <c r="A240" s="1"/>
      <c r="B240" s="1"/>
      <c r="C240" s="1"/>
      <c r="D240" s="1"/>
      <c r="E240" s="1"/>
      <c r="F240" s="1"/>
      <c r="G240" s="18"/>
      <c r="H240" s="1"/>
      <c r="I240" s="1"/>
      <c r="J240" s="8"/>
      <c r="K240" s="8"/>
      <c r="L240" s="1"/>
      <c r="M240" s="1"/>
      <c r="N240" s="9"/>
      <c r="O240" s="10"/>
      <c r="P240" s="1"/>
      <c r="Q240" s="126"/>
      <c r="R240" s="1"/>
      <c r="S240" s="1"/>
      <c r="T240" s="1"/>
      <c r="U240" s="1"/>
    </row>
    <row r="241" spans="1:21" ht="15.75" customHeight="1">
      <c r="A241" s="1"/>
      <c r="B241" s="1"/>
      <c r="C241" s="1"/>
      <c r="D241" s="1"/>
      <c r="E241" s="1"/>
      <c r="F241" s="1"/>
      <c r="G241" s="18"/>
      <c r="H241" s="1"/>
      <c r="I241" s="1"/>
      <c r="J241" s="8"/>
      <c r="K241" s="8"/>
      <c r="L241" s="1"/>
      <c r="M241" s="1"/>
      <c r="N241" s="9"/>
      <c r="O241" s="10"/>
      <c r="P241" s="1"/>
      <c r="Q241" s="126"/>
      <c r="R241" s="1"/>
      <c r="S241" s="1"/>
      <c r="T241" s="1"/>
      <c r="U241" s="1"/>
    </row>
    <row r="242" spans="1:21" ht="15.75" customHeight="1">
      <c r="A242" s="1"/>
      <c r="B242" s="1"/>
      <c r="C242" s="1"/>
      <c r="D242" s="1"/>
      <c r="E242" s="1"/>
      <c r="F242" s="1"/>
      <c r="G242" s="18"/>
      <c r="H242" s="1"/>
      <c r="I242" s="1"/>
      <c r="J242" s="8"/>
      <c r="K242" s="8"/>
      <c r="L242" s="1"/>
      <c r="M242" s="1"/>
      <c r="N242" s="9"/>
      <c r="O242" s="10"/>
      <c r="P242" s="1"/>
      <c r="Q242" s="126"/>
      <c r="R242" s="1"/>
      <c r="S242" s="1"/>
      <c r="T242" s="1"/>
      <c r="U242" s="1"/>
    </row>
    <row r="243" spans="1:21" ht="15.75" customHeight="1">
      <c r="A243" s="1"/>
      <c r="B243" s="1"/>
      <c r="C243" s="1"/>
      <c r="D243" s="1"/>
      <c r="E243" s="1"/>
      <c r="F243" s="1"/>
      <c r="G243" s="18"/>
      <c r="H243" s="1"/>
      <c r="I243" s="1"/>
      <c r="J243" s="8"/>
      <c r="K243" s="8"/>
      <c r="L243" s="1"/>
      <c r="M243" s="1"/>
      <c r="N243" s="9"/>
      <c r="O243" s="10"/>
      <c r="P243" s="1"/>
      <c r="Q243" s="126"/>
      <c r="R243" s="1"/>
      <c r="S243" s="1"/>
      <c r="T243" s="1"/>
      <c r="U243" s="1"/>
    </row>
    <row r="244" spans="1:21" ht="15.75" customHeight="1">
      <c r="A244" s="1"/>
      <c r="B244" s="1"/>
      <c r="C244" s="1"/>
      <c r="D244" s="1"/>
      <c r="E244" s="1"/>
      <c r="F244" s="1"/>
      <c r="G244" s="18"/>
      <c r="H244" s="1"/>
      <c r="I244" s="1"/>
      <c r="J244" s="8"/>
      <c r="K244" s="8"/>
      <c r="L244" s="1"/>
      <c r="M244" s="1"/>
      <c r="N244" s="9"/>
      <c r="O244" s="10"/>
      <c r="P244" s="1"/>
      <c r="Q244" s="126"/>
      <c r="R244" s="1"/>
      <c r="S244" s="1"/>
      <c r="T244" s="1"/>
      <c r="U244" s="1"/>
    </row>
    <row r="245" spans="1:21" ht="15.75" customHeight="1">
      <c r="A245" s="1"/>
      <c r="B245" s="1"/>
      <c r="C245" s="1"/>
      <c r="D245" s="1"/>
      <c r="E245" s="1"/>
      <c r="F245" s="1"/>
      <c r="G245" s="18"/>
      <c r="H245" s="1"/>
      <c r="I245" s="1"/>
      <c r="J245" s="8"/>
      <c r="K245" s="8"/>
      <c r="L245" s="1"/>
      <c r="M245" s="1"/>
      <c r="N245" s="9"/>
      <c r="O245" s="10"/>
      <c r="P245" s="1"/>
      <c r="Q245" s="126"/>
      <c r="R245" s="1"/>
      <c r="S245" s="1"/>
      <c r="T245" s="1"/>
      <c r="U245" s="1"/>
    </row>
    <row r="246" spans="1:21" ht="15.75" customHeight="1">
      <c r="A246" s="1"/>
      <c r="B246" s="1"/>
      <c r="C246" s="1"/>
      <c r="D246" s="1"/>
      <c r="E246" s="1"/>
      <c r="F246" s="1"/>
      <c r="G246" s="18"/>
      <c r="H246" s="1"/>
      <c r="I246" s="1"/>
      <c r="J246" s="8"/>
      <c r="K246" s="8"/>
      <c r="L246" s="1"/>
      <c r="M246" s="1"/>
      <c r="N246" s="9"/>
      <c r="O246" s="10"/>
      <c r="P246" s="1"/>
      <c r="Q246" s="126"/>
      <c r="R246" s="1"/>
      <c r="S246" s="1"/>
      <c r="T246" s="1"/>
      <c r="U246" s="1"/>
    </row>
    <row r="247" spans="1:21" ht="15.75" customHeight="1">
      <c r="A247" s="1"/>
      <c r="B247" s="1"/>
      <c r="C247" s="1"/>
      <c r="D247" s="1"/>
      <c r="E247" s="1"/>
      <c r="F247" s="1"/>
      <c r="G247" s="18"/>
      <c r="H247" s="1"/>
      <c r="I247" s="1"/>
      <c r="J247" s="8"/>
      <c r="K247" s="8"/>
      <c r="L247" s="1"/>
      <c r="M247" s="1"/>
      <c r="N247" s="9"/>
      <c r="O247" s="10"/>
      <c r="P247" s="1"/>
      <c r="Q247" s="126"/>
      <c r="R247" s="1"/>
      <c r="S247" s="1"/>
      <c r="T247" s="1"/>
      <c r="U247" s="1"/>
    </row>
    <row r="248" spans="1:21" ht="15.75" customHeight="1">
      <c r="A248" s="1"/>
      <c r="B248" s="1"/>
      <c r="C248" s="1"/>
      <c r="D248" s="1"/>
      <c r="E248" s="1"/>
      <c r="F248" s="1"/>
      <c r="G248" s="18"/>
      <c r="H248" s="1"/>
      <c r="I248" s="1"/>
      <c r="J248" s="8"/>
      <c r="K248" s="8"/>
      <c r="L248" s="1"/>
      <c r="M248" s="1"/>
      <c r="N248" s="9"/>
      <c r="O248" s="10"/>
      <c r="P248" s="1"/>
      <c r="Q248" s="126"/>
      <c r="R248" s="1"/>
      <c r="S248" s="1"/>
      <c r="T248" s="1"/>
      <c r="U248" s="1"/>
    </row>
    <row r="249" spans="1:21" ht="15.75" customHeight="1">
      <c r="A249" s="1"/>
      <c r="B249" s="1"/>
      <c r="C249" s="1"/>
      <c r="D249" s="1"/>
      <c r="E249" s="1"/>
      <c r="F249" s="1"/>
      <c r="G249" s="18"/>
      <c r="H249" s="1"/>
      <c r="I249" s="1"/>
      <c r="J249" s="8"/>
      <c r="K249" s="8"/>
      <c r="L249" s="1"/>
      <c r="M249" s="1"/>
      <c r="N249" s="9"/>
      <c r="O249" s="10"/>
      <c r="P249" s="1"/>
      <c r="Q249" s="126"/>
      <c r="R249" s="1"/>
      <c r="S249" s="1"/>
      <c r="T249" s="1"/>
      <c r="U249" s="1"/>
    </row>
    <row r="250" spans="1:21" ht="15.75" customHeight="1">
      <c r="A250" s="1"/>
      <c r="B250" s="1"/>
      <c r="C250" s="1"/>
      <c r="D250" s="1"/>
      <c r="E250" s="1"/>
      <c r="F250" s="1"/>
      <c r="G250" s="18"/>
      <c r="H250" s="1"/>
      <c r="I250" s="1"/>
      <c r="J250" s="8"/>
      <c r="K250" s="8"/>
      <c r="L250" s="1"/>
      <c r="M250" s="1"/>
      <c r="N250" s="9"/>
      <c r="O250" s="10"/>
      <c r="P250" s="1"/>
      <c r="Q250" s="126"/>
      <c r="R250" s="1"/>
      <c r="S250" s="1"/>
      <c r="T250" s="1"/>
      <c r="U250" s="1"/>
    </row>
    <row r="251" spans="1:21" ht="15.75" customHeight="1">
      <c r="A251" s="1"/>
      <c r="B251" s="1"/>
      <c r="C251" s="1"/>
      <c r="D251" s="1"/>
      <c r="E251" s="1"/>
      <c r="F251" s="1"/>
      <c r="G251" s="18"/>
      <c r="H251" s="1"/>
      <c r="I251" s="1"/>
      <c r="J251" s="8"/>
      <c r="K251" s="8"/>
      <c r="L251" s="1"/>
      <c r="M251" s="1"/>
      <c r="N251" s="9"/>
      <c r="O251" s="10"/>
      <c r="P251" s="1"/>
      <c r="Q251" s="126"/>
      <c r="R251" s="1"/>
      <c r="S251" s="1"/>
      <c r="T251" s="1"/>
      <c r="U251" s="1"/>
    </row>
    <row r="252" spans="1:21" ht="15.75" customHeight="1">
      <c r="A252" s="1"/>
      <c r="B252" s="1"/>
      <c r="C252" s="1"/>
      <c r="D252" s="1"/>
      <c r="E252" s="1"/>
      <c r="F252" s="1"/>
      <c r="G252" s="18"/>
      <c r="H252" s="1"/>
      <c r="I252" s="1"/>
      <c r="J252" s="8"/>
      <c r="K252" s="8"/>
      <c r="L252" s="1"/>
      <c r="M252" s="1"/>
      <c r="N252" s="9"/>
      <c r="O252" s="10"/>
      <c r="P252" s="1"/>
      <c r="Q252" s="126"/>
      <c r="R252" s="1"/>
      <c r="S252" s="1"/>
      <c r="T252" s="1"/>
      <c r="U252" s="1"/>
    </row>
    <row r="253" spans="1:21" ht="15.75" customHeight="1">
      <c r="A253" s="1"/>
      <c r="B253" s="1"/>
      <c r="C253" s="1"/>
      <c r="D253" s="1"/>
      <c r="E253" s="1"/>
      <c r="F253" s="1"/>
      <c r="G253" s="18"/>
      <c r="H253" s="1"/>
      <c r="I253" s="1"/>
      <c r="J253" s="8"/>
      <c r="K253" s="8"/>
      <c r="L253" s="1"/>
      <c r="M253" s="1"/>
      <c r="N253" s="9"/>
      <c r="O253" s="10"/>
      <c r="P253" s="1"/>
      <c r="Q253" s="126"/>
      <c r="R253" s="1"/>
      <c r="S253" s="1"/>
      <c r="T253" s="1"/>
      <c r="U253" s="1"/>
    </row>
    <row r="254" spans="1:21" ht="15.75" customHeight="1">
      <c r="A254" s="1"/>
      <c r="B254" s="1"/>
      <c r="C254" s="1"/>
      <c r="D254" s="1"/>
      <c r="E254" s="1"/>
      <c r="F254" s="1"/>
      <c r="G254" s="18"/>
      <c r="H254" s="1"/>
      <c r="I254" s="1"/>
      <c r="J254" s="8"/>
      <c r="K254" s="8"/>
      <c r="L254" s="1"/>
      <c r="M254" s="1"/>
      <c r="N254" s="9"/>
      <c r="O254" s="10"/>
      <c r="P254" s="1"/>
      <c r="Q254" s="126"/>
      <c r="R254" s="1"/>
      <c r="S254" s="1"/>
      <c r="T254" s="1"/>
      <c r="U254" s="1"/>
    </row>
    <row r="255" spans="1:21" ht="15.75" customHeight="1">
      <c r="A255" s="1"/>
      <c r="B255" s="1"/>
      <c r="C255" s="1"/>
      <c r="D255" s="1"/>
      <c r="E255" s="1"/>
      <c r="F255" s="1"/>
      <c r="G255" s="18"/>
      <c r="H255" s="1"/>
      <c r="I255" s="1"/>
      <c r="J255" s="8"/>
      <c r="K255" s="8"/>
      <c r="L255" s="1"/>
      <c r="M255" s="1"/>
      <c r="N255" s="9"/>
      <c r="O255" s="10"/>
      <c r="P255" s="1"/>
      <c r="Q255" s="126"/>
      <c r="R255" s="1"/>
      <c r="S255" s="1"/>
      <c r="T255" s="1"/>
      <c r="U255" s="1"/>
    </row>
    <row r="256" spans="1:21" ht="15.75" customHeight="1">
      <c r="A256" s="1"/>
      <c r="B256" s="1"/>
      <c r="C256" s="1"/>
      <c r="D256" s="1"/>
      <c r="E256" s="1"/>
      <c r="F256" s="1"/>
      <c r="G256" s="18"/>
      <c r="H256" s="1"/>
      <c r="I256" s="1"/>
      <c r="J256" s="8"/>
      <c r="K256" s="8"/>
      <c r="L256" s="1"/>
      <c r="M256" s="1"/>
      <c r="N256" s="9"/>
      <c r="O256" s="10"/>
      <c r="P256" s="1"/>
      <c r="Q256" s="126"/>
      <c r="R256" s="1"/>
      <c r="S256" s="1"/>
      <c r="T256" s="1"/>
      <c r="U256" s="1"/>
    </row>
    <row r="257" spans="1:21" ht="15.75" customHeight="1">
      <c r="A257" s="1"/>
      <c r="B257" s="1"/>
      <c r="C257" s="1"/>
      <c r="D257" s="1"/>
      <c r="E257" s="1"/>
      <c r="F257" s="1"/>
      <c r="G257" s="18"/>
      <c r="H257" s="1"/>
      <c r="I257" s="1"/>
      <c r="J257" s="8"/>
      <c r="K257" s="8"/>
      <c r="L257" s="1"/>
      <c r="M257" s="1"/>
      <c r="N257" s="9"/>
      <c r="O257" s="10"/>
      <c r="P257" s="1"/>
      <c r="Q257" s="126"/>
      <c r="R257" s="1"/>
      <c r="S257" s="1"/>
      <c r="T257" s="1"/>
      <c r="U257" s="1"/>
    </row>
    <row r="258" spans="1:21" ht="15.75" customHeight="1">
      <c r="A258" s="1"/>
      <c r="B258" s="1"/>
      <c r="C258" s="1"/>
      <c r="D258" s="1"/>
      <c r="E258" s="1"/>
      <c r="F258" s="1"/>
      <c r="G258" s="18"/>
      <c r="H258" s="1"/>
      <c r="I258" s="1"/>
      <c r="J258" s="8"/>
      <c r="K258" s="8"/>
      <c r="L258" s="1"/>
      <c r="M258" s="1"/>
      <c r="N258" s="9"/>
      <c r="O258" s="10"/>
      <c r="P258" s="1"/>
      <c r="Q258" s="126"/>
      <c r="R258" s="1"/>
      <c r="S258" s="1"/>
      <c r="T258" s="1"/>
      <c r="U258" s="1"/>
    </row>
    <row r="259" spans="1:21" ht="15.75" customHeight="1">
      <c r="A259" s="1"/>
      <c r="B259" s="1"/>
      <c r="C259" s="1"/>
      <c r="D259" s="1"/>
      <c r="E259" s="1"/>
      <c r="F259" s="1"/>
      <c r="G259" s="18"/>
      <c r="H259" s="1"/>
      <c r="I259" s="1"/>
      <c r="J259" s="8"/>
      <c r="K259" s="8"/>
      <c r="L259" s="1"/>
      <c r="M259" s="1"/>
      <c r="N259" s="9"/>
      <c r="O259" s="10"/>
      <c r="P259" s="1"/>
      <c r="Q259" s="126"/>
      <c r="R259" s="1"/>
      <c r="S259" s="1"/>
      <c r="T259" s="1"/>
      <c r="U259" s="1"/>
    </row>
    <row r="260" spans="1:21" ht="15.75" customHeight="1">
      <c r="A260" s="1"/>
      <c r="B260" s="1"/>
      <c r="C260" s="1"/>
      <c r="D260" s="1"/>
      <c r="E260" s="1"/>
      <c r="F260" s="1"/>
      <c r="G260" s="18"/>
      <c r="H260" s="1"/>
      <c r="I260" s="1"/>
      <c r="J260" s="8"/>
      <c r="K260" s="8"/>
      <c r="L260" s="1"/>
      <c r="M260" s="1"/>
      <c r="N260" s="9"/>
      <c r="O260" s="10"/>
      <c r="P260" s="1"/>
      <c r="Q260" s="126"/>
      <c r="R260" s="1"/>
      <c r="S260" s="1"/>
      <c r="T260" s="1"/>
      <c r="U260" s="1"/>
    </row>
    <row r="261" spans="1:21" ht="15.75" customHeight="1">
      <c r="A261" s="1"/>
      <c r="B261" s="1"/>
      <c r="C261" s="1"/>
      <c r="D261" s="1"/>
      <c r="E261" s="1"/>
      <c r="F261" s="1"/>
      <c r="G261" s="18"/>
      <c r="H261" s="1"/>
      <c r="I261" s="1"/>
      <c r="J261" s="8"/>
      <c r="K261" s="8"/>
      <c r="L261" s="1"/>
      <c r="M261" s="1"/>
      <c r="N261" s="9"/>
      <c r="O261" s="10"/>
      <c r="P261" s="1"/>
      <c r="Q261" s="126"/>
      <c r="R261" s="1"/>
      <c r="S261" s="1"/>
      <c r="T261" s="1"/>
      <c r="U261" s="1"/>
    </row>
    <row r="262" spans="1:21" ht="15.75" customHeight="1">
      <c r="A262" s="1"/>
      <c r="B262" s="1"/>
      <c r="C262" s="1"/>
      <c r="D262" s="1"/>
      <c r="E262" s="1"/>
      <c r="F262" s="1"/>
      <c r="G262" s="18"/>
      <c r="H262" s="1"/>
      <c r="I262" s="1"/>
      <c r="J262" s="8"/>
      <c r="K262" s="8"/>
      <c r="L262" s="1"/>
      <c r="M262" s="1"/>
      <c r="N262" s="9"/>
      <c r="O262" s="10"/>
      <c r="P262" s="1"/>
      <c r="Q262" s="126"/>
      <c r="R262" s="1"/>
      <c r="S262" s="1"/>
      <c r="T262" s="1"/>
      <c r="U262" s="1"/>
    </row>
    <row r="263" spans="1:21" ht="15.75" customHeight="1">
      <c r="A263" s="1"/>
      <c r="B263" s="1"/>
      <c r="C263" s="1"/>
      <c r="D263" s="1"/>
      <c r="E263" s="1"/>
      <c r="F263" s="1"/>
      <c r="G263" s="18"/>
      <c r="H263" s="1"/>
      <c r="I263" s="1"/>
      <c r="J263" s="8"/>
      <c r="K263" s="8"/>
      <c r="L263" s="1"/>
      <c r="M263" s="1"/>
      <c r="N263" s="9"/>
      <c r="O263" s="10"/>
      <c r="P263" s="1"/>
      <c r="Q263" s="126"/>
      <c r="R263" s="1"/>
      <c r="S263" s="1"/>
      <c r="T263" s="1"/>
      <c r="U263" s="1"/>
    </row>
    <row r="264" spans="1:21" ht="15.75" customHeight="1">
      <c r="A264" s="1"/>
      <c r="B264" s="1"/>
      <c r="C264" s="1"/>
      <c r="D264" s="1"/>
      <c r="E264" s="1"/>
      <c r="F264" s="1"/>
      <c r="G264" s="18"/>
      <c r="H264" s="1"/>
      <c r="I264" s="1"/>
      <c r="J264" s="8"/>
      <c r="K264" s="8"/>
      <c r="L264" s="1"/>
      <c r="M264" s="1"/>
      <c r="N264" s="9"/>
      <c r="O264" s="10"/>
      <c r="P264" s="1"/>
      <c r="Q264" s="126"/>
      <c r="R264" s="1"/>
      <c r="S264" s="1"/>
      <c r="T264" s="1"/>
      <c r="U264" s="1"/>
    </row>
    <row r="265" spans="1:21" ht="15.75" customHeight="1">
      <c r="A265" s="1"/>
      <c r="B265" s="1"/>
      <c r="C265" s="1"/>
      <c r="D265" s="1"/>
      <c r="E265" s="1"/>
      <c r="F265" s="1"/>
      <c r="G265" s="18"/>
      <c r="H265" s="1"/>
      <c r="I265" s="1"/>
      <c r="J265" s="8"/>
      <c r="K265" s="8"/>
      <c r="L265" s="1"/>
      <c r="M265" s="1"/>
      <c r="N265" s="9"/>
      <c r="O265" s="10"/>
      <c r="P265" s="1"/>
      <c r="Q265" s="126"/>
      <c r="R265" s="1"/>
      <c r="S265" s="1"/>
      <c r="T265" s="1"/>
      <c r="U265" s="1"/>
    </row>
    <row r="266" spans="1:21" ht="15.75" customHeight="1">
      <c r="A266" s="1"/>
      <c r="B266" s="1"/>
      <c r="C266" s="1"/>
      <c r="D266" s="1"/>
      <c r="E266" s="1"/>
      <c r="F266" s="1"/>
      <c r="G266" s="18"/>
      <c r="H266" s="1"/>
      <c r="I266" s="1"/>
      <c r="J266" s="8"/>
      <c r="K266" s="8"/>
      <c r="L266" s="1"/>
      <c r="M266" s="1"/>
      <c r="N266" s="9"/>
      <c r="O266" s="10"/>
      <c r="P266" s="1"/>
      <c r="Q266" s="126"/>
      <c r="R266" s="1"/>
      <c r="S266" s="1"/>
      <c r="T266" s="1"/>
      <c r="U266" s="1"/>
    </row>
    <row r="267" spans="1:21" ht="15.75" customHeight="1">
      <c r="A267" s="1"/>
      <c r="B267" s="1"/>
      <c r="C267" s="1"/>
      <c r="D267" s="1"/>
      <c r="E267" s="1"/>
      <c r="F267" s="1"/>
      <c r="G267" s="18"/>
      <c r="H267" s="1"/>
      <c r="I267" s="1"/>
      <c r="J267" s="8"/>
      <c r="K267" s="8"/>
      <c r="L267" s="1"/>
      <c r="M267" s="1"/>
      <c r="N267" s="9"/>
      <c r="O267" s="10"/>
      <c r="P267" s="1"/>
      <c r="Q267" s="126"/>
      <c r="R267" s="1"/>
      <c r="S267" s="1"/>
      <c r="T267" s="1"/>
      <c r="U267" s="1"/>
    </row>
    <row r="268" spans="1:21" ht="15.75" customHeight="1">
      <c r="A268" s="1"/>
      <c r="B268" s="1"/>
      <c r="C268" s="1"/>
      <c r="D268" s="1"/>
      <c r="E268" s="1"/>
      <c r="F268" s="1"/>
      <c r="G268" s="18"/>
      <c r="H268" s="1"/>
      <c r="I268" s="1"/>
      <c r="J268" s="8"/>
      <c r="K268" s="8"/>
      <c r="L268" s="1"/>
      <c r="M268" s="1"/>
      <c r="N268" s="9"/>
      <c r="O268" s="10"/>
      <c r="P268" s="1"/>
      <c r="Q268" s="126"/>
      <c r="R268" s="1"/>
      <c r="S268" s="1"/>
      <c r="T268" s="1"/>
      <c r="U268" s="1"/>
    </row>
    <row r="269" spans="1:21" ht="15.75" customHeight="1">
      <c r="A269" s="1"/>
      <c r="B269" s="1"/>
      <c r="C269" s="1"/>
      <c r="D269" s="1"/>
      <c r="E269" s="1"/>
      <c r="F269" s="1"/>
      <c r="G269" s="18"/>
      <c r="H269" s="1"/>
      <c r="I269" s="1"/>
      <c r="J269" s="8"/>
      <c r="K269" s="8"/>
      <c r="L269" s="1"/>
      <c r="M269" s="1"/>
      <c r="N269" s="9"/>
      <c r="O269" s="10"/>
      <c r="P269" s="1"/>
      <c r="Q269" s="126"/>
      <c r="R269" s="1"/>
      <c r="S269" s="1"/>
      <c r="T269" s="1"/>
      <c r="U269" s="1"/>
    </row>
    <row r="270" spans="1:21" ht="15.75" customHeight="1">
      <c r="A270" s="1"/>
      <c r="B270" s="1"/>
      <c r="C270" s="1"/>
      <c r="D270" s="1"/>
      <c r="E270" s="1"/>
      <c r="F270" s="1"/>
      <c r="G270" s="18"/>
      <c r="H270" s="1"/>
      <c r="I270" s="1"/>
      <c r="J270" s="8"/>
      <c r="K270" s="8"/>
      <c r="L270" s="1"/>
      <c r="M270" s="1"/>
      <c r="N270" s="9"/>
      <c r="O270" s="10"/>
      <c r="P270" s="1"/>
      <c r="Q270" s="126"/>
      <c r="R270" s="1"/>
      <c r="S270" s="1"/>
      <c r="T270" s="1"/>
      <c r="U270" s="1"/>
    </row>
    <row r="271" spans="1:21" ht="15.75" customHeight="1">
      <c r="A271" s="1"/>
      <c r="B271" s="1"/>
      <c r="C271" s="1"/>
      <c r="D271" s="1"/>
      <c r="E271" s="1"/>
      <c r="F271" s="1"/>
      <c r="G271" s="18"/>
      <c r="H271" s="1"/>
      <c r="I271" s="1"/>
      <c r="J271" s="8"/>
      <c r="K271" s="8"/>
      <c r="L271" s="1"/>
      <c r="M271" s="1"/>
      <c r="N271" s="9"/>
      <c r="O271" s="10"/>
      <c r="P271" s="1"/>
      <c r="Q271" s="126"/>
      <c r="R271" s="1"/>
      <c r="S271" s="1"/>
      <c r="T271" s="1"/>
      <c r="U271" s="1"/>
    </row>
    <row r="272" spans="1:21" ht="15.75" customHeight="1">
      <c r="A272" s="1"/>
      <c r="B272" s="1"/>
      <c r="C272" s="1"/>
      <c r="D272" s="1"/>
      <c r="E272" s="1"/>
      <c r="F272" s="1"/>
      <c r="G272" s="18"/>
      <c r="H272" s="1"/>
      <c r="I272" s="1"/>
      <c r="J272" s="8"/>
      <c r="K272" s="8"/>
      <c r="L272" s="1"/>
      <c r="M272" s="1"/>
      <c r="N272" s="9"/>
      <c r="O272" s="10"/>
      <c r="P272" s="1"/>
      <c r="Q272" s="126"/>
      <c r="R272" s="1"/>
      <c r="S272" s="1"/>
      <c r="T272" s="1"/>
      <c r="U272" s="1"/>
    </row>
    <row r="273" spans="1:21" ht="15.75" customHeight="1">
      <c r="A273" s="1"/>
      <c r="B273" s="1"/>
      <c r="C273" s="1"/>
      <c r="D273" s="1"/>
      <c r="E273" s="1"/>
      <c r="F273" s="1"/>
      <c r="G273" s="18"/>
      <c r="H273" s="1"/>
      <c r="I273" s="1"/>
      <c r="J273" s="8"/>
      <c r="K273" s="8"/>
      <c r="L273" s="1"/>
      <c r="M273" s="1"/>
      <c r="N273" s="9"/>
      <c r="O273" s="10"/>
      <c r="P273" s="1"/>
      <c r="Q273" s="126"/>
      <c r="R273" s="1"/>
      <c r="S273" s="1"/>
      <c r="T273" s="1"/>
      <c r="U273" s="1"/>
    </row>
    <row r="274" spans="1:21" ht="15.75" customHeight="1">
      <c r="A274" s="1"/>
      <c r="B274" s="1"/>
      <c r="C274" s="1"/>
      <c r="D274" s="1"/>
      <c r="E274" s="1"/>
      <c r="F274" s="1"/>
      <c r="G274" s="18"/>
      <c r="H274" s="1"/>
      <c r="I274" s="1"/>
      <c r="J274" s="8"/>
      <c r="K274" s="8"/>
      <c r="L274" s="1"/>
      <c r="M274" s="1"/>
      <c r="N274" s="9"/>
      <c r="O274" s="10"/>
      <c r="P274" s="1"/>
      <c r="Q274" s="126"/>
      <c r="R274" s="1"/>
      <c r="S274" s="1"/>
      <c r="T274" s="1"/>
      <c r="U274" s="1"/>
    </row>
    <row r="275" spans="1:21" ht="15.75" customHeight="1">
      <c r="A275" s="1"/>
      <c r="B275" s="1"/>
      <c r="C275" s="1"/>
      <c r="D275" s="1"/>
      <c r="E275" s="1"/>
      <c r="F275" s="1"/>
      <c r="G275" s="18"/>
      <c r="H275" s="1"/>
      <c r="I275" s="1"/>
      <c r="J275" s="8"/>
      <c r="K275" s="8"/>
      <c r="L275" s="1"/>
      <c r="M275" s="1"/>
      <c r="N275" s="9"/>
      <c r="O275" s="10"/>
      <c r="P275" s="1"/>
      <c r="Q275" s="126"/>
      <c r="R275" s="1"/>
      <c r="S275" s="1"/>
      <c r="T275" s="1"/>
      <c r="U275" s="1"/>
    </row>
    <row r="276" spans="1:21" ht="15.75" customHeight="1">
      <c r="A276" s="1"/>
      <c r="B276" s="1"/>
      <c r="C276" s="1"/>
      <c r="D276" s="1"/>
      <c r="E276" s="1"/>
      <c r="F276" s="1"/>
      <c r="G276" s="18"/>
      <c r="H276" s="1"/>
      <c r="I276" s="1"/>
      <c r="J276" s="8"/>
      <c r="K276" s="8"/>
      <c r="L276" s="1"/>
      <c r="M276" s="1"/>
      <c r="N276" s="9"/>
      <c r="O276" s="10"/>
      <c r="P276" s="1"/>
      <c r="Q276" s="126"/>
      <c r="R276" s="1"/>
      <c r="S276" s="1"/>
      <c r="T276" s="1"/>
      <c r="U276" s="1"/>
    </row>
    <row r="277" spans="1:21" ht="15.75" customHeight="1">
      <c r="A277" s="1"/>
      <c r="B277" s="1"/>
      <c r="C277" s="1"/>
      <c r="D277" s="1"/>
      <c r="E277" s="1"/>
      <c r="F277" s="1"/>
      <c r="G277" s="18"/>
      <c r="H277" s="1"/>
      <c r="I277" s="1"/>
      <c r="J277" s="8"/>
      <c r="K277" s="8"/>
      <c r="L277" s="1"/>
      <c r="M277" s="1"/>
      <c r="N277" s="9"/>
      <c r="O277" s="10"/>
      <c r="P277" s="1"/>
      <c r="Q277" s="126"/>
      <c r="R277" s="1"/>
      <c r="S277" s="1"/>
      <c r="T277" s="1"/>
      <c r="U277" s="1"/>
    </row>
    <row r="278" spans="1:21" ht="15.75" customHeight="1">
      <c r="A278" s="1"/>
      <c r="B278" s="1"/>
      <c r="C278" s="1"/>
      <c r="D278" s="1"/>
      <c r="E278" s="1"/>
      <c r="F278" s="1"/>
      <c r="G278" s="18"/>
      <c r="H278" s="1"/>
      <c r="I278" s="1"/>
      <c r="J278" s="8"/>
      <c r="K278" s="8"/>
      <c r="L278" s="1"/>
      <c r="M278" s="1"/>
      <c r="N278" s="9"/>
      <c r="O278" s="10"/>
      <c r="P278" s="1"/>
      <c r="Q278" s="126"/>
      <c r="R278" s="1"/>
      <c r="S278" s="1"/>
      <c r="T278" s="1"/>
      <c r="U278" s="1"/>
    </row>
    <row r="279" spans="1:21" ht="15.75" customHeight="1">
      <c r="A279" s="1"/>
      <c r="B279" s="1"/>
      <c r="C279" s="1"/>
      <c r="D279" s="1"/>
      <c r="E279" s="1"/>
      <c r="F279" s="1"/>
      <c r="G279" s="18"/>
      <c r="H279" s="1"/>
      <c r="I279" s="1"/>
      <c r="J279" s="8"/>
      <c r="K279" s="8"/>
      <c r="L279" s="1"/>
      <c r="M279" s="1"/>
      <c r="N279" s="9"/>
      <c r="O279" s="10"/>
      <c r="P279" s="1"/>
      <c r="Q279" s="126"/>
      <c r="R279" s="1"/>
      <c r="S279" s="1"/>
      <c r="T279" s="1"/>
      <c r="U279" s="1"/>
    </row>
    <row r="280" spans="1:21" ht="15.75" customHeight="1">
      <c r="A280" s="1"/>
      <c r="B280" s="1"/>
      <c r="C280" s="1"/>
      <c r="D280" s="1"/>
      <c r="E280" s="1"/>
      <c r="F280" s="1"/>
      <c r="G280" s="18"/>
      <c r="H280" s="1"/>
      <c r="I280" s="1"/>
      <c r="J280" s="8"/>
      <c r="K280" s="8"/>
      <c r="L280" s="1"/>
      <c r="M280" s="1"/>
      <c r="N280" s="9"/>
      <c r="O280" s="10"/>
      <c r="P280" s="1"/>
      <c r="Q280" s="126"/>
      <c r="R280" s="1"/>
      <c r="S280" s="1"/>
      <c r="T280" s="1"/>
      <c r="U280" s="1"/>
    </row>
    <row r="281" spans="1:21" ht="15.75" customHeight="1">
      <c r="A281" s="1"/>
      <c r="B281" s="1"/>
      <c r="C281" s="1"/>
      <c r="D281" s="1"/>
      <c r="E281" s="1"/>
      <c r="F281" s="1"/>
      <c r="G281" s="18"/>
      <c r="H281" s="1"/>
      <c r="I281" s="1"/>
      <c r="J281" s="8"/>
      <c r="K281" s="8"/>
      <c r="L281" s="1"/>
      <c r="M281" s="1"/>
      <c r="N281" s="9"/>
      <c r="O281" s="10"/>
      <c r="P281" s="1"/>
      <c r="Q281" s="126"/>
      <c r="R281" s="1"/>
      <c r="S281" s="1"/>
      <c r="T281" s="1"/>
      <c r="U281" s="1"/>
    </row>
    <row r="282" spans="1:21" ht="15.75" customHeight="1">
      <c r="A282" s="1"/>
      <c r="B282" s="1"/>
      <c r="C282" s="1"/>
      <c r="D282" s="1"/>
      <c r="E282" s="1"/>
      <c r="F282" s="1"/>
      <c r="G282" s="18"/>
      <c r="H282" s="1"/>
      <c r="I282" s="1"/>
      <c r="J282" s="8"/>
      <c r="K282" s="8"/>
      <c r="L282" s="1"/>
      <c r="M282" s="1"/>
      <c r="N282" s="9"/>
      <c r="O282" s="10"/>
      <c r="P282" s="1"/>
      <c r="Q282" s="126"/>
      <c r="R282" s="1"/>
      <c r="S282" s="1"/>
      <c r="T282" s="1"/>
      <c r="U282" s="1"/>
    </row>
    <row r="283" spans="1:21" ht="15.75" customHeight="1">
      <c r="A283" s="1"/>
      <c r="B283" s="1"/>
      <c r="C283" s="1"/>
      <c r="D283" s="1"/>
      <c r="E283" s="1"/>
      <c r="F283" s="1"/>
      <c r="G283" s="18"/>
      <c r="H283" s="1"/>
      <c r="I283" s="1"/>
      <c r="J283" s="8"/>
      <c r="K283" s="8"/>
      <c r="L283" s="1"/>
      <c r="M283" s="1"/>
      <c r="N283" s="9"/>
      <c r="O283" s="10"/>
      <c r="P283" s="1"/>
      <c r="Q283" s="126"/>
      <c r="R283" s="1"/>
      <c r="S283" s="1"/>
      <c r="T283" s="1"/>
      <c r="U283" s="1"/>
    </row>
    <row r="284" spans="1:21" ht="15.75" customHeight="1">
      <c r="A284" s="1"/>
      <c r="B284" s="1"/>
      <c r="C284" s="1"/>
      <c r="D284" s="1"/>
      <c r="E284" s="1"/>
      <c r="F284" s="1"/>
      <c r="G284" s="18"/>
      <c r="H284" s="1"/>
      <c r="I284" s="1"/>
      <c r="J284" s="8"/>
      <c r="K284" s="8"/>
      <c r="L284" s="1"/>
      <c r="M284" s="1"/>
      <c r="N284" s="9"/>
      <c r="O284" s="10"/>
      <c r="P284" s="1"/>
      <c r="Q284" s="126"/>
      <c r="R284" s="1"/>
      <c r="S284" s="1"/>
      <c r="T284" s="1"/>
      <c r="U284" s="1"/>
    </row>
    <row r="285" spans="1:21" ht="15.75" customHeight="1">
      <c r="A285" s="1"/>
      <c r="B285" s="1"/>
      <c r="C285" s="1"/>
      <c r="D285" s="1"/>
      <c r="E285" s="1"/>
      <c r="F285" s="1"/>
      <c r="G285" s="18"/>
      <c r="H285" s="1"/>
      <c r="I285" s="1"/>
      <c r="J285" s="8"/>
      <c r="K285" s="8"/>
      <c r="L285" s="1"/>
      <c r="M285" s="1"/>
      <c r="N285" s="9"/>
      <c r="O285" s="10"/>
      <c r="P285" s="1"/>
      <c r="Q285" s="126"/>
      <c r="R285" s="1"/>
      <c r="S285" s="1"/>
      <c r="T285" s="1"/>
      <c r="U285" s="1"/>
    </row>
    <row r="286" spans="1:21" ht="15.75" customHeight="1">
      <c r="A286" s="1"/>
      <c r="B286" s="1"/>
      <c r="C286" s="1"/>
      <c r="D286" s="1"/>
      <c r="E286" s="1"/>
      <c r="F286" s="1"/>
      <c r="G286" s="18"/>
      <c r="H286" s="1"/>
      <c r="I286" s="1"/>
      <c r="J286" s="8"/>
      <c r="K286" s="8"/>
      <c r="L286" s="1"/>
      <c r="M286" s="1"/>
      <c r="N286" s="9"/>
      <c r="O286" s="10"/>
      <c r="P286" s="1"/>
      <c r="Q286" s="126"/>
      <c r="R286" s="1"/>
      <c r="S286" s="1"/>
      <c r="T286" s="1"/>
      <c r="U286" s="1"/>
    </row>
    <row r="287" spans="1:21" ht="15.75" customHeight="1">
      <c r="A287" s="1"/>
      <c r="B287" s="1"/>
      <c r="C287" s="1"/>
      <c r="D287" s="1"/>
      <c r="E287" s="1"/>
      <c r="F287" s="1"/>
      <c r="G287" s="18"/>
      <c r="H287" s="1"/>
      <c r="I287" s="1"/>
      <c r="J287" s="8"/>
      <c r="K287" s="8"/>
      <c r="L287" s="1"/>
      <c r="M287" s="1"/>
      <c r="N287" s="9"/>
      <c r="O287" s="10"/>
      <c r="P287" s="1"/>
      <c r="Q287" s="126"/>
      <c r="R287" s="1"/>
      <c r="S287" s="1"/>
      <c r="T287" s="1"/>
      <c r="U287" s="1"/>
    </row>
    <row r="288" spans="1:21" ht="15.75" customHeight="1">
      <c r="A288" s="1"/>
      <c r="B288" s="1"/>
      <c r="C288" s="1"/>
      <c r="D288" s="1"/>
      <c r="E288" s="1"/>
      <c r="F288" s="1"/>
      <c r="G288" s="18"/>
      <c r="H288" s="1"/>
      <c r="I288" s="1"/>
      <c r="J288" s="8"/>
      <c r="K288" s="8"/>
      <c r="L288" s="1"/>
      <c r="M288" s="1"/>
      <c r="N288" s="9"/>
      <c r="O288" s="10"/>
      <c r="P288" s="1"/>
      <c r="Q288" s="126"/>
      <c r="R288" s="1"/>
      <c r="S288" s="1"/>
      <c r="T288" s="1"/>
      <c r="U288" s="1"/>
    </row>
    <row r="289" spans="1:21" ht="15.75" customHeight="1">
      <c r="A289" s="1"/>
      <c r="B289" s="1"/>
      <c r="C289" s="1"/>
      <c r="D289" s="1"/>
      <c r="E289" s="1"/>
      <c r="F289" s="1"/>
      <c r="G289" s="18"/>
      <c r="H289" s="1"/>
      <c r="I289" s="1"/>
      <c r="J289" s="8"/>
      <c r="K289" s="8"/>
      <c r="L289" s="1"/>
      <c r="M289" s="1"/>
      <c r="N289" s="9"/>
      <c r="O289" s="10"/>
      <c r="P289" s="1"/>
      <c r="Q289" s="126"/>
      <c r="R289" s="1"/>
      <c r="S289" s="1"/>
      <c r="T289" s="1"/>
      <c r="U289" s="1"/>
    </row>
    <row r="290" spans="1:21" ht="15.75" customHeight="1">
      <c r="A290" s="1"/>
      <c r="B290" s="1"/>
      <c r="C290" s="1"/>
      <c r="D290" s="1"/>
      <c r="E290" s="1"/>
      <c r="F290" s="1"/>
      <c r="G290" s="18"/>
      <c r="H290" s="1"/>
      <c r="I290" s="1"/>
      <c r="J290" s="8"/>
      <c r="K290" s="8"/>
      <c r="L290" s="1"/>
      <c r="M290" s="1"/>
      <c r="N290" s="9"/>
      <c r="O290" s="10"/>
      <c r="P290" s="1"/>
      <c r="Q290" s="126"/>
      <c r="R290" s="1"/>
      <c r="S290" s="1"/>
      <c r="T290" s="1"/>
      <c r="U290" s="1"/>
    </row>
    <row r="291" spans="1:21" ht="15.75" customHeight="1">
      <c r="A291" s="1"/>
      <c r="B291" s="1"/>
      <c r="C291" s="1"/>
      <c r="D291" s="1"/>
      <c r="E291" s="1"/>
      <c r="F291" s="1"/>
      <c r="G291" s="18"/>
      <c r="H291" s="1"/>
      <c r="I291" s="1"/>
      <c r="J291" s="8"/>
      <c r="K291" s="8"/>
      <c r="L291" s="1"/>
      <c r="M291" s="1"/>
      <c r="N291" s="9"/>
      <c r="O291" s="10"/>
      <c r="P291" s="1"/>
      <c r="Q291" s="126"/>
      <c r="R291" s="1"/>
      <c r="S291" s="1"/>
      <c r="T291" s="1"/>
      <c r="U291" s="1"/>
    </row>
    <row r="292" spans="1:21" ht="15.75" customHeight="1">
      <c r="A292" s="1"/>
      <c r="B292" s="1"/>
      <c r="C292" s="1"/>
      <c r="D292" s="1"/>
      <c r="E292" s="1"/>
      <c r="F292" s="1"/>
      <c r="G292" s="18"/>
      <c r="H292" s="1"/>
      <c r="I292" s="1"/>
      <c r="J292" s="8"/>
      <c r="K292" s="8"/>
      <c r="L292" s="1"/>
      <c r="M292" s="1"/>
      <c r="N292" s="9"/>
      <c r="O292" s="10"/>
      <c r="P292" s="1"/>
      <c r="Q292" s="126"/>
      <c r="R292" s="1"/>
      <c r="S292" s="1"/>
      <c r="T292" s="1"/>
      <c r="U292" s="1"/>
    </row>
    <row r="293" spans="1:21" ht="15.75" customHeight="1">
      <c r="A293" s="1"/>
      <c r="B293" s="1"/>
      <c r="C293" s="1"/>
      <c r="D293" s="1"/>
      <c r="E293" s="1"/>
      <c r="F293" s="1"/>
      <c r="G293" s="18"/>
      <c r="H293" s="1"/>
      <c r="I293" s="1"/>
      <c r="J293" s="8"/>
      <c r="K293" s="8"/>
      <c r="L293" s="1"/>
      <c r="M293" s="1"/>
      <c r="N293" s="9"/>
      <c r="O293" s="10"/>
      <c r="P293" s="1"/>
      <c r="Q293" s="126"/>
      <c r="R293" s="1"/>
      <c r="S293" s="1"/>
      <c r="T293" s="1"/>
      <c r="U293" s="1"/>
    </row>
    <row r="294" spans="1:21" ht="15.75" customHeight="1">
      <c r="A294" s="1"/>
      <c r="B294" s="1"/>
      <c r="C294" s="1"/>
      <c r="D294" s="1"/>
      <c r="E294" s="1"/>
      <c r="F294" s="1"/>
      <c r="G294" s="18"/>
      <c r="H294" s="1"/>
      <c r="I294" s="1"/>
      <c r="J294" s="8"/>
      <c r="K294" s="8"/>
      <c r="L294" s="1"/>
      <c r="M294" s="1"/>
      <c r="N294" s="9"/>
      <c r="O294" s="10"/>
      <c r="P294" s="1"/>
      <c r="Q294" s="126"/>
      <c r="R294" s="1"/>
      <c r="S294" s="1"/>
      <c r="T294" s="1"/>
      <c r="U294" s="1"/>
    </row>
    <row r="295" spans="1:21" ht="15.75" customHeight="1">
      <c r="A295" s="1"/>
      <c r="B295" s="1"/>
      <c r="C295" s="1"/>
      <c r="D295" s="1"/>
      <c r="E295" s="1"/>
      <c r="F295" s="1"/>
      <c r="G295" s="18"/>
      <c r="H295" s="1"/>
      <c r="I295" s="1"/>
      <c r="J295" s="8"/>
      <c r="K295" s="8"/>
      <c r="L295" s="1"/>
      <c r="M295" s="1"/>
      <c r="N295" s="9"/>
      <c r="O295" s="10"/>
      <c r="P295" s="1"/>
      <c r="Q295" s="126"/>
      <c r="R295" s="1"/>
      <c r="S295" s="1"/>
      <c r="T295" s="1"/>
      <c r="U295" s="1"/>
    </row>
    <row r="296" spans="1:21" ht="15.75" customHeight="1">
      <c r="A296" s="1"/>
      <c r="B296" s="1"/>
      <c r="C296" s="1"/>
      <c r="D296" s="1"/>
      <c r="E296" s="1"/>
      <c r="F296" s="1"/>
      <c r="G296" s="18"/>
      <c r="H296" s="1"/>
      <c r="I296" s="1"/>
      <c r="J296" s="8"/>
      <c r="K296" s="8"/>
      <c r="L296" s="1"/>
      <c r="M296" s="1"/>
      <c r="N296" s="9"/>
      <c r="O296" s="10"/>
      <c r="P296" s="1"/>
      <c r="Q296" s="126"/>
      <c r="R296" s="1"/>
      <c r="S296" s="1"/>
      <c r="T296" s="1"/>
      <c r="U296" s="1"/>
    </row>
    <row r="297" spans="1:21" ht="15.75" customHeight="1">
      <c r="A297" s="1"/>
      <c r="B297" s="1"/>
      <c r="C297" s="1"/>
      <c r="D297" s="1"/>
      <c r="E297" s="1"/>
      <c r="F297" s="1"/>
      <c r="G297" s="18"/>
      <c r="H297" s="1"/>
      <c r="I297" s="1"/>
      <c r="J297" s="8"/>
      <c r="K297" s="8"/>
      <c r="L297" s="1"/>
      <c r="M297" s="1"/>
      <c r="N297" s="9"/>
      <c r="O297" s="10"/>
      <c r="P297" s="1"/>
      <c r="Q297" s="126"/>
      <c r="R297" s="1"/>
      <c r="S297" s="1"/>
      <c r="T297" s="1"/>
      <c r="U297" s="1"/>
    </row>
    <row r="298" spans="1:21" ht="15.75" customHeight="1">
      <c r="A298" s="1"/>
      <c r="B298" s="1"/>
      <c r="C298" s="1"/>
      <c r="D298" s="1"/>
      <c r="E298" s="1"/>
      <c r="F298" s="1"/>
      <c r="G298" s="18"/>
      <c r="H298" s="1"/>
      <c r="I298" s="1"/>
      <c r="J298" s="8"/>
      <c r="K298" s="8"/>
      <c r="L298" s="1"/>
      <c r="M298" s="1"/>
      <c r="N298" s="9"/>
      <c r="O298" s="10"/>
      <c r="P298" s="1"/>
      <c r="Q298" s="126"/>
      <c r="R298" s="1"/>
      <c r="S298" s="1"/>
      <c r="T298" s="1"/>
      <c r="U298" s="1"/>
    </row>
    <row r="299" spans="1:21" ht="15.75" customHeight="1">
      <c r="A299" s="1"/>
      <c r="B299" s="1"/>
      <c r="C299" s="1"/>
      <c r="D299" s="1"/>
      <c r="E299" s="1"/>
      <c r="F299" s="1"/>
      <c r="G299" s="18"/>
      <c r="H299" s="1"/>
      <c r="I299" s="1"/>
      <c r="J299" s="8"/>
      <c r="K299" s="8"/>
      <c r="L299" s="1"/>
      <c r="M299" s="1"/>
      <c r="N299" s="9"/>
      <c r="O299" s="10"/>
      <c r="P299" s="1"/>
      <c r="Q299" s="126"/>
      <c r="R299" s="1"/>
      <c r="S299" s="1"/>
      <c r="T299" s="1"/>
      <c r="U299" s="1"/>
    </row>
    <row r="300" spans="1:21" ht="15.75" customHeight="1">
      <c r="A300" s="1"/>
      <c r="B300" s="1"/>
      <c r="C300" s="1"/>
      <c r="D300" s="1"/>
      <c r="E300" s="1"/>
      <c r="F300" s="1"/>
      <c r="G300" s="18"/>
      <c r="H300" s="1"/>
      <c r="I300" s="1"/>
      <c r="J300" s="8"/>
      <c r="K300" s="8"/>
      <c r="L300" s="1"/>
      <c r="M300" s="1"/>
      <c r="N300" s="9"/>
      <c r="O300" s="10"/>
      <c r="P300" s="1"/>
      <c r="Q300" s="126"/>
      <c r="R300" s="1"/>
      <c r="S300" s="1"/>
      <c r="T300" s="1"/>
      <c r="U300" s="1"/>
    </row>
    <row r="301" spans="1:21" ht="15.75" customHeight="1">
      <c r="A301" s="1"/>
      <c r="B301" s="1"/>
      <c r="C301" s="1"/>
      <c r="D301" s="1"/>
      <c r="E301" s="1"/>
      <c r="F301" s="1"/>
      <c r="G301" s="18"/>
      <c r="H301" s="1"/>
      <c r="I301" s="1"/>
      <c r="J301" s="8"/>
      <c r="K301" s="8"/>
      <c r="L301" s="1"/>
      <c r="M301" s="1"/>
      <c r="N301" s="9"/>
      <c r="O301" s="10"/>
      <c r="P301" s="1"/>
      <c r="Q301" s="126"/>
      <c r="R301" s="1"/>
      <c r="S301" s="1"/>
      <c r="T301" s="1"/>
      <c r="U301" s="1"/>
    </row>
    <row r="302" spans="1:21" ht="15.75" customHeight="1">
      <c r="A302" s="1"/>
      <c r="B302" s="1"/>
      <c r="C302" s="1"/>
      <c r="D302" s="1"/>
      <c r="E302" s="1"/>
      <c r="F302" s="1"/>
      <c r="G302" s="18"/>
      <c r="H302" s="1"/>
      <c r="I302" s="1"/>
      <c r="J302" s="8"/>
      <c r="K302" s="8"/>
      <c r="L302" s="1"/>
      <c r="M302" s="1"/>
      <c r="N302" s="9"/>
      <c r="O302" s="10"/>
      <c r="P302" s="1"/>
      <c r="Q302" s="126"/>
      <c r="R302" s="1"/>
      <c r="S302" s="1"/>
      <c r="T302" s="1"/>
      <c r="U302" s="1"/>
    </row>
    <row r="303" spans="1:21" ht="15.75" customHeight="1">
      <c r="A303" s="1"/>
      <c r="B303" s="1"/>
      <c r="C303" s="1"/>
      <c r="D303" s="1"/>
      <c r="E303" s="1"/>
      <c r="F303" s="1"/>
      <c r="G303" s="18"/>
      <c r="H303" s="1"/>
      <c r="I303" s="1"/>
      <c r="J303" s="8"/>
      <c r="K303" s="8"/>
      <c r="L303" s="1"/>
      <c r="M303" s="1"/>
      <c r="N303" s="9"/>
      <c r="O303" s="10"/>
      <c r="P303" s="1"/>
      <c r="Q303" s="126"/>
      <c r="R303" s="1"/>
      <c r="S303" s="1"/>
      <c r="T303" s="1"/>
      <c r="U303" s="1"/>
    </row>
    <row r="304" spans="1:21" ht="15.75" customHeight="1">
      <c r="A304" s="1"/>
      <c r="B304" s="1"/>
      <c r="C304" s="1"/>
      <c r="D304" s="1"/>
      <c r="E304" s="1"/>
      <c r="F304" s="1"/>
      <c r="G304" s="18"/>
      <c r="H304" s="1"/>
      <c r="I304" s="1"/>
      <c r="J304" s="8"/>
      <c r="K304" s="8"/>
      <c r="L304" s="1"/>
      <c r="M304" s="1"/>
      <c r="N304" s="9"/>
      <c r="O304" s="10"/>
      <c r="P304" s="1"/>
      <c r="Q304" s="126"/>
      <c r="R304" s="1"/>
      <c r="S304" s="1"/>
      <c r="T304" s="1"/>
      <c r="U304" s="1"/>
    </row>
    <row r="305" spans="1:21" ht="15.75" customHeight="1">
      <c r="A305" s="1"/>
      <c r="B305" s="1"/>
      <c r="C305" s="1"/>
      <c r="D305" s="1"/>
      <c r="E305" s="1"/>
      <c r="F305" s="1"/>
      <c r="G305" s="18"/>
      <c r="H305" s="1"/>
      <c r="I305" s="1"/>
      <c r="J305" s="8"/>
      <c r="K305" s="8"/>
      <c r="L305" s="1"/>
      <c r="M305" s="1"/>
      <c r="N305" s="9"/>
      <c r="O305" s="10"/>
      <c r="P305" s="1"/>
      <c r="Q305" s="126"/>
      <c r="R305" s="1"/>
      <c r="S305" s="1"/>
      <c r="T305" s="1"/>
      <c r="U305" s="1"/>
    </row>
    <row r="306" spans="1:21" ht="15.75" customHeight="1">
      <c r="A306" s="1"/>
      <c r="B306" s="1"/>
      <c r="C306" s="1"/>
      <c r="D306" s="1"/>
      <c r="E306" s="1"/>
      <c r="F306" s="1"/>
      <c r="G306" s="18"/>
      <c r="H306" s="1"/>
      <c r="I306" s="1"/>
      <c r="J306" s="8"/>
      <c r="K306" s="8"/>
      <c r="L306" s="1"/>
      <c r="M306" s="1"/>
      <c r="N306" s="9"/>
      <c r="O306" s="10"/>
      <c r="P306" s="1"/>
      <c r="Q306" s="126"/>
      <c r="R306" s="1"/>
      <c r="S306" s="1"/>
      <c r="T306" s="1"/>
      <c r="U306" s="1"/>
    </row>
    <row r="307" spans="1:21" ht="15.75" customHeight="1">
      <c r="A307" s="1"/>
      <c r="B307" s="1"/>
      <c r="C307" s="1"/>
      <c r="D307" s="1"/>
      <c r="E307" s="1"/>
      <c r="F307" s="1"/>
      <c r="G307" s="18"/>
      <c r="H307" s="1"/>
      <c r="I307" s="1"/>
      <c r="J307" s="8"/>
      <c r="K307" s="8"/>
      <c r="L307" s="1"/>
      <c r="M307" s="1"/>
      <c r="N307" s="9"/>
      <c r="O307" s="10"/>
      <c r="P307" s="1"/>
      <c r="Q307" s="126"/>
      <c r="R307" s="1"/>
      <c r="S307" s="1"/>
      <c r="T307" s="1"/>
      <c r="U307" s="1"/>
    </row>
    <row r="308" spans="1:21" ht="15.75" customHeight="1">
      <c r="A308" s="1"/>
      <c r="B308" s="1"/>
      <c r="C308" s="1"/>
      <c r="D308" s="1"/>
      <c r="E308" s="1"/>
      <c r="F308" s="1"/>
      <c r="G308" s="18"/>
      <c r="H308" s="1"/>
      <c r="I308" s="1"/>
      <c r="J308" s="8"/>
      <c r="K308" s="8"/>
      <c r="L308" s="1"/>
      <c r="M308" s="1"/>
      <c r="N308" s="9"/>
      <c r="O308" s="10"/>
      <c r="P308" s="1"/>
      <c r="Q308" s="126"/>
      <c r="R308" s="1"/>
      <c r="S308" s="1"/>
      <c r="T308" s="1"/>
      <c r="U308" s="1"/>
    </row>
    <row r="309" spans="1:21" ht="15.75" customHeight="1">
      <c r="A309" s="1"/>
      <c r="B309" s="1"/>
      <c r="C309" s="1"/>
      <c r="D309" s="1"/>
      <c r="E309" s="1"/>
      <c r="F309" s="1"/>
      <c r="G309" s="18"/>
      <c r="H309" s="1"/>
      <c r="I309" s="1"/>
      <c r="J309" s="8"/>
      <c r="K309" s="8"/>
      <c r="L309" s="1"/>
      <c r="M309" s="1"/>
      <c r="N309" s="9"/>
      <c r="O309" s="10"/>
      <c r="P309" s="1"/>
      <c r="Q309" s="126"/>
      <c r="R309" s="1"/>
      <c r="S309" s="1"/>
      <c r="T309" s="1"/>
      <c r="U309" s="1"/>
    </row>
    <row r="310" spans="1:21" ht="15.75" customHeight="1">
      <c r="A310" s="1"/>
      <c r="B310" s="1"/>
      <c r="C310" s="1"/>
      <c r="D310" s="1"/>
      <c r="E310" s="1"/>
      <c r="F310" s="1"/>
      <c r="G310" s="18"/>
      <c r="H310" s="1"/>
      <c r="I310" s="1"/>
      <c r="J310" s="8"/>
      <c r="K310" s="8"/>
      <c r="L310" s="1"/>
      <c r="M310" s="1"/>
      <c r="N310" s="9"/>
      <c r="O310" s="10"/>
      <c r="P310" s="1"/>
      <c r="Q310" s="126"/>
      <c r="R310" s="1"/>
      <c r="S310" s="1"/>
      <c r="T310" s="1"/>
      <c r="U310" s="1"/>
    </row>
    <row r="311" spans="1:21" ht="15.75" customHeight="1">
      <c r="A311" s="1"/>
      <c r="B311" s="1"/>
      <c r="C311" s="1"/>
      <c r="D311" s="1"/>
      <c r="E311" s="1"/>
      <c r="F311" s="1"/>
      <c r="G311" s="18"/>
      <c r="H311" s="1"/>
      <c r="I311" s="1"/>
      <c r="J311" s="8"/>
      <c r="K311" s="8"/>
      <c r="L311" s="1"/>
      <c r="M311" s="1"/>
      <c r="N311" s="9"/>
      <c r="O311" s="10"/>
      <c r="P311" s="1"/>
      <c r="Q311" s="126"/>
      <c r="R311" s="1"/>
      <c r="S311" s="1"/>
      <c r="T311" s="1"/>
      <c r="U311" s="1"/>
    </row>
    <row r="312" spans="1:21" ht="15.75" customHeight="1">
      <c r="A312" s="1"/>
      <c r="B312" s="1"/>
      <c r="C312" s="1"/>
      <c r="D312" s="1"/>
      <c r="E312" s="1"/>
      <c r="F312" s="1"/>
      <c r="G312" s="18"/>
      <c r="H312" s="1"/>
      <c r="I312" s="1"/>
      <c r="J312" s="8"/>
      <c r="K312" s="8"/>
      <c r="L312" s="1"/>
      <c r="M312" s="1"/>
      <c r="N312" s="9"/>
      <c r="O312" s="10"/>
      <c r="P312" s="1"/>
      <c r="Q312" s="126"/>
      <c r="R312" s="1"/>
      <c r="S312" s="1"/>
      <c r="T312" s="1"/>
      <c r="U312" s="1"/>
    </row>
    <row r="313" spans="1:21" ht="15.75" customHeight="1">
      <c r="A313" s="1"/>
      <c r="B313" s="1"/>
      <c r="C313" s="1"/>
      <c r="D313" s="1"/>
      <c r="E313" s="1"/>
      <c r="F313" s="1"/>
      <c r="G313" s="18"/>
      <c r="H313" s="1"/>
      <c r="I313" s="1"/>
      <c r="J313" s="8"/>
      <c r="K313" s="8"/>
      <c r="L313" s="1"/>
      <c r="M313" s="1"/>
      <c r="N313" s="9"/>
      <c r="O313" s="10"/>
      <c r="P313" s="1"/>
      <c r="Q313" s="126"/>
      <c r="R313" s="1"/>
      <c r="S313" s="1"/>
      <c r="T313" s="1"/>
      <c r="U313" s="1"/>
    </row>
    <row r="314" spans="1:21" ht="15.75" customHeight="1">
      <c r="A314" s="1"/>
      <c r="B314" s="1"/>
      <c r="C314" s="1"/>
      <c r="D314" s="1"/>
      <c r="E314" s="1"/>
      <c r="F314" s="1"/>
      <c r="G314" s="18"/>
      <c r="H314" s="1"/>
      <c r="I314" s="1"/>
      <c r="J314" s="8"/>
      <c r="K314" s="8"/>
      <c r="L314" s="1"/>
      <c r="M314" s="1"/>
      <c r="N314" s="9"/>
      <c r="O314" s="10"/>
      <c r="P314" s="1"/>
      <c r="Q314" s="126"/>
      <c r="R314" s="1"/>
      <c r="S314" s="1"/>
      <c r="T314" s="1"/>
      <c r="U314" s="1"/>
    </row>
    <row r="315" spans="1:21" ht="15.75" customHeight="1">
      <c r="A315" s="1"/>
      <c r="B315" s="1"/>
      <c r="C315" s="1"/>
      <c r="D315" s="1"/>
      <c r="E315" s="1"/>
      <c r="F315" s="1"/>
      <c r="G315" s="18"/>
      <c r="H315" s="1"/>
      <c r="I315" s="1"/>
      <c r="J315" s="8"/>
      <c r="K315" s="8"/>
      <c r="L315" s="1"/>
      <c r="M315" s="1"/>
      <c r="N315" s="9"/>
      <c r="O315" s="10"/>
      <c r="P315" s="1"/>
      <c r="Q315" s="126"/>
      <c r="R315" s="1"/>
      <c r="S315" s="1"/>
      <c r="T315" s="1"/>
      <c r="U315" s="1"/>
    </row>
    <row r="316" spans="1:21" ht="15.75" customHeight="1">
      <c r="A316" s="1"/>
      <c r="B316" s="1"/>
      <c r="C316" s="1"/>
      <c r="D316" s="1"/>
      <c r="E316" s="1"/>
      <c r="F316" s="1"/>
      <c r="G316" s="18"/>
      <c r="H316" s="1"/>
      <c r="I316" s="1"/>
      <c r="J316" s="8"/>
      <c r="K316" s="8"/>
      <c r="L316" s="1"/>
      <c r="M316" s="1"/>
      <c r="N316" s="9"/>
      <c r="O316" s="10"/>
      <c r="P316" s="1"/>
      <c r="Q316" s="126"/>
      <c r="R316" s="1"/>
      <c r="S316" s="1"/>
      <c r="T316" s="1"/>
      <c r="U316" s="1"/>
    </row>
    <row r="317" spans="1:21" ht="15.75" customHeight="1">
      <c r="A317" s="1"/>
      <c r="B317" s="1"/>
      <c r="C317" s="1"/>
      <c r="D317" s="1"/>
      <c r="E317" s="1"/>
      <c r="F317" s="1"/>
      <c r="G317" s="18"/>
      <c r="H317" s="1"/>
      <c r="I317" s="1"/>
      <c r="J317" s="8"/>
      <c r="K317" s="8"/>
      <c r="L317" s="1"/>
      <c r="M317" s="1"/>
      <c r="N317" s="9"/>
      <c r="O317" s="10"/>
      <c r="P317" s="1"/>
      <c r="Q317" s="126"/>
      <c r="R317" s="1"/>
      <c r="S317" s="1"/>
      <c r="T317" s="1"/>
      <c r="U317" s="1"/>
    </row>
    <row r="318" spans="1:21" ht="15.75" customHeight="1">
      <c r="A318" s="1"/>
      <c r="B318" s="1"/>
      <c r="C318" s="1"/>
      <c r="D318" s="1"/>
      <c r="E318" s="1"/>
      <c r="F318" s="1"/>
      <c r="G318" s="18"/>
      <c r="H318" s="1"/>
      <c r="I318" s="1"/>
      <c r="J318" s="8"/>
      <c r="K318" s="8"/>
      <c r="L318" s="1"/>
      <c r="M318" s="1"/>
      <c r="N318" s="9"/>
      <c r="O318" s="10"/>
      <c r="P318" s="1"/>
      <c r="Q318" s="126"/>
      <c r="R318" s="1"/>
      <c r="S318" s="1"/>
      <c r="T318" s="1"/>
      <c r="U318" s="1"/>
    </row>
    <row r="319" spans="1:21" ht="15.75" customHeight="1">
      <c r="A319" s="1"/>
      <c r="B319" s="1"/>
      <c r="C319" s="1"/>
      <c r="D319" s="1"/>
      <c r="E319" s="1"/>
      <c r="F319" s="1"/>
      <c r="G319" s="18"/>
      <c r="H319" s="1"/>
      <c r="I319" s="1"/>
      <c r="J319" s="8"/>
      <c r="K319" s="8"/>
      <c r="L319" s="1"/>
      <c r="M319" s="1"/>
      <c r="N319" s="9"/>
      <c r="O319" s="10"/>
      <c r="P319" s="1"/>
      <c r="Q319" s="126"/>
      <c r="R319" s="1"/>
      <c r="S319" s="1"/>
      <c r="T319" s="1"/>
      <c r="U319" s="1"/>
    </row>
    <row r="320" spans="1:21" ht="15.75" customHeight="1">
      <c r="A320" s="1"/>
      <c r="B320" s="1"/>
      <c r="C320" s="1"/>
      <c r="D320" s="1"/>
      <c r="E320" s="1"/>
      <c r="F320" s="1"/>
      <c r="G320" s="18"/>
      <c r="H320" s="1"/>
      <c r="I320" s="1"/>
      <c r="J320" s="8"/>
      <c r="K320" s="8"/>
      <c r="L320" s="1"/>
      <c r="M320" s="1"/>
      <c r="N320" s="9"/>
      <c r="O320" s="10"/>
      <c r="P320" s="1"/>
      <c r="Q320" s="126"/>
      <c r="R320" s="1"/>
      <c r="S320" s="1"/>
      <c r="T320" s="1"/>
      <c r="U320" s="1"/>
    </row>
    <row r="321" spans="1:21" ht="15.75" customHeight="1">
      <c r="A321" s="1"/>
      <c r="B321" s="1"/>
      <c r="C321" s="1"/>
      <c r="D321" s="1"/>
      <c r="E321" s="1"/>
      <c r="F321" s="1"/>
      <c r="G321" s="18"/>
      <c r="H321" s="1"/>
      <c r="I321" s="1"/>
      <c r="J321" s="8"/>
      <c r="K321" s="8"/>
      <c r="L321" s="1"/>
      <c r="M321" s="1"/>
      <c r="N321" s="9"/>
      <c r="O321" s="10"/>
      <c r="P321" s="1"/>
      <c r="Q321" s="126"/>
      <c r="R321" s="1"/>
      <c r="S321" s="1"/>
      <c r="T321" s="1"/>
      <c r="U321" s="1"/>
    </row>
    <row r="322" spans="1:21" ht="15.75" customHeight="1">
      <c r="A322" s="1"/>
      <c r="B322" s="1"/>
      <c r="C322" s="1"/>
      <c r="D322" s="1"/>
      <c r="E322" s="1"/>
      <c r="F322" s="1"/>
      <c r="G322" s="18"/>
      <c r="H322" s="1"/>
      <c r="I322" s="1"/>
      <c r="J322" s="8"/>
      <c r="K322" s="8"/>
      <c r="L322" s="1"/>
      <c r="M322" s="1"/>
      <c r="N322" s="9"/>
      <c r="O322" s="10"/>
      <c r="P322" s="1"/>
      <c r="Q322" s="126"/>
      <c r="R322" s="1"/>
      <c r="S322" s="1"/>
      <c r="T322" s="1"/>
      <c r="U322" s="1"/>
    </row>
    <row r="323" spans="1:21" ht="15.75" customHeight="1">
      <c r="A323" s="1"/>
      <c r="B323" s="1"/>
      <c r="C323" s="1"/>
      <c r="D323" s="1"/>
      <c r="E323" s="1"/>
      <c r="F323" s="1"/>
      <c r="G323" s="18"/>
      <c r="H323" s="1"/>
      <c r="I323" s="1"/>
      <c r="J323" s="8"/>
      <c r="K323" s="8"/>
      <c r="L323" s="1"/>
      <c r="M323" s="1"/>
      <c r="N323" s="9"/>
      <c r="O323" s="10"/>
      <c r="P323" s="1"/>
      <c r="Q323" s="126"/>
      <c r="R323" s="1"/>
      <c r="S323" s="1"/>
      <c r="T323" s="1"/>
      <c r="U323" s="1"/>
    </row>
    <row r="324" spans="1:21" ht="15.75" customHeight="1">
      <c r="A324" s="1"/>
      <c r="B324" s="1"/>
      <c r="C324" s="1"/>
      <c r="D324" s="1"/>
      <c r="E324" s="1"/>
      <c r="F324" s="1"/>
      <c r="G324" s="18"/>
      <c r="H324" s="1"/>
      <c r="I324" s="1"/>
      <c r="J324" s="8"/>
      <c r="K324" s="8"/>
      <c r="L324" s="1"/>
      <c r="M324" s="1"/>
      <c r="N324" s="9"/>
      <c r="O324" s="10"/>
      <c r="P324" s="1"/>
      <c r="Q324" s="126"/>
      <c r="R324" s="1"/>
      <c r="S324" s="1"/>
      <c r="T324" s="1"/>
      <c r="U324" s="1"/>
    </row>
    <row r="325" spans="1:21" ht="15.75" customHeight="1">
      <c r="A325" s="1"/>
      <c r="B325" s="1"/>
      <c r="C325" s="1"/>
      <c r="D325" s="1"/>
      <c r="E325" s="1"/>
      <c r="F325" s="1"/>
      <c r="G325" s="18"/>
      <c r="H325" s="1"/>
      <c r="I325" s="1"/>
      <c r="J325" s="8"/>
      <c r="K325" s="8"/>
      <c r="L325" s="1"/>
      <c r="M325" s="1"/>
      <c r="N325" s="9"/>
      <c r="O325" s="10"/>
      <c r="P325" s="1"/>
      <c r="Q325" s="126"/>
      <c r="R325" s="1"/>
      <c r="S325" s="1"/>
      <c r="T325" s="1"/>
      <c r="U325" s="1"/>
    </row>
    <row r="326" spans="1:21" ht="15.75" customHeight="1">
      <c r="A326" s="1"/>
      <c r="B326" s="1"/>
      <c r="C326" s="1"/>
      <c r="D326" s="1"/>
      <c r="E326" s="1"/>
      <c r="F326" s="1"/>
      <c r="G326" s="18"/>
      <c r="H326" s="1"/>
      <c r="I326" s="1"/>
      <c r="J326" s="8"/>
      <c r="K326" s="8"/>
      <c r="L326" s="1"/>
      <c r="M326" s="1"/>
      <c r="N326" s="9"/>
      <c r="O326" s="10"/>
      <c r="P326" s="1"/>
      <c r="Q326" s="126"/>
      <c r="R326" s="1"/>
      <c r="S326" s="1"/>
      <c r="T326" s="1"/>
      <c r="U326" s="1"/>
    </row>
    <row r="327" spans="1:21" ht="15.75" customHeight="1">
      <c r="A327" s="1"/>
      <c r="B327" s="1"/>
      <c r="C327" s="1"/>
      <c r="D327" s="1"/>
      <c r="E327" s="1"/>
      <c r="F327" s="1"/>
      <c r="G327" s="18"/>
      <c r="H327" s="1"/>
      <c r="I327" s="1"/>
      <c r="J327" s="8"/>
      <c r="K327" s="8"/>
      <c r="L327" s="1"/>
      <c r="M327" s="1"/>
      <c r="N327" s="9"/>
      <c r="O327" s="10"/>
      <c r="P327" s="1"/>
      <c r="Q327" s="126"/>
      <c r="R327" s="1"/>
      <c r="S327" s="1"/>
      <c r="T327" s="1"/>
      <c r="U327" s="1"/>
    </row>
    <row r="328" spans="1:21" ht="15.75" customHeight="1">
      <c r="A328" s="1"/>
      <c r="B328" s="1"/>
      <c r="C328" s="1"/>
      <c r="D328" s="1"/>
      <c r="E328" s="1"/>
      <c r="F328" s="1"/>
      <c r="G328" s="18"/>
      <c r="H328" s="1"/>
      <c r="I328" s="1"/>
      <c r="J328" s="8"/>
      <c r="K328" s="8"/>
      <c r="L328" s="1"/>
      <c r="M328" s="1"/>
      <c r="N328" s="9"/>
      <c r="O328" s="10"/>
      <c r="P328" s="1"/>
      <c r="Q328" s="126"/>
      <c r="R328" s="1"/>
      <c r="S328" s="1"/>
      <c r="T328" s="1"/>
      <c r="U328" s="1"/>
    </row>
    <row r="329" spans="1:21" ht="15.75" customHeight="1">
      <c r="A329" s="1"/>
      <c r="B329" s="1"/>
      <c r="C329" s="1"/>
      <c r="D329" s="1"/>
      <c r="E329" s="1"/>
      <c r="F329" s="1"/>
      <c r="G329" s="18"/>
      <c r="H329" s="1"/>
      <c r="I329" s="1"/>
      <c r="J329" s="8"/>
      <c r="K329" s="8"/>
      <c r="L329" s="1"/>
      <c r="M329" s="1"/>
      <c r="N329" s="9"/>
      <c r="O329" s="10"/>
      <c r="P329" s="1"/>
      <c r="Q329" s="126"/>
      <c r="R329" s="1"/>
      <c r="S329" s="1"/>
      <c r="T329" s="1"/>
      <c r="U329" s="1"/>
    </row>
    <row r="330" spans="1:21" ht="15.75" customHeight="1">
      <c r="A330" s="1"/>
      <c r="B330" s="1"/>
      <c r="C330" s="1"/>
      <c r="D330" s="1"/>
      <c r="E330" s="1"/>
      <c r="F330" s="1"/>
      <c r="G330" s="18"/>
      <c r="H330" s="1"/>
      <c r="I330" s="1"/>
      <c r="J330" s="8"/>
      <c r="K330" s="8"/>
      <c r="L330" s="1"/>
      <c r="M330" s="1"/>
      <c r="N330" s="9"/>
      <c r="O330" s="10"/>
      <c r="P330" s="1"/>
      <c r="Q330" s="126"/>
      <c r="R330" s="1"/>
      <c r="S330" s="1"/>
      <c r="T330" s="1"/>
      <c r="U330" s="1"/>
    </row>
    <row r="331" spans="1:21" ht="15.75" customHeight="1">
      <c r="A331" s="1"/>
      <c r="B331" s="1"/>
      <c r="C331" s="1"/>
      <c r="D331" s="1"/>
      <c r="E331" s="1"/>
      <c r="F331" s="1"/>
      <c r="G331" s="18"/>
      <c r="H331" s="1"/>
      <c r="I331" s="1"/>
      <c r="J331" s="8"/>
      <c r="K331" s="8"/>
      <c r="L331" s="1"/>
      <c r="M331" s="1"/>
      <c r="N331" s="9"/>
      <c r="O331" s="10"/>
      <c r="P331" s="1"/>
      <c r="Q331" s="126"/>
      <c r="R331" s="1"/>
      <c r="S331" s="1"/>
      <c r="T331" s="1"/>
      <c r="U331" s="1"/>
    </row>
    <row r="332" spans="1:21" ht="15.75" customHeight="1">
      <c r="A332" s="1"/>
      <c r="B332" s="1"/>
      <c r="C332" s="1"/>
      <c r="D332" s="1"/>
      <c r="E332" s="1"/>
      <c r="F332" s="1"/>
      <c r="G332" s="18"/>
      <c r="H332" s="1"/>
      <c r="I332" s="1"/>
      <c r="J332" s="8"/>
      <c r="K332" s="8"/>
      <c r="L332" s="1"/>
      <c r="M332" s="1"/>
      <c r="N332" s="9"/>
      <c r="O332" s="10"/>
      <c r="P332" s="1"/>
      <c r="Q332" s="126"/>
      <c r="R332" s="1"/>
      <c r="S332" s="1"/>
      <c r="T332" s="1"/>
      <c r="U332" s="1"/>
    </row>
    <row r="333" spans="1:21" ht="15.75" customHeight="1">
      <c r="O333" s="92"/>
      <c r="Q333" s="147"/>
    </row>
    <row r="334" spans="1:21" ht="15.75" customHeight="1">
      <c r="O334" s="92"/>
      <c r="Q334" s="147"/>
    </row>
    <row r="335" spans="1:21" ht="15.75" customHeight="1">
      <c r="O335" s="92"/>
      <c r="Q335" s="147"/>
    </row>
    <row r="336" spans="1:21" ht="15.75" customHeight="1">
      <c r="O336" s="92"/>
      <c r="Q336" s="147"/>
    </row>
    <row r="337" spans="15:17" ht="15.75" customHeight="1">
      <c r="O337" s="92"/>
      <c r="Q337" s="147"/>
    </row>
    <row r="338" spans="15:17" ht="15.75" customHeight="1">
      <c r="O338" s="92"/>
      <c r="Q338" s="147"/>
    </row>
    <row r="339" spans="15:17" ht="15.75" customHeight="1">
      <c r="O339" s="92"/>
      <c r="Q339" s="147"/>
    </row>
    <row r="340" spans="15:17" ht="15.75" customHeight="1">
      <c r="O340" s="92"/>
      <c r="Q340" s="147"/>
    </row>
    <row r="341" spans="15:17" ht="15.75" customHeight="1">
      <c r="O341" s="92"/>
      <c r="Q341" s="147"/>
    </row>
    <row r="342" spans="15:17" ht="15.75" customHeight="1">
      <c r="O342" s="92"/>
      <c r="Q342" s="147"/>
    </row>
    <row r="343" spans="15:17" ht="15.75" customHeight="1">
      <c r="O343" s="92"/>
      <c r="Q343" s="147"/>
    </row>
    <row r="344" spans="15:17" ht="15.75" customHeight="1">
      <c r="O344" s="92"/>
      <c r="Q344" s="147"/>
    </row>
    <row r="345" spans="15:17" ht="15.75" customHeight="1">
      <c r="O345" s="92"/>
      <c r="Q345" s="147"/>
    </row>
    <row r="346" spans="15:17" ht="15.75" customHeight="1">
      <c r="O346" s="92"/>
      <c r="Q346" s="147"/>
    </row>
    <row r="347" spans="15:17" ht="15.75" customHeight="1">
      <c r="O347" s="92"/>
      <c r="Q347" s="147"/>
    </row>
    <row r="348" spans="15:17" ht="15.75" customHeight="1">
      <c r="O348" s="92"/>
      <c r="Q348" s="147"/>
    </row>
    <row r="349" spans="15:17" ht="15.75" customHeight="1">
      <c r="O349" s="92"/>
      <c r="Q349" s="147"/>
    </row>
    <row r="350" spans="15:17" ht="15.75" customHeight="1">
      <c r="O350" s="92"/>
      <c r="Q350" s="147"/>
    </row>
    <row r="351" spans="15:17" ht="15.75" customHeight="1">
      <c r="O351" s="92"/>
      <c r="Q351" s="147"/>
    </row>
    <row r="352" spans="15:17" ht="15.75" customHeight="1">
      <c r="O352" s="92"/>
      <c r="Q352" s="147"/>
    </row>
    <row r="353" spans="15:17" ht="15.75" customHeight="1">
      <c r="O353" s="92"/>
      <c r="Q353" s="147"/>
    </row>
    <row r="354" spans="15:17" ht="15.75" customHeight="1">
      <c r="O354" s="92"/>
      <c r="Q354" s="147"/>
    </row>
    <row r="355" spans="15:17" ht="15.75" customHeight="1">
      <c r="O355" s="92"/>
      <c r="Q355" s="147"/>
    </row>
    <row r="356" spans="15:17" ht="15.75" customHeight="1">
      <c r="O356" s="92"/>
      <c r="Q356" s="147"/>
    </row>
    <row r="357" spans="15:17" ht="15.75" customHeight="1">
      <c r="O357" s="92"/>
      <c r="Q357" s="147"/>
    </row>
    <row r="358" spans="15:17" ht="15.75" customHeight="1">
      <c r="O358" s="92"/>
      <c r="Q358" s="147"/>
    </row>
    <row r="359" spans="15:17" ht="15.75" customHeight="1">
      <c r="O359" s="92"/>
      <c r="Q359" s="147"/>
    </row>
    <row r="360" spans="15:17" ht="15.75" customHeight="1">
      <c r="O360" s="92"/>
      <c r="Q360" s="147"/>
    </row>
    <row r="361" spans="15:17" ht="15.75" customHeight="1">
      <c r="O361" s="92"/>
      <c r="Q361" s="147"/>
    </row>
    <row r="362" spans="15:17" ht="15.75" customHeight="1">
      <c r="O362" s="92"/>
      <c r="Q362" s="147"/>
    </row>
    <row r="363" spans="15:17" ht="15.75" customHeight="1">
      <c r="O363" s="92"/>
      <c r="Q363" s="147"/>
    </row>
    <row r="364" spans="15:17" ht="15.75" customHeight="1">
      <c r="O364" s="92"/>
      <c r="Q364" s="147"/>
    </row>
    <row r="365" spans="15:17" ht="15.75" customHeight="1">
      <c r="O365" s="92"/>
      <c r="Q365" s="147"/>
    </row>
    <row r="366" spans="15:17" ht="15.75" customHeight="1">
      <c r="O366" s="92"/>
      <c r="Q366" s="147"/>
    </row>
    <row r="367" spans="15:17" ht="15.75" customHeight="1">
      <c r="O367" s="92"/>
      <c r="Q367" s="147"/>
    </row>
    <row r="368" spans="15:17" ht="15.75" customHeight="1">
      <c r="O368" s="92"/>
      <c r="Q368" s="147"/>
    </row>
    <row r="369" spans="15:17" ht="15.75" customHeight="1">
      <c r="O369" s="92"/>
      <c r="Q369" s="147"/>
    </row>
    <row r="370" spans="15:17" ht="15.75" customHeight="1">
      <c r="O370" s="92"/>
      <c r="Q370" s="147"/>
    </row>
    <row r="371" spans="15:17" ht="15.75" customHeight="1">
      <c r="O371" s="92"/>
      <c r="Q371" s="147"/>
    </row>
    <row r="372" spans="15:17" ht="15.75" customHeight="1">
      <c r="O372" s="92"/>
      <c r="Q372" s="147"/>
    </row>
    <row r="373" spans="15:17" ht="15.75" customHeight="1">
      <c r="O373" s="92"/>
      <c r="Q373" s="147"/>
    </row>
    <row r="374" spans="15:17" ht="15.75" customHeight="1">
      <c r="O374" s="92"/>
      <c r="Q374" s="147"/>
    </row>
    <row r="375" spans="15:17" ht="15.75" customHeight="1">
      <c r="O375" s="92"/>
      <c r="Q375" s="147"/>
    </row>
    <row r="376" spans="15:17" ht="15.75" customHeight="1">
      <c r="O376" s="92"/>
      <c r="Q376" s="147"/>
    </row>
    <row r="377" spans="15:17" ht="15.75" customHeight="1">
      <c r="O377" s="92"/>
      <c r="Q377" s="147"/>
    </row>
    <row r="378" spans="15:17" ht="15.75" customHeight="1">
      <c r="O378" s="92"/>
      <c r="Q378" s="147"/>
    </row>
    <row r="379" spans="15:17" ht="15.75" customHeight="1">
      <c r="O379" s="92"/>
      <c r="Q379" s="147"/>
    </row>
    <row r="380" spans="15:17" ht="15.75" customHeight="1">
      <c r="O380" s="92"/>
      <c r="Q380" s="147"/>
    </row>
    <row r="381" spans="15:17" ht="15.75" customHeight="1">
      <c r="O381" s="92"/>
      <c r="Q381" s="147"/>
    </row>
    <row r="382" spans="15:17" ht="15.75" customHeight="1">
      <c r="O382" s="92"/>
      <c r="Q382" s="147"/>
    </row>
    <row r="383" spans="15:17" ht="15.75" customHeight="1">
      <c r="O383" s="92"/>
      <c r="Q383" s="147"/>
    </row>
    <row r="384" spans="15:17" ht="15.75" customHeight="1">
      <c r="O384" s="92"/>
      <c r="Q384" s="147"/>
    </row>
    <row r="385" spans="15:17" ht="15.75" customHeight="1">
      <c r="O385" s="92"/>
      <c r="Q385" s="147"/>
    </row>
    <row r="386" spans="15:17" ht="15.75" customHeight="1">
      <c r="O386" s="92"/>
      <c r="Q386" s="147"/>
    </row>
    <row r="387" spans="15:17" ht="15.75" customHeight="1">
      <c r="O387" s="92"/>
      <c r="Q387" s="147"/>
    </row>
    <row r="388" spans="15:17" ht="15.75" customHeight="1">
      <c r="O388" s="92"/>
      <c r="Q388" s="147"/>
    </row>
    <row r="389" spans="15:17" ht="15.75" customHeight="1">
      <c r="O389" s="92"/>
      <c r="Q389" s="147"/>
    </row>
    <row r="390" spans="15:17" ht="15.75" customHeight="1">
      <c r="O390" s="92"/>
      <c r="Q390" s="147"/>
    </row>
    <row r="391" spans="15:17" ht="15.75" customHeight="1">
      <c r="O391" s="92"/>
      <c r="Q391" s="147"/>
    </row>
    <row r="392" spans="15:17" ht="15.75" customHeight="1">
      <c r="O392" s="92"/>
      <c r="Q392" s="147"/>
    </row>
    <row r="393" spans="15:17" ht="15.75" customHeight="1">
      <c r="O393" s="92"/>
      <c r="Q393" s="147"/>
    </row>
    <row r="394" spans="15:17" ht="15.75" customHeight="1">
      <c r="O394" s="92"/>
      <c r="Q394" s="147"/>
    </row>
    <row r="395" spans="15:17" ht="15.75" customHeight="1">
      <c r="O395" s="92"/>
      <c r="Q395" s="147"/>
    </row>
    <row r="396" spans="15:17" ht="15.75" customHeight="1">
      <c r="O396" s="92"/>
      <c r="Q396" s="147"/>
    </row>
    <row r="397" spans="15:17" ht="15.75" customHeight="1">
      <c r="O397" s="92"/>
      <c r="Q397" s="147"/>
    </row>
    <row r="398" spans="15:17" ht="15.75" customHeight="1">
      <c r="O398" s="92"/>
      <c r="Q398" s="147"/>
    </row>
    <row r="399" spans="15:17" ht="15.75" customHeight="1">
      <c r="O399" s="92"/>
      <c r="Q399" s="147"/>
    </row>
    <row r="400" spans="15:17" ht="15.75" customHeight="1">
      <c r="O400" s="92"/>
      <c r="Q400" s="147"/>
    </row>
    <row r="401" spans="15:17" ht="15.75" customHeight="1">
      <c r="O401" s="92"/>
      <c r="Q401" s="147"/>
    </row>
    <row r="402" spans="15:17" ht="15.75" customHeight="1">
      <c r="O402" s="92"/>
      <c r="Q402" s="147"/>
    </row>
    <row r="403" spans="15:17" ht="15.75" customHeight="1">
      <c r="O403" s="92"/>
      <c r="Q403" s="147"/>
    </row>
    <row r="404" spans="15:17" ht="15.75" customHeight="1">
      <c r="O404" s="92"/>
      <c r="Q404" s="147"/>
    </row>
    <row r="405" spans="15:17" ht="15.75" customHeight="1">
      <c r="O405" s="92"/>
      <c r="Q405" s="147"/>
    </row>
    <row r="406" spans="15:17" ht="15.75" customHeight="1">
      <c r="O406" s="92"/>
      <c r="Q406" s="147"/>
    </row>
    <row r="407" spans="15:17" ht="15.75" customHeight="1">
      <c r="O407" s="92"/>
      <c r="Q407" s="147"/>
    </row>
    <row r="408" spans="15:17" ht="15.75" customHeight="1">
      <c r="O408" s="92"/>
      <c r="Q408" s="147"/>
    </row>
    <row r="409" spans="15:17" ht="15.75" customHeight="1">
      <c r="O409" s="92"/>
      <c r="Q409" s="147"/>
    </row>
    <row r="410" spans="15:17" ht="15.75" customHeight="1">
      <c r="O410" s="92"/>
      <c r="Q410" s="147"/>
    </row>
    <row r="411" spans="15:17" ht="15.75" customHeight="1">
      <c r="O411" s="92"/>
      <c r="Q411" s="147"/>
    </row>
    <row r="412" spans="15:17" ht="15.75" customHeight="1">
      <c r="O412" s="92"/>
      <c r="Q412" s="147"/>
    </row>
    <row r="413" spans="15:17" ht="15.75" customHeight="1">
      <c r="O413" s="92"/>
      <c r="Q413" s="147"/>
    </row>
    <row r="414" spans="15:17" ht="15.75" customHeight="1">
      <c r="O414" s="92"/>
      <c r="Q414" s="147"/>
    </row>
    <row r="415" spans="15:17" ht="15.75" customHeight="1">
      <c r="O415" s="92"/>
      <c r="Q415" s="147"/>
    </row>
    <row r="416" spans="15:17" ht="15.75" customHeight="1">
      <c r="O416" s="92"/>
      <c r="Q416" s="147"/>
    </row>
    <row r="417" spans="15:17" ht="15.75" customHeight="1">
      <c r="O417" s="92"/>
      <c r="Q417" s="147"/>
    </row>
    <row r="418" spans="15:17" ht="15.75" customHeight="1">
      <c r="O418" s="92"/>
      <c r="Q418" s="147"/>
    </row>
    <row r="419" spans="15:17" ht="15.75" customHeight="1">
      <c r="O419" s="92"/>
      <c r="Q419" s="147"/>
    </row>
    <row r="420" spans="15:17" ht="15.75" customHeight="1">
      <c r="O420" s="92"/>
      <c r="Q420" s="147"/>
    </row>
    <row r="421" spans="15:17" ht="15.75" customHeight="1">
      <c r="O421" s="92"/>
      <c r="Q421" s="147"/>
    </row>
    <row r="422" spans="15:17" ht="15.75" customHeight="1">
      <c r="O422" s="92"/>
      <c r="Q422" s="147"/>
    </row>
    <row r="423" spans="15:17" ht="15.75" customHeight="1">
      <c r="O423" s="92"/>
      <c r="Q423" s="147"/>
    </row>
    <row r="424" spans="15:17" ht="15.75" customHeight="1">
      <c r="O424" s="92"/>
      <c r="Q424" s="147"/>
    </row>
    <row r="425" spans="15:17" ht="15.75" customHeight="1">
      <c r="O425" s="92"/>
      <c r="Q425" s="147"/>
    </row>
    <row r="426" spans="15:17" ht="15.75" customHeight="1">
      <c r="O426" s="92"/>
      <c r="Q426" s="147"/>
    </row>
    <row r="427" spans="15:17" ht="15.75" customHeight="1">
      <c r="O427" s="92"/>
      <c r="Q427" s="147"/>
    </row>
    <row r="428" spans="15:17" ht="15.75" customHeight="1">
      <c r="O428" s="92"/>
      <c r="Q428" s="147"/>
    </row>
    <row r="429" spans="15:17" ht="15.75" customHeight="1">
      <c r="O429" s="92"/>
      <c r="Q429" s="147"/>
    </row>
    <row r="430" spans="15:17" ht="15.75" customHeight="1">
      <c r="O430" s="92"/>
      <c r="Q430" s="147"/>
    </row>
    <row r="431" spans="15:17" ht="15.75" customHeight="1">
      <c r="O431" s="92"/>
      <c r="Q431" s="147"/>
    </row>
    <row r="432" spans="15:17" ht="15.75" customHeight="1">
      <c r="O432" s="92"/>
      <c r="Q432" s="147"/>
    </row>
    <row r="433" spans="15:17" ht="15.75" customHeight="1">
      <c r="O433" s="92"/>
      <c r="Q433" s="147"/>
    </row>
    <row r="434" spans="15:17" ht="15.75" customHeight="1">
      <c r="O434" s="92"/>
      <c r="Q434" s="147"/>
    </row>
    <row r="435" spans="15:17" ht="15.75" customHeight="1">
      <c r="O435" s="92"/>
      <c r="Q435" s="147"/>
    </row>
    <row r="436" spans="15:17" ht="15.75" customHeight="1">
      <c r="O436" s="92"/>
      <c r="Q436" s="147"/>
    </row>
    <row r="437" spans="15:17" ht="15.75" customHeight="1">
      <c r="O437" s="92"/>
      <c r="Q437" s="147"/>
    </row>
    <row r="438" spans="15:17" ht="15.75" customHeight="1">
      <c r="O438" s="92"/>
      <c r="Q438" s="147"/>
    </row>
    <row r="439" spans="15:17" ht="15.75" customHeight="1">
      <c r="O439" s="92"/>
      <c r="Q439" s="147"/>
    </row>
    <row r="440" spans="15:17" ht="15.75" customHeight="1">
      <c r="O440" s="92"/>
      <c r="Q440" s="147"/>
    </row>
    <row r="441" spans="15:17" ht="15.75" customHeight="1">
      <c r="O441" s="92"/>
      <c r="Q441" s="147"/>
    </row>
    <row r="442" spans="15:17" ht="15.75" customHeight="1">
      <c r="O442" s="92"/>
      <c r="Q442" s="147"/>
    </row>
    <row r="443" spans="15:17" ht="15.75" customHeight="1">
      <c r="O443" s="92"/>
      <c r="Q443" s="147"/>
    </row>
    <row r="444" spans="15:17" ht="15.75" customHeight="1">
      <c r="O444" s="92"/>
      <c r="Q444" s="147"/>
    </row>
    <row r="445" spans="15:17" ht="15.75" customHeight="1">
      <c r="O445" s="92"/>
      <c r="Q445" s="147"/>
    </row>
    <row r="446" spans="15:17" ht="15.75" customHeight="1">
      <c r="O446" s="92"/>
      <c r="Q446" s="147"/>
    </row>
    <row r="447" spans="15:17" ht="15.75" customHeight="1">
      <c r="O447" s="92"/>
      <c r="Q447" s="147"/>
    </row>
    <row r="448" spans="15:17" ht="15.75" customHeight="1">
      <c r="O448" s="92"/>
      <c r="Q448" s="147"/>
    </row>
    <row r="449" spans="15:17" ht="15.75" customHeight="1">
      <c r="O449" s="92"/>
      <c r="Q449" s="147"/>
    </row>
    <row r="450" spans="15:17" ht="15.75" customHeight="1">
      <c r="O450" s="92"/>
      <c r="Q450" s="147"/>
    </row>
    <row r="451" spans="15:17" ht="15.75" customHeight="1">
      <c r="O451" s="92"/>
      <c r="Q451" s="147"/>
    </row>
    <row r="452" spans="15:17" ht="15.75" customHeight="1">
      <c r="O452" s="92"/>
      <c r="Q452" s="147"/>
    </row>
    <row r="453" spans="15:17" ht="15.75" customHeight="1">
      <c r="O453" s="92"/>
      <c r="Q453" s="147"/>
    </row>
    <row r="454" spans="15:17" ht="15.75" customHeight="1">
      <c r="O454" s="92"/>
      <c r="Q454" s="147"/>
    </row>
    <row r="455" spans="15:17" ht="15.75" customHeight="1">
      <c r="O455" s="92"/>
      <c r="Q455" s="147"/>
    </row>
    <row r="456" spans="15:17" ht="15.75" customHeight="1">
      <c r="O456" s="92"/>
      <c r="Q456" s="147"/>
    </row>
    <row r="457" spans="15:17" ht="15.75" customHeight="1">
      <c r="O457" s="92"/>
      <c r="Q457" s="147"/>
    </row>
    <row r="458" spans="15:17" ht="15.75" customHeight="1">
      <c r="O458" s="92"/>
      <c r="Q458" s="147"/>
    </row>
    <row r="459" spans="15:17" ht="15.75" customHeight="1">
      <c r="O459" s="92"/>
      <c r="Q459" s="147"/>
    </row>
    <row r="460" spans="15:17" ht="15.75" customHeight="1">
      <c r="O460" s="92"/>
      <c r="Q460" s="147"/>
    </row>
    <row r="461" spans="15:17" ht="15.75" customHeight="1">
      <c r="O461" s="92"/>
      <c r="Q461" s="147"/>
    </row>
    <row r="462" spans="15:17" ht="15.75" customHeight="1">
      <c r="O462" s="92"/>
      <c r="Q462" s="147"/>
    </row>
    <row r="463" spans="15:17" ht="15.75" customHeight="1">
      <c r="O463" s="92"/>
      <c r="Q463" s="147"/>
    </row>
    <row r="464" spans="15:17" ht="15.75" customHeight="1">
      <c r="O464" s="92"/>
      <c r="Q464" s="147"/>
    </row>
    <row r="465" spans="15:17" ht="15.75" customHeight="1">
      <c r="O465" s="92"/>
      <c r="Q465" s="147"/>
    </row>
    <row r="466" spans="15:17" ht="15.75" customHeight="1">
      <c r="O466" s="92"/>
      <c r="Q466" s="147"/>
    </row>
    <row r="467" spans="15:17" ht="15.75" customHeight="1">
      <c r="O467" s="92"/>
      <c r="Q467" s="147"/>
    </row>
    <row r="468" spans="15:17" ht="15.75" customHeight="1">
      <c r="O468" s="92"/>
      <c r="Q468" s="147"/>
    </row>
    <row r="469" spans="15:17" ht="15.75" customHeight="1">
      <c r="O469" s="92"/>
      <c r="Q469" s="147"/>
    </row>
    <row r="470" spans="15:17" ht="15.75" customHeight="1">
      <c r="O470" s="92"/>
      <c r="Q470" s="147"/>
    </row>
    <row r="471" spans="15:17" ht="15.75" customHeight="1">
      <c r="O471" s="92"/>
      <c r="Q471" s="147"/>
    </row>
    <row r="472" spans="15:17" ht="15.75" customHeight="1">
      <c r="O472" s="92"/>
      <c r="Q472" s="147"/>
    </row>
    <row r="473" spans="15:17" ht="15.75" customHeight="1">
      <c r="O473" s="92"/>
      <c r="Q473" s="147"/>
    </row>
    <row r="474" spans="15:17" ht="15.75" customHeight="1">
      <c r="O474" s="92"/>
      <c r="Q474" s="147"/>
    </row>
    <row r="475" spans="15:17" ht="15.75" customHeight="1">
      <c r="O475" s="92"/>
      <c r="Q475" s="147"/>
    </row>
    <row r="476" spans="15:17" ht="15.75" customHeight="1">
      <c r="O476" s="92"/>
      <c r="Q476" s="147"/>
    </row>
    <row r="477" spans="15:17" ht="15.75" customHeight="1">
      <c r="O477" s="92"/>
      <c r="Q477" s="147"/>
    </row>
    <row r="478" spans="15:17" ht="15.75" customHeight="1">
      <c r="O478" s="92"/>
      <c r="Q478" s="147"/>
    </row>
    <row r="479" spans="15:17" ht="15.75" customHeight="1">
      <c r="O479" s="92"/>
      <c r="Q479" s="147"/>
    </row>
    <row r="480" spans="15:17" ht="15.75" customHeight="1">
      <c r="O480" s="92"/>
      <c r="Q480" s="147"/>
    </row>
    <row r="481" spans="15:17" ht="15.75" customHeight="1">
      <c r="O481" s="92"/>
      <c r="Q481" s="147"/>
    </row>
    <row r="482" spans="15:17" ht="15.75" customHeight="1">
      <c r="O482" s="92"/>
      <c r="Q482" s="147"/>
    </row>
    <row r="483" spans="15:17" ht="15.75" customHeight="1">
      <c r="O483" s="92"/>
      <c r="Q483" s="147"/>
    </row>
    <row r="484" spans="15:17" ht="15.75" customHeight="1">
      <c r="O484" s="92"/>
      <c r="Q484" s="147"/>
    </row>
    <row r="485" spans="15:17" ht="15.75" customHeight="1">
      <c r="O485" s="92"/>
      <c r="Q485" s="147"/>
    </row>
    <row r="486" spans="15:17" ht="15.75" customHeight="1">
      <c r="O486" s="92"/>
      <c r="Q486" s="147"/>
    </row>
    <row r="487" spans="15:17" ht="15.75" customHeight="1">
      <c r="O487" s="92"/>
      <c r="Q487" s="147"/>
    </row>
    <row r="488" spans="15:17" ht="15.75" customHeight="1">
      <c r="O488" s="92"/>
      <c r="Q488" s="147"/>
    </row>
    <row r="489" spans="15:17" ht="15.75" customHeight="1">
      <c r="O489" s="92"/>
      <c r="Q489" s="147"/>
    </row>
    <row r="490" spans="15:17" ht="15.75" customHeight="1">
      <c r="O490" s="92"/>
      <c r="Q490" s="147"/>
    </row>
    <row r="491" spans="15:17" ht="15.75" customHeight="1">
      <c r="O491" s="92"/>
      <c r="Q491" s="147"/>
    </row>
    <row r="492" spans="15:17" ht="15.75" customHeight="1">
      <c r="O492" s="92"/>
      <c r="Q492" s="147"/>
    </row>
    <row r="493" spans="15:17" ht="15.75" customHeight="1">
      <c r="O493" s="92"/>
      <c r="Q493" s="147"/>
    </row>
    <row r="494" spans="15:17" ht="15.75" customHeight="1">
      <c r="O494" s="92"/>
      <c r="Q494" s="147"/>
    </row>
    <row r="495" spans="15:17" ht="15.75" customHeight="1">
      <c r="O495" s="92"/>
      <c r="Q495" s="147"/>
    </row>
    <row r="496" spans="15:17" ht="15.75" customHeight="1">
      <c r="O496" s="92"/>
      <c r="Q496" s="147"/>
    </row>
    <row r="497" spans="15:17" ht="15.75" customHeight="1">
      <c r="O497" s="92"/>
      <c r="Q497" s="147"/>
    </row>
    <row r="498" spans="15:17" ht="15.75" customHeight="1">
      <c r="O498" s="92"/>
      <c r="Q498" s="147"/>
    </row>
    <row r="499" spans="15:17" ht="15.75" customHeight="1">
      <c r="O499" s="92"/>
      <c r="Q499" s="147"/>
    </row>
    <row r="500" spans="15:17" ht="15.75" customHeight="1">
      <c r="O500" s="92"/>
      <c r="Q500" s="147"/>
    </row>
    <row r="501" spans="15:17" ht="15.75" customHeight="1">
      <c r="O501" s="92"/>
      <c r="Q501" s="147"/>
    </row>
    <row r="502" spans="15:17" ht="15.75" customHeight="1">
      <c r="O502" s="92"/>
      <c r="Q502" s="147"/>
    </row>
    <row r="503" spans="15:17" ht="15.75" customHeight="1">
      <c r="O503" s="92"/>
      <c r="Q503" s="147"/>
    </row>
    <row r="504" spans="15:17" ht="15.75" customHeight="1">
      <c r="O504" s="92"/>
      <c r="Q504" s="147"/>
    </row>
    <row r="505" spans="15:17" ht="15.75" customHeight="1">
      <c r="O505" s="92"/>
      <c r="Q505" s="147"/>
    </row>
    <row r="506" spans="15:17" ht="15.75" customHeight="1">
      <c r="O506" s="92"/>
      <c r="Q506" s="147"/>
    </row>
    <row r="507" spans="15:17" ht="15.75" customHeight="1">
      <c r="O507" s="92"/>
      <c r="Q507" s="147"/>
    </row>
    <row r="508" spans="15:17" ht="15.75" customHeight="1">
      <c r="O508" s="92"/>
      <c r="Q508" s="147"/>
    </row>
    <row r="509" spans="15:17" ht="15.75" customHeight="1">
      <c r="O509" s="92"/>
      <c r="Q509" s="147"/>
    </row>
    <row r="510" spans="15:17" ht="15.75" customHeight="1">
      <c r="O510" s="92"/>
      <c r="Q510" s="147"/>
    </row>
    <row r="511" spans="15:17" ht="15.75" customHeight="1">
      <c r="O511" s="92"/>
      <c r="Q511" s="147"/>
    </row>
    <row r="512" spans="15:17" ht="15.75" customHeight="1">
      <c r="O512" s="92"/>
      <c r="Q512" s="147"/>
    </row>
    <row r="513" spans="15:17" ht="15.75" customHeight="1">
      <c r="O513" s="92"/>
      <c r="Q513" s="147"/>
    </row>
    <row r="514" spans="15:17" ht="15.75" customHeight="1">
      <c r="O514" s="92"/>
      <c r="Q514" s="147"/>
    </row>
    <row r="515" spans="15:17" ht="15.75" customHeight="1">
      <c r="O515" s="92"/>
      <c r="Q515" s="147"/>
    </row>
    <row r="516" spans="15:17" ht="15.75" customHeight="1">
      <c r="O516" s="92"/>
      <c r="Q516" s="147"/>
    </row>
    <row r="517" spans="15:17" ht="15.75" customHeight="1">
      <c r="O517" s="92"/>
      <c r="Q517" s="147"/>
    </row>
    <row r="518" spans="15:17" ht="15.75" customHeight="1">
      <c r="O518" s="92"/>
      <c r="Q518" s="147"/>
    </row>
    <row r="519" spans="15:17" ht="15.75" customHeight="1">
      <c r="O519" s="92"/>
      <c r="Q519" s="147"/>
    </row>
    <row r="520" spans="15:17" ht="15.75" customHeight="1">
      <c r="O520" s="92"/>
      <c r="Q520" s="147"/>
    </row>
    <row r="521" spans="15:17" ht="15.75" customHeight="1">
      <c r="O521" s="92"/>
      <c r="Q521" s="147"/>
    </row>
    <row r="522" spans="15:17" ht="15.75" customHeight="1">
      <c r="O522" s="92"/>
      <c r="Q522" s="147"/>
    </row>
    <row r="523" spans="15:17" ht="15.75" customHeight="1">
      <c r="O523" s="92"/>
      <c r="Q523" s="147"/>
    </row>
    <row r="524" spans="15:17" ht="15.75" customHeight="1">
      <c r="O524" s="92"/>
      <c r="Q524" s="147"/>
    </row>
    <row r="525" spans="15:17" ht="15.75" customHeight="1">
      <c r="O525" s="92"/>
      <c r="Q525" s="147"/>
    </row>
    <row r="526" spans="15:17" ht="15.75" customHeight="1">
      <c r="O526" s="92"/>
      <c r="Q526" s="147"/>
    </row>
    <row r="527" spans="15:17" ht="15.75" customHeight="1">
      <c r="O527" s="92"/>
      <c r="Q527" s="147"/>
    </row>
    <row r="528" spans="15:17" ht="15.75" customHeight="1">
      <c r="O528" s="92"/>
      <c r="Q528" s="147"/>
    </row>
    <row r="529" spans="15:17" ht="15.75" customHeight="1">
      <c r="O529" s="92"/>
      <c r="Q529" s="147"/>
    </row>
    <row r="530" spans="15:17" ht="15.75" customHeight="1">
      <c r="O530" s="92"/>
      <c r="Q530" s="147"/>
    </row>
    <row r="531" spans="15:17" ht="15.75" customHeight="1">
      <c r="O531" s="92"/>
      <c r="Q531" s="147"/>
    </row>
    <row r="532" spans="15:17" ht="15.75" customHeight="1">
      <c r="O532" s="92"/>
      <c r="Q532" s="147"/>
    </row>
    <row r="533" spans="15:17" ht="15.75" customHeight="1">
      <c r="O533" s="92"/>
      <c r="Q533" s="147"/>
    </row>
    <row r="534" spans="15:17" ht="15.75" customHeight="1">
      <c r="O534" s="92"/>
      <c r="Q534" s="147"/>
    </row>
    <row r="535" spans="15:17" ht="15.75" customHeight="1">
      <c r="O535" s="92"/>
      <c r="Q535" s="147"/>
    </row>
    <row r="536" spans="15:17" ht="15.75" customHeight="1">
      <c r="O536" s="92"/>
      <c r="Q536" s="147"/>
    </row>
    <row r="537" spans="15:17" ht="15.75" customHeight="1">
      <c r="O537" s="92"/>
      <c r="Q537" s="147"/>
    </row>
    <row r="538" spans="15:17" ht="15.75" customHeight="1">
      <c r="O538" s="92"/>
      <c r="Q538" s="147"/>
    </row>
    <row r="539" spans="15:17" ht="15.75" customHeight="1">
      <c r="O539" s="92"/>
      <c r="Q539" s="147"/>
    </row>
    <row r="540" spans="15:17" ht="15.75" customHeight="1">
      <c r="O540" s="92"/>
      <c r="Q540" s="147"/>
    </row>
    <row r="541" spans="15:17" ht="15.75" customHeight="1">
      <c r="O541" s="92"/>
      <c r="Q541" s="147"/>
    </row>
    <row r="542" spans="15:17" ht="15.75" customHeight="1">
      <c r="O542" s="92"/>
      <c r="Q542" s="147"/>
    </row>
    <row r="543" spans="15:17" ht="15.75" customHeight="1">
      <c r="O543" s="92"/>
      <c r="Q543" s="147"/>
    </row>
    <row r="544" spans="15:17" ht="15.75" customHeight="1">
      <c r="O544" s="92"/>
      <c r="Q544" s="147"/>
    </row>
    <row r="545" spans="15:17" ht="15.75" customHeight="1">
      <c r="O545" s="92"/>
      <c r="Q545" s="147"/>
    </row>
    <row r="546" spans="15:17" ht="15.75" customHeight="1">
      <c r="O546" s="92"/>
      <c r="Q546" s="147"/>
    </row>
    <row r="547" spans="15:17" ht="15.75" customHeight="1">
      <c r="O547" s="92"/>
      <c r="Q547" s="147"/>
    </row>
    <row r="548" spans="15:17" ht="15.75" customHeight="1">
      <c r="O548" s="92"/>
      <c r="Q548" s="147"/>
    </row>
    <row r="549" spans="15:17" ht="15.75" customHeight="1">
      <c r="O549" s="92"/>
      <c r="Q549" s="147"/>
    </row>
    <row r="550" spans="15:17" ht="15.75" customHeight="1">
      <c r="O550" s="92"/>
      <c r="Q550" s="147"/>
    </row>
    <row r="551" spans="15:17" ht="15.75" customHeight="1">
      <c r="O551" s="92"/>
      <c r="Q551" s="147"/>
    </row>
    <row r="552" spans="15:17" ht="15.75" customHeight="1">
      <c r="O552" s="92"/>
      <c r="Q552" s="147"/>
    </row>
    <row r="553" spans="15:17" ht="15.75" customHeight="1">
      <c r="O553" s="92"/>
      <c r="Q553" s="147"/>
    </row>
    <row r="554" spans="15:17" ht="15.75" customHeight="1">
      <c r="O554" s="92"/>
      <c r="Q554" s="147"/>
    </row>
    <row r="555" spans="15:17" ht="15.75" customHeight="1">
      <c r="O555" s="92"/>
      <c r="Q555" s="147"/>
    </row>
    <row r="556" spans="15:17" ht="15.75" customHeight="1">
      <c r="O556" s="92"/>
      <c r="Q556" s="147"/>
    </row>
    <row r="557" spans="15:17" ht="15.75" customHeight="1">
      <c r="O557" s="92"/>
      <c r="Q557" s="147"/>
    </row>
    <row r="558" spans="15:17" ht="15.75" customHeight="1">
      <c r="O558" s="92"/>
      <c r="Q558" s="147"/>
    </row>
    <row r="559" spans="15:17" ht="15.75" customHeight="1">
      <c r="O559" s="92"/>
      <c r="Q559" s="147"/>
    </row>
    <row r="560" spans="15:17" ht="15.75" customHeight="1">
      <c r="O560" s="92"/>
      <c r="Q560" s="147"/>
    </row>
    <row r="561" spans="15:17" ht="15.75" customHeight="1">
      <c r="O561" s="92"/>
      <c r="Q561" s="147"/>
    </row>
    <row r="562" spans="15:17" ht="15.75" customHeight="1">
      <c r="O562" s="92"/>
      <c r="Q562" s="147"/>
    </row>
    <row r="563" spans="15:17" ht="15.75" customHeight="1">
      <c r="O563" s="92"/>
      <c r="Q563" s="147"/>
    </row>
    <row r="564" spans="15:17" ht="15.75" customHeight="1">
      <c r="O564" s="92"/>
      <c r="Q564" s="147"/>
    </row>
    <row r="565" spans="15:17" ht="15.75" customHeight="1">
      <c r="O565" s="92"/>
      <c r="Q565" s="147"/>
    </row>
    <row r="566" spans="15:17" ht="15.75" customHeight="1">
      <c r="O566" s="92"/>
      <c r="Q566" s="147"/>
    </row>
    <row r="567" spans="15:17" ht="15.75" customHeight="1">
      <c r="O567" s="92"/>
      <c r="Q567" s="147"/>
    </row>
    <row r="568" spans="15:17" ht="15.75" customHeight="1">
      <c r="O568" s="92"/>
      <c r="Q568" s="147"/>
    </row>
    <row r="569" spans="15:17" ht="15.75" customHeight="1">
      <c r="O569" s="92"/>
      <c r="Q569" s="147"/>
    </row>
    <row r="570" spans="15:17" ht="15.75" customHeight="1">
      <c r="O570" s="92"/>
      <c r="Q570" s="147"/>
    </row>
    <row r="571" spans="15:17" ht="15.75" customHeight="1">
      <c r="O571" s="92"/>
      <c r="Q571" s="147"/>
    </row>
    <row r="572" spans="15:17" ht="15.75" customHeight="1">
      <c r="O572" s="92"/>
      <c r="Q572" s="147"/>
    </row>
    <row r="573" spans="15:17" ht="15.75" customHeight="1">
      <c r="O573" s="92"/>
      <c r="Q573" s="147"/>
    </row>
    <row r="574" spans="15:17" ht="15.75" customHeight="1">
      <c r="O574" s="92"/>
      <c r="Q574" s="147"/>
    </row>
    <row r="575" spans="15:17" ht="15.75" customHeight="1">
      <c r="O575" s="92"/>
      <c r="Q575" s="147"/>
    </row>
    <row r="576" spans="15:17" ht="15.75" customHeight="1">
      <c r="O576" s="92"/>
      <c r="Q576" s="147"/>
    </row>
    <row r="577" spans="15:17" ht="15.75" customHeight="1">
      <c r="O577" s="92"/>
      <c r="Q577" s="147"/>
    </row>
    <row r="578" spans="15:17" ht="15.75" customHeight="1">
      <c r="O578" s="92"/>
      <c r="Q578" s="147"/>
    </row>
    <row r="579" spans="15:17" ht="15.75" customHeight="1">
      <c r="O579" s="92"/>
      <c r="Q579" s="147"/>
    </row>
    <row r="580" spans="15:17" ht="15.75" customHeight="1">
      <c r="O580" s="92"/>
      <c r="Q580" s="147"/>
    </row>
    <row r="581" spans="15:17" ht="15.75" customHeight="1">
      <c r="O581" s="92"/>
      <c r="Q581" s="147"/>
    </row>
    <row r="582" spans="15:17" ht="15.75" customHeight="1">
      <c r="O582" s="92"/>
      <c r="Q582" s="147"/>
    </row>
    <row r="583" spans="15:17" ht="15.75" customHeight="1">
      <c r="O583" s="92"/>
      <c r="Q583" s="147"/>
    </row>
    <row r="584" spans="15:17" ht="15.75" customHeight="1">
      <c r="O584" s="92"/>
      <c r="Q584" s="147"/>
    </row>
    <row r="585" spans="15:17" ht="15.75" customHeight="1">
      <c r="O585" s="92"/>
      <c r="Q585" s="147"/>
    </row>
    <row r="586" spans="15:17" ht="15.75" customHeight="1">
      <c r="O586" s="92"/>
      <c r="Q586" s="147"/>
    </row>
    <row r="587" spans="15:17" ht="15.75" customHeight="1">
      <c r="O587" s="92"/>
      <c r="Q587" s="147"/>
    </row>
    <row r="588" spans="15:17" ht="15.75" customHeight="1">
      <c r="O588" s="92"/>
      <c r="Q588" s="147"/>
    </row>
    <row r="589" spans="15:17" ht="15.75" customHeight="1">
      <c r="O589" s="92"/>
      <c r="Q589" s="147"/>
    </row>
    <row r="590" spans="15:17" ht="15.75" customHeight="1">
      <c r="O590" s="92"/>
      <c r="Q590" s="147"/>
    </row>
    <row r="591" spans="15:17" ht="15.75" customHeight="1">
      <c r="O591" s="92"/>
      <c r="Q591" s="147"/>
    </row>
    <row r="592" spans="15:17" ht="15.75" customHeight="1">
      <c r="O592" s="92"/>
      <c r="Q592" s="147"/>
    </row>
    <row r="593" spans="15:17" ht="15.75" customHeight="1">
      <c r="O593" s="92"/>
      <c r="Q593" s="147"/>
    </row>
    <row r="594" spans="15:17" ht="15.75" customHeight="1">
      <c r="O594" s="92"/>
      <c r="Q594" s="147"/>
    </row>
    <row r="595" spans="15:17" ht="15.75" customHeight="1">
      <c r="O595" s="92"/>
      <c r="Q595" s="147"/>
    </row>
    <row r="596" spans="15:17" ht="15.75" customHeight="1">
      <c r="O596" s="92"/>
      <c r="Q596" s="147"/>
    </row>
    <row r="597" spans="15:17" ht="15.75" customHeight="1">
      <c r="O597" s="92"/>
      <c r="Q597" s="147"/>
    </row>
    <row r="598" spans="15:17" ht="15.75" customHeight="1">
      <c r="O598" s="92"/>
      <c r="Q598" s="147"/>
    </row>
    <row r="599" spans="15:17" ht="15.75" customHeight="1">
      <c r="O599" s="92"/>
      <c r="Q599" s="147"/>
    </row>
    <row r="600" spans="15:17" ht="15.75" customHeight="1">
      <c r="O600" s="92"/>
      <c r="Q600" s="147"/>
    </row>
    <row r="601" spans="15:17" ht="15.75" customHeight="1">
      <c r="O601" s="92"/>
      <c r="Q601" s="147"/>
    </row>
    <row r="602" spans="15:17" ht="15.75" customHeight="1">
      <c r="O602" s="92"/>
      <c r="Q602" s="147"/>
    </row>
    <row r="603" spans="15:17" ht="15.75" customHeight="1">
      <c r="O603" s="92"/>
      <c r="Q603" s="147"/>
    </row>
    <row r="604" spans="15:17" ht="15.75" customHeight="1">
      <c r="O604" s="92"/>
      <c r="Q604" s="147"/>
    </row>
    <row r="605" spans="15:17" ht="15.75" customHeight="1">
      <c r="O605" s="92"/>
      <c r="Q605" s="147"/>
    </row>
    <row r="606" spans="15:17" ht="15.75" customHeight="1">
      <c r="O606" s="92"/>
      <c r="Q606" s="147"/>
    </row>
    <row r="607" spans="15:17" ht="15.75" customHeight="1">
      <c r="O607" s="92"/>
      <c r="Q607" s="147"/>
    </row>
    <row r="608" spans="15:17" ht="15.75" customHeight="1">
      <c r="O608" s="92"/>
      <c r="Q608" s="147"/>
    </row>
    <row r="609" spans="15:17" ht="15.75" customHeight="1">
      <c r="O609" s="92"/>
      <c r="Q609" s="147"/>
    </row>
    <row r="610" spans="15:17" ht="15.75" customHeight="1">
      <c r="O610" s="92"/>
      <c r="Q610" s="147"/>
    </row>
    <row r="611" spans="15:17" ht="15.75" customHeight="1">
      <c r="O611" s="92"/>
      <c r="Q611" s="147"/>
    </row>
    <row r="612" spans="15:17" ht="15.75" customHeight="1">
      <c r="O612" s="92"/>
      <c r="Q612" s="147"/>
    </row>
    <row r="613" spans="15:17" ht="15.75" customHeight="1">
      <c r="O613" s="92"/>
      <c r="Q613" s="147"/>
    </row>
    <row r="614" spans="15:17" ht="15.75" customHeight="1">
      <c r="O614" s="92"/>
      <c r="Q614" s="147"/>
    </row>
    <row r="615" spans="15:17" ht="15.75" customHeight="1">
      <c r="O615" s="92"/>
      <c r="Q615" s="147"/>
    </row>
    <row r="616" spans="15:17" ht="15.75" customHeight="1">
      <c r="O616" s="92"/>
      <c r="Q616" s="147"/>
    </row>
    <row r="617" spans="15:17" ht="15.75" customHeight="1">
      <c r="O617" s="92"/>
      <c r="Q617" s="147"/>
    </row>
    <row r="618" spans="15:17" ht="15.75" customHeight="1">
      <c r="O618" s="92"/>
      <c r="Q618" s="147"/>
    </row>
    <row r="619" spans="15:17" ht="15.75" customHeight="1">
      <c r="O619" s="92"/>
      <c r="Q619" s="147"/>
    </row>
    <row r="620" spans="15:17" ht="15.75" customHeight="1">
      <c r="O620" s="92"/>
      <c r="Q620" s="147"/>
    </row>
    <row r="621" spans="15:17" ht="15.75" customHeight="1">
      <c r="O621" s="92"/>
      <c r="Q621" s="147"/>
    </row>
    <row r="622" spans="15:17" ht="15.75" customHeight="1">
      <c r="O622" s="92"/>
      <c r="Q622" s="147"/>
    </row>
    <row r="623" spans="15:17" ht="15.75" customHeight="1">
      <c r="O623" s="92"/>
      <c r="Q623" s="147"/>
    </row>
    <row r="624" spans="15:17" ht="15.75" customHeight="1">
      <c r="O624" s="92"/>
      <c r="Q624" s="147"/>
    </row>
    <row r="625" spans="15:17" ht="15.75" customHeight="1">
      <c r="O625" s="92"/>
      <c r="Q625" s="147"/>
    </row>
    <row r="626" spans="15:17" ht="15.75" customHeight="1">
      <c r="O626" s="92"/>
      <c r="Q626" s="147"/>
    </row>
    <row r="627" spans="15:17" ht="15.75" customHeight="1">
      <c r="O627" s="92"/>
      <c r="Q627" s="147"/>
    </row>
    <row r="628" spans="15:17" ht="15.75" customHeight="1">
      <c r="O628" s="92"/>
      <c r="Q628" s="147"/>
    </row>
    <row r="629" spans="15:17" ht="15.75" customHeight="1">
      <c r="O629" s="92"/>
      <c r="Q629" s="147"/>
    </row>
    <row r="630" spans="15:17" ht="15.75" customHeight="1">
      <c r="O630" s="92"/>
      <c r="Q630" s="147"/>
    </row>
    <row r="631" spans="15:17" ht="15.75" customHeight="1">
      <c r="O631" s="92"/>
      <c r="Q631" s="147"/>
    </row>
    <row r="632" spans="15:17" ht="15.75" customHeight="1">
      <c r="O632" s="92"/>
      <c r="Q632" s="147"/>
    </row>
    <row r="633" spans="15:17" ht="15.75" customHeight="1">
      <c r="O633" s="92"/>
      <c r="Q633" s="147"/>
    </row>
    <row r="634" spans="15:17" ht="15.75" customHeight="1">
      <c r="O634" s="92"/>
      <c r="Q634" s="147"/>
    </row>
    <row r="635" spans="15:17" ht="15.75" customHeight="1">
      <c r="O635" s="92"/>
      <c r="Q635" s="147"/>
    </row>
    <row r="636" spans="15:17" ht="15.75" customHeight="1">
      <c r="O636" s="92"/>
      <c r="Q636" s="147"/>
    </row>
    <row r="637" spans="15:17" ht="15.75" customHeight="1">
      <c r="O637" s="92"/>
      <c r="Q637" s="147"/>
    </row>
    <row r="638" spans="15:17" ht="15.75" customHeight="1">
      <c r="O638" s="92"/>
      <c r="Q638" s="147"/>
    </row>
    <row r="639" spans="15:17" ht="15.75" customHeight="1">
      <c r="O639" s="92"/>
      <c r="Q639" s="147"/>
    </row>
    <row r="640" spans="15:17" ht="15.75" customHeight="1">
      <c r="O640" s="92"/>
      <c r="Q640" s="147"/>
    </row>
    <row r="641" spans="15:17" ht="15.75" customHeight="1">
      <c r="O641" s="92"/>
      <c r="Q641" s="147"/>
    </row>
    <row r="642" spans="15:17" ht="15.75" customHeight="1">
      <c r="O642" s="92"/>
      <c r="Q642" s="147"/>
    </row>
    <row r="643" spans="15:17" ht="15.75" customHeight="1">
      <c r="O643" s="92"/>
      <c r="Q643" s="147"/>
    </row>
    <row r="644" spans="15:17" ht="15.75" customHeight="1">
      <c r="O644" s="92"/>
      <c r="Q644" s="147"/>
    </row>
    <row r="645" spans="15:17" ht="15.75" customHeight="1">
      <c r="O645" s="92"/>
      <c r="Q645" s="147"/>
    </row>
    <row r="646" spans="15:17" ht="15.75" customHeight="1">
      <c r="O646" s="92"/>
      <c r="Q646" s="147"/>
    </row>
    <row r="647" spans="15:17" ht="15.75" customHeight="1">
      <c r="O647" s="92"/>
      <c r="Q647" s="147"/>
    </row>
    <row r="648" spans="15:17" ht="15.75" customHeight="1">
      <c r="O648" s="92"/>
      <c r="Q648" s="147"/>
    </row>
    <row r="649" spans="15:17" ht="15.75" customHeight="1">
      <c r="O649" s="92"/>
      <c r="Q649" s="147"/>
    </row>
    <row r="650" spans="15:17" ht="15.75" customHeight="1">
      <c r="O650" s="92"/>
      <c r="Q650" s="147"/>
    </row>
    <row r="651" spans="15:17" ht="15.75" customHeight="1">
      <c r="O651" s="92"/>
      <c r="Q651" s="147"/>
    </row>
    <row r="652" spans="15:17" ht="15.75" customHeight="1">
      <c r="O652" s="92"/>
      <c r="Q652" s="147"/>
    </row>
    <row r="653" spans="15:17" ht="15.75" customHeight="1">
      <c r="O653" s="92"/>
      <c r="Q653" s="147"/>
    </row>
    <row r="654" spans="15:17" ht="15.75" customHeight="1">
      <c r="O654" s="92"/>
      <c r="Q654" s="147"/>
    </row>
    <row r="655" spans="15:17" ht="15.75" customHeight="1">
      <c r="O655" s="92"/>
      <c r="Q655" s="147"/>
    </row>
    <row r="656" spans="15:17" ht="15.75" customHeight="1">
      <c r="O656" s="92"/>
      <c r="Q656" s="147"/>
    </row>
    <row r="657" spans="15:17" ht="15.75" customHeight="1">
      <c r="O657" s="92"/>
      <c r="Q657" s="147"/>
    </row>
    <row r="658" spans="15:17" ht="15.75" customHeight="1">
      <c r="O658" s="92"/>
      <c r="Q658" s="147"/>
    </row>
    <row r="659" spans="15:17" ht="15.75" customHeight="1">
      <c r="O659" s="92"/>
      <c r="Q659" s="147"/>
    </row>
    <row r="660" spans="15:17" ht="15.75" customHeight="1">
      <c r="O660" s="92"/>
      <c r="Q660" s="147"/>
    </row>
    <row r="661" spans="15:17" ht="15.75" customHeight="1">
      <c r="O661" s="92"/>
      <c r="Q661" s="147"/>
    </row>
    <row r="662" spans="15:17" ht="15.75" customHeight="1">
      <c r="O662" s="92"/>
      <c r="Q662" s="147"/>
    </row>
    <row r="663" spans="15:17" ht="15.75" customHeight="1">
      <c r="O663" s="92"/>
      <c r="Q663" s="147"/>
    </row>
    <row r="664" spans="15:17" ht="15.75" customHeight="1">
      <c r="O664" s="92"/>
      <c r="Q664" s="147"/>
    </row>
    <row r="665" spans="15:17" ht="15.75" customHeight="1">
      <c r="O665" s="92"/>
      <c r="Q665" s="147"/>
    </row>
    <row r="666" spans="15:17" ht="15.75" customHeight="1">
      <c r="O666" s="92"/>
      <c r="Q666" s="147"/>
    </row>
    <row r="667" spans="15:17" ht="15.75" customHeight="1">
      <c r="O667" s="92"/>
      <c r="Q667" s="147"/>
    </row>
    <row r="668" spans="15:17" ht="15.75" customHeight="1">
      <c r="O668" s="92"/>
      <c r="Q668" s="147"/>
    </row>
    <row r="669" spans="15:17" ht="15.75" customHeight="1">
      <c r="O669" s="92"/>
      <c r="Q669" s="147"/>
    </row>
    <row r="670" spans="15:17" ht="15.75" customHeight="1">
      <c r="O670" s="92"/>
      <c r="Q670" s="147"/>
    </row>
    <row r="671" spans="15:17" ht="15.75" customHeight="1">
      <c r="O671" s="92"/>
      <c r="Q671" s="147"/>
    </row>
    <row r="672" spans="15:17" ht="15.75" customHeight="1">
      <c r="O672" s="92"/>
      <c r="Q672" s="147"/>
    </row>
    <row r="673" spans="15:17" ht="15.75" customHeight="1">
      <c r="O673" s="92"/>
      <c r="Q673" s="147"/>
    </row>
    <row r="674" spans="15:17" ht="15.75" customHeight="1">
      <c r="O674" s="92"/>
      <c r="Q674" s="147"/>
    </row>
    <row r="675" spans="15:17" ht="15.75" customHeight="1">
      <c r="O675" s="92"/>
      <c r="Q675" s="147"/>
    </row>
    <row r="676" spans="15:17" ht="15.75" customHeight="1">
      <c r="O676" s="92"/>
      <c r="Q676" s="147"/>
    </row>
    <row r="677" spans="15:17" ht="15.75" customHeight="1">
      <c r="O677" s="92"/>
      <c r="Q677" s="147"/>
    </row>
    <row r="678" spans="15:17" ht="15.75" customHeight="1">
      <c r="O678" s="92"/>
      <c r="Q678" s="147"/>
    </row>
    <row r="679" spans="15:17" ht="15.75" customHeight="1">
      <c r="O679" s="92"/>
      <c r="Q679" s="147"/>
    </row>
    <row r="680" spans="15:17" ht="15.75" customHeight="1">
      <c r="O680" s="92"/>
      <c r="Q680" s="147"/>
    </row>
    <row r="681" spans="15:17" ht="15.75" customHeight="1">
      <c r="O681" s="92"/>
      <c r="Q681" s="147"/>
    </row>
    <row r="682" spans="15:17" ht="15.75" customHeight="1">
      <c r="O682" s="92"/>
      <c r="Q682" s="147"/>
    </row>
    <row r="683" spans="15:17" ht="15.75" customHeight="1">
      <c r="O683" s="92"/>
      <c r="Q683" s="147"/>
    </row>
    <row r="684" spans="15:17" ht="15.75" customHeight="1">
      <c r="O684" s="92"/>
      <c r="Q684" s="147"/>
    </row>
    <row r="685" spans="15:17" ht="15.75" customHeight="1">
      <c r="O685" s="92"/>
      <c r="Q685" s="147"/>
    </row>
    <row r="686" spans="15:17" ht="15.75" customHeight="1">
      <c r="O686" s="92"/>
      <c r="Q686" s="147"/>
    </row>
    <row r="687" spans="15:17" ht="15.75" customHeight="1">
      <c r="O687" s="92"/>
      <c r="Q687" s="147"/>
    </row>
    <row r="688" spans="15:17" ht="15.75" customHeight="1">
      <c r="O688" s="92"/>
      <c r="Q688" s="147"/>
    </row>
    <row r="689" spans="15:17" ht="15.75" customHeight="1">
      <c r="O689" s="92"/>
      <c r="Q689" s="147"/>
    </row>
    <row r="690" spans="15:17" ht="15.75" customHeight="1">
      <c r="O690" s="92"/>
      <c r="Q690" s="147"/>
    </row>
    <row r="691" spans="15:17" ht="15.75" customHeight="1">
      <c r="O691" s="92"/>
      <c r="Q691" s="147"/>
    </row>
    <row r="692" spans="15:17" ht="15.75" customHeight="1">
      <c r="O692" s="92"/>
      <c r="Q692" s="147"/>
    </row>
    <row r="693" spans="15:17" ht="15.75" customHeight="1">
      <c r="O693" s="92"/>
      <c r="Q693" s="147"/>
    </row>
    <row r="694" spans="15:17" ht="15.75" customHeight="1">
      <c r="O694" s="92"/>
      <c r="Q694" s="147"/>
    </row>
    <row r="695" spans="15:17" ht="15.75" customHeight="1">
      <c r="O695" s="92"/>
      <c r="Q695" s="147"/>
    </row>
    <row r="696" spans="15:17" ht="15.75" customHeight="1">
      <c r="O696" s="92"/>
      <c r="Q696" s="147"/>
    </row>
    <row r="697" spans="15:17" ht="15.75" customHeight="1">
      <c r="O697" s="92"/>
      <c r="Q697" s="147"/>
    </row>
    <row r="698" spans="15:17" ht="15.75" customHeight="1">
      <c r="O698" s="92"/>
      <c r="Q698" s="147"/>
    </row>
    <row r="699" spans="15:17" ht="15.75" customHeight="1">
      <c r="O699" s="92"/>
      <c r="Q699" s="147"/>
    </row>
    <row r="700" spans="15:17" ht="15.75" customHeight="1">
      <c r="O700" s="92"/>
      <c r="Q700" s="147"/>
    </row>
    <row r="701" spans="15:17" ht="15.75" customHeight="1">
      <c r="O701" s="92"/>
      <c r="Q701" s="147"/>
    </row>
    <row r="702" spans="15:17" ht="15.75" customHeight="1">
      <c r="O702" s="92"/>
      <c r="Q702" s="147"/>
    </row>
    <row r="703" spans="15:17" ht="15.75" customHeight="1">
      <c r="O703" s="92"/>
      <c r="Q703" s="147"/>
    </row>
    <row r="704" spans="15:17" ht="15.75" customHeight="1">
      <c r="O704" s="92"/>
      <c r="Q704" s="147"/>
    </row>
    <row r="705" spans="15:17" ht="15.75" customHeight="1">
      <c r="O705" s="92"/>
      <c r="Q705" s="147"/>
    </row>
    <row r="706" spans="15:17" ht="15.75" customHeight="1">
      <c r="O706" s="92"/>
      <c r="Q706" s="147"/>
    </row>
    <row r="707" spans="15:17" ht="15.75" customHeight="1">
      <c r="O707" s="92"/>
      <c r="Q707" s="147"/>
    </row>
    <row r="708" spans="15:17" ht="15.75" customHeight="1">
      <c r="O708" s="92"/>
      <c r="Q708" s="147"/>
    </row>
    <row r="709" spans="15:17" ht="15.75" customHeight="1">
      <c r="O709" s="92"/>
      <c r="Q709" s="147"/>
    </row>
    <row r="710" spans="15:17" ht="15.75" customHeight="1">
      <c r="O710" s="92"/>
      <c r="Q710" s="147"/>
    </row>
    <row r="711" spans="15:17" ht="15.75" customHeight="1">
      <c r="O711" s="92"/>
      <c r="Q711" s="147"/>
    </row>
    <row r="712" spans="15:17" ht="15.75" customHeight="1">
      <c r="O712" s="92"/>
      <c r="Q712" s="147"/>
    </row>
    <row r="713" spans="15:17" ht="15.75" customHeight="1">
      <c r="O713" s="92"/>
      <c r="Q713" s="147"/>
    </row>
    <row r="714" spans="15:17" ht="15.75" customHeight="1">
      <c r="O714" s="92"/>
      <c r="Q714" s="147"/>
    </row>
    <row r="715" spans="15:17" ht="15.75" customHeight="1">
      <c r="O715" s="92"/>
      <c r="Q715" s="147"/>
    </row>
    <row r="716" spans="15:17" ht="15.75" customHeight="1">
      <c r="O716" s="92"/>
      <c r="Q716" s="147"/>
    </row>
    <row r="717" spans="15:17" ht="15.75" customHeight="1">
      <c r="O717" s="92"/>
      <c r="Q717" s="147"/>
    </row>
    <row r="718" spans="15:17" ht="15.75" customHeight="1">
      <c r="O718" s="92"/>
      <c r="Q718" s="147"/>
    </row>
    <row r="719" spans="15:17" ht="15.75" customHeight="1">
      <c r="O719" s="92"/>
      <c r="Q719" s="147"/>
    </row>
    <row r="720" spans="15:17" ht="15.75" customHeight="1">
      <c r="O720" s="92"/>
      <c r="Q720" s="147"/>
    </row>
    <row r="721" spans="15:17" ht="15.75" customHeight="1">
      <c r="O721" s="92"/>
      <c r="Q721" s="147"/>
    </row>
    <row r="722" spans="15:17" ht="15.75" customHeight="1">
      <c r="O722" s="92"/>
      <c r="Q722" s="147"/>
    </row>
    <row r="723" spans="15:17" ht="15.75" customHeight="1">
      <c r="O723" s="92"/>
      <c r="Q723" s="147"/>
    </row>
    <row r="724" spans="15:17" ht="15.75" customHeight="1">
      <c r="O724" s="92"/>
      <c r="Q724" s="147"/>
    </row>
    <row r="725" spans="15:17" ht="15.75" customHeight="1">
      <c r="O725" s="92"/>
      <c r="Q725" s="147"/>
    </row>
    <row r="726" spans="15:17" ht="15.75" customHeight="1">
      <c r="O726" s="92"/>
      <c r="Q726" s="147"/>
    </row>
    <row r="727" spans="15:17" ht="15.75" customHeight="1">
      <c r="O727" s="92"/>
      <c r="Q727" s="147"/>
    </row>
    <row r="728" spans="15:17" ht="15.75" customHeight="1">
      <c r="O728" s="92"/>
      <c r="Q728" s="147"/>
    </row>
    <row r="729" spans="15:17" ht="15.75" customHeight="1">
      <c r="O729" s="92"/>
      <c r="Q729" s="147"/>
    </row>
    <row r="730" spans="15:17" ht="15.75" customHeight="1">
      <c r="O730" s="92"/>
      <c r="Q730" s="147"/>
    </row>
    <row r="731" spans="15:17" ht="15.75" customHeight="1">
      <c r="O731" s="92"/>
      <c r="Q731" s="147"/>
    </row>
    <row r="732" spans="15:17" ht="15.75" customHeight="1">
      <c r="O732" s="92"/>
      <c r="Q732" s="147"/>
    </row>
    <row r="733" spans="15:17" ht="15.75" customHeight="1">
      <c r="O733" s="92"/>
      <c r="Q733" s="147"/>
    </row>
    <row r="734" spans="15:17" ht="15.75" customHeight="1">
      <c r="O734" s="92"/>
      <c r="Q734" s="147"/>
    </row>
    <row r="735" spans="15:17" ht="15.75" customHeight="1">
      <c r="O735" s="92"/>
      <c r="Q735" s="147"/>
    </row>
    <row r="736" spans="15:17" ht="15.75" customHeight="1">
      <c r="O736" s="92"/>
      <c r="Q736" s="147"/>
    </row>
    <row r="737" spans="15:17" ht="15.75" customHeight="1">
      <c r="O737" s="92"/>
      <c r="Q737" s="147"/>
    </row>
    <row r="738" spans="15:17" ht="15.75" customHeight="1">
      <c r="O738" s="92"/>
      <c r="Q738" s="147"/>
    </row>
    <row r="739" spans="15:17" ht="15.75" customHeight="1">
      <c r="O739" s="92"/>
      <c r="Q739" s="147"/>
    </row>
    <row r="740" spans="15:17" ht="15.75" customHeight="1">
      <c r="O740" s="92"/>
      <c r="Q740" s="147"/>
    </row>
    <row r="741" spans="15:17" ht="15.75" customHeight="1">
      <c r="O741" s="92"/>
      <c r="Q741" s="147"/>
    </row>
    <row r="742" spans="15:17" ht="15.75" customHeight="1">
      <c r="O742" s="92"/>
      <c r="Q742" s="147"/>
    </row>
    <row r="743" spans="15:17" ht="15.75" customHeight="1">
      <c r="O743" s="92"/>
      <c r="Q743" s="147"/>
    </row>
    <row r="744" spans="15:17" ht="15.75" customHeight="1">
      <c r="O744" s="92"/>
      <c r="Q744" s="147"/>
    </row>
    <row r="745" spans="15:17" ht="15.75" customHeight="1">
      <c r="O745" s="92"/>
      <c r="Q745" s="147"/>
    </row>
    <row r="746" spans="15:17" ht="15.75" customHeight="1">
      <c r="O746" s="92"/>
      <c r="Q746" s="147"/>
    </row>
    <row r="747" spans="15:17" ht="15.75" customHeight="1">
      <c r="O747" s="92"/>
      <c r="Q747" s="147"/>
    </row>
    <row r="748" spans="15:17" ht="15.75" customHeight="1">
      <c r="O748" s="92"/>
      <c r="Q748" s="147"/>
    </row>
    <row r="749" spans="15:17" ht="15.75" customHeight="1">
      <c r="O749" s="92"/>
      <c r="Q749" s="147"/>
    </row>
    <row r="750" spans="15:17" ht="15.75" customHeight="1">
      <c r="O750" s="92"/>
      <c r="Q750" s="147"/>
    </row>
    <row r="751" spans="15:17" ht="15.75" customHeight="1">
      <c r="O751" s="92"/>
      <c r="Q751" s="147"/>
    </row>
    <row r="752" spans="15:17" ht="15.75" customHeight="1">
      <c r="O752" s="92"/>
      <c r="Q752" s="147"/>
    </row>
    <row r="753" spans="15:17" ht="15.75" customHeight="1">
      <c r="O753" s="92"/>
      <c r="Q753" s="147"/>
    </row>
    <row r="754" spans="15:17" ht="15.75" customHeight="1">
      <c r="O754" s="92"/>
      <c r="Q754" s="147"/>
    </row>
    <row r="755" spans="15:17" ht="15.75" customHeight="1">
      <c r="O755" s="92"/>
      <c r="Q755" s="147"/>
    </row>
    <row r="756" spans="15:17" ht="15.75" customHeight="1">
      <c r="O756" s="92"/>
      <c r="Q756" s="147"/>
    </row>
    <row r="757" spans="15:17" ht="15.75" customHeight="1">
      <c r="O757" s="92"/>
      <c r="Q757" s="147"/>
    </row>
    <row r="758" spans="15:17" ht="15.75" customHeight="1">
      <c r="O758" s="92"/>
      <c r="Q758" s="147"/>
    </row>
    <row r="759" spans="15:17" ht="15.75" customHeight="1">
      <c r="O759" s="92"/>
      <c r="Q759" s="147"/>
    </row>
    <row r="760" spans="15:17" ht="15.75" customHeight="1">
      <c r="O760" s="92"/>
      <c r="Q760" s="147"/>
    </row>
    <row r="761" spans="15:17" ht="15.75" customHeight="1">
      <c r="O761" s="92"/>
      <c r="Q761" s="147"/>
    </row>
    <row r="762" spans="15:17" ht="15.75" customHeight="1">
      <c r="O762" s="92"/>
      <c r="Q762" s="147"/>
    </row>
    <row r="763" spans="15:17" ht="15.75" customHeight="1">
      <c r="O763" s="92"/>
      <c r="Q763" s="147"/>
    </row>
    <row r="764" spans="15:17" ht="15.75" customHeight="1">
      <c r="O764" s="92"/>
      <c r="Q764" s="147"/>
    </row>
    <row r="765" spans="15:17" ht="15.75" customHeight="1">
      <c r="O765" s="92"/>
      <c r="Q765" s="147"/>
    </row>
    <row r="766" spans="15:17" ht="15.75" customHeight="1">
      <c r="O766" s="92"/>
      <c r="Q766" s="147"/>
    </row>
    <row r="767" spans="15:17" ht="15.75" customHeight="1">
      <c r="O767" s="92"/>
      <c r="Q767" s="147"/>
    </row>
    <row r="768" spans="15:17" ht="15.75" customHeight="1">
      <c r="O768" s="92"/>
      <c r="Q768" s="147"/>
    </row>
    <row r="769" spans="15:17" ht="15.75" customHeight="1">
      <c r="O769" s="92"/>
      <c r="Q769" s="147"/>
    </row>
    <row r="770" spans="15:17" ht="15.75" customHeight="1">
      <c r="O770" s="92"/>
      <c r="Q770" s="147"/>
    </row>
    <row r="771" spans="15:17" ht="15.75" customHeight="1">
      <c r="O771" s="92"/>
      <c r="Q771" s="147"/>
    </row>
    <row r="772" spans="15:17" ht="15.75" customHeight="1">
      <c r="O772" s="92"/>
      <c r="Q772" s="147"/>
    </row>
    <row r="773" spans="15:17" ht="15.75" customHeight="1">
      <c r="O773" s="92"/>
      <c r="Q773" s="147"/>
    </row>
    <row r="774" spans="15:17" ht="15.75" customHeight="1">
      <c r="O774" s="92"/>
      <c r="Q774" s="147"/>
    </row>
    <row r="775" spans="15:17" ht="15.75" customHeight="1">
      <c r="O775" s="92"/>
      <c r="Q775" s="147"/>
    </row>
    <row r="776" spans="15:17" ht="15.75" customHeight="1">
      <c r="O776" s="92"/>
      <c r="Q776" s="147"/>
    </row>
    <row r="777" spans="15:17" ht="15.75" customHeight="1">
      <c r="O777" s="92"/>
      <c r="Q777" s="147"/>
    </row>
    <row r="778" spans="15:17" ht="15.75" customHeight="1">
      <c r="O778" s="92"/>
      <c r="Q778" s="147"/>
    </row>
    <row r="779" spans="15:17" ht="15.75" customHeight="1">
      <c r="O779" s="92"/>
      <c r="Q779" s="147"/>
    </row>
    <row r="780" spans="15:17" ht="15.75" customHeight="1">
      <c r="O780" s="92"/>
      <c r="Q780" s="147"/>
    </row>
    <row r="781" spans="15:17" ht="15.75" customHeight="1">
      <c r="O781" s="92"/>
      <c r="Q781" s="147"/>
    </row>
    <row r="782" spans="15:17" ht="15.75" customHeight="1">
      <c r="O782" s="92"/>
      <c r="Q782" s="147"/>
    </row>
    <row r="783" spans="15:17" ht="15.75" customHeight="1">
      <c r="O783" s="92"/>
      <c r="Q783" s="147"/>
    </row>
    <row r="784" spans="15:17" ht="15.75" customHeight="1">
      <c r="O784" s="92"/>
      <c r="Q784" s="147"/>
    </row>
    <row r="785" spans="15:17" ht="15.75" customHeight="1">
      <c r="O785" s="92"/>
      <c r="Q785" s="147"/>
    </row>
    <row r="786" spans="15:17" ht="15.75" customHeight="1">
      <c r="O786" s="92"/>
      <c r="Q786" s="147"/>
    </row>
    <row r="787" spans="15:17" ht="15.75" customHeight="1">
      <c r="O787" s="92"/>
      <c r="Q787" s="147"/>
    </row>
    <row r="788" spans="15:17" ht="15.75" customHeight="1">
      <c r="O788" s="92"/>
      <c r="Q788" s="147"/>
    </row>
    <row r="789" spans="15:17" ht="15.75" customHeight="1">
      <c r="O789" s="92"/>
      <c r="Q789" s="147"/>
    </row>
    <row r="790" spans="15:17" ht="15.75" customHeight="1">
      <c r="O790" s="92"/>
      <c r="Q790" s="147"/>
    </row>
    <row r="791" spans="15:17" ht="15.75" customHeight="1">
      <c r="O791" s="92"/>
      <c r="Q791" s="147"/>
    </row>
    <row r="792" spans="15:17" ht="15.75" customHeight="1">
      <c r="O792" s="92"/>
      <c r="Q792" s="147"/>
    </row>
    <row r="793" spans="15:17" ht="15.75" customHeight="1">
      <c r="O793" s="92"/>
      <c r="Q793" s="147"/>
    </row>
    <row r="794" spans="15:17" ht="15.75" customHeight="1">
      <c r="O794" s="92"/>
      <c r="Q794" s="147"/>
    </row>
    <row r="795" spans="15:17" ht="15.75" customHeight="1">
      <c r="O795" s="92"/>
      <c r="Q795" s="147"/>
    </row>
    <row r="796" spans="15:17" ht="15.75" customHeight="1">
      <c r="O796" s="92"/>
      <c r="Q796" s="147"/>
    </row>
    <row r="797" spans="15:17" ht="15.75" customHeight="1">
      <c r="O797" s="92"/>
      <c r="Q797" s="147"/>
    </row>
    <row r="798" spans="15:17" ht="15.75" customHeight="1">
      <c r="O798" s="92"/>
      <c r="Q798" s="147"/>
    </row>
    <row r="799" spans="15:17" ht="15.75" customHeight="1">
      <c r="O799" s="92"/>
      <c r="Q799" s="147"/>
    </row>
    <row r="800" spans="15:17" ht="15.75" customHeight="1">
      <c r="O800" s="92"/>
      <c r="Q800" s="147"/>
    </row>
    <row r="801" spans="15:17" ht="15.75" customHeight="1">
      <c r="O801" s="92"/>
      <c r="Q801" s="147"/>
    </row>
    <row r="802" spans="15:17" ht="15.75" customHeight="1">
      <c r="O802" s="92"/>
      <c r="Q802" s="147"/>
    </row>
    <row r="803" spans="15:17" ht="15.75" customHeight="1">
      <c r="O803" s="92"/>
      <c r="Q803" s="147"/>
    </row>
    <row r="804" spans="15:17" ht="15.75" customHeight="1">
      <c r="O804" s="92"/>
      <c r="Q804" s="147"/>
    </row>
    <row r="805" spans="15:17" ht="15.75" customHeight="1">
      <c r="O805" s="92"/>
      <c r="Q805" s="147"/>
    </row>
    <row r="806" spans="15:17" ht="15.75" customHeight="1">
      <c r="O806" s="92"/>
      <c r="Q806" s="147"/>
    </row>
    <row r="807" spans="15:17" ht="15.75" customHeight="1">
      <c r="O807" s="92"/>
      <c r="Q807" s="147"/>
    </row>
    <row r="808" spans="15:17" ht="15.75" customHeight="1">
      <c r="O808" s="92"/>
      <c r="Q808" s="147"/>
    </row>
    <row r="809" spans="15:17" ht="15.75" customHeight="1">
      <c r="O809" s="92"/>
      <c r="Q809" s="147"/>
    </row>
    <row r="810" spans="15:17" ht="15.75" customHeight="1">
      <c r="O810" s="92"/>
      <c r="Q810" s="147"/>
    </row>
    <row r="811" spans="15:17" ht="15.75" customHeight="1">
      <c r="O811" s="92"/>
      <c r="Q811" s="147"/>
    </row>
    <row r="812" spans="15:17" ht="15.75" customHeight="1">
      <c r="O812" s="92"/>
      <c r="Q812" s="147"/>
    </row>
    <row r="813" spans="15:17" ht="15.75" customHeight="1">
      <c r="O813" s="92"/>
      <c r="Q813" s="147"/>
    </row>
    <row r="814" spans="15:17" ht="15.75" customHeight="1">
      <c r="O814" s="92"/>
      <c r="Q814" s="147"/>
    </row>
    <row r="815" spans="15:17" ht="15.75" customHeight="1">
      <c r="O815" s="92"/>
      <c r="Q815" s="147"/>
    </row>
    <row r="816" spans="15:17" ht="15.75" customHeight="1">
      <c r="O816" s="92"/>
      <c r="Q816" s="147"/>
    </row>
    <row r="817" spans="15:17" ht="15.75" customHeight="1">
      <c r="O817" s="92"/>
      <c r="Q817" s="147"/>
    </row>
    <row r="818" spans="15:17" ht="15.75" customHeight="1">
      <c r="O818" s="92"/>
      <c r="Q818" s="147"/>
    </row>
    <row r="819" spans="15:17" ht="15.75" customHeight="1">
      <c r="O819" s="92"/>
      <c r="Q819" s="147"/>
    </row>
    <row r="820" spans="15:17" ht="15.75" customHeight="1">
      <c r="O820" s="92"/>
      <c r="Q820" s="147"/>
    </row>
    <row r="821" spans="15:17" ht="15.75" customHeight="1">
      <c r="O821" s="92"/>
      <c r="Q821" s="147"/>
    </row>
    <row r="822" spans="15:17" ht="15.75" customHeight="1">
      <c r="O822" s="92"/>
      <c r="Q822" s="147"/>
    </row>
    <row r="823" spans="15:17" ht="15.75" customHeight="1">
      <c r="O823" s="92"/>
      <c r="Q823" s="147"/>
    </row>
    <row r="824" spans="15:17" ht="15.75" customHeight="1">
      <c r="O824" s="92"/>
      <c r="Q824" s="147"/>
    </row>
    <row r="825" spans="15:17" ht="15.75" customHeight="1">
      <c r="O825" s="92"/>
      <c r="Q825" s="147"/>
    </row>
    <row r="826" spans="15:17" ht="15.75" customHeight="1">
      <c r="O826" s="92"/>
      <c r="Q826" s="147"/>
    </row>
    <row r="827" spans="15:17" ht="15.75" customHeight="1">
      <c r="O827" s="92"/>
      <c r="Q827" s="147"/>
    </row>
    <row r="828" spans="15:17" ht="15.75" customHeight="1">
      <c r="O828" s="92"/>
      <c r="Q828" s="147"/>
    </row>
    <row r="829" spans="15:17" ht="15.75" customHeight="1">
      <c r="O829" s="92"/>
      <c r="Q829" s="147"/>
    </row>
    <row r="830" spans="15:17" ht="15.75" customHeight="1">
      <c r="O830" s="92"/>
      <c r="Q830" s="147"/>
    </row>
    <row r="831" spans="15:17" ht="15.75" customHeight="1">
      <c r="O831" s="92"/>
      <c r="Q831" s="147"/>
    </row>
    <row r="832" spans="15:17" ht="15.75" customHeight="1">
      <c r="O832" s="92"/>
      <c r="Q832" s="147"/>
    </row>
    <row r="833" spans="15:17" ht="15.75" customHeight="1">
      <c r="O833" s="92"/>
      <c r="Q833" s="147"/>
    </row>
    <row r="834" spans="15:17" ht="15.75" customHeight="1">
      <c r="O834" s="92"/>
      <c r="Q834" s="147"/>
    </row>
    <row r="835" spans="15:17" ht="15.75" customHeight="1">
      <c r="O835" s="92"/>
      <c r="Q835" s="147"/>
    </row>
    <row r="836" spans="15:17" ht="15.75" customHeight="1">
      <c r="O836" s="92"/>
      <c r="Q836" s="147"/>
    </row>
    <row r="837" spans="15:17" ht="15.75" customHeight="1">
      <c r="O837" s="92"/>
      <c r="Q837" s="147"/>
    </row>
    <row r="838" spans="15:17" ht="15.75" customHeight="1">
      <c r="O838" s="92"/>
      <c r="Q838" s="147"/>
    </row>
    <row r="839" spans="15:17" ht="15.75" customHeight="1">
      <c r="O839" s="92"/>
      <c r="Q839" s="147"/>
    </row>
    <row r="840" spans="15:17" ht="15.75" customHeight="1">
      <c r="O840" s="92"/>
      <c r="Q840" s="147"/>
    </row>
    <row r="841" spans="15:17" ht="15.75" customHeight="1">
      <c r="O841" s="92"/>
      <c r="Q841" s="147"/>
    </row>
    <row r="842" spans="15:17" ht="15.75" customHeight="1">
      <c r="O842" s="92"/>
      <c r="Q842" s="147"/>
    </row>
    <row r="843" spans="15:17" ht="15.75" customHeight="1">
      <c r="O843" s="92"/>
      <c r="Q843" s="147"/>
    </row>
    <row r="844" spans="15:17" ht="15.75" customHeight="1">
      <c r="O844" s="92"/>
      <c r="Q844" s="147"/>
    </row>
    <row r="845" spans="15:17" ht="15.75" customHeight="1">
      <c r="O845" s="92"/>
      <c r="Q845" s="147"/>
    </row>
    <row r="846" spans="15:17" ht="15.75" customHeight="1">
      <c r="O846" s="92"/>
      <c r="Q846" s="147"/>
    </row>
    <row r="847" spans="15:17" ht="15.75" customHeight="1">
      <c r="O847" s="92"/>
      <c r="Q847" s="147"/>
    </row>
    <row r="848" spans="15:17" ht="15.75" customHeight="1">
      <c r="O848" s="92"/>
      <c r="Q848" s="147"/>
    </row>
    <row r="849" spans="15:17" ht="15.75" customHeight="1">
      <c r="O849" s="92"/>
      <c r="Q849" s="147"/>
    </row>
    <row r="850" spans="15:17" ht="15.75" customHeight="1">
      <c r="O850" s="92"/>
      <c r="Q850" s="147"/>
    </row>
    <row r="851" spans="15:17" ht="15.75" customHeight="1">
      <c r="O851" s="92"/>
      <c r="Q851" s="147"/>
    </row>
    <row r="852" spans="15:17" ht="15.75" customHeight="1">
      <c r="O852" s="92"/>
      <c r="Q852" s="147"/>
    </row>
    <row r="853" spans="15:17" ht="15.75" customHeight="1">
      <c r="O853" s="92"/>
      <c r="Q853" s="147"/>
    </row>
    <row r="854" spans="15:17" ht="15.75" customHeight="1">
      <c r="O854" s="92"/>
      <c r="Q854" s="147"/>
    </row>
    <row r="855" spans="15:17" ht="15.75" customHeight="1">
      <c r="O855" s="92"/>
      <c r="Q855" s="147"/>
    </row>
    <row r="856" spans="15:17" ht="15.75" customHeight="1">
      <c r="O856" s="92"/>
      <c r="Q856" s="147"/>
    </row>
    <row r="857" spans="15:17" ht="15.75" customHeight="1">
      <c r="O857" s="92"/>
      <c r="Q857" s="147"/>
    </row>
    <row r="858" spans="15:17" ht="15.75" customHeight="1">
      <c r="O858" s="92"/>
      <c r="Q858" s="147"/>
    </row>
    <row r="859" spans="15:17" ht="15.75" customHeight="1">
      <c r="O859" s="92"/>
      <c r="Q859" s="147"/>
    </row>
    <row r="860" spans="15:17" ht="15.75" customHeight="1">
      <c r="O860" s="92"/>
      <c r="Q860" s="147"/>
    </row>
    <row r="861" spans="15:17" ht="15.75" customHeight="1">
      <c r="O861" s="92"/>
      <c r="Q861" s="147"/>
    </row>
    <row r="862" spans="15:17" ht="15.75" customHeight="1">
      <c r="O862" s="92"/>
      <c r="Q862" s="147"/>
    </row>
    <row r="863" spans="15:17" ht="15.75" customHeight="1">
      <c r="O863" s="92"/>
      <c r="Q863" s="147"/>
    </row>
    <row r="864" spans="15:17" ht="15.75" customHeight="1">
      <c r="O864" s="92"/>
      <c r="Q864" s="147"/>
    </row>
    <row r="865" spans="15:17" ht="15.75" customHeight="1">
      <c r="O865" s="92"/>
      <c r="Q865" s="147"/>
    </row>
    <row r="866" spans="15:17" ht="15.75" customHeight="1">
      <c r="O866" s="92"/>
      <c r="Q866" s="147"/>
    </row>
    <row r="867" spans="15:17" ht="15.75" customHeight="1">
      <c r="O867" s="92"/>
      <c r="Q867" s="147"/>
    </row>
    <row r="868" spans="15:17" ht="15.75" customHeight="1">
      <c r="O868" s="92"/>
      <c r="Q868" s="147"/>
    </row>
    <row r="869" spans="15:17" ht="15.75" customHeight="1">
      <c r="O869" s="92"/>
      <c r="Q869" s="147"/>
    </row>
    <row r="870" spans="15:17" ht="15.75" customHeight="1">
      <c r="O870" s="92"/>
      <c r="Q870" s="147"/>
    </row>
    <row r="871" spans="15:17" ht="15.75" customHeight="1">
      <c r="O871" s="92"/>
      <c r="Q871" s="147"/>
    </row>
    <row r="872" spans="15:17" ht="15.75" customHeight="1">
      <c r="O872" s="92"/>
      <c r="Q872" s="147"/>
    </row>
    <row r="873" spans="15:17" ht="15.75" customHeight="1">
      <c r="O873" s="92"/>
      <c r="Q873" s="147"/>
    </row>
    <row r="874" spans="15:17" ht="15.75" customHeight="1">
      <c r="O874" s="92"/>
      <c r="Q874" s="147"/>
    </row>
    <row r="875" spans="15:17" ht="15.75" customHeight="1">
      <c r="O875" s="92"/>
      <c r="Q875" s="147"/>
    </row>
    <row r="876" spans="15:17" ht="15.75" customHeight="1">
      <c r="O876" s="92"/>
      <c r="Q876" s="147"/>
    </row>
    <row r="877" spans="15:17" ht="15.75" customHeight="1">
      <c r="O877" s="92"/>
      <c r="Q877" s="147"/>
    </row>
    <row r="878" spans="15:17" ht="15.75" customHeight="1">
      <c r="O878" s="92"/>
      <c r="Q878" s="147"/>
    </row>
    <row r="879" spans="15:17" ht="15.75" customHeight="1">
      <c r="O879" s="92"/>
      <c r="Q879" s="147"/>
    </row>
    <row r="880" spans="15:17" ht="15.75" customHeight="1">
      <c r="O880" s="92"/>
      <c r="Q880" s="147"/>
    </row>
    <row r="881" spans="15:17" ht="15.75" customHeight="1">
      <c r="O881" s="92"/>
      <c r="Q881" s="147"/>
    </row>
    <row r="882" spans="15:17" ht="15.75" customHeight="1">
      <c r="O882" s="92"/>
      <c r="Q882" s="147"/>
    </row>
    <row r="883" spans="15:17" ht="15.75" customHeight="1">
      <c r="O883" s="92"/>
      <c r="Q883" s="147"/>
    </row>
    <row r="884" spans="15:17" ht="15.75" customHeight="1">
      <c r="O884" s="92"/>
      <c r="Q884" s="147"/>
    </row>
    <row r="885" spans="15:17" ht="15.75" customHeight="1">
      <c r="O885" s="92"/>
      <c r="Q885" s="147"/>
    </row>
    <row r="886" spans="15:17" ht="15.75" customHeight="1">
      <c r="O886" s="92"/>
      <c r="Q886" s="147"/>
    </row>
    <row r="887" spans="15:17" ht="15.75" customHeight="1">
      <c r="O887" s="92"/>
      <c r="Q887" s="147"/>
    </row>
    <row r="888" spans="15:17" ht="15.75" customHeight="1">
      <c r="O888" s="92"/>
      <c r="Q888" s="147"/>
    </row>
    <row r="889" spans="15:17" ht="15.75" customHeight="1">
      <c r="O889" s="92"/>
      <c r="Q889" s="147"/>
    </row>
    <row r="890" spans="15:17" ht="15.75" customHeight="1">
      <c r="O890" s="92"/>
      <c r="Q890" s="147"/>
    </row>
    <row r="891" spans="15:17" ht="15.75" customHeight="1">
      <c r="O891" s="92"/>
      <c r="Q891" s="147"/>
    </row>
    <row r="892" spans="15:17" ht="15.75" customHeight="1">
      <c r="O892" s="92"/>
      <c r="Q892" s="147"/>
    </row>
    <row r="893" spans="15:17" ht="15.75" customHeight="1">
      <c r="O893" s="92"/>
      <c r="Q893" s="147"/>
    </row>
    <row r="894" spans="15:17" ht="15.75" customHeight="1">
      <c r="O894" s="92"/>
      <c r="Q894" s="147"/>
    </row>
    <row r="895" spans="15:17" ht="15.75" customHeight="1">
      <c r="O895" s="92"/>
      <c r="Q895" s="147"/>
    </row>
    <row r="896" spans="15:17" ht="15.75" customHeight="1">
      <c r="O896" s="92"/>
      <c r="Q896" s="147"/>
    </row>
    <row r="897" spans="15:17" ht="15.75" customHeight="1">
      <c r="O897" s="92"/>
      <c r="Q897" s="147"/>
    </row>
    <row r="898" spans="15:17" ht="15.75" customHeight="1">
      <c r="O898" s="92"/>
      <c r="Q898" s="147"/>
    </row>
    <row r="899" spans="15:17" ht="15.75" customHeight="1">
      <c r="O899" s="92"/>
      <c r="Q899" s="147"/>
    </row>
    <row r="900" spans="15:17" ht="15.75" customHeight="1">
      <c r="O900" s="92"/>
      <c r="Q900" s="147"/>
    </row>
    <row r="901" spans="15:17" ht="15.75" customHeight="1">
      <c r="O901" s="92"/>
      <c r="Q901" s="147"/>
    </row>
    <row r="902" spans="15:17" ht="15.75" customHeight="1">
      <c r="O902" s="92"/>
      <c r="Q902" s="147"/>
    </row>
    <row r="903" spans="15:17" ht="15.75" customHeight="1">
      <c r="O903" s="92"/>
      <c r="Q903" s="147"/>
    </row>
    <row r="904" spans="15:17" ht="15.75" customHeight="1">
      <c r="O904" s="92"/>
      <c r="Q904" s="147"/>
    </row>
    <row r="905" spans="15:17" ht="15.75" customHeight="1">
      <c r="O905" s="92"/>
      <c r="Q905" s="147"/>
    </row>
    <row r="906" spans="15:17" ht="15.75" customHeight="1">
      <c r="O906" s="92"/>
      <c r="Q906" s="147"/>
    </row>
    <row r="907" spans="15:17" ht="15.75" customHeight="1">
      <c r="O907" s="92"/>
      <c r="Q907" s="147"/>
    </row>
    <row r="908" spans="15:17" ht="15.75" customHeight="1">
      <c r="O908" s="92"/>
      <c r="Q908" s="147"/>
    </row>
    <row r="909" spans="15:17" ht="15.75" customHeight="1">
      <c r="O909" s="92"/>
      <c r="Q909" s="147"/>
    </row>
    <row r="910" spans="15:17" ht="15.75" customHeight="1">
      <c r="O910" s="92"/>
      <c r="Q910" s="147"/>
    </row>
    <row r="911" spans="15:17" ht="15.75" customHeight="1">
      <c r="O911" s="92"/>
      <c r="Q911" s="147"/>
    </row>
    <row r="912" spans="15:17" ht="15.75" customHeight="1">
      <c r="O912" s="92"/>
      <c r="Q912" s="147"/>
    </row>
    <row r="913" spans="15:17" ht="15.75" customHeight="1">
      <c r="O913" s="92"/>
      <c r="Q913" s="147"/>
    </row>
    <row r="914" spans="15:17" ht="15.75" customHeight="1">
      <c r="O914" s="92"/>
      <c r="Q914" s="147"/>
    </row>
    <row r="915" spans="15:17" ht="15.75" customHeight="1">
      <c r="O915" s="92"/>
      <c r="Q915" s="147"/>
    </row>
    <row r="916" spans="15:17" ht="15.75" customHeight="1">
      <c r="O916" s="92"/>
      <c r="Q916" s="147"/>
    </row>
    <row r="917" spans="15:17" ht="15.75" customHeight="1">
      <c r="O917" s="92"/>
      <c r="Q917" s="147"/>
    </row>
    <row r="918" spans="15:17" ht="15.75" customHeight="1">
      <c r="O918" s="92"/>
      <c r="Q918" s="147"/>
    </row>
    <row r="919" spans="15:17" ht="15.75" customHeight="1">
      <c r="O919" s="92"/>
      <c r="Q919" s="147"/>
    </row>
    <row r="920" spans="15:17" ht="15.75" customHeight="1">
      <c r="O920" s="92"/>
      <c r="Q920" s="147"/>
    </row>
    <row r="921" spans="15:17" ht="15.75" customHeight="1">
      <c r="O921" s="92"/>
      <c r="Q921" s="147"/>
    </row>
    <row r="922" spans="15:17" ht="15.75" customHeight="1">
      <c r="O922" s="92"/>
      <c r="Q922" s="147"/>
    </row>
    <row r="923" spans="15:17" ht="15.75" customHeight="1">
      <c r="O923" s="92"/>
      <c r="Q923" s="147"/>
    </row>
    <row r="924" spans="15:17" ht="15.75" customHeight="1">
      <c r="O924" s="92"/>
      <c r="Q924" s="147"/>
    </row>
    <row r="925" spans="15:17" ht="15.75" customHeight="1">
      <c r="O925" s="92"/>
      <c r="Q925" s="147"/>
    </row>
    <row r="926" spans="15:17" ht="15.75" customHeight="1">
      <c r="O926" s="92"/>
      <c r="Q926" s="147"/>
    </row>
    <row r="927" spans="15:17" ht="15.75" customHeight="1">
      <c r="O927" s="92"/>
      <c r="Q927" s="147"/>
    </row>
    <row r="928" spans="15:17" ht="15.75" customHeight="1">
      <c r="O928" s="92"/>
      <c r="Q928" s="147"/>
    </row>
    <row r="929" spans="15:17" ht="15.75" customHeight="1">
      <c r="O929" s="92"/>
      <c r="Q929" s="147"/>
    </row>
    <row r="930" spans="15:17" ht="15.75" customHeight="1">
      <c r="O930" s="92"/>
      <c r="Q930" s="147"/>
    </row>
    <row r="931" spans="15:17" ht="15.75" customHeight="1">
      <c r="O931" s="92"/>
      <c r="Q931" s="147"/>
    </row>
    <row r="932" spans="15:17" ht="15.75" customHeight="1">
      <c r="O932" s="92"/>
      <c r="Q932" s="147"/>
    </row>
    <row r="933" spans="15:17" ht="15.75" customHeight="1">
      <c r="O933" s="92"/>
      <c r="Q933" s="147"/>
    </row>
    <row r="934" spans="15:17" ht="15.75" customHeight="1">
      <c r="O934" s="92"/>
      <c r="Q934" s="147"/>
    </row>
    <row r="935" spans="15:17" ht="15.75" customHeight="1">
      <c r="O935" s="92"/>
      <c r="Q935" s="147"/>
    </row>
    <row r="936" spans="15:17" ht="15.75" customHeight="1">
      <c r="O936" s="92"/>
      <c r="Q936" s="147"/>
    </row>
    <row r="937" spans="15:17" ht="15.75" customHeight="1">
      <c r="O937" s="92"/>
      <c r="Q937" s="147"/>
    </row>
    <row r="938" spans="15:17" ht="15.75" customHeight="1">
      <c r="O938" s="92"/>
      <c r="Q938" s="147"/>
    </row>
    <row r="939" spans="15:17">
      <c r="Q939" s="147"/>
    </row>
    <row r="940" spans="15:17">
      <c r="Q940" s="147"/>
    </row>
    <row r="941" spans="15:17">
      <c r="Q941" s="147"/>
    </row>
    <row r="942" spans="15:17">
      <c r="Q942" s="147"/>
    </row>
    <row r="943" spans="15:17">
      <c r="Q943" s="147"/>
    </row>
    <row r="944" spans="15:17">
      <c r="Q944" s="147"/>
    </row>
    <row r="945" spans="17:17">
      <c r="Q945" s="147"/>
    </row>
    <row r="946" spans="17:17">
      <c r="Q946" s="147"/>
    </row>
    <row r="947" spans="17:17">
      <c r="Q947" s="147"/>
    </row>
    <row r="948" spans="17:17">
      <c r="Q948" s="147"/>
    </row>
    <row r="949" spans="17:17">
      <c r="Q949" s="147"/>
    </row>
    <row r="950" spans="17:17">
      <c r="Q950" s="147"/>
    </row>
    <row r="951" spans="17:17">
      <c r="Q951" s="147"/>
    </row>
    <row r="952" spans="17:17">
      <c r="Q952" s="147"/>
    </row>
    <row r="953" spans="17:17">
      <c r="Q953" s="147"/>
    </row>
    <row r="954" spans="17:17">
      <c r="Q954" s="147"/>
    </row>
    <row r="955" spans="17:17">
      <c r="Q955" s="147"/>
    </row>
    <row r="956" spans="17:17">
      <c r="Q956" s="147"/>
    </row>
    <row r="957" spans="17:17">
      <c r="Q957" s="147"/>
    </row>
    <row r="958" spans="17:17">
      <c r="Q958" s="147"/>
    </row>
    <row r="959" spans="17:17">
      <c r="Q959" s="147"/>
    </row>
    <row r="960" spans="17:17">
      <c r="Q960" s="147"/>
    </row>
    <row r="961" spans="17:17">
      <c r="Q961" s="147"/>
    </row>
    <row r="962" spans="17:17">
      <c r="Q962" s="147"/>
    </row>
    <row r="963" spans="17:17">
      <c r="Q963" s="147"/>
    </row>
    <row r="964" spans="17:17">
      <c r="Q964" s="147"/>
    </row>
    <row r="965" spans="17:17">
      <c r="Q965" s="147"/>
    </row>
    <row r="966" spans="17:17">
      <c r="Q966" s="147"/>
    </row>
    <row r="967" spans="17:17">
      <c r="Q967" s="147"/>
    </row>
    <row r="968" spans="17:17">
      <c r="Q968" s="147"/>
    </row>
    <row r="969" spans="17:17">
      <c r="Q969" s="147"/>
    </row>
    <row r="970" spans="17:17">
      <c r="Q970" s="147"/>
    </row>
    <row r="971" spans="17:17">
      <c r="Q971" s="147"/>
    </row>
    <row r="972" spans="17:17">
      <c r="Q972" s="147"/>
    </row>
    <row r="973" spans="17:17">
      <c r="Q973" s="147"/>
    </row>
    <row r="974" spans="17:17">
      <c r="Q974" s="147"/>
    </row>
    <row r="975" spans="17:17">
      <c r="Q975" s="147"/>
    </row>
    <row r="976" spans="17:17">
      <c r="Q976" s="147"/>
    </row>
    <row r="977" spans="17:17">
      <c r="Q977" s="147"/>
    </row>
    <row r="978" spans="17:17">
      <c r="Q978" s="147"/>
    </row>
    <row r="979" spans="17:17">
      <c r="Q979" s="147"/>
    </row>
    <row r="980" spans="17:17">
      <c r="Q980" s="147"/>
    </row>
    <row r="981" spans="17:17">
      <c r="Q981" s="147"/>
    </row>
    <row r="982" spans="17:17">
      <c r="Q982" s="147"/>
    </row>
    <row r="983" spans="17:17">
      <c r="Q983" s="147"/>
    </row>
    <row r="984" spans="17:17">
      <c r="Q984" s="147"/>
    </row>
    <row r="985" spans="17:17">
      <c r="Q985" s="147"/>
    </row>
    <row r="986" spans="17:17">
      <c r="Q986" s="147"/>
    </row>
    <row r="987" spans="17:17">
      <c r="Q987" s="147"/>
    </row>
    <row r="988" spans="17:17">
      <c r="Q988" s="147"/>
    </row>
    <row r="989" spans="17:17">
      <c r="Q989" s="147"/>
    </row>
    <row r="990" spans="17:17">
      <c r="Q990" s="147"/>
    </row>
    <row r="991" spans="17:17">
      <c r="Q991" s="147"/>
    </row>
    <row r="992" spans="17:17">
      <c r="Q992" s="147"/>
    </row>
    <row r="993" spans="17:17">
      <c r="Q993" s="147"/>
    </row>
    <row r="994" spans="17:17">
      <c r="Q994" s="147"/>
    </row>
    <row r="995" spans="17:17">
      <c r="Q995" s="147"/>
    </row>
  </sheetData>
  <customSheetViews>
    <customSheetView guid="{3468AD09-8B5E-4744-B88A-12C4F47AC98C}" filter="1" showAutoFilter="1">
      <pageMargins left="0.7" right="0.7" top="0.75" bottom="0.75" header="0.3" footer="0.3"/>
      <autoFilter ref="A9:Z129" xr:uid="{644F8A14-8CCE-3B4B-8D1F-BCA6D190391A}">
        <filterColumn colId="4">
          <filters>
            <filter val="Ahl"/>
            <filter val="Anatolium"/>
            <filter val="Antares"/>
            <filter val="Bayrampaşa Forum"/>
            <filter val="Cevahir"/>
            <filter val="Forum Bornova"/>
            <filter val="Güneşli"/>
            <filter val="İstinyepark"/>
            <filter val="İzmir Park"/>
            <filter val="İzmirpark"/>
            <filter val="Kartal İstmarin"/>
            <filter val="Korupark"/>
            <filter val="Mall Of"/>
            <filter val="MarkAntalya"/>
            <filter val="Marmarapark"/>
            <filter val="Metramall"/>
            <filter val="Metromall"/>
            <filter val="Metropol"/>
            <filter val="Migros"/>
            <filter val="Orion"/>
            <filter val="Özdilek"/>
            <filter val="Park"/>
          </filters>
        </filterColumn>
      </autoFilter>
    </customSheetView>
    <customSheetView guid="{E661CD77-B31F-4C3C-8CD5-3A6BB7A3C70D}" filter="1" showAutoFilter="1">
      <pageMargins left="0.7" right="0.7" top="0.75" bottom="0.75" header="0.3" footer="0.3"/>
      <autoFilter ref="A9:Z129" xr:uid="{FD0C88BA-9BCB-8A48-A841-40A637DCDC7D}">
        <filterColumn colId="15">
          <filters>
            <filter val="TRUE"/>
          </filters>
        </filterColumn>
        <filterColumn colId="19">
          <filters>
            <filter val="RE02024000000529"/>
            <filter val="RE02024000000530"/>
            <filter val="RE02024000000531"/>
            <filter val="RE02024000000532"/>
            <filter val="RE02024000000533"/>
            <filter val="RE02024000000534"/>
            <filter val="RE02024000000535"/>
            <filter val="RE02024000000536"/>
            <filter val="RE02024000000539"/>
            <filter val="RE02024000000540"/>
            <filter val="RE02024000000541"/>
            <filter val="RE02024000000542"/>
            <filter val="RE02024000000545"/>
            <filter val="RE02024000000546"/>
            <filter val="RE02024000000547"/>
            <filter val="RE02024000000548"/>
            <filter val="RE02024000000549"/>
            <filter val="RE02024000000550"/>
            <filter val="RE02024000000551"/>
            <filter val="RE02024000000552"/>
            <filter val="RE02024000000553"/>
            <filter val="RE02024000000554"/>
            <filter val="RE02024000000555"/>
            <filter val="RE02024000000556"/>
            <filter val="RE02024000000557"/>
            <filter val="RE02024000000558"/>
            <filter val="RE02024000000559"/>
            <filter val="RE02024000000564"/>
            <filter val="RE02024000000565"/>
            <filter val="RE02024000000578"/>
            <filter val="RE02024000000579"/>
            <filter val="RE02024000000580"/>
            <filter val="RE02024000000581"/>
            <filter val="RE02024000000582"/>
            <filter val="RE02024000000583"/>
            <filter val="RE02024000000584"/>
            <filter val="RE02024000000585"/>
            <filter val="RE02024000000586"/>
            <filter val="RE02024000000587"/>
            <filter val="RE02024000000588"/>
            <filter val="RE02024000000589"/>
            <filter val="RE02024000000590"/>
            <filter val="RE02024000000591"/>
            <filter val="RE02024000000592"/>
            <filter val="RE02024000000593"/>
            <filter val="RE02024000000594"/>
            <filter val="RE02024000000595"/>
            <filter val="RE02024000000596"/>
            <filter val="RE02024000000597"/>
            <filter val="RE02024000000599"/>
            <filter val="RE02024000000600"/>
            <filter val="RE02024000000601"/>
            <filter val="RE02024000000602"/>
            <filter val="RE02024000000603"/>
            <filter val="RE02024000000604"/>
            <filter val="RE02024000000605"/>
            <filter val="RE02024000000606"/>
            <filter val="RE02024000000607"/>
            <filter val="RE02024000000608"/>
            <filter val="RE02024000000609"/>
            <filter val="RE02024000000610"/>
            <filter val="RE02024000000614"/>
            <filter val="RE02024000000615"/>
            <filter val="RE02024000000616"/>
            <filter val="RE02024000000617"/>
            <filter val="RE02024000000618"/>
            <filter val="RE02024000000622"/>
            <filter val="RE02024000000623"/>
            <filter val="RE02024000000624"/>
            <filter val="RE02024000000625"/>
            <filter val="RE02024000000631"/>
            <filter val="RE02024000000632"/>
            <filter val="RE02024000000637"/>
            <filter val="RE02024000000638"/>
            <filter val="RE02024000000641"/>
            <filter val="RE02024000000642"/>
            <filter val="RE02024000000653"/>
            <filter val="RE02024000000657"/>
            <filter val="RE02024000000683"/>
            <filter val="RE02024000000717"/>
            <filter val="RE02024000000718"/>
            <filter val="RM02024000000009"/>
            <filter val="RM02024000000010"/>
            <filter val="RM02024000000011"/>
            <filter val="RM02024000000012"/>
            <filter val="RM02024000000013"/>
          </filters>
        </filterColumn>
      </autoFilter>
    </customSheetView>
    <customSheetView guid="{2A32A583-5FFF-4329-A9AB-FB460B8875F5}" filter="1" showAutoFilter="1">
      <pageMargins left="0.7" right="0.7" top="0.75" bottom="0.75" header="0.3" footer="0.3"/>
      <autoFilter ref="A9:Z129" xr:uid="{A2DE7129-DC43-8440-90B4-8A0F2A486C97}">
        <filterColumn colId="19">
          <filters>
            <filter val="RE02024000000529"/>
            <filter val="RE02024000000530"/>
            <filter val="RE02024000000531"/>
            <filter val="RE02024000000532"/>
            <filter val="RE02024000000533"/>
            <filter val="RE02024000000534"/>
            <filter val="RE02024000000535"/>
            <filter val="RE02024000000536"/>
            <filter val="RE02024000000539"/>
            <filter val="RE02024000000540"/>
            <filter val="RE02024000000541"/>
            <filter val="RE02024000000542"/>
            <filter val="RE02024000000545"/>
            <filter val="RE02024000000546"/>
            <filter val="RE02024000000547"/>
            <filter val="RE02024000000548"/>
            <filter val="RE02024000000549"/>
            <filter val="RE02024000000550"/>
            <filter val="RE02024000000551"/>
            <filter val="RE02024000000552"/>
            <filter val="RE02024000000553"/>
            <filter val="RE02024000000554"/>
            <filter val="RE02024000000555"/>
            <filter val="RE02024000000556"/>
            <filter val="RE02024000000557"/>
            <filter val="RE02024000000558"/>
            <filter val="RE02024000000559"/>
            <filter val="RE02024000000564"/>
            <filter val="RE02024000000565"/>
            <filter val="RE02024000000578"/>
            <filter val="RE02024000000579"/>
            <filter val="RE02024000000580"/>
            <filter val="RE02024000000581"/>
            <filter val="RE02024000000582"/>
            <filter val="RE02024000000583"/>
            <filter val="RE02024000000584"/>
            <filter val="RE02024000000585"/>
            <filter val="RE02024000000586"/>
            <filter val="RE02024000000587"/>
            <filter val="RE02024000000588"/>
            <filter val="RE02024000000589"/>
            <filter val="RE02024000000590"/>
            <filter val="RE02024000000591"/>
            <filter val="RE02024000000592"/>
            <filter val="RE02024000000593"/>
            <filter val="RE02024000000594"/>
            <filter val="RE02024000000595"/>
            <filter val="RE02024000000596"/>
            <filter val="RE02024000000597"/>
            <filter val="RE02024000000599"/>
            <filter val="RE02024000000600"/>
            <filter val="RE02024000000601"/>
            <filter val="RE02024000000602"/>
            <filter val="RE02024000000603"/>
            <filter val="RE02024000000604"/>
            <filter val="RE02024000000605"/>
            <filter val="RE02024000000606"/>
            <filter val="RE02024000000607"/>
            <filter val="RE02024000000608"/>
            <filter val="RE02024000000609"/>
            <filter val="RE02024000000610"/>
            <filter val="RE02024000000614"/>
            <filter val="RE02024000000615"/>
            <filter val="RE02024000000616"/>
            <filter val="RE02024000000617"/>
            <filter val="RE02024000000618"/>
            <filter val="RE02024000000622"/>
            <filter val="RE02024000000623"/>
            <filter val="RE02024000000624"/>
            <filter val="RE02024000000625"/>
            <filter val="RE02024000000631"/>
            <filter val="RE02024000000632"/>
            <filter val="RE02024000000637"/>
            <filter val="RE02024000000638"/>
            <filter val="RE02024000000641"/>
            <filter val="RE02024000000642"/>
            <filter val="RE02024000000653"/>
            <filter val="RE02024000000657"/>
            <filter val="RE02024000000683"/>
            <filter val="RE02024000000717"/>
            <filter val="RE02024000000718"/>
            <filter val="RM02024000000009"/>
            <filter val="RM02024000000010"/>
            <filter val="RM02024000000011"/>
            <filter val="RM02024000000012"/>
            <filter val="RM02024000000013"/>
          </filters>
        </filterColumn>
      </autoFilter>
    </customSheetView>
    <customSheetView guid="{76FE80B7-048A-4848-BCC4-616193A540D1}" filter="1" showAutoFilter="1">
      <pageMargins left="0.7" right="0.7" top="0.75" bottom="0.75" header="0.3" footer="0.3"/>
      <autoFilter ref="A9:Z129" xr:uid="{6C5E7F47-76DC-6246-92B6-507FC81238DE}">
        <filterColumn colId="15">
          <filters>
            <filter val="TRUE"/>
          </filters>
        </filterColumn>
        <filterColumn colId="19">
          <filters>
            <filter val="RE02024000000519"/>
            <filter val="RE02024000000520"/>
            <filter val="RE02024000000521"/>
            <filter val="RE02024000000522"/>
            <filter val="RE02024000000523"/>
            <filter val="RE02024000000524"/>
            <filter val="RE02024000000525"/>
            <filter val="RE02024000000526"/>
            <filter val="RE02024000000527"/>
            <filter val="RE02024000000528"/>
            <filter val="RE02024000000529"/>
            <filter val="RE02024000000530"/>
            <filter val="RE02024000000531"/>
            <filter val="RE02024000000532"/>
            <filter val="RE02024000000533"/>
            <filter val="RE02024000000534"/>
            <filter val="RE02024000000535"/>
            <filter val="RE02024000000536"/>
            <filter val="RE02024000000539"/>
            <filter val="RE02024000000540"/>
            <filter val="RE02024000000541"/>
            <filter val="RE02024000000542"/>
            <filter val="RE02024000000545"/>
            <filter val="RE02024000000546"/>
            <filter val="RE02024000000547"/>
            <filter val="RE02024000000548"/>
            <filter val="RE02024000000549"/>
            <filter val="RE02024000000550"/>
            <filter val="RE02024000000551"/>
            <filter val="RE02024000000552"/>
            <filter val="RE02024000000553"/>
            <filter val="RE02024000000554"/>
            <filter val="RE02024000000555"/>
            <filter val="RE02024000000556"/>
            <filter val="RE02024000000557"/>
            <filter val="RE02024000000558"/>
            <filter val="RE02024000000559"/>
            <filter val="RE02024000000564"/>
            <filter val="RE02024000000565"/>
            <filter val="RE02024000000578"/>
            <filter val="RE02024000000579"/>
            <filter val="RE02024000000580"/>
            <filter val="RE02024000000581"/>
            <filter val="RE02024000000582"/>
            <filter val="RE02024000000583"/>
            <filter val="RE02024000000584"/>
            <filter val="RE02024000000585"/>
            <filter val="RE02024000000586"/>
            <filter val="RE02024000000587"/>
            <filter val="RE02024000000588"/>
            <filter val="RE02024000000589"/>
            <filter val="RE02024000000590"/>
            <filter val="RE02024000000591"/>
            <filter val="RE02024000000592"/>
            <filter val="RE02024000000593"/>
            <filter val="RE02024000000594"/>
            <filter val="RE02024000000595"/>
            <filter val="RE02024000000596"/>
            <filter val="RE02024000000597"/>
            <filter val="RE02024000000599"/>
            <filter val="RE02024000000600"/>
            <filter val="RE02024000000601"/>
            <filter val="RE02024000000602"/>
            <filter val="RE02024000000603"/>
            <filter val="RE02024000000604"/>
            <filter val="RE02024000000605"/>
            <filter val="RE02024000000606"/>
            <filter val="RE02024000000607"/>
            <filter val="RE02024000000608"/>
            <filter val="RE02024000000609"/>
            <filter val="RE02024000000610"/>
            <filter val="RE02024000000614"/>
            <filter val="RE02024000000615"/>
            <filter val="RE02024000000616"/>
            <filter val="RE02024000000617"/>
            <filter val="RE02024000000618"/>
            <filter val="RE02024000000622"/>
            <filter val="RE02024000000623"/>
            <filter val="RE02024000000624"/>
            <filter val="RE02024000000625"/>
            <filter val="RE02024000000631"/>
            <filter val="RE02024000000632"/>
            <filter val="RE02024000000637"/>
            <filter val="RE02024000000638"/>
            <filter val="RE02024000000641"/>
            <filter val="RE02024000000642"/>
            <filter val="RE02024000000653"/>
            <filter val="RE02024000000657"/>
            <filter val="RE02024000000683"/>
            <filter val="RE02024000000717"/>
            <filter val="RE02024000000718"/>
            <filter val="RM02024000000009"/>
            <filter val="RM02024000000010"/>
            <filter val="RM02024000000011"/>
            <filter val="RM02024000000012"/>
            <filter val="RM02024000000013"/>
          </filters>
        </filterColumn>
      </autoFilter>
    </customSheetView>
    <customSheetView guid="{88809CA9-5E40-46D7-B1E4-FD64890E3C54}" filter="1" showAutoFilter="1">
      <pageMargins left="0.7" right="0.7" top="0.75" bottom="0.75" header="0.3" footer="0.3"/>
      <autoFilter ref="A9:Z129" xr:uid="{B2EB747D-0064-C442-98BE-8BE0A2420993}">
        <filterColumn colId="20">
          <filters blank="1">
            <filter val="1,000.00 TL"/>
            <filter val="1,050.00 TL"/>
            <filter val="1,125.00 TL"/>
            <filter val="1,164.00 TL"/>
            <filter val="1,200.00 TL"/>
            <filter val="1,250.00 TL"/>
            <filter val="1,260.00 TL"/>
            <filter val="1,300.00 TL"/>
            <filter val="1,380.00 TL"/>
            <filter val="1,500.00 TL"/>
            <filter val="1,560.00 TL"/>
            <filter val="1,600.00 TL"/>
            <filter val="1,650.00 TL"/>
            <filter val="1,750.00 TL"/>
            <filter val="1,785.00 TL"/>
            <filter val="1,800.00 TL"/>
            <filter val="1,840.00 TL"/>
            <filter val="1,875.00 TL"/>
            <filter val="1,900.00 TL"/>
            <filter val="10,000.00 TL"/>
            <filter val="150.00 TL"/>
            <filter val="175.00 TL"/>
            <filter val="2,000.00 TL"/>
            <filter val="2,100.00 TL"/>
            <filter val="2,116.00 TL"/>
            <filter val="2,275.00 TL"/>
            <filter val="2,300.00 TL"/>
            <filter val="2,400.00 TL"/>
            <filter val="2,500.00 TL"/>
            <filter val="2,700.00 TL"/>
            <filter val="2,850.00 TL"/>
            <filter val="2,874.60 TL"/>
            <filter val="200.00 TL"/>
            <filter val="210.00 TL"/>
            <filter val="237.50 TL"/>
            <filter val="3,000.00 TL"/>
            <filter val="3,500.00 TL"/>
            <filter val="300.00 TL"/>
            <filter val="302.00 TL"/>
            <filter val="350.00 TL"/>
            <filter val="375.00 TL"/>
            <filter val="390.00 TL"/>
            <filter val="4,043.83 TL"/>
            <filter val="4,200.00 TL"/>
            <filter val="4,500.00 TL"/>
            <filter val="4,600.00 TL"/>
            <filter val="400.00 TL"/>
            <filter val="45.00 TL"/>
            <filter val="450.00 TL"/>
            <filter val="5,000.00 TL"/>
            <filter val="550.00 TL"/>
            <filter val="6,000.00 TL"/>
            <filter val="6,750.00 TL"/>
            <filter val="6,900.00 TL"/>
            <filter val="6,960.00 TL"/>
            <filter val="600.00 TL"/>
            <filter val="604.00 TL"/>
            <filter val="630.00 TL"/>
            <filter val="7,727.00 TL"/>
            <filter val="700.00 TL"/>
            <filter val="750.00 TL"/>
            <filter val="8,700.00 TL"/>
            <filter val="8,863.00 TL"/>
            <filter val="800.00 TL"/>
            <filter val="900.00 TL"/>
            <filter val="920.00 TL"/>
            <filter val="950.00 TL"/>
            <filter val="958.20 TL"/>
          </filters>
        </filterColumn>
      </autoFilter>
    </customSheetView>
  </customSheetViews>
  <mergeCells count="11">
    <mergeCell ref="P8:Q8"/>
    <mergeCell ref="S8:T8"/>
    <mergeCell ref="U8:V8"/>
    <mergeCell ref="W8:X8"/>
    <mergeCell ref="A1:T1"/>
    <mergeCell ref="C8:D8"/>
    <mergeCell ref="E8:F8"/>
    <mergeCell ref="G8:H8"/>
    <mergeCell ref="I8:J8"/>
    <mergeCell ref="K8:L8"/>
    <mergeCell ref="M8:N8"/>
  </mergeCells>
  <conditionalFormatting sqref="E2 C7:E8 B8 F8:W8">
    <cfRule type="notContainsBlanks" dxfId="21" priority="1">
      <formula>LEN(TRIM(E2))&gt;0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950"/>
  <sheetViews>
    <sheetView topLeftCell="A2" workbookViewId="0">
      <selection activeCell="C12" sqref="C12"/>
    </sheetView>
  </sheetViews>
  <sheetFormatPr baseColWidth="10" defaultColWidth="14.5" defaultRowHeight="15" customHeight="1"/>
  <cols>
    <col min="1" max="1" width="4.5" customWidth="1"/>
    <col min="2" max="2" width="11.83203125" hidden="1" customWidth="1"/>
    <col min="3" max="3" width="16" customWidth="1"/>
    <col min="4" max="4" width="16.5" customWidth="1"/>
    <col min="5" max="6" width="19.5" customWidth="1"/>
    <col min="7" max="7" width="85.33203125" customWidth="1"/>
    <col min="8" max="8" width="10.83203125" customWidth="1"/>
    <col min="9" max="9" width="7.5" customWidth="1"/>
    <col min="10" max="10" width="10.33203125" customWidth="1"/>
    <col min="11" max="11" width="11.5" customWidth="1"/>
    <col min="12" max="12" width="7" customWidth="1"/>
    <col min="13" max="13" width="12.5" customWidth="1"/>
    <col min="14" max="14" width="5.33203125" customWidth="1"/>
    <col min="15" max="15" width="4.6640625" customWidth="1"/>
    <col min="16" max="16" width="5.5" customWidth="1"/>
    <col min="17" max="17" width="16.6640625" customWidth="1"/>
    <col min="18" max="18" width="17.83203125" customWidth="1"/>
    <col min="19" max="19" width="5" customWidth="1"/>
    <col min="20" max="20" width="51.1640625" customWidth="1"/>
  </cols>
  <sheetData>
    <row r="1" spans="1:24" ht="72" customHeight="1">
      <c r="A1" s="534"/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28"/>
      <c r="U1" s="1"/>
    </row>
    <row r="2" spans="1:24" ht="16">
      <c r="A2" s="1"/>
      <c r="B2" s="3"/>
      <c r="C2" s="93" t="s">
        <v>1</v>
      </c>
      <c r="D2" s="14">
        <v>550000</v>
      </c>
      <c r="E2" s="6">
        <f>D3/D2</f>
        <v>0.89089090909090907</v>
      </c>
      <c r="F2" s="1"/>
      <c r="G2" s="7">
        <v>45322</v>
      </c>
      <c r="H2" s="1"/>
      <c r="I2" s="1"/>
      <c r="J2" s="8"/>
      <c r="K2" s="8"/>
      <c r="L2" s="1"/>
      <c r="M2" s="1"/>
      <c r="N2" s="9"/>
      <c r="O2" s="10"/>
      <c r="P2" s="1"/>
      <c r="Q2" s="1"/>
      <c r="R2" s="1"/>
      <c r="S2" s="1"/>
      <c r="T2" s="1"/>
      <c r="U2" s="1"/>
    </row>
    <row r="3" spans="1:24" ht="16">
      <c r="A3" s="1"/>
      <c r="B3" s="11"/>
      <c r="C3" s="94" t="s">
        <v>2</v>
      </c>
      <c r="D3" s="14">
        <f>SUM(K10:K164)</f>
        <v>489990</v>
      </c>
      <c r="E3" s="14" t="s">
        <v>3</v>
      </c>
      <c r="F3" s="14" t="s">
        <v>3</v>
      </c>
      <c r="G3" s="1"/>
      <c r="H3" s="1"/>
      <c r="I3" s="1"/>
      <c r="J3" s="8"/>
      <c r="K3" s="8"/>
      <c r="L3" s="1"/>
      <c r="M3" s="1"/>
      <c r="N3" s="9"/>
      <c r="O3" s="10"/>
      <c r="P3" s="1"/>
      <c r="Q3" s="1"/>
      <c r="R3" s="1"/>
      <c r="S3" s="1"/>
      <c r="T3" s="1"/>
      <c r="U3" s="1"/>
    </row>
    <row r="4" spans="1:24" ht="16">
      <c r="A4" s="1"/>
      <c r="B4" s="1"/>
      <c r="C4" s="95" t="s">
        <v>4</v>
      </c>
      <c r="D4" s="17">
        <f ca="1">(D5-TODAY())</f>
        <v>-644</v>
      </c>
      <c r="E4" s="17" t="s">
        <v>5</v>
      </c>
      <c r="F4" s="1"/>
      <c r="G4" s="18"/>
      <c r="H4" s="1"/>
      <c r="I4" s="1"/>
      <c r="J4" s="8"/>
      <c r="K4" s="8"/>
      <c r="L4" s="1"/>
      <c r="M4" s="1"/>
      <c r="N4" s="9"/>
      <c r="O4" s="10"/>
      <c r="P4" s="1"/>
      <c r="Q4" s="1"/>
      <c r="R4" s="1"/>
      <c r="S4" s="1"/>
      <c r="T4" s="1"/>
      <c r="U4" s="1"/>
    </row>
    <row r="5" spans="1:24" ht="16">
      <c r="A5" s="1"/>
      <c r="B5" s="1"/>
      <c r="C5" s="96" t="s">
        <v>6</v>
      </c>
      <c r="D5" s="97">
        <v>45382</v>
      </c>
      <c r="E5" s="21"/>
      <c r="F5" s="1"/>
      <c r="G5" s="18"/>
      <c r="H5" s="1"/>
      <c r="I5" s="1"/>
      <c r="J5" s="8"/>
      <c r="K5" s="8"/>
      <c r="L5" s="1"/>
      <c r="M5" s="1"/>
      <c r="N5" s="9"/>
      <c r="O5" s="10"/>
      <c r="P5" s="1"/>
      <c r="Q5" s="1"/>
      <c r="R5" s="1"/>
      <c r="S5" s="1"/>
      <c r="T5" s="1"/>
      <c r="U5" s="1"/>
    </row>
    <row r="6" spans="1:24" ht="22">
      <c r="A6" s="1"/>
      <c r="B6" s="22" t="s">
        <v>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  <c r="P6" s="23"/>
      <c r="Q6" s="25"/>
      <c r="R6" s="26"/>
      <c r="S6" s="26"/>
      <c r="T6" s="27"/>
      <c r="U6" s="1"/>
    </row>
    <row r="7" spans="1:24" ht="16">
      <c r="A7" s="1"/>
      <c r="B7" s="28"/>
      <c r="C7" s="29" t="s">
        <v>8</v>
      </c>
      <c r="D7" s="30">
        <v>6130636884</v>
      </c>
      <c r="E7" s="31"/>
      <c r="F7" s="1"/>
      <c r="G7" s="18"/>
      <c r="H7" s="1"/>
      <c r="I7" s="1"/>
      <c r="J7" s="8"/>
      <c r="K7" s="8"/>
      <c r="L7" s="1"/>
      <c r="M7" s="1"/>
      <c r="N7" s="9"/>
      <c r="O7" s="10"/>
      <c r="P7" s="1"/>
      <c r="Q7" s="1"/>
      <c r="R7" s="1"/>
      <c r="S7" s="1"/>
      <c r="T7" s="1"/>
      <c r="U7" s="1"/>
    </row>
    <row r="8" spans="1:24" ht="24" customHeight="1">
      <c r="A8" s="1"/>
      <c r="B8" s="32"/>
      <c r="C8" s="31"/>
      <c r="D8" s="33"/>
      <c r="E8" s="31" t="s">
        <v>9</v>
      </c>
      <c r="F8" s="31"/>
      <c r="G8" s="18"/>
      <c r="H8" s="31"/>
      <c r="I8" s="31"/>
      <c r="J8" s="34"/>
      <c r="K8" s="31"/>
      <c r="L8" s="531" t="s">
        <v>10</v>
      </c>
      <c r="M8" s="528"/>
      <c r="N8" s="532" t="s">
        <v>11</v>
      </c>
      <c r="O8" s="528"/>
      <c r="P8" s="533" t="s">
        <v>12</v>
      </c>
      <c r="Q8" s="528"/>
      <c r="R8" s="35" t="s">
        <v>13</v>
      </c>
      <c r="S8" s="527" t="s">
        <v>14</v>
      </c>
      <c r="T8" s="528"/>
      <c r="U8" s="527" t="s">
        <v>15</v>
      </c>
      <c r="V8" s="528"/>
      <c r="W8" s="527" t="s">
        <v>16</v>
      </c>
      <c r="X8" s="528"/>
    </row>
    <row r="9" spans="1:24" ht="15.75" customHeight="1">
      <c r="A9" s="98"/>
      <c r="B9" s="99"/>
      <c r="C9" s="38" t="s">
        <v>18</v>
      </c>
      <c r="D9" s="38" t="s">
        <v>19</v>
      </c>
      <c r="E9" s="38" t="s">
        <v>20</v>
      </c>
      <c r="F9" s="38" t="s">
        <v>21</v>
      </c>
      <c r="G9" s="39" t="s">
        <v>2018</v>
      </c>
      <c r="H9" s="38" t="s">
        <v>22</v>
      </c>
      <c r="I9" s="38"/>
      <c r="J9" s="40"/>
      <c r="K9" s="41" t="s">
        <v>23</v>
      </c>
      <c r="L9" s="42"/>
      <c r="M9" s="43"/>
      <c r="N9" s="43"/>
      <c r="O9" s="44"/>
      <c r="P9" s="45"/>
      <c r="Q9" s="46"/>
      <c r="R9" s="46"/>
      <c r="S9" s="47" t="b">
        <v>0</v>
      </c>
      <c r="T9" s="48"/>
      <c r="U9" s="100" t="s">
        <v>24</v>
      </c>
      <c r="V9" s="100" t="s">
        <v>25</v>
      </c>
      <c r="W9" s="49"/>
      <c r="X9" s="49"/>
    </row>
    <row r="10" spans="1:24" ht="15.75" customHeight="1">
      <c r="A10" s="1"/>
      <c r="B10" s="32"/>
      <c r="C10" s="82">
        <v>45352</v>
      </c>
      <c r="D10" s="53" t="s">
        <v>418</v>
      </c>
      <c r="E10" s="53" t="s">
        <v>230</v>
      </c>
      <c r="F10" s="53" t="s">
        <v>231</v>
      </c>
      <c r="G10" s="53" t="s">
        <v>1153</v>
      </c>
      <c r="H10" s="53" t="s">
        <v>30</v>
      </c>
      <c r="I10" s="53">
        <v>10</v>
      </c>
      <c r="J10" s="54">
        <v>865</v>
      </c>
      <c r="K10" s="54">
        <f t="shared" ref="K10:K40" si="0">J10:J11*I10</f>
        <v>8650</v>
      </c>
      <c r="L10" s="55" t="b">
        <v>1</v>
      </c>
      <c r="M10" s="56">
        <v>10320241217</v>
      </c>
      <c r="N10" s="57" t="b">
        <v>1</v>
      </c>
      <c r="O10" s="58"/>
      <c r="P10" s="59" t="b">
        <v>1</v>
      </c>
      <c r="Q10" s="60"/>
      <c r="R10" s="60"/>
      <c r="S10" s="47" t="b">
        <v>1</v>
      </c>
      <c r="T10" s="61" t="s">
        <v>1154</v>
      </c>
      <c r="U10" s="54">
        <f>10*430</f>
        <v>4300</v>
      </c>
      <c r="V10" s="54">
        <f t="shared" ref="V10:V61" si="1">K10-U10</f>
        <v>4350</v>
      </c>
      <c r="W10" s="49"/>
      <c r="X10" s="49"/>
    </row>
    <row r="11" spans="1:24" ht="15.75" customHeight="1">
      <c r="A11" s="1"/>
      <c r="B11" s="32"/>
      <c r="C11" s="82">
        <v>45352</v>
      </c>
      <c r="D11" s="53" t="s">
        <v>1155</v>
      </c>
      <c r="E11" s="53" t="s">
        <v>342</v>
      </c>
      <c r="F11" s="53" t="s">
        <v>343</v>
      </c>
      <c r="G11" s="53" t="s">
        <v>343</v>
      </c>
      <c r="H11" s="53" t="s">
        <v>30</v>
      </c>
      <c r="I11" s="53">
        <v>1</v>
      </c>
      <c r="J11" s="54">
        <v>625</v>
      </c>
      <c r="K11" s="54">
        <f t="shared" si="0"/>
        <v>625</v>
      </c>
      <c r="L11" s="55" t="b">
        <v>1</v>
      </c>
      <c r="M11" s="56">
        <v>10320241219</v>
      </c>
      <c r="N11" s="57" t="b">
        <v>1</v>
      </c>
      <c r="O11" s="58" t="s">
        <v>39</v>
      </c>
      <c r="P11" s="59" t="b">
        <v>1</v>
      </c>
      <c r="Q11" s="60"/>
      <c r="R11" s="60"/>
      <c r="S11" s="47" t="b">
        <v>1</v>
      </c>
      <c r="T11" s="61" t="s">
        <v>1156</v>
      </c>
      <c r="U11" s="54">
        <f>1*302</f>
        <v>302</v>
      </c>
      <c r="V11" s="54">
        <f t="shared" si="1"/>
        <v>323</v>
      </c>
      <c r="W11" s="49"/>
      <c r="X11" s="49"/>
    </row>
    <row r="12" spans="1:24" ht="15.75" customHeight="1">
      <c r="A12" s="1"/>
      <c r="B12" s="32"/>
      <c r="C12" s="52">
        <v>45352</v>
      </c>
      <c r="D12" s="53" t="s">
        <v>104</v>
      </c>
      <c r="E12" s="53" t="s">
        <v>1157</v>
      </c>
      <c r="F12" s="53" t="s">
        <v>1158</v>
      </c>
      <c r="G12" s="53" t="s">
        <v>49</v>
      </c>
      <c r="H12" s="53" t="s">
        <v>30</v>
      </c>
      <c r="I12" s="53">
        <v>5</v>
      </c>
      <c r="J12" s="54">
        <v>695</v>
      </c>
      <c r="K12" s="54">
        <f t="shared" si="0"/>
        <v>3475</v>
      </c>
      <c r="L12" s="55" t="b">
        <v>1</v>
      </c>
      <c r="M12" s="56">
        <v>10320241501</v>
      </c>
      <c r="N12" s="57" t="b">
        <v>1</v>
      </c>
      <c r="O12" s="58" t="s">
        <v>31</v>
      </c>
      <c r="P12" s="59" t="b">
        <v>1</v>
      </c>
      <c r="Q12" s="60"/>
      <c r="R12" s="60"/>
      <c r="S12" s="47" t="b">
        <v>1</v>
      </c>
      <c r="T12" s="61" t="s">
        <v>1159</v>
      </c>
      <c r="U12" s="54">
        <f>5000*0.46</f>
        <v>2300</v>
      </c>
      <c r="V12" s="54">
        <f t="shared" si="1"/>
        <v>1175</v>
      </c>
      <c r="W12" s="49"/>
      <c r="X12" s="49"/>
    </row>
    <row r="13" spans="1:24" ht="15.75" customHeight="1">
      <c r="A13" s="1"/>
      <c r="B13" s="32"/>
      <c r="C13" s="82">
        <v>45355</v>
      </c>
      <c r="D13" s="53" t="s">
        <v>418</v>
      </c>
      <c r="E13" s="53" t="s">
        <v>42</v>
      </c>
      <c r="F13" s="53" t="s">
        <v>209</v>
      </c>
      <c r="G13" s="53" t="s">
        <v>1160</v>
      </c>
      <c r="H13" s="53" t="s">
        <v>30</v>
      </c>
      <c r="I13" s="53">
        <v>1</v>
      </c>
      <c r="J13" s="54">
        <v>105</v>
      </c>
      <c r="K13" s="54">
        <f t="shared" si="0"/>
        <v>105</v>
      </c>
      <c r="L13" s="55" t="b">
        <v>1</v>
      </c>
      <c r="M13" s="56">
        <v>40320240919</v>
      </c>
      <c r="N13" s="57" t="b">
        <v>1</v>
      </c>
      <c r="O13" s="58"/>
      <c r="P13" s="59" t="b">
        <v>1</v>
      </c>
      <c r="Q13" s="60"/>
      <c r="R13" s="60"/>
      <c r="S13" s="47" t="b">
        <v>1</v>
      </c>
      <c r="T13" s="61" t="s">
        <v>1161</v>
      </c>
      <c r="U13" s="54">
        <v>75</v>
      </c>
      <c r="V13" s="54">
        <f t="shared" si="1"/>
        <v>30</v>
      </c>
      <c r="W13" s="49"/>
      <c r="X13" s="49"/>
    </row>
    <row r="14" spans="1:24" ht="15.75" customHeight="1">
      <c r="A14" s="1"/>
      <c r="B14" s="32"/>
      <c r="C14" s="82">
        <v>45355</v>
      </c>
      <c r="D14" s="66" t="s">
        <v>51</v>
      </c>
      <c r="E14" s="67" t="s">
        <v>61</v>
      </c>
      <c r="F14" s="67" t="s">
        <v>548</v>
      </c>
      <c r="G14" s="67" t="s">
        <v>1162</v>
      </c>
      <c r="H14" s="67" t="s">
        <v>30</v>
      </c>
      <c r="I14" s="67">
        <v>5</v>
      </c>
      <c r="J14" s="68">
        <v>675</v>
      </c>
      <c r="K14" s="54">
        <f t="shared" si="0"/>
        <v>3375</v>
      </c>
      <c r="L14" s="55" t="b">
        <v>1</v>
      </c>
      <c r="M14" s="56">
        <v>40320240920</v>
      </c>
      <c r="N14" s="57" t="b">
        <v>1</v>
      </c>
      <c r="O14" s="58" t="s">
        <v>351</v>
      </c>
      <c r="P14" s="59" t="b">
        <v>1</v>
      </c>
      <c r="Q14" s="60"/>
      <c r="R14" s="60"/>
      <c r="S14" s="47" t="b">
        <v>1</v>
      </c>
      <c r="T14" s="61" t="s">
        <v>1163</v>
      </c>
      <c r="U14" s="54">
        <f>2159.99</f>
        <v>2159.9899999999998</v>
      </c>
      <c r="V14" s="54">
        <f t="shared" si="1"/>
        <v>1215.0100000000002</v>
      </c>
      <c r="W14" s="49"/>
      <c r="X14" s="49"/>
    </row>
    <row r="15" spans="1:24" ht="15.75" customHeight="1">
      <c r="A15" s="1"/>
      <c r="B15" s="32"/>
      <c r="C15" s="82">
        <v>45355</v>
      </c>
      <c r="D15" s="66" t="s">
        <v>51</v>
      </c>
      <c r="E15" s="67" t="s">
        <v>137</v>
      </c>
      <c r="F15" s="67" t="s">
        <v>138</v>
      </c>
      <c r="G15" s="67" t="s">
        <v>49</v>
      </c>
      <c r="H15" s="69" t="s">
        <v>30</v>
      </c>
      <c r="I15" s="69">
        <v>4</v>
      </c>
      <c r="J15" s="70">
        <v>695</v>
      </c>
      <c r="K15" s="54">
        <f t="shared" si="0"/>
        <v>2780</v>
      </c>
      <c r="L15" s="55" t="b">
        <v>1</v>
      </c>
      <c r="M15" s="56">
        <v>40320241102</v>
      </c>
      <c r="N15" s="57" t="b">
        <v>1</v>
      </c>
      <c r="O15" s="58" t="s">
        <v>31</v>
      </c>
      <c r="P15" s="59" t="b">
        <v>1</v>
      </c>
      <c r="Q15" s="60"/>
      <c r="R15" s="60"/>
      <c r="S15" s="47" t="b">
        <v>1</v>
      </c>
      <c r="T15" s="61" t="s">
        <v>1164</v>
      </c>
      <c r="U15" s="54">
        <f>4000*0.46</f>
        <v>1840</v>
      </c>
      <c r="V15" s="54">
        <f t="shared" si="1"/>
        <v>940</v>
      </c>
      <c r="W15" s="49"/>
      <c r="X15" s="49"/>
    </row>
    <row r="16" spans="1:24" ht="15.75" customHeight="1">
      <c r="A16" s="1"/>
      <c r="B16" s="32"/>
      <c r="C16" s="82">
        <v>45355</v>
      </c>
      <c r="D16" s="66" t="s">
        <v>1165</v>
      </c>
      <c r="E16" s="67" t="s">
        <v>47</v>
      </c>
      <c r="F16" s="67" t="s">
        <v>48</v>
      </c>
      <c r="G16" s="67" t="s">
        <v>1166</v>
      </c>
      <c r="H16" s="69" t="s">
        <v>30</v>
      </c>
      <c r="I16" s="69">
        <v>15</v>
      </c>
      <c r="J16" s="70">
        <v>135</v>
      </c>
      <c r="K16" s="54">
        <f t="shared" si="0"/>
        <v>2025</v>
      </c>
      <c r="L16" s="55" t="b">
        <v>1</v>
      </c>
      <c r="M16" s="56">
        <v>40320241133</v>
      </c>
      <c r="N16" s="57" t="b">
        <v>1</v>
      </c>
      <c r="O16" s="58" t="s">
        <v>31</v>
      </c>
      <c r="P16" s="59" t="b">
        <v>1</v>
      </c>
      <c r="Q16" s="60"/>
      <c r="R16" s="60"/>
      <c r="S16" s="47" t="b">
        <v>1</v>
      </c>
      <c r="T16" s="61" t="s">
        <v>1167</v>
      </c>
      <c r="U16" s="54">
        <v>1500</v>
      </c>
      <c r="V16" s="54">
        <f t="shared" si="1"/>
        <v>525</v>
      </c>
      <c r="W16" s="49"/>
      <c r="X16" s="49"/>
    </row>
    <row r="17" spans="1:24" ht="15.75" customHeight="1">
      <c r="A17" s="1"/>
      <c r="B17" s="32"/>
      <c r="C17" s="82">
        <v>45355</v>
      </c>
      <c r="D17" s="53" t="s">
        <v>438</v>
      </c>
      <c r="E17" s="53" t="s">
        <v>439</v>
      </c>
      <c r="F17" s="53" t="s">
        <v>440</v>
      </c>
      <c r="G17" s="53" t="s">
        <v>1168</v>
      </c>
      <c r="H17" s="53" t="s">
        <v>30</v>
      </c>
      <c r="I17" s="53">
        <v>20</v>
      </c>
      <c r="J17" s="54">
        <v>300</v>
      </c>
      <c r="K17" s="54">
        <f t="shared" si="0"/>
        <v>6000</v>
      </c>
      <c r="L17" s="55" t="b">
        <v>1</v>
      </c>
      <c r="M17" s="56">
        <v>40320241853</v>
      </c>
      <c r="N17" s="57" t="b">
        <v>1</v>
      </c>
      <c r="O17" s="58" t="s">
        <v>31</v>
      </c>
      <c r="P17" s="59" t="b">
        <v>1</v>
      </c>
      <c r="Q17" s="60"/>
      <c r="R17" s="60"/>
      <c r="S17" s="47" t="b">
        <v>1</v>
      </c>
      <c r="T17" s="61" t="s">
        <v>1169</v>
      </c>
      <c r="U17" s="54">
        <f>20*120</f>
        <v>2400</v>
      </c>
      <c r="V17" s="54">
        <f t="shared" si="1"/>
        <v>3600</v>
      </c>
      <c r="W17" s="49"/>
      <c r="X17" s="49"/>
    </row>
    <row r="18" spans="1:24" ht="15.75" customHeight="1">
      <c r="A18" s="1"/>
      <c r="B18" s="32"/>
      <c r="C18" s="82">
        <v>45355</v>
      </c>
      <c r="D18" s="53" t="s">
        <v>438</v>
      </c>
      <c r="E18" s="53" t="s">
        <v>439</v>
      </c>
      <c r="F18" s="53" t="s">
        <v>440</v>
      </c>
      <c r="G18" s="53" t="s">
        <v>49</v>
      </c>
      <c r="H18" s="53" t="s">
        <v>30</v>
      </c>
      <c r="I18" s="53">
        <v>10</v>
      </c>
      <c r="J18" s="54">
        <v>695</v>
      </c>
      <c r="K18" s="54">
        <f t="shared" si="0"/>
        <v>6950</v>
      </c>
      <c r="L18" s="55" t="b">
        <v>1</v>
      </c>
      <c r="M18" s="56">
        <v>40320241854</v>
      </c>
      <c r="N18" s="57" t="b">
        <v>1</v>
      </c>
      <c r="O18" s="58" t="s">
        <v>31</v>
      </c>
      <c r="P18" s="59" t="b">
        <v>1</v>
      </c>
      <c r="Q18" s="60"/>
      <c r="R18" s="60"/>
      <c r="S18" s="47" t="b">
        <v>1</v>
      </c>
      <c r="T18" s="61" t="s">
        <v>1170</v>
      </c>
      <c r="U18" s="54">
        <f>10000*0.46</f>
        <v>4600</v>
      </c>
      <c r="V18" s="54">
        <f t="shared" si="1"/>
        <v>2350</v>
      </c>
      <c r="W18" s="49"/>
      <c r="X18" s="49"/>
    </row>
    <row r="19" spans="1:24" ht="15.75" customHeight="1">
      <c r="A19" s="1"/>
      <c r="B19" s="32"/>
      <c r="C19" s="82">
        <v>45355</v>
      </c>
      <c r="D19" s="53" t="s">
        <v>144</v>
      </c>
      <c r="E19" s="53" t="s">
        <v>980</v>
      </c>
      <c r="F19" s="53" t="s">
        <v>981</v>
      </c>
      <c r="G19" s="53" t="s">
        <v>1171</v>
      </c>
      <c r="H19" s="53" t="s">
        <v>30</v>
      </c>
      <c r="I19" s="53">
        <v>2</v>
      </c>
      <c r="J19" s="54">
        <v>1495</v>
      </c>
      <c r="K19" s="54">
        <f t="shared" si="0"/>
        <v>2990</v>
      </c>
      <c r="L19" s="55" t="b">
        <v>1</v>
      </c>
      <c r="M19" s="56">
        <v>40320241854</v>
      </c>
      <c r="N19" s="57" t="b">
        <v>1</v>
      </c>
      <c r="O19" s="58" t="s">
        <v>31</v>
      </c>
      <c r="P19" s="59" t="b">
        <v>1</v>
      </c>
      <c r="Q19" s="60"/>
      <c r="R19" s="60"/>
      <c r="S19" s="47" t="b">
        <v>1</v>
      </c>
      <c r="T19" s="61" t="s">
        <v>1172</v>
      </c>
      <c r="U19" s="54">
        <f>2*700</f>
        <v>1400</v>
      </c>
      <c r="V19" s="54">
        <f t="shared" si="1"/>
        <v>1590</v>
      </c>
      <c r="W19" s="49"/>
      <c r="X19" s="49"/>
    </row>
    <row r="20" spans="1:24" ht="15.75" customHeight="1">
      <c r="A20" s="1"/>
      <c r="B20" s="32"/>
      <c r="C20" s="82">
        <v>45355</v>
      </c>
      <c r="D20" s="53" t="s">
        <v>144</v>
      </c>
      <c r="E20" s="53" t="s">
        <v>980</v>
      </c>
      <c r="F20" s="53" t="s">
        <v>981</v>
      </c>
      <c r="G20" s="53" t="s">
        <v>1173</v>
      </c>
      <c r="H20" s="53" t="s">
        <v>30</v>
      </c>
      <c r="I20" s="53">
        <v>3</v>
      </c>
      <c r="J20" s="54">
        <v>795</v>
      </c>
      <c r="K20" s="54">
        <f t="shared" si="0"/>
        <v>2385</v>
      </c>
      <c r="L20" s="55" t="b">
        <v>1</v>
      </c>
      <c r="M20" s="56">
        <v>40320241854</v>
      </c>
      <c r="N20" s="57" t="b">
        <v>1</v>
      </c>
      <c r="O20" s="58" t="s">
        <v>31</v>
      </c>
      <c r="P20" s="59" t="b">
        <v>1</v>
      </c>
      <c r="Q20" s="60"/>
      <c r="R20" s="60"/>
      <c r="S20" s="47" t="b">
        <v>1</v>
      </c>
      <c r="T20" s="61" t="s">
        <v>1172</v>
      </c>
      <c r="U20" s="54">
        <f>3*475</f>
        <v>1425</v>
      </c>
      <c r="V20" s="54">
        <f t="shared" si="1"/>
        <v>960</v>
      </c>
      <c r="W20" s="49"/>
      <c r="X20" s="49"/>
    </row>
    <row r="21" spans="1:24" ht="15.75" customHeight="1">
      <c r="A21" s="1"/>
      <c r="B21" s="32"/>
      <c r="C21" s="82">
        <v>45355</v>
      </c>
      <c r="D21" s="53" t="s">
        <v>144</v>
      </c>
      <c r="E21" s="53" t="s">
        <v>980</v>
      </c>
      <c r="F21" s="53" t="s">
        <v>981</v>
      </c>
      <c r="G21" s="53" t="s">
        <v>1174</v>
      </c>
      <c r="H21" s="53" t="s">
        <v>30</v>
      </c>
      <c r="I21" s="53">
        <v>5</v>
      </c>
      <c r="J21" s="54">
        <v>475</v>
      </c>
      <c r="K21" s="54">
        <f t="shared" si="0"/>
        <v>2375</v>
      </c>
      <c r="L21" s="55" t="b">
        <v>1</v>
      </c>
      <c r="M21" s="56">
        <v>40320241854</v>
      </c>
      <c r="N21" s="57" t="b">
        <v>1</v>
      </c>
      <c r="O21" s="58" t="s">
        <v>31</v>
      </c>
      <c r="P21" s="59" t="b">
        <v>1</v>
      </c>
      <c r="Q21" s="60"/>
      <c r="R21" s="60"/>
      <c r="S21" s="47" t="b">
        <v>1</v>
      </c>
      <c r="T21" s="61" t="s">
        <v>1172</v>
      </c>
      <c r="U21" s="54">
        <v>1400</v>
      </c>
      <c r="V21" s="54">
        <f t="shared" si="1"/>
        <v>975</v>
      </c>
      <c r="W21" s="49"/>
      <c r="X21" s="49"/>
    </row>
    <row r="22" spans="1:24" ht="15.75" customHeight="1">
      <c r="A22" s="1"/>
      <c r="B22" s="32"/>
      <c r="C22" s="82">
        <v>45356</v>
      </c>
      <c r="D22" s="53" t="s">
        <v>194</v>
      </c>
      <c r="E22" s="53" t="s">
        <v>137</v>
      </c>
      <c r="F22" s="53" t="s">
        <v>1175</v>
      </c>
      <c r="G22" s="53" t="s">
        <v>639</v>
      </c>
      <c r="H22" s="53" t="s">
        <v>30</v>
      </c>
      <c r="I22" s="53">
        <v>24</v>
      </c>
      <c r="J22" s="54">
        <v>185</v>
      </c>
      <c r="K22" s="54">
        <f t="shared" si="0"/>
        <v>4440</v>
      </c>
      <c r="L22" s="55" t="b">
        <v>1</v>
      </c>
      <c r="M22" s="56">
        <v>50320241141</v>
      </c>
      <c r="N22" s="57" t="b">
        <v>1</v>
      </c>
      <c r="O22" s="58" t="s">
        <v>31</v>
      </c>
      <c r="P22" s="59" t="b">
        <v>1</v>
      </c>
      <c r="Q22" s="60"/>
      <c r="R22" s="60"/>
      <c r="S22" s="47" t="b">
        <v>1</v>
      </c>
      <c r="T22" s="61" t="s">
        <v>1176</v>
      </c>
      <c r="U22" s="54">
        <f>24*125</f>
        <v>3000</v>
      </c>
      <c r="V22" s="54">
        <f t="shared" si="1"/>
        <v>1440</v>
      </c>
      <c r="W22" s="49"/>
      <c r="X22" s="49"/>
    </row>
    <row r="23" spans="1:24" ht="13.5" customHeight="1">
      <c r="A23" s="1"/>
      <c r="B23" s="32"/>
      <c r="C23" s="71" t="s">
        <v>1177</v>
      </c>
      <c r="D23" s="53" t="s">
        <v>171</v>
      </c>
      <c r="E23" s="53" t="s">
        <v>137</v>
      </c>
      <c r="F23" s="53" t="s">
        <v>172</v>
      </c>
      <c r="G23" s="53" t="s">
        <v>83</v>
      </c>
      <c r="H23" s="53" t="s">
        <v>30</v>
      </c>
      <c r="I23" s="53">
        <v>1000</v>
      </c>
      <c r="J23" s="54">
        <v>1.5</v>
      </c>
      <c r="K23" s="54">
        <f t="shared" si="0"/>
        <v>1500</v>
      </c>
      <c r="L23" s="55" t="b">
        <v>1</v>
      </c>
      <c r="M23" s="56">
        <v>50320241331</v>
      </c>
      <c r="N23" s="57" t="b">
        <v>1</v>
      </c>
      <c r="O23" s="58" t="s">
        <v>31</v>
      </c>
      <c r="P23" s="59" t="b">
        <v>1</v>
      </c>
      <c r="Q23" s="60"/>
      <c r="R23" s="60"/>
      <c r="S23" s="47" t="b">
        <v>1</v>
      </c>
      <c r="T23" s="61" t="s">
        <v>1178</v>
      </c>
      <c r="U23" s="54">
        <f>1000*1</f>
        <v>1000</v>
      </c>
      <c r="V23" s="54">
        <f t="shared" si="1"/>
        <v>500</v>
      </c>
      <c r="W23" s="49"/>
      <c r="X23" s="49"/>
    </row>
    <row r="24" spans="1:24" ht="15.75" customHeight="1">
      <c r="A24" s="1"/>
      <c r="B24" s="32"/>
      <c r="C24" s="71" t="s">
        <v>1177</v>
      </c>
      <c r="D24" s="53" t="s">
        <v>171</v>
      </c>
      <c r="E24" s="53" t="s">
        <v>137</v>
      </c>
      <c r="F24" s="53" t="s">
        <v>172</v>
      </c>
      <c r="G24" s="53" t="s">
        <v>1179</v>
      </c>
      <c r="H24" s="53" t="s">
        <v>30</v>
      </c>
      <c r="I24" s="53">
        <v>250</v>
      </c>
      <c r="J24" s="54">
        <v>6.4</v>
      </c>
      <c r="K24" s="54">
        <f t="shared" si="0"/>
        <v>1600</v>
      </c>
      <c r="L24" s="55" t="b">
        <v>1</v>
      </c>
      <c r="M24" s="56">
        <v>50320241331</v>
      </c>
      <c r="N24" s="57" t="b">
        <v>1</v>
      </c>
      <c r="O24" s="58" t="s">
        <v>31</v>
      </c>
      <c r="P24" s="59" t="b">
        <v>1</v>
      </c>
      <c r="Q24" s="60"/>
      <c r="R24" s="60"/>
      <c r="S24" s="47" t="b">
        <v>1</v>
      </c>
      <c r="T24" s="61" t="s">
        <v>1180</v>
      </c>
      <c r="U24" s="54">
        <v>815</v>
      </c>
      <c r="V24" s="54">
        <f t="shared" si="1"/>
        <v>785</v>
      </c>
      <c r="W24" s="49"/>
      <c r="X24" s="49"/>
    </row>
    <row r="25" spans="1:24" ht="15.75" customHeight="1">
      <c r="A25" s="1"/>
      <c r="B25" s="32"/>
      <c r="C25" s="71" t="s">
        <v>1177</v>
      </c>
      <c r="D25" s="53" t="s">
        <v>171</v>
      </c>
      <c r="E25" s="53" t="s">
        <v>137</v>
      </c>
      <c r="F25" s="53" t="s">
        <v>172</v>
      </c>
      <c r="G25" s="53" t="s">
        <v>1181</v>
      </c>
      <c r="H25" s="53" t="s">
        <v>30</v>
      </c>
      <c r="I25" s="53">
        <v>15</v>
      </c>
      <c r="J25" s="54">
        <v>90</v>
      </c>
      <c r="K25" s="54">
        <f t="shared" si="0"/>
        <v>1350</v>
      </c>
      <c r="L25" s="55" t="b">
        <v>1</v>
      </c>
      <c r="M25" s="56">
        <v>50320241331</v>
      </c>
      <c r="N25" s="57" t="b">
        <v>1</v>
      </c>
      <c r="O25" s="58" t="s">
        <v>31</v>
      </c>
      <c r="P25" s="59" t="b">
        <v>1</v>
      </c>
      <c r="Q25" s="60"/>
      <c r="R25" s="60"/>
      <c r="S25" s="47" t="b">
        <v>1</v>
      </c>
      <c r="T25" s="61" t="s">
        <v>1182</v>
      </c>
      <c r="U25" s="54">
        <f>15*60</f>
        <v>900</v>
      </c>
      <c r="V25" s="54">
        <f t="shared" si="1"/>
        <v>450</v>
      </c>
      <c r="W25" s="49"/>
      <c r="X25" s="49"/>
    </row>
    <row r="26" spans="1:24" ht="15.75" customHeight="1">
      <c r="A26" s="1"/>
      <c r="B26" s="32"/>
      <c r="C26" s="71" t="s">
        <v>1177</v>
      </c>
      <c r="D26" s="53" t="s">
        <v>171</v>
      </c>
      <c r="E26" s="53" t="s">
        <v>137</v>
      </c>
      <c r="F26" s="53" t="s">
        <v>172</v>
      </c>
      <c r="G26" s="53" t="s">
        <v>1168</v>
      </c>
      <c r="H26" s="53" t="s">
        <v>30</v>
      </c>
      <c r="I26" s="53">
        <v>20</v>
      </c>
      <c r="J26" s="54">
        <v>300</v>
      </c>
      <c r="K26" s="54">
        <f t="shared" si="0"/>
        <v>6000</v>
      </c>
      <c r="L26" s="55" t="b">
        <v>1</v>
      </c>
      <c r="M26" s="56">
        <v>50320241331</v>
      </c>
      <c r="N26" s="57" t="b">
        <v>1</v>
      </c>
      <c r="O26" s="58" t="s">
        <v>31</v>
      </c>
      <c r="P26" s="59" t="b">
        <v>1</v>
      </c>
      <c r="Q26" s="60"/>
      <c r="R26" s="60"/>
      <c r="S26" s="47" t="b">
        <v>1</v>
      </c>
      <c r="T26" s="61" t="s">
        <v>1182</v>
      </c>
      <c r="U26" s="54">
        <f>20*120</f>
        <v>2400</v>
      </c>
      <c r="V26" s="54">
        <f t="shared" si="1"/>
        <v>3600</v>
      </c>
      <c r="W26" s="49"/>
      <c r="X26" s="49"/>
    </row>
    <row r="27" spans="1:24" ht="15.75" customHeight="1">
      <c r="A27" s="1"/>
      <c r="B27" s="32"/>
      <c r="C27" s="71" t="s">
        <v>1177</v>
      </c>
      <c r="D27" s="53" t="s">
        <v>171</v>
      </c>
      <c r="E27" s="53" t="s">
        <v>137</v>
      </c>
      <c r="F27" s="53" t="s">
        <v>172</v>
      </c>
      <c r="G27" s="53" t="s">
        <v>49</v>
      </c>
      <c r="H27" s="53" t="s">
        <v>30</v>
      </c>
      <c r="I27" s="53">
        <v>3</v>
      </c>
      <c r="J27" s="54">
        <v>695</v>
      </c>
      <c r="K27" s="54">
        <f t="shared" si="0"/>
        <v>2085</v>
      </c>
      <c r="L27" s="55" t="b">
        <v>1</v>
      </c>
      <c r="M27" s="56">
        <v>50320241331</v>
      </c>
      <c r="N27" s="57" t="b">
        <v>1</v>
      </c>
      <c r="O27" s="58" t="s">
        <v>31</v>
      </c>
      <c r="P27" s="59" t="b">
        <v>1</v>
      </c>
      <c r="Q27" s="60"/>
      <c r="R27" s="60"/>
      <c r="S27" s="47" t="b">
        <v>1</v>
      </c>
      <c r="T27" s="61" t="s">
        <v>1183</v>
      </c>
      <c r="U27" s="54">
        <f>3000*0.46</f>
        <v>1380</v>
      </c>
      <c r="V27" s="54">
        <f t="shared" si="1"/>
        <v>705</v>
      </c>
      <c r="W27" s="49"/>
      <c r="X27" s="49"/>
    </row>
    <row r="28" spans="1:24" ht="15.75" customHeight="1">
      <c r="A28" s="1"/>
      <c r="B28" s="32"/>
      <c r="C28" s="71" t="s">
        <v>1177</v>
      </c>
      <c r="D28" s="53" t="s">
        <v>171</v>
      </c>
      <c r="E28" s="53" t="s">
        <v>137</v>
      </c>
      <c r="F28" s="53" t="s">
        <v>172</v>
      </c>
      <c r="G28" s="53" t="s">
        <v>639</v>
      </c>
      <c r="H28" s="53" t="s">
        <v>30</v>
      </c>
      <c r="I28" s="53">
        <v>48</v>
      </c>
      <c r="J28" s="54">
        <v>185</v>
      </c>
      <c r="K28" s="54">
        <f t="shared" si="0"/>
        <v>8880</v>
      </c>
      <c r="L28" s="55" t="b">
        <v>1</v>
      </c>
      <c r="M28" s="56">
        <v>50320241331</v>
      </c>
      <c r="N28" s="57" t="b">
        <v>1</v>
      </c>
      <c r="O28" s="58" t="s">
        <v>31</v>
      </c>
      <c r="P28" s="59" t="b">
        <v>1</v>
      </c>
      <c r="Q28" s="60"/>
      <c r="R28" s="60"/>
      <c r="S28" s="47" t="b">
        <v>1</v>
      </c>
      <c r="T28" s="61" t="s">
        <v>1184</v>
      </c>
      <c r="U28" s="54">
        <f>48*125</f>
        <v>6000</v>
      </c>
      <c r="V28" s="54">
        <f t="shared" si="1"/>
        <v>2880</v>
      </c>
      <c r="W28" s="49"/>
      <c r="X28" s="49"/>
    </row>
    <row r="29" spans="1:24" ht="15.75" customHeight="1">
      <c r="A29" s="1"/>
      <c r="B29" s="32"/>
      <c r="C29" s="71" t="s">
        <v>1177</v>
      </c>
      <c r="D29" s="53" t="s">
        <v>263</v>
      </c>
      <c r="E29" s="53" t="s">
        <v>248</v>
      </c>
      <c r="F29" s="53" t="s">
        <v>451</v>
      </c>
      <c r="G29" s="53" t="s">
        <v>374</v>
      </c>
      <c r="H29" s="53" t="s">
        <v>30</v>
      </c>
      <c r="I29" s="53">
        <v>50</v>
      </c>
      <c r="J29" s="54">
        <v>22.5</v>
      </c>
      <c r="K29" s="54">
        <f t="shared" si="0"/>
        <v>1125</v>
      </c>
      <c r="L29" s="55" t="b">
        <v>1</v>
      </c>
      <c r="M29" s="56">
        <v>50320241344</v>
      </c>
      <c r="N29" s="57" t="b">
        <v>1</v>
      </c>
      <c r="O29" s="58" t="s">
        <v>31</v>
      </c>
      <c r="P29" s="59" t="b">
        <v>1</v>
      </c>
      <c r="Q29" s="60"/>
      <c r="R29" s="60"/>
      <c r="S29" s="47" t="b">
        <v>1</v>
      </c>
      <c r="T29" s="61" t="s">
        <v>1185</v>
      </c>
      <c r="U29" s="54">
        <f>50*7</f>
        <v>350</v>
      </c>
      <c r="V29" s="54">
        <f t="shared" si="1"/>
        <v>775</v>
      </c>
      <c r="W29" s="49"/>
      <c r="X29" s="49"/>
    </row>
    <row r="30" spans="1:24" ht="15.75" customHeight="1">
      <c r="A30" s="1"/>
      <c r="B30" s="32"/>
      <c r="C30" s="71" t="s">
        <v>1177</v>
      </c>
      <c r="D30" s="53" t="s">
        <v>51</v>
      </c>
      <c r="E30" s="53" t="s">
        <v>61</v>
      </c>
      <c r="F30" s="66" t="s">
        <v>548</v>
      </c>
      <c r="G30" s="67" t="s">
        <v>1186</v>
      </c>
      <c r="H30" s="67" t="s">
        <v>30</v>
      </c>
      <c r="I30" s="67">
        <v>2</v>
      </c>
      <c r="J30" s="68">
        <v>105</v>
      </c>
      <c r="K30" s="54">
        <f t="shared" si="0"/>
        <v>210</v>
      </c>
      <c r="L30" s="55" t="b">
        <v>1</v>
      </c>
      <c r="M30" s="56">
        <v>50320241416</v>
      </c>
      <c r="N30" s="57" t="b">
        <v>1</v>
      </c>
      <c r="O30" s="58" t="s">
        <v>31</v>
      </c>
      <c r="P30" s="59" t="b">
        <v>1</v>
      </c>
      <c r="Q30" s="60"/>
      <c r="R30" s="60"/>
      <c r="S30" s="47" t="b">
        <v>1</v>
      </c>
      <c r="T30" s="61" t="s">
        <v>1187</v>
      </c>
      <c r="U30" s="54">
        <f>2*75</f>
        <v>150</v>
      </c>
      <c r="V30" s="54">
        <f t="shared" si="1"/>
        <v>60</v>
      </c>
      <c r="W30" s="49"/>
      <c r="X30" s="49"/>
    </row>
    <row r="31" spans="1:24" ht="15.75" customHeight="1">
      <c r="A31" s="1"/>
      <c r="B31" s="32"/>
      <c r="C31" s="71" t="s">
        <v>1177</v>
      </c>
      <c r="D31" s="53" t="s">
        <v>104</v>
      </c>
      <c r="E31" s="53" t="s">
        <v>316</v>
      </c>
      <c r="F31" s="66" t="s">
        <v>1188</v>
      </c>
      <c r="G31" s="69" t="s">
        <v>877</v>
      </c>
      <c r="H31" s="69" t="s">
        <v>30</v>
      </c>
      <c r="I31" s="69">
        <v>3</v>
      </c>
      <c r="J31" s="70">
        <v>775</v>
      </c>
      <c r="K31" s="54">
        <f t="shared" si="0"/>
        <v>2325</v>
      </c>
      <c r="L31" s="55" t="b">
        <v>1</v>
      </c>
      <c r="M31" s="56">
        <v>50320241419</v>
      </c>
      <c r="N31" s="57" t="b">
        <v>1</v>
      </c>
      <c r="O31" s="58" t="s">
        <v>31</v>
      </c>
      <c r="P31" s="59" t="b">
        <v>1</v>
      </c>
      <c r="Q31" s="60"/>
      <c r="R31" s="60"/>
      <c r="S31" s="47" t="b">
        <v>1</v>
      </c>
      <c r="T31" s="61" t="s">
        <v>1189</v>
      </c>
      <c r="U31" s="54">
        <f>3000*0.63</f>
        <v>1890</v>
      </c>
      <c r="V31" s="54">
        <f t="shared" si="1"/>
        <v>435</v>
      </c>
      <c r="W31" s="49"/>
      <c r="X31" s="49"/>
    </row>
    <row r="32" spans="1:24" ht="15.75" customHeight="1">
      <c r="A32" s="1"/>
      <c r="B32" s="32"/>
      <c r="C32" s="71" t="s">
        <v>1177</v>
      </c>
      <c r="D32" s="53" t="s">
        <v>144</v>
      </c>
      <c r="E32" s="53" t="s">
        <v>145</v>
      </c>
      <c r="F32" s="66" t="s">
        <v>146</v>
      </c>
      <c r="G32" s="69" t="s">
        <v>877</v>
      </c>
      <c r="H32" s="69" t="s">
        <v>30</v>
      </c>
      <c r="I32" s="69">
        <v>5</v>
      </c>
      <c r="J32" s="70">
        <v>775</v>
      </c>
      <c r="K32" s="54">
        <f t="shared" si="0"/>
        <v>3875</v>
      </c>
      <c r="L32" s="55" t="b">
        <v>1</v>
      </c>
      <c r="M32" s="56">
        <v>50320241748</v>
      </c>
      <c r="N32" s="57" t="b">
        <v>1</v>
      </c>
      <c r="O32" s="58" t="s">
        <v>31</v>
      </c>
      <c r="P32" s="59" t="b">
        <v>1</v>
      </c>
      <c r="Q32" s="60"/>
      <c r="R32" s="60"/>
      <c r="S32" s="47" t="b">
        <v>1</v>
      </c>
      <c r="T32" s="61" t="s">
        <v>1190</v>
      </c>
      <c r="U32" s="54">
        <f>5000*0.63</f>
        <v>3150</v>
      </c>
      <c r="V32" s="54">
        <f t="shared" si="1"/>
        <v>725</v>
      </c>
      <c r="W32" s="49"/>
      <c r="X32" s="49"/>
    </row>
    <row r="33" spans="1:24" ht="15.75" customHeight="1">
      <c r="A33" s="1"/>
      <c r="B33" s="32"/>
      <c r="C33" s="71" t="s">
        <v>1177</v>
      </c>
      <c r="D33" s="53" t="s">
        <v>144</v>
      </c>
      <c r="E33" s="53" t="s">
        <v>145</v>
      </c>
      <c r="F33" s="66" t="s">
        <v>146</v>
      </c>
      <c r="G33" s="69" t="s">
        <v>1191</v>
      </c>
      <c r="H33" s="69" t="s">
        <v>30</v>
      </c>
      <c r="I33" s="69">
        <v>5</v>
      </c>
      <c r="J33" s="70">
        <v>165</v>
      </c>
      <c r="K33" s="54">
        <f t="shared" si="0"/>
        <v>825</v>
      </c>
      <c r="L33" s="55" t="b">
        <v>1</v>
      </c>
      <c r="M33" s="56">
        <v>50320241749</v>
      </c>
      <c r="N33" s="57" t="b">
        <v>1</v>
      </c>
      <c r="O33" s="58"/>
      <c r="P33" s="59" t="b">
        <v>1</v>
      </c>
      <c r="Q33" s="60"/>
      <c r="R33" s="60"/>
      <c r="S33" s="47" t="b">
        <v>1</v>
      </c>
      <c r="T33" s="61" t="s">
        <v>1190</v>
      </c>
      <c r="U33" s="54">
        <v>425</v>
      </c>
      <c r="V33" s="54">
        <f t="shared" si="1"/>
        <v>400</v>
      </c>
      <c r="W33" s="49"/>
      <c r="X33" s="49"/>
    </row>
    <row r="34" spans="1:24" ht="15.75" customHeight="1">
      <c r="A34" s="1"/>
      <c r="B34" s="32"/>
      <c r="C34" s="71" t="s">
        <v>1192</v>
      </c>
      <c r="D34" s="53" t="s">
        <v>104</v>
      </c>
      <c r="E34" s="53" t="s">
        <v>158</v>
      </c>
      <c r="F34" s="66" t="s">
        <v>159</v>
      </c>
      <c r="G34" s="69" t="s">
        <v>49</v>
      </c>
      <c r="H34" s="69" t="s">
        <v>30</v>
      </c>
      <c r="I34" s="69">
        <v>1</v>
      </c>
      <c r="J34" s="70">
        <v>895</v>
      </c>
      <c r="K34" s="54">
        <f t="shared" si="0"/>
        <v>895</v>
      </c>
      <c r="L34" s="55" t="b">
        <v>1</v>
      </c>
      <c r="M34" s="56">
        <v>60320241841</v>
      </c>
      <c r="N34" s="57" t="b">
        <v>1</v>
      </c>
      <c r="O34" s="58" t="s">
        <v>31</v>
      </c>
      <c r="P34" s="59" t="b">
        <v>1</v>
      </c>
      <c r="Q34" s="60"/>
      <c r="R34" s="60"/>
      <c r="S34" s="47" t="b">
        <v>1</v>
      </c>
      <c r="T34" s="61" t="s">
        <v>1193</v>
      </c>
      <c r="U34" s="54">
        <f>1000*0.46</f>
        <v>460</v>
      </c>
      <c r="V34" s="54">
        <f t="shared" si="1"/>
        <v>435</v>
      </c>
      <c r="W34" s="49"/>
      <c r="X34" s="49"/>
    </row>
    <row r="35" spans="1:24" ht="15.75" customHeight="1">
      <c r="A35" s="1"/>
      <c r="B35" s="32"/>
      <c r="C35" s="71" t="s">
        <v>1192</v>
      </c>
      <c r="D35" s="53" t="s">
        <v>1194</v>
      </c>
      <c r="E35" s="53" t="s">
        <v>980</v>
      </c>
      <c r="F35" s="66" t="s">
        <v>981</v>
      </c>
      <c r="G35" s="69" t="s">
        <v>1195</v>
      </c>
      <c r="H35" s="69" t="s">
        <v>30</v>
      </c>
      <c r="I35" s="69">
        <v>1</v>
      </c>
      <c r="J35" s="70">
        <v>675</v>
      </c>
      <c r="K35" s="54">
        <f t="shared" si="0"/>
        <v>675</v>
      </c>
      <c r="L35" s="55" t="b">
        <v>1</v>
      </c>
      <c r="M35" s="56">
        <v>60320241841</v>
      </c>
      <c r="N35" s="57" t="b">
        <v>1</v>
      </c>
      <c r="O35" s="58" t="s">
        <v>31</v>
      </c>
      <c r="P35" s="59" t="b">
        <v>1</v>
      </c>
      <c r="Q35" s="60"/>
      <c r="R35" s="60"/>
      <c r="S35" s="47" t="b">
        <v>1</v>
      </c>
      <c r="T35" s="61" t="s">
        <v>1196</v>
      </c>
      <c r="U35" s="54">
        <v>250</v>
      </c>
      <c r="V35" s="54">
        <f t="shared" si="1"/>
        <v>425</v>
      </c>
      <c r="W35" s="49"/>
      <c r="X35" s="49"/>
    </row>
    <row r="36" spans="1:24" ht="15.75" customHeight="1">
      <c r="A36" s="1"/>
      <c r="B36" s="32"/>
      <c r="C36" s="71" t="s">
        <v>1192</v>
      </c>
      <c r="D36" s="53" t="s">
        <v>1194</v>
      </c>
      <c r="E36" s="53" t="s">
        <v>980</v>
      </c>
      <c r="F36" s="66" t="s">
        <v>981</v>
      </c>
      <c r="G36" s="69" t="s">
        <v>877</v>
      </c>
      <c r="H36" s="69" t="s">
        <v>30</v>
      </c>
      <c r="I36" s="69">
        <v>1</v>
      </c>
      <c r="J36" s="70">
        <v>775</v>
      </c>
      <c r="K36" s="54">
        <f t="shared" si="0"/>
        <v>775</v>
      </c>
      <c r="L36" s="55" t="b">
        <v>1</v>
      </c>
      <c r="M36" s="56">
        <v>60320241841</v>
      </c>
      <c r="N36" s="57" t="b">
        <v>1</v>
      </c>
      <c r="O36" s="58" t="s">
        <v>31</v>
      </c>
      <c r="P36" s="59" t="b">
        <v>1</v>
      </c>
      <c r="Q36" s="60"/>
      <c r="R36" s="60"/>
      <c r="S36" s="47" t="b">
        <v>1</v>
      </c>
      <c r="T36" s="61" t="s">
        <v>1196</v>
      </c>
      <c r="U36" s="54">
        <f>1000*0.63</f>
        <v>630</v>
      </c>
      <c r="V36" s="54">
        <f t="shared" si="1"/>
        <v>145</v>
      </c>
      <c r="W36" s="49"/>
      <c r="X36" s="49"/>
    </row>
    <row r="37" spans="1:24" ht="15.75" customHeight="1">
      <c r="A37" s="1"/>
      <c r="B37" s="32"/>
      <c r="C37" s="71" t="s">
        <v>1192</v>
      </c>
      <c r="D37" s="53" t="s">
        <v>1194</v>
      </c>
      <c r="E37" s="53" t="s">
        <v>980</v>
      </c>
      <c r="F37" s="66" t="s">
        <v>981</v>
      </c>
      <c r="G37" s="69" t="s">
        <v>1197</v>
      </c>
      <c r="H37" s="69" t="s">
        <v>30</v>
      </c>
      <c r="I37" s="69">
        <v>1</v>
      </c>
      <c r="J37" s="70">
        <v>625</v>
      </c>
      <c r="K37" s="54">
        <f t="shared" si="0"/>
        <v>625</v>
      </c>
      <c r="L37" s="55" t="b">
        <v>1</v>
      </c>
      <c r="M37" s="56">
        <v>60320241841</v>
      </c>
      <c r="N37" s="57" t="b">
        <v>1</v>
      </c>
      <c r="O37" s="58" t="s">
        <v>31</v>
      </c>
      <c r="P37" s="59" t="b">
        <v>1</v>
      </c>
      <c r="Q37" s="60"/>
      <c r="R37" s="60"/>
      <c r="S37" s="47" t="b">
        <v>1</v>
      </c>
      <c r="T37" s="61" t="s">
        <v>1196</v>
      </c>
      <c r="U37" s="54">
        <f>1*320</f>
        <v>320</v>
      </c>
      <c r="V37" s="54">
        <f t="shared" si="1"/>
        <v>305</v>
      </c>
      <c r="W37" s="49"/>
      <c r="X37" s="49"/>
    </row>
    <row r="38" spans="1:24" ht="15.75" customHeight="1">
      <c r="A38" s="1"/>
      <c r="B38" s="32"/>
      <c r="C38" s="71" t="s">
        <v>1192</v>
      </c>
      <c r="D38" s="53" t="s">
        <v>1194</v>
      </c>
      <c r="E38" s="53" t="s">
        <v>980</v>
      </c>
      <c r="F38" s="66" t="s">
        <v>981</v>
      </c>
      <c r="G38" s="69" t="s">
        <v>1198</v>
      </c>
      <c r="H38" s="69" t="s">
        <v>30</v>
      </c>
      <c r="I38" s="69">
        <v>1</v>
      </c>
      <c r="J38" s="70">
        <v>125</v>
      </c>
      <c r="K38" s="54">
        <f t="shared" si="0"/>
        <v>125</v>
      </c>
      <c r="L38" s="55" t="b">
        <v>1</v>
      </c>
      <c r="M38" s="56">
        <v>60320241841</v>
      </c>
      <c r="N38" s="57" t="b">
        <v>1</v>
      </c>
      <c r="O38" s="58"/>
      <c r="P38" s="59" t="b">
        <v>1</v>
      </c>
      <c r="Q38" s="60"/>
      <c r="R38" s="60"/>
      <c r="S38" s="47" t="b">
        <v>1</v>
      </c>
      <c r="T38" s="61" t="s">
        <v>1199</v>
      </c>
      <c r="U38" s="54">
        <f>1*33.33</f>
        <v>33.33</v>
      </c>
      <c r="V38" s="54">
        <f t="shared" si="1"/>
        <v>91.67</v>
      </c>
      <c r="W38" s="49"/>
      <c r="X38" s="49"/>
    </row>
    <row r="39" spans="1:24" ht="15.75" customHeight="1">
      <c r="A39" s="1"/>
      <c r="B39" s="32"/>
      <c r="C39" s="71" t="s">
        <v>1192</v>
      </c>
      <c r="D39" s="53" t="s">
        <v>1194</v>
      </c>
      <c r="E39" s="53" t="s">
        <v>980</v>
      </c>
      <c r="F39" s="66" t="s">
        <v>981</v>
      </c>
      <c r="G39" s="66" t="s">
        <v>1181</v>
      </c>
      <c r="H39" s="53" t="s">
        <v>30</v>
      </c>
      <c r="I39" s="74">
        <v>10</v>
      </c>
      <c r="J39" s="73">
        <v>90</v>
      </c>
      <c r="K39" s="54">
        <f t="shared" si="0"/>
        <v>900</v>
      </c>
      <c r="L39" s="55" t="b">
        <v>1</v>
      </c>
      <c r="M39" s="56">
        <v>60320241841</v>
      </c>
      <c r="N39" s="57" t="b">
        <v>1</v>
      </c>
      <c r="O39" s="58"/>
      <c r="P39" s="59" t="b">
        <v>1</v>
      </c>
      <c r="Q39" s="60"/>
      <c r="R39" s="60"/>
      <c r="S39" s="47" t="b">
        <v>1</v>
      </c>
      <c r="T39" s="61" t="s">
        <v>1200</v>
      </c>
      <c r="U39" s="54">
        <f>10*60</f>
        <v>600</v>
      </c>
      <c r="V39" s="54">
        <f t="shared" si="1"/>
        <v>300</v>
      </c>
      <c r="W39" s="49"/>
      <c r="X39" s="49"/>
    </row>
    <row r="40" spans="1:24" ht="15.75" customHeight="1">
      <c r="A40" s="1"/>
      <c r="B40" s="32"/>
      <c r="C40" s="71" t="s">
        <v>1201</v>
      </c>
      <c r="D40" s="53" t="s">
        <v>51</v>
      </c>
      <c r="E40" s="53" t="s">
        <v>61</v>
      </c>
      <c r="F40" s="53" t="s">
        <v>476</v>
      </c>
      <c r="G40" s="53" t="s">
        <v>68</v>
      </c>
      <c r="H40" s="53" t="s">
        <v>30</v>
      </c>
      <c r="I40" s="53">
        <v>3000</v>
      </c>
      <c r="J40" s="54">
        <v>0.75</v>
      </c>
      <c r="K40" s="54">
        <f t="shared" si="0"/>
        <v>2250</v>
      </c>
      <c r="L40" s="55" t="b">
        <v>1</v>
      </c>
      <c r="M40" s="56">
        <v>70320241841</v>
      </c>
      <c r="N40" s="57" t="b">
        <v>1</v>
      </c>
      <c r="O40" s="58" t="s">
        <v>31</v>
      </c>
      <c r="P40" s="59" t="b">
        <v>1</v>
      </c>
      <c r="Q40" s="60"/>
      <c r="R40" s="60"/>
      <c r="S40" s="47" t="b">
        <v>1</v>
      </c>
      <c r="T40" s="61" t="s">
        <v>1202</v>
      </c>
      <c r="U40" s="54">
        <f>3000*0.3194</f>
        <v>958.2</v>
      </c>
      <c r="V40" s="54">
        <f t="shared" si="1"/>
        <v>1291.8</v>
      </c>
      <c r="W40" s="49"/>
      <c r="X40" s="49"/>
    </row>
    <row r="41" spans="1:24" ht="15.75" customHeight="1">
      <c r="A41" s="1"/>
      <c r="B41" s="32"/>
      <c r="C41" s="71" t="s">
        <v>1201</v>
      </c>
      <c r="D41" s="53" t="s">
        <v>60</v>
      </c>
      <c r="E41" s="53" t="s">
        <v>646</v>
      </c>
      <c r="F41" s="53" t="s">
        <v>647</v>
      </c>
      <c r="G41" s="66" t="s">
        <v>1203</v>
      </c>
      <c r="H41" s="66" t="s">
        <v>30</v>
      </c>
      <c r="I41" s="66">
        <v>3</v>
      </c>
      <c r="J41" s="75">
        <v>750</v>
      </c>
      <c r="K41" s="54">
        <f>J41*I41</f>
        <v>2250</v>
      </c>
      <c r="L41" s="55" t="b">
        <v>1</v>
      </c>
      <c r="M41" s="56">
        <v>70320241708</v>
      </c>
      <c r="N41" s="57" t="b">
        <v>1</v>
      </c>
      <c r="O41" s="58" t="s">
        <v>31</v>
      </c>
      <c r="P41" s="59" t="b">
        <v>1</v>
      </c>
      <c r="Q41" s="60"/>
      <c r="R41" s="60"/>
      <c r="S41" s="47" t="b">
        <v>1</v>
      </c>
      <c r="T41" s="61" t="s">
        <v>1204</v>
      </c>
      <c r="U41" s="54">
        <v>1350</v>
      </c>
      <c r="V41" s="54">
        <f t="shared" si="1"/>
        <v>900</v>
      </c>
      <c r="W41" s="49"/>
      <c r="X41" s="49"/>
    </row>
    <row r="42" spans="1:24" ht="15.75" customHeight="1">
      <c r="A42" s="1"/>
      <c r="B42" s="32"/>
      <c r="C42" s="71" t="s">
        <v>1205</v>
      </c>
      <c r="D42" s="53" t="s">
        <v>282</v>
      </c>
      <c r="E42" s="53" t="s">
        <v>74</v>
      </c>
      <c r="F42" s="53" t="s">
        <v>365</v>
      </c>
      <c r="G42" s="53" t="s">
        <v>236</v>
      </c>
      <c r="H42" s="66" t="s">
        <v>30</v>
      </c>
      <c r="I42" s="66">
        <v>12</v>
      </c>
      <c r="J42" s="75">
        <v>140</v>
      </c>
      <c r="K42" s="54">
        <f t="shared" ref="K42:K60" si="2">J42:J43*I42</f>
        <v>1680</v>
      </c>
      <c r="L42" s="55" t="b">
        <v>1</v>
      </c>
      <c r="M42" s="56">
        <v>80320240902</v>
      </c>
      <c r="N42" s="57" t="b">
        <v>1</v>
      </c>
      <c r="O42" s="58" t="s">
        <v>31</v>
      </c>
      <c r="P42" s="59" t="b">
        <v>1</v>
      </c>
      <c r="Q42" s="60"/>
      <c r="R42" s="60"/>
      <c r="S42" s="47" t="b">
        <v>1</v>
      </c>
      <c r="T42" s="61" t="s">
        <v>1206</v>
      </c>
      <c r="U42" s="54">
        <f>12*95</f>
        <v>1140</v>
      </c>
      <c r="V42" s="54">
        <f t="shared" si="1"/>
        <v>540</v>
      </c>
      <c r="W42" s="49"/>
      <c r="X42" s="49"/>
    </row>
    <row r="43" spans="1:24" ht="15.75" customHeight="1">
      <c r="A43" s="1"/>
      <c r="B43" s="32"/>
      <c r="C43" s="71" t="s">
        <v>1205</v>
      </c>
      <c r="D43" s="53" t="s">
        <v>144</v>
      </c>
      <c r="E43" s="53" t="s">
        <v>122</v>
      </c>
      <c r="F43" s="53" t="s">
        <v>582</v>
      </c>
      <c r="G43" s="66" t="s">
        <v>49</v>
      </c>
      <c r="H43" s="66" t="s">
        <v>30</v>
      </c>
      <c r="I43" s="66">
        <v>10</v>
      </c>
      <c r="J43" s="75">
        <v>695</v>
      </c>
      <c r="K43" s="54">
        <f t="shared" si="2"/>
        <v>6950</v>
      </c>
      <c r="L43" s="55" t="b">
        <v>1</v>
      </c>
      <c r="M43" s="56">
        <v>80320241748</v>
      </c>
      <c r="N43" s="57" t="b">
        <v>1</v>
      </c>
      <c r="O43" s="58" t="s">
        <v>31</v>
      </c>
      <c r="P43" s="59" t="b">
        <v>1</v>
      </c>
      <c r="Q43" s="60"/>
      <c r="R43" s="60"/>
      <c r="S43" s="47" t="b">
        <v>1</v>
      </c>
      <c r="T43" s="61" t="s">
        <v>1207</v>
      </c>
      <c r="U43" s="54">
        <f>10000*0.46</f>
        <v>4600</v>
      </c>
      <c r="V43" s="54">
        <f t="shared" si="1"/>
        <v>2350</v>
      </c>
      <c r="W43" s="49"/>
      <c r="X43" s="49"/>
    </row>
    <row r="44" spans="1:24" ht="15.75" customHeight="1">
      <c r="A44" s="1"/>
      <c r="B44" s="32"/>
      <c r="C44" s="71" t="s">
        <v>1205</v>
      </c>
      <c r="D44" s="53" t="s">
        <v>51</v>
      </c>
      <c r="E44" s="53" t="s">
        <v>201</v>
      </c>
      <c r="F44" s="53" t="s">
        <v>1208</v>
      </c>
      <c r="G44" s="66" t="s">
        <v>1209</v>
      </c>
      <c r="H44" s="66" t="s">
        <v>30</v>
      </c>
      <c r="I44" s="66">
        <v>35</v>
      </c>
      <c r="J44" s="75">
        <v>150</v>
      </c>
      <c r="K44" s="54">
        <f t="shared" si="2"/>
        <v>5250</v>
      </c>
      <c r="L44" s="55" t="b">
        <v>1</v>
      </c>
      <c r="M44" s="56">
        <v>80320241749</v>
      </c>
      <c r="N44" s="57" t="b">
        <v>1</v>
      </c>
      <c r="O44" s="58" t="s">
        <v>39</v>
      </c>
      <c r="P44" s="59" t="b">
        <v>1</v>
      </c>
      <c r="Q44" s="60" t="s">
        <v>1210</v>
      </c>
      <c r="R44" s="60"/>
      <c r="S44" s="47" t="b">
        <v>1</v>
      </c>
      <c r="T44" s="61" t="s">
        <v>1211</v>
      </c>
      <c r="U44" s="54">
        <f>35*100</f>
        <v>3500</v>
      </c>
      <c r="V44" s="54">
        <f t="shared" si="1"/>
        <v>1750</v>
      </c>
      <c r="W44" s="49"/>
      <c r="X44" s="49"/>
    </row>
    <row r="45" spans="1:24" ht="15.75" customHeight="1">
      <c r="A45" s="1"/>
      <c r="B45" s="32"/>
      <c r="C45" s="71" t="s">
        <v>1205</v>
      </c>
      <c r="D45" s="53" t="s">
        <v>216</v>
      </c>
      <c r="E45" s="53" t="s">
        <v>109</v>
      </c>
      <c r="F45" s="53" t="s">
        <v>110</v>
      </c>
      <c r="G45" s="53" t="s">
        <v>1212</v>
      </c>
      <c r="H45" s="66" t="s">
        <v>30</v>
      </c>
      <c r="I45" s="66">
        <v>500</v>
      </c>
      <c r="J45" s="75">
        <v>1.5</v>
      </c>
      <c r="K45" s="54">
        <f t="shared" si="2"/>
        <v>750</v>
      </c>
      <c r="L45" s="55" t="b">
        <v>1</v>
      </c>
      <c r="M45" s="56">
        <v>80320241752</v>
      </c>
      <c r="N45" s="57" t="b">
        <v>1</v>
      </c>
      <c r="O45" s="58" t="s">
        <v>351</v>
      </c>
      <c r="P45" s="59" t="b">
        <v>1</v>
      </c>
      <c r="Q45" s="60"/>
      <c r="R45" s="60"/>
      <c r="S45" s="47" t="b">
        <v>1</v>
      </c>
      <c r="T45" s="61" t="s">
        <v>1213</v>
      </c>
      <c r="U45" s="54">
        <v>500</v>
      </c>
      <c r="V45" s="54">
        <f t="shared" si="1"/>
        <v>250</v>
      </c>
      <c r="W45" s="49"/>
      <c r="X45" s="49"/>
    </row>
    <row r="46" spans="1:24" ht="15.75" customHeight="1">
      <c r="A46" s="101"/>
      <c r="B46" s="102"/>
      <c r="C46" s="71" t="s">
        <v>1205</v>
      </c>
      <c r="D46" s="53" t="s">
        <v>51</v>
      </c>
      <c r="E46" s="53" t="s">
        <v>137</v>
      </c>
      <c r="F46" s="53" t="s">
        <v>1214</v>
      </c>
      <c r="G46" s="66" t="s">
        <v>1215</v>
      </c>
      <c r="H46" s="66" t="s">
        <v>30</v>
      </c>
      <c r="I46" s="66">
        <v>36</v>
      </c>
      <c r="J46" s="75">
        <v>150</v>
      </c>
      <c r="K46" s="54">
        <f t="shared" si="2"/>
        <v>5400</v>
      </c>
      <c r="L46" s="55" t="b">
        <v>1</v>
      </c>
      <c r="M46" s="56">
        <v>80320241913</v>
      </c>
      <c r="N46" s="57" t="b">
        <v>1</v>
      </c>
      <c r="O46" s="58" t="s">
        <v>39</v>
      </c>
      <c r="P46" s="59" t="b">
        <v>1</v>
      </c>
      <c r="Q46" s="60" t="s">
        <v>1216</v>
      </c>
      <c r="R46" s="60"/>
      <c r="S46" s="47" t="b">
        <v>1</v>
      </c>
      <c r="T46" s="61" t="s">
        <v>1217</v>
      </c>
      <c r="U46" s="54">
        <f>36*105</f>
        <v>3780</v>
      </c>
      <c r="V46" s="54">
        <f t="shared" si="1"/>
        <v>1620</v>
      </c>
      <c r="W46" s="49"/>
      <c r="X46" s="49"/>
    </row>
    <row r="47" spans="1:24" ht="15.75" customHeight="1">
      <c r="A47" s="101"/>
      <c r="B47" s="102"/>
      <c r="C47" s="71" t="s">
        <v>1218</v>
      </c>
      <c r="D47" s="53" t="s">
        <v>51</v>
      </c>
      <c r="E47" s="53" t="s">
        <v>594</v>
      </c>
      <c r="F47" s="53" t="s">
        <v>595</v>
      </c>
      <c r="G47" s="66" t="s">
        <v>1219</v>
      </c>
      <c r="H47" s="66" t="s">
        <v>30</v>
      </c>
      <c r="I47" s="66">
        <v>7</v>
      </c>
      <c r="J47" s="75">
        <v>730</v>
      </c>
      <c r="K47" s="54">
        <f t="shared" si="2"/>
        <v>5110</v>
      </c>
      <c r="L47" s="55" t="b">
        <v>1</v>
      </c>
      <c r="M47" s="56">
        <v>90320241325</v>
      </c>
      <c r="N47" s="57" t="b">
        <v>1</v>
      </c>
      <c r="O47" s="58" t="s">
        <v>39</v>
      </c>
      <c r="P47" s="59" t="b">
        <v>1</v>
      </c>
      <c r="Q47" s="60"/>
      <c r="R47" s="60"/>
      <c r="S47" s="47" t="b">
        <v>1</v>
      </c>
      <c r="T47" s="61" t="s">
        <v>1220</v>
      </c>
      <c r="U47" s="54">
        <v>3150</v>
      </c>
      <c r="V47" s="54">
        <f t="shared" si="1"/>
        <v>1960</v>
      </c>
      <c r="W47" s="49"/>
      <c r="X47" s="49"/>
    </row>
    <row r="48" spans="1:24" ht="15.75" customHeight="1">
      <c r="A48" s="101"/>
      <c r="B48" s="32"/>
      <c r="C48" s="71" t="s">
        <v>1218</v>
      </c>
      <c r="D48" s="53" t="s">
        <v>418</v>
      </c>
      <c r="E48" s="53" t="s">
        <v>42</v>
      </c>
      <c r="F48" s="53" t="s">
        <v>209</v>
      </c>
      <c r="G48" s="66" t="s">
        <v>1221</v>
      </c>
      <c r="H48" s="66" t="s">
        <v>30</v>
      </c>
      <c r="I48" s="66">
        <v>20</v>
      </c>
      <c r="J48" s="75">
        <v>75</v>
      </c>
      <c r="K48" s="54">
        <f t="shared" si="2"/>
        <v>1500</v>
      </c>
      <c r="L48" s="55" t="b">
        <v>1</v>
      </c>
      <c r="M48" s="56">
        <v>90320241445</v>
      </c>
      <c r="N48" s="57" t="b">
        <v>1</v>
      </c>
      <c r="O48" s="58" t="s">
        <v>31</v>
      </c>
      <c r="P48" s="59" t="b">
        <v>1</v>
      </c>
      <c r="Q48" s="78"/>
      <c r="R48" s="60"/>
      <c r="S48" s="47" t="b">
        <v>1</v>
      </c>
      <c r="T48" s="61" t="s">
        <v>1222</v>
      </c>
      <c r="U48" s="54">
        <v>600</v>
      </c>
      <c r="V48" s="54">
        <f t="shared" si="1"/>
        <v>900</v>
      </c>
      <c r="W48" s="49"/>
      <c r="X48" s="49"/>
    </row>
    <row r="49" spans="1:24" ht="15.75" customHeight="1">
      <c r="A49" s="101"/>
      <c r="B49" s="32"/>
      <c r="C49" s="76">
        <v>45360</v>
      </c>
      <c r="D49" s="66" t="s">
        <v>463</v>
      </c>
      <c r="E49" s="66" t="s">
        <v>463</v>
      </c>
      <c r="F49" s="66" t="s">
        <v>579</v>
      </c>
      <c r="G49" s="66" t="s">
        <v>1223</v>
      </c>
      <c r="H49" s="66" t="s">
        <v>30</v>
      </c>
      <c r="I49" s="66">
        <v>8</v>
      </c>
      <c r="J49" s="75">
        <v>750</v>
      </c>
      <c r="K49" s="54">
        <f t="shared" si="2"/>
        <v>6000</v>
      </c>
      <c r="L49" s="55" t="b">
        <v>1</v>
      </c>
      <c r="M49" s="56">
        <v>90320241449</v>
      </c>
      <c r="N49" s="57" t="b">
        <v>1</v>
      </c>
      <c r="O49" s="58" t="s">
        <v>31</v>
      </c>
      <c r="P49" s="59" t="b">
        <v>1</v>
      </c>
      <c r="Q49" s="78"/>
      <c r="R49" s="60"/>
      <c r="S49" s="47" t="b">
        <v>1</v>
      </c>
      <c r="T49" s="61" t="s">
        <v>1224</v>
      </c>
      <c r="U49" s="54">
        <v>3600</v>
      </c>
      <c r="V49" s="54">
        <f t="shared" si="1"/>
        <v>2400</v>
      </c>
      <c r="W49" s="49"/>
      <c r="X49" s="49"/>
    </row>
    <row r="50" spans="1:24" ht="15.75" customHeight="1">
      <c r="A50" s="101"/>
      <c r="B50" s="32"/>
      <c r="C50" s="76">
        <v>45360</v>
      </c>
      <c r="D50" s="66" t="s">
        <v>263</v>
      </c>
      <c r="E50" s="66" t="s">
        <v>248</v>
      </c>
      <c r="F50" s="66" t="s">
        <v>451</v>
      </c>
      <c r="G50" s="66" t="s">
        <v>139</v>
      </c>
      <c r="H50" s="66" t="s">
        <v>30</v>
      </c>
      <c r="I50" s="66">
        <v>50</v>
      </c>
      <c r="J50" s="75">
        <v>30</v>
      </c>
      <c r="K50" s="54">
        <f t="shared" si="2"/>
        <v>1500</v>
      </c>
      <c r="L50" s="55" t="b">
        <v>1</v>
      </c>
      <c r="M50" s="56">
        <v>90320241600</v>
      </c>
      <c r="N50" s="57" t="b">
        <v>1</v>
      </c>
      <c r="O50" s="58" t="s">
        <v>31</v>
      </c>
      <c r="P50" s="59" t="b">
        <v>1</v>
      </c>
      <c r="Q50" s="78"/>
      <c r="R50" s="60"/>
      <c r="S50" s="47" t="b">
        <v>1</v>
      </c>
      <c r="T50" s="61" t="s">
        <v>1225</v>
      </c>
      <c r="U50" s="54">
        <v>1000</v>
      </c>
      <c r="V50" s="54">
        <f t="shared" si="1"/>
        <v>500</v>
      </c>
      <c r="W50" s="49"/>
      <c r="X50" s="49"/>
    </row>
    <row r="51" spans="1:24" ht="15.75" customHeight="1">
      <c r="A51" s="101"/>
      <c r="B51" s="32"/>
      <c r="C51" s="76">
        <v>45360</v>
      </c>
      <c r="D51" s="53" t="s">
        <v>144</v>
      </c>
      <c r="E51" s="53" t="s">
        <v>980</v>
      </c>
      <c r="F51" s="53" t="s">
        <v>981</v>
      </c>
      <c r="G51" s="53" t="s">
        <v>1226</v>
      </c>
      <c r="H51" s="53" t="s">
        <v>30</v>
      </c>
      <c r="I51" s="53">
        <v>4</v>
      </c>
      <c r="J51" s="54">
        <v>750</v>
      </c>
      <c r="K51" s="54">
        <f t="shared" si="2"/>
        <v>3000</v>
      </c>
      <c r="L51" s="55" t="b">
        <v>1</v>
      </c>
      <c r="M51" s="56">
        <v>90320242034</v>
      </c>
      <c r="N51" s="57" t="b">
        <v>1</v>
      </c>
      <c r="O51" s="58" t="s">
        <v>31</v>
      </c>
      <c r="P51" s="59" t="b">
        <v>1</v>
      </c>
      <c r="Q51" s="78"/>
      <c r="R51" s="60"/>
      <c r="S51" s="47" t="b">
        <v>1</v>
      </c>
      <c r="T51" s="61" t="s">
        <v>1227</v>
      </c>
      <c r="U51" s="54">
        <v>1800</v>
      </c>
      <c r="V51" s="54">
        <f t="shared" si="1"/>
        <v>1200</v>
      </c>
      <c r="W51" s="49"/>
      <c r="X51" s="49"/>
    </row>
    <row r="52" spans="1:24" ht="15.75" customHeight="1">
      <c r="A52" s="101"/>
      <c r="B52" s="32"/>
      <c r="C52" s="76">
        <v>45362</v>
      </c>
      <c r="D52" s="53" t="s">
        <v>104</v>
      </c>
      <c r="E52" s="53" t="s">
        <v>736</v>
      </c>
      <c r="F52" s="53" t="s">
        <v>573</v>
      </c>
      <c r="G52" s="53" t="s">
        <v>1228</v>
      </c>
      <c r="H52" s="53" t="s">
        <v>30</v>
      </c>
      <c r="I52" s="53">
        <v>30</v>
      </c>
      <c r="J52" s="54">
        <v>105</v>
      </c>
      <c r="K52" s="54">
        <f t="shared" si="2"/>
        <v>3150</v>
      </c>
      <c r="L52" s="55" t="b">
        <v>1</v>
      </c>
      <c r="M52" s="56">
        <v>110320241133</v>
      </c>
      <c r="N52" s="57" t="b">
        <v>1</v>
      </c>
      <c r="O52" s="58" t="s">
        <v>31</v>
      </c>
      <c r="P52" s="59" t="b">
        <v>1</v>
      </c>
      <c r="Q52" s="78"/>
      <c r="R52" s="60"/>
      <c r="S52" s="47" t="b">
        <v>1</v>
      </c>
      <c r="T52" s="61" t="s">
        <v>1229</v>
      </c>
      <c r="U52" s="54">
        <f>30*75</f>
        <v>2250</v>
      </c>
      <c r="V52" s="54">
        <f t="shared" si="1"/>
        <v>900</v>
      </c>
      <c r="W52" s="49"/>
      <c r="X52" s="49"/>
    </row>
    <row r="53" spans="1:24" ht="15.75" customHeight="1">
      <c r="A53" s="101"/>
      <c r="B53" s="32"/>
      <c r="C53" s="76">
        <v>45362</v>
      </c>
      <c r="D53" s="53" t="s">
        <v>104</v>
      </c>
      <c r="E53" s="53" t="s">
        <v>736</v>
      </c>
      <c r="F53" s="53" t="s">
        <v>573</v>
      </c>
      <c r="G53" s="53" t="s">
        <v>1230</v>
      </c>
      <c r="H53" s="53" t="s">
        <v>30</v>
      </c>
      <c r="I53" s="53">
        <v>30</v>
      </c>
      <c r="J53" s="54">
        <v>42</v>
      </c>
      <c r="K53" s="54">
        <f t="shared" si="2"/>
        <v>1260</v>
      </c>
      <c r="L53" s="55" t="b">
        <v>1</v>
      </c>
      <c r="M53" s="56">
        <v>110320241134</v>
      </c>
      <c r="N53" s="57" t="b">
        <v>1</v>
      </c>
      <c r="O53" s="58" t="s">
        <v>31</v>
      </c>
      <c r="P53" s="59" t="b">
        <v>1</v>
      </c>
      <c r="Q53" s="78"/>
      <c r="R53" s="60"/>
      <c r="S53" s="47" t="b">
        <v>1</v>
      </c>
      <c r="T53" s="61" t="s">
        <v>1229</v>
      </c>
      <c r="U53" s="54">
        <v>600</v>
      </c>
      <c r="V53" s="54">
        <f t="shared" si="1"/>
        <v>660</v>
      </c>
      <c r="W53" s="49"/>
      <c r="X53" s="49"/>
    </row>
    <row r="54" spans="1:24" ht="15.75" customHeight="1">
      <c r="A54" s="101"/>
      <c r="B54" s="32"/>
      <c r="C54" s="76">
        <v>45362</v>
      </c>
      <c r="D54" s="53" t="s">
        <v>904</v>
      </c>
      <c r="E54" s="53">
        <v>41</v>
      </c>
      <c r="F54" s="53" t="s">
        <v>1231</v>
      </c>
      <c r="G54" s="53" t="s">
        <v>1168</v>
      </c>
      <c r="H54" s="53" t="s">
        <v>30</v>
      </c>
      <c r="I54" s="53">
        <v>24</v>
      </c>
      <c r="J54" s="54">
        <v>300</v>
      </c>
      <c r="K54" s="54">
        <f t="shared" si="2"/>
        <v>7200</v>
      </c>
      <c r="L54" s="55" t="b">
        <v>1</v>
      </c>
      <c r="M54" s="56">
        <v>110320241734</v>
      </c>
      <c r="N54" s="57" t="b">
        <v>1</v>
      </c>
      <c r="O54" s="58" t="s">
        <v>31</v>
      </c>
      <c r="P54" s="59" t="b">
        <v>1</v>
      </c>
      <c r="Q54" s="43"/>
      <c r="R54" s="60"/>
      <c r="S54" s="47" t="b">
        <v>1</v>
      </c>
      <c r="T54" s="61" t="s">
        <v>1232</v>
      </c>
      <c r="U54" s="54">
        <f>24*120</f>
        <v>2880</v>
      </c>
      <c r="V54" s="54">
        <f t="shared" si="1"/>
        <v>4320</v>
      </c>
      <c r="W54" s="49"/>
      <c r="X54" s="49"/>
    </row>
    <row r="55" spans="1:24" ht="15.75" customHeight="1">
      <c r="A55" s="101"/>
      <c r="B55" s="32"/>
      <c r="C55" s="76">
        <v>45362</v>
      </c>
      <c r="D55" s="53" t="s">
        <v>904</v>
      </c>
      <c r="E55" s="53">
        <v>41</v>
      </c>
      <c r="F55" s="53" t="s">
        <v>1231</v>
      </c>
      <c r="G55" s="53" t="s">
        <v>1181</v>
      </c>
      <c r="H55" s="53" t="s">
        <v>30</v>
      </c>
      <c r="I55" s="53">
        <v>24</v>
      </c>
      <c r="J55" s="54">
        <v>90</v>
      </c>
      <c r="K55" s="54">
        <f t="shared" si="2"/>
        <v>2160</v>
      </c>
      <c r="L55" s="55" t="b">
        <v>1</v>
      </c>
      <c r="M55" s="56">
        <v>110320241734</v>
      </c>
      <c r="N55" s="57" t="b">
        <v>1</v>
      </c>
      <c r="O55" s="58" t="s">
        <v>31</v>
      </c>
      <c r="P55" s="59" t="b">
        <v>1</v>
      </c>
      <c r="Q55" s="79"/>
      <c r="R55" s="60"/>
      <c r="S55" s="47" t="b">
        <v>1</v>
      </c>
      <c r="T55" s="61" t="s">
        <v>1232</v>
      </c>
      <c r="U55" s="54">
        <f>24*60</f>
        <v>1440</v>
      </c>
      <c r="V55" s="54">
        <f t="shared" si="1"/>
        <v>720</v>
      </c>
      <c r="W55" s="49"/>
      <c r="X55" s="49"/>
    </row>
    <row r="56" spans="1:24" ht="15.75" customHeight="1">
      <c r="A56" s="101"/>
      <c r="B56" s="32"/>
      <c r="C56" s="76">
        <v>45362</v>
      </c>
      <c r="D56" s="53" t="s">
        <v>904</v>
      </c>
      <c r="E56" s="53">
        <v>41</v>
      </c>
      <c r="F56" s="53" t="s">
        <v>1231</v>
      </c>
      <c r="G56" s="53" t="s">
        <v>236</v>
      </c>
      <c r="H56" s="53" t="s">
        <v>30</v>
      </c>
      <c r="I56" s="53">
        <v>12</v>
      </c>
      <c r="J56" s="54">
        <v>140</v>
      </c>
      <c r="K56" s="54">
        <f t="shared" si="2"/>
        <v>1680</v>
      </c>
      <c r="L56" s="55" t="b">
        <v>1</v>
      </c>
      <c r="M56" s="56">
        <v>110320241734</v>
      </c>
      <c r="N56" s="57" t="b">
        <v>1</v>
      </c>
      <c r="O56" s="58"/>
      <c r="P56" s="59" t="b">
        <v>1</v>
      </c>
      <c r="Q56" s="118"/>
      <c r="R56" s="80"/>
      <c r="S56" s="47" t="b">
        <v>1</v>
      </c>
      <c r="T56" s="61" t="s">
        <v>1233</v>
      </c>
      <c r="U56" s="54">
        <f>12*97</f>
        <v>1164</v>
      </c>
      <c r="V56" s="54">
        <f t="shared" si="1"/>
        <v>516</v>
      </c>
      <c r="W56" s="49"/>
      <c r="X56" s="49"/>
    </row>
    <row r="57" spans="1:24" ht="15.75" customHeight="1">
      <c r="A57" s="101"/>
      <c r="B57" s="32"/>
      <c r="C57" s="76">
        <v>45362</v>
      </c>
      <c r="D57" s="53" t="s">
        <v>1133</v>
      </c>
      <c r="E57" s="53" t="s">
        <v>1234</v>
      </c>
      <c r="F57" s="53" t="s">
        <v>1235</v>
      </c>
      <c r="G57" s="53" t="s">
        <v>68</v>
      </c>
      <c r="H57" s="53" t="s">
        <v>30</v>
      </c>
      <c r="I57" s="53">
        <v>3000</v>
      </c>
      <c r="J57" s="54">
        <v>0.75</v>
      </c>
      <c r="K57" s="54">
        <f t="shared" si="2"/>
        <v>2250</v>
      </c>
      <c r="L57" s="55" t="b">
        <v>1</v>
      </c>
      <c r="M57" s="56">
        <v>110320241734</v>
      </c>
      <c r="N57" s="57" t="b">
        <v>1</v>
      </c>
      <c r="O57" s="58"/>
      <c r="P57" s="59" t="b">
        <v>1</v>
      </c>
      <c r="Q57" s="60"/>
      <c r="R57" s="60"/>
      <c r="S57" s="47" t="b">
        <v>1</v>
      </c>
      <c r="T57" s="61" t="s">
        <v>1236</v>
      </c>
      <c r="U57" s="54">
        <f>3000*0.3194</f>
        <v>958.2</v>
      </c>
      <c r="V57" s="54">
        <f t="shared" si="1"/>
        <v>1291.8</v>
      </c>
      <c r="W57" s="49"/>
      <c r="X57" s="49"/>
    </row>
    <row r="58" spans="1:24" ht="15.75" customHeight="1">
      <c r="A58" s="101"/>
      <c r="B58" s="32"/>
      <c r="C58" s="76">
        <v>45362</v>
      </c>
      <c r="D58" s="53" t="s">
        <v>1237</v>
      </c>
      <c r="E58" s="53" t="s">
        <v>1234</v>
      </c>
      <c r="F58" s="53" t="s">
        <v>1235</v>
      </c>
      <c r="G58" s="53" t="s">
        <v>650</v>
      </c>
      <c r="H58" s="53" t="s">
        <v>30</v>
      </c>
      <c r="I58" s="53">
        <v>2</v>
      </c>
      <c r="J58" s="54">
        <v>1250</v>
      </c>
      <c r="K58" s="54">
        <f t="shared" si="2"/>
        <v>2500</v>
      </c>
      <c r="L58" s="55" t="b">
        <v>1</v>
      </c>
      <c r="M58" s="56">
        <v>110320241734</v>
      </c>
      <c r="N58" s="57" t="b">
        <v>1</v>
      </c>
      <c r="O58" s="58" t="s">
        <v>31</v>
      </c>
      <c r="P58" s="59" t="b">
        <v>1</v>
      </c>
      <c r="Q58" s="78"/>
      <c r="R58" s="60"/>
      <c r="S58" s="47" t="b">
        <v>1</v>
      </c>
      <c r="T58" s="61" t="s">
        <v>1238</v>
      </c>
      <c r="U58" s="54">
        <f>2*600</f>
        <v>1200</v>
      </c>
      <c r="V58" s="54">
        <f t="shared" si="1"/>
        <v>1300</v>
      </c>
      <c r="W58" s="49"/>
      <c r="X58" s="49"/>
    </row>
    <row r="59" spans="1:24" ht="15.75" customHeight="1">
      <c r="A59" s="101"/>
      <c r="B59" s="32"/>
      <c r="C59" s="76">
        <v>45362</v>
      </c>
      <c r="D59" s="53" t="s">
        <v>144</v>
      </c>
      <c r="E59" s="53" t="s">
        <v>243</v>
      </c>
      <c r="F59" s="53" t="s">
        <v>244</v>
      </c>
      <c r="G59" s="53" t="s">
        <v>96</v>
      </c>
      <c r="H59" s="53" t="s">
        <v>30</v>
      </c>
      <c r="I59" s="53">
        <v>2</v>
      </c>
      <c r="J59" s="54">
        <v>1335</v>
      </c>
      <c r="K59" s="54">
        <f t="shared" si="2"/>
        <v>2670</v>
      </c>
      <c r="L59" s="55" t="b">
        <v>1</v>
      </c>
      <c r="M59" s="56">
        <v>110320241734</v>
      </c>
      <c r="N59" s="57" t="b">
        <v>1</v>
      </c>
      <c r="O59" s="58" t="s">
        <v>31</v>
      </c>
      <c r="P59" s="59" t="b">
        <v>1</v>
      </c>
      <c r="Q59" s="78"/>
      <c r="R59" s="60"/>
      <c r="S59" s="47" t="b">
        <v>1</v>
      </c>
      <c r="T59" s="61" t="s">
        <v>1239</v>
      </c>
      <c r="U59" s="54">
        <f>2*927.6908</f>
        <v>1855.3815999999999</v>
      </c>
      <c r="V59" s="54">
        <f t="shared" si="1"/>
        <v>814.61840000000007</v>
      </c>
      <c r="W59" s="49"/>
      <c r="X59" s="49"/>
    </row>
    <row r="60" spans="1:24" ht="15.75" customHeight="1">
      <c r="A60" s="101"/>
      <c r="B60" s="32"/>
      <c r="C60" s="82">
        <v>45362</v>
      </c>
      <c r="D60" s="53" t="s">
        <v>1155</v>
      </c>
      <c r="E60" s="53" t="s">
        <v>342</v>
      </c>
      <c r="F60" s="53" t="s">
        <v>343</v>
      </c>
      <c r="G60" s="53" t="s">
        <v>574</v>
      </c>
      <c r="H60" s="53" t="s">
        <v>30</v>
      </c>
      <c r="I60" s="53">
        <v>5</v>
      </c>
      <c r="J60" s="54">
        <v>615</v>
      </c>
      <c r="K60" s="54">
        <f t="shared" si="2"/>
        <v>3075</v>
      </c>
      <c r="L60" s="55" t="b">
        <v>1</v>
      </c>
      <c r="M60" s="56">
        <v>110320241734</v>
      </c>
      <c r="N60" s="57" t="b">
        <v>1</v>
      </c>
      <c r="O60" s="58" t="s">
        <v>31</v>
      </c>
      <c r="P60" s="59" t="b">
        <v>1</v>
      </c>
      <c r="Q60" s="78"/>
      <c r="R60" s="60"/>
      <c r="S60" s="47" t="b">
        <v>1</v>
      </c>
      <c r="T60" s="61" t="s">
        <v>1156</v>
      </c>
      <c r="U60" s="54">
        <f>5*350</f>
        <v>1750</v>
      </c>
      <c r="V60" s="54">
        <f t="shared" si="1"/>
        <v>1325</v>
      </c>
      <c r="W60" s="49"/>
      <c r="X60" s="49"/>
    </row>
    <row r="61" spans="1:24" ht="16.5" customHeight="1">
      <c r="A61" s="101"/>
      <c r="B61" s="32"/>
      <c r="C61" s="82">
        <v>45362</v>
      </c>
      <c r="D61" s="53" t="s">
        <v>1155</v>
      </c>
      <c r="E61" s="53" t="s">
        <v>342</v>
      </c>
      <c r="F61" s="53" t="s">
        <v>343</v>
      </c>
      <c r="G61" s="53" t="s">
        <v>467</v>
      </c>
      <c r="H61" s="53" t="s">
        <v>30</v>
      </c>
      <c r="I61" s="53">
        <v>5</v>
      </c>
      <c r="J61" s="54">
        <v>650</v>
      </c>
      <c r="K61" s="54">
        <f>J61:J63*I61</f>
        <v>3250</v>
      </c>
      <c r="L61" s="55" t="b">
        <v>1</v>
      </c>
      <c r="M61" s="56">
        <v>110320241734</v>
      </c>
      <c r="N61" s="57" t="b">
        <v>1</v>
      </c>
      <c r="O61" s="58" t="s">
        <v>31</v>
      </c>
      <c r="P61" s="59" t="b">
        <v>1</v>
      </c>
      <c r="Q61" s="78"/>
      <c r="R61" s="60"/>
      <c r="S61" s="47" t="b">
        <v>1</v>
      </c>
      <c r="T61" s="61" t="s">
        <v>1156</v>
      </c>
      <c r="U61" s="54">
        <f>5*385</f>
        <v>1925</v>
      </c>
      <c r="V61" s="54">
        <f t="shared" si="1"/>
        <v>1325</v>
      </c>
      <c r="W61" s="49"/>
      <c r="X61" s="49"/>
    </row>
    <row r="62" spans="1:24" ht="16.5" customHeight="1">
      <c r="A62" s="101"/>
      <c r="B62" s="32"/>
      <c r="C62" s="82">
        <v>45362</v>
      </c>
      <c r="D62" s="53" t="s">
        <v>51</v>
      </c>
      <c r="E62" s="53" t="s">
        <v>89</v>
      </c>
      <c r="F62" s="53" t="s">
        <v>505</v>
      </c>
      <c r="G62" s="53" t="s">
        <v>1240</v>
      </c>
      <c r="H62" s="53" t="s">
        <v>30</v>
      </c>
      <c r="I62" s="53">
        <v>1</v>
      </c>
      <c r="J62" s="54">
        <v>2400</v>
      </c>
      <c r="K62" s="54">
        <v>2400</v>
      </c>
      <c r="L62" s="55" t="b">
        <v>1</v>
      </c>
      <c r="M62" s="56">
        <v>110320241734</v>
      </c>
      <c r="N62" s="57" t="b">
        <v>1</v>
      </c>
      <c r="O62" s="58" t="s">
        <v>31</v>
      </c>
      <c r="P62" s="59" t="b">
        <v>1</v>
      </c>
      <c r="Q62" s="78"/>
      <c r="R62" s="60"/>
      <c r="S62" s="47" t="b">
        <v>1</v>
      </c>
      <c r="T62" s="61" t="s">
        <v>1241</v>
      </c>
      <c r="U62" s="54">
        <v>1500</v>
      </c>
      <c r="V62" s="54">
        <v>900</v>
      </c>
      <c r="W62" s="49"/>
      <c r="X62" s="49"/>
    </row>
    <row r="63" spans="1:24" ht="15.75" customHeight="1">
      <c r="A63" s="101"/>
      <c r="B63" s="32"/>
      <c r="C63" s="82">
        <v>45363</v>
      </c>
      <c r="D63" s="53" t="s">
        <v>1242</v>
      </c>
      <c r="E63" s="53" t="s">
        <v>137</v>
      </c>
      <c r="F63" s="53" t="s">
        <v>268</v>
      </c>
      <c r="G63" s="53" t="s">
        <v>49</v>
      </c>
      <c r="H63" s="53" t="s">
        <v>30</v>
      </c>
      <c r="I63" s="53">
        <v>2</v>
      </c>
      <c r="J63" s="54">
        <v>695</v>
      </c>
      <c r="K63" s="54">
        <f t="shared" ref="K63:K89" si="3">J63:J64*I63</f>
        <v>1390</v>
      </c>
      <c r="L63" s="55" t="b">
        <v>1</v>
      </c>
      <c r="M63" s="56">
        <v>110320241734</v>
      </c>
      <c r="N63" s="57" t="b">
        <v>1</v>
      </c>
      <c r="O63" s="58" t="s">
        <v>31</v>
      </c>
      <c r="P63" s="59" t="b">
        <v>1</v>
      </c>
      <c r="Q63" s="78"/>
      <c r="R63" s="60"/>
      <c r="S63" s="47" t="b">
        <v>1</v>
      </c>
      <c r="T63" s="61" t="s">
        <v>1243</v>
      </c>
      <c r="U63" s="54">
        <f>2000*0.46</f>
        <v>920</v>
      </c>
      <c r="V63" s="54">
        <f t="shared" ref="V63:V100" si="4">K63-U63</f>
        <v>470</v>
      </c>
      <c r="W63" s="49"/>
      <c r="X63" s="49"/>
    </row>
    <row r="64" spans="1:24" ht="15.75" customHeight="1">
      <c r="A64" s="101"/>
      <c r="B64" s="32"/>
      <c r="C64" s="82">
        <v>45363</v>
      </c>
      <c r="D64" s="53" t="s">
        <v>104</v>
      </c>
      <c r="E64" s="53" t="s">
        <v>1244</v>
      </c>
      <c r="F64" s="53" t="s">
        <v>1245</v>
      </c>
      <c r="G64" s="53" t="s">
        <v>650</v>
      </c>
      <c r="H64" s="53" t="s">
        <v>30</v>
      </c>
      <c r="I64" s="53">
        <v>2</v>
      </c>
      <c r="J64" s="54">
        <v>1350</v>
      </c>
      <c r="K64" s="54">
        <f t="shared" si="3"/>
        <v>2700</v>
      </c>
      <c r="L64" s="55" t="b">
        <v>1</v>
      </c>
      <c r="M64" s="56">
        <v>120320241433</v>
      </c>
      <c r="N64" s="57" t="b">
        <v>1</v>
      </c>
      <c r="O64" s="58" t="s">
        <v>31</v>
      </c>
      <c r="P64" s="59" t="b">
        <v>1</v>
      </c>
      <c r="Q64" s="78"/>
      <c r="R64" s="60"/>
      <c r="S64" s="47" t="b">
        <v>1</v>
      </c>
      <c r="T64" s="61" t="s">
        <v>1246</v>
      </c>
      <c r="U64" s="54">
        <f>2*600</f>
        <v>1200</v>
      </c>
      <c r="V64" s="54">
        <f t="shared" si="4"/>
        <v>1500</v>
      </c>
      <c r="W64" s="49"/>
      <c r="X64" s="49"/>
    </row>
    <row r="65" spans="1:24" ht="15.75" customHeight="1">
      <c r="A65" s="101"/>
      <c r="B65" s="32"/>
      <c r="C65" s="82">
        <v>45363</v>
      </c>
      <c r="D65" s="53" t="s">
        <v>1133</v>
      </c>
      <c r="E65" s="53" t="s">
        <v>1234</v>
      </c>
      <c r="F65" s="53" t="s">
        <v>1235</v>
      </c>
      <c r="G65" s="53" t="s">
        <v>1247</v>
      </c>
      <c r="H65" s="53" t="s">
        <v>30</v>
      </c>
      <c r="I65" s="53">
        <v>1</v>
      </c>
      <c r="J65" s="54">
        <v>1150</v>
      </c>
      <c r="K65" s="54">
        <f t="shared" si="3"/>
        <v>1150</v>
      </c>
      <c r="L65" s="55" t="b">
        <v>1</v>
      </c>
      <c r="M65" s="56">
        <v>120320241433</v>
      </c>
      <c r="N65" s="57" t="b">
        <v>1</v>
      </c>
      <c r="O65" s="58" t="s">
        <v>31</v>
      </c>
      <c r="P65" s="59" t="b">
        <v>1</v>
      </c>
      <c r="Q65" s="78"/>
      <c r="R65" s="60"/>
      <c r="S65" s="47" t="b">
        <v>1</v>
      </c>
      <c r="T65" s="61" t="s">
        <v>1248</v>
      </c>
      <c r="U65" s="54">
        <v>600</v>
      </c>
      <c r="V65" s="54">
        <f t="shared" si="4"/>
        <v>550</v>
      </c>
      <c r="W65" s="49"/>
      <c r="X65" s="49"/>
    </row>
    <row r="66" spans="1:24" ht="15.75" customHeight="1">
      <c r="A66" s="101"/>
      <c r="B66" s="32"/>
      <c r="C66" s="82">
        <v>45363</v>
      </c>
      <c r="D66" s="53" t="s">
        <v>1133</v>
      </c>
      <c r="E66" s="53" t="s">
        <v>1234</v>
      </c>
      <c r="F66" s="53" t="s">
        <v>1235</v>
      </c>
      <c r="G66" s="66" t="s">
        <v>1249</v>
      </c>
      <c r="H66" s="66" t="s">
        <v>30</v>
      </c>
      <c r="I66" s="66">
        <v>4</v>
      </c>
      <c r="J66" s="75">
        <v>285</v>
      </c>
      <c r="K66" s="54">
        <f t="shared" si="3"/>
        <v>1140</v>
      </c>
      <c r="L66" s="55" t="b">
        <v>1</v>
      </c>
      <c r="M66" s="56">
        <v>120320241433</v>
      </c>
      <c r="N66" s="57" t="b">
        <v>1</v>
      </c>
      <c r="O66" s="58" t="s">
        <v>31</v>
      </c>
      <c r="P66" s="59" t="b">
        <v>1</v>
      </c>
      <c r="Q66" s="78"/>
      <c r="R66" s="60"/>
      <c r="S66" s="47" t="b">
        <v>1</v>
      </c>
      <c r="T66" s="61" t="s">
        <v>1250</v>
      </c>
      <c r="U66" s="54">
        <f>4*150</f>
        <v>600</v>
      </c>
      <c r="V66" s="54">
        <f t="shared" si="4"/>
        <v>540</v>
      </c>
      <c r="W66" s="49"/>
      <c r="X66" s="49"/>
    </row>
    <row r="67" spans="1:24" ht="15.75" customHeight="1">
      <c r="A67" s="101"/>
      <c r="B67" s="32"/>
      <c r="C67" s="82">
        <v>45363</v>
      </c>
      <c r="D67" s="53" t="s">
        <v>1133</v>
      </c>
      <c r="E67" s="53" t="s">
        <v>1234</v>
      </c>
      <c r="F67" s="53" t="s">
        <v>1235</v>
      </c>
      <c r="G67" s="53" t="s">
        <v>1251</v>
      </c>
      <c r="H67" s="53" t="s">
        <v>30</v>
      </c>
      <c r="I67" s="53">
        <v>10</v>
      </c>
      <c r="J67" s="54">
        <v>165</v>
      </c>
      <c r="K67" s="54">
        <f t="shared" si="3"/>
        <v>1650</v>
      </c>
      <c r="L67" s="55" t="b">
        <v>1</v>
      </c>
      <c r="M67" s="56">
        <v>120320241433</v>
      </c>
      <c r="N67" s="57" t="b">
        <v>1</v>
      </c>
      <c r="O67" s="58" t="s">
        <v>31</v>
      </c>
      <c r="P67" s="59" t="b">
        <v>1</v>
      </c>
      <c r="Q67" s="78"/>
      <c r="R67" s="60"/>
      <c r="S67" s="47" t="b">
        <v>1</v>
      </c>
      <c r="T67" s="61" t="s">
        <v>1252</v>
      </c>
      <c r="U67" s="54">
        <v>700</v>
      </c>
      <c r="V67" s="54">
        <f t="shared" si="4"/>
        <v>950</v>
      </c>
      <c r="W67" s="49"/>
      <c r="X67" s="49"/>
    </row>
    <row r="68" spans="1:24" ht="15.75" customHeight="1">
      <c r="A68" s="101"/>
      <c r="B68" s="32"/>
      <c r="C68" s="82">
        <v>45363</v>
      </c>
      <c r="D68" s="53" t="s">
        <v>1133</v>
      </c>
      <c r="E68" s="53" t="s">
        <v>1234</v>
      </c>
      <c r="F68" s="53" t="s">
        <v>1235</v>
      </c>
      <c r="G68" s="66" t="s">
        <v>907</v>
      </c>
      <c r="H68" s="74" t="s">
        <v>30</v>
      </c>
      <c r="I68" s="74">
        <v>100</v>
      </c>
      <c r="J68" s="73">
        <v>6.75</v>
      </c>
      <c r="K68" s="54">
        <f t="shared" si="3"/>
        <v>675</v>
      </c>
      <c r="L68" s="55" t="b">
        <v>1</v>
      </c>
      <c r="M68" s="56">
        <v>120320241433</v>
      </c>
      <c r="N68" s="57" t="b">
        <v>1</v>
      </c>
      <c r="O68" s="58" t="s">
        <v>31</v>
      </c>
      <c r="P68" s="59" t="b">
        <v>1</v>
      </c>
      <c r="Q68" s="78"/>
      <c r="R68" s="60"/>
      <c r="S68" s="47" t="b">
        <v>1</v>
      </c>
      <c r="T68" s="61" t="s">
        <v>1252</v>
      </c>
      <c r="U68" s="54">
        <v>350</v>
      </c>
      <c r="V68" s="54">
        <f t="shared" si="4"/>
        <v>325</v>
      </c>
      <c r="W68" s="49"/>
      <c r="X68" s="49"/>
    </row>
    <row r="69" spans="1:24" ht="15.75" customHeight="1">
      <c r="A69" s="101"/>
      <c r="B69" s="32"/>
      <c r="C69" s="82">
        <v>45363</v>
      </c>
      <c r="D69" s="53" t="s">
        <v>1133</v>
      </c>
      <c r="E69" s="53" t="s">
        <v>1234</v>
      </c>
      <c r="F69" s="53" t="s">
        <v>1235</v>
      </c>
      <c r="G69" s="66" t="s">
        <v>1179</v>
      </c>
      <c r="H69" s="74" t="s">
        <v>30</v>
      </c>
      <c r="I69" s="74">
        <v>100</v>
      </c>
      <c r="J69" s="73">
        <v>6.75</v>
      </c>
      <c r="K69" s="54">
        <f t="shared" si="3"/>
        <v>675</v>
      </c>
      <c r="L69" s="55" t="b">
        <v>1</v>
      </c>
      <c r="M69" s="56">
        <v>120320241433</v>
      </c>
      <c r="N69" s="57" t="b">
        <v>1</v>
      </c>
      <c r="O69" s="58" t="s">
        <v>31</v>
      </c>
      <c r="P69" s="59" t="b">
        <v>1</v>
      </c>
      <c r="Q69" s="78"/>
      <c r="R69" s="60"/>
      <c r="S69" s="47" t="b">
        <v>1</v>
      </c>
      <c r="T69" s="61" t="s">
        <v>1253</v>
      </c>
      <c r="U69" s="54">
        <v>300</v>
      </c>
      <c r="V69" s="54">
        <f t="shared" si="4"/>
        <v>375</v>
      </c>
      <c r="W69" s="49"/>
      <c r="X69" s="49"/>
    </row>
    <row r="70" spans="1:24" ht="15.75" customHeight="1">
      <c r="A70" s="101"/>
      <c r="B70" s="32"/>
      <c r="C70" s="82">
        <v>45363</v>
      </c>
      <c r="D70" s="53" t="s">
        <v>1133</v>
      </c>
      <c r="E70" s="53" t="s">
        <v>1234</v>
      </c>
      <c r="F70" s="53" t="s">
        <v>1235</v>
      </c>
      <c r="G70" s="53" t="s">
        <v>1254</v>
      </c>
      <c r="H70" s="53" t="s">
        <v>30</v>
      </c>
      <c r="I70" s="53">
        <v>1</v>
      </c>
      <c r="J70" s="54">
        <v>675</v>
      </c>
      <c r="K70" s="54">
        <f t="shared" si="3"/>
        <v>675</v>
      </c>
      <c r="L70" s="55" t="b">
        <v>1</v>
      </c>
      <c r="M70" s="56">
        <v>120320241433</v>
      </c>
      <c r="N70" s="57" t="b">
        <v>1</v>
      </c>
      <c r="O70" s="58" t="s">
        <v>31</v>
      </c>
      <c r="P70" s="59" t="b">
        <v>1</v>
      </c>
      <c r="Q70" s="78"/>
      <c r="R70" s="60"/>
      <c r="S70" s="47" t="b">
        <v>1</v>
      </c>
      <c r="T70" s="61" t="s">
        <v>1248</v>
      </c>
      <c r="U70" s="54">
        <f>1*320</f>
        <v>320</v>
      </c>
      <c r="V70" s="54">
        <f t="shared" si="4"/>
        <v>355</v>
      </c>
      <c r="W70" s="49"/>
      <c r="X70" s="49"/>
    </row>
    <row r="71" spans="1:24" ht="15.75" customHeight="1">
      <c r="A71" s="101"/>
      <c r="B71" s="32"/>
      <c r="C71" s="82">
        <v>45364</v>
      </c>
      <c r="D71" s="53" t="s">
        <v>1133</v>
      </c>
      <c r="E71" s="53" t="s">
        <v>1234</v>
      </c>
      <c r="F71" s="53" t="s">
        <v>1255</v>
      </c>
      <c r="G71" s="53" t="s">
        <v>1256</v>
      </c>
      <c r="H71" s="53" t="s">
        <v>30</v>
      </c>
      <c r="I71" s="53">
        <v>3</v>
      </c>
      <c r="J71" s="54">
        <v>835</v>
      </c>
      <c r="K71" s="54">
        <f t="shared" si="3"/>
        <v>2505</v>
      </c>
      <c r="L71" s="55" t="b">
        <v>1</v>
      </c>
      <c r="M71" s="56">
        <v>120320241433</v>
      </c>
      <c r="N71" s="57" t="b">
        <v>1</v>
      </c>
      <c r="O71" s="58"/>
      <c r="P71" s="59" t="b">
        <v>1</v>
      </c>
      <c r="Q71" s="78">
        <v>206080734552</v>
      </c>
      <c r="R71" s="60"/>
      <c r="S71" s="47" t="b">
        <v>1</v>
      </c>
      <c r="T71" s="61" t="s">
        <v>1257</v>
      </c>
      <c r="U71" s="54">
        <f>5*200</f>
        <v>1000</v>
      </c>
      <c r="V71" s="54">
        <f t="shared" si="4"/>
        <v>1505</v>
      </c>
      <c r="W71" s="49"/>
      <c r="X71" s="49"/>
    </row>
    <row r="72" spans="1:24" ht="15.75" customHeight="1">
      <c r="A72" s="101"/>
      <c r="B72" s="32"/>
      <c r="C72" s="52">
        <v>45364</v>
      </c>
      <c r="D72" s="53" t="s">
        <v>904</v>
      </c>
      <c r="E72" s="53">
        <v>41</v>
      </c>
      <c r="F72" s="53" t="s">
        <v>1231</v>
      </c>
      <c r="G72" s="53" t="s">
        <v>650</v>
      </c>
      <c r="H72" s="53" t="s">
        <v>30</v>
      </c>
      <c r="I72" s="53">
        <v>10</v>
      </c>
      <c r="J72" s="54">
        <v>1300</v>
      </c>
      <c r="K72" s="54">
        <f t="shared" si="3"/>
        <v>13000</v>
      </c>
      <c r="L72" s="55" t="b">
        <v>1</v>
      </c>
      <c r="M72" s="56">
        <v>130320241215</v>
      </c>
      <c r="N72" s="57" t="b">
        <v>1</v>
      </c>
      <c r="O72" s="58" t="s">
        <v>31</v>
      </c>
      <c r="P72" s="59" t="b">
        <v>1</v>
      </c>
      <c r="Q72" s="78"/>
      <c r="R72" s="60"/>
      <c r="S72" s="47" t="b">
        <v>1</v>
      </c>
      <c r="T72" s="61" t="s">
        <v>1258</v>
      </c>
      <c r="U72" s="54">
        <f>10*600</f>
        <v>6000</v>
      </c>
      <c r="V72" s="54">
        <f t="shared" si="4"/>
        <v>7000</v>
      </c>
      <c r="W72" s="49"/>
      <c r="X72" s="49"/>
    </row>
    <row r="73" spans="1:24" ht="15.75" customHeight="1">
      <c r="A73" s="101"/>
      <c r="B73" s="32"/>
      <c r="C73" s="52">
        <v>45364</v>
      </c>
      <c r="D73" s="53" t="s">
        <v>904</v>
      </c>
      <c r="E73" s="53">
        <v>41</v>
      </c>
      <c r="F73" s="53" t="s">
        <v>1231</v>
      </c>
      <c r="G73" s="53" t="s">
        <v>300</v>
      </c>
      <c r="H73" s="53" t="s">
        <v>30</v>
      </c>
      <c r="I73" s="53">
        <v>20</v>
      </c>
      <c r="J73" s="54">
        <v>105</v>
      </c>
      <c r="K73" s="54">
        <f t="shared" si="3"/>
        <v>2100</v>
      </c>
      <c r="L73" s="55" t="b">
        <v>1</v>
      </c>
      <c r="M73" s="56">
        <v>130320241308</v>
      </c>
      <c r="N73" s="57" t="b">
        <v>1</v>
      </c>
      <c r="O73" s="58" t="s">
        <v>31</v>
      </c>
      <c r="P73" s="59" t="b">
        <v>1</v>
      </c>
      <c r="Q73" s="78"/>
      <c r="R73" s="60"/>
      <c r="S73" s="47" t="b">
        <v>1</v>
      </c>
      <c r="T73" s="61" t="s">
        <v>1259</v>
      </c>
      <c r="U73" s="54">
        <f>20*32</f>
        <v>640</v>
      </c>
      <c r="V73" s="54">
        <f t="shared" si="4"/>
        <v>1460</v>
      </c>
      <c r="W73" s="49"/>
      <c r="X73" s="49"/>
    </row>
    <row r="74" spans="1:24" ht="15.75" customHeight="1">
      <c r="A74" s="101"/>
      <c r="B74" s="32"/>
      <c r="C74" s="52">
        <v>45364</v>
      </c>
      <c r="D74" s="53" t="s">
        <v>104</v>
      </c>
      <c r="E74" s="53" t="s">
        <v>61</v>
      </c>
      <c r="F74" s="53" t="s">
        <v>181</v>
      </c>
      <c r="G74" s="53" t="s">
        <v>1260</v>
      </c>
      <c r="H74" s="53" t="s">
        <v>30</v>
      </c>
      <c r="I74" s="53">
        <v>20</v>
      </c>
      <c r="J74" s="54">
        <v>105</v>
      </c>
      <c r="K74" s="54">
        <f t="shared" si="3"/>
        <v>2100</v>
      </c>
      <c r="L74" s="55" t="b">
        <v>1</v>
      </c>
      <c r="M74" s="56">
        <v>130320241416</v>
      </c>
      <c r="N74" s="57" t="b">
        <v>1</v>
      </c>
      <c r="O74" s="58" t="s">
        <v>31</v>
      </c>
      <c r="P74" s="59" t="b">
        <v>1</v>
      </c>
      <c r="Q74" s="78"/>
      <c r="R74" s="60"/>
      <c r="S74" s="47" t="b">
        <v>1</v>
      </c>
      <c r="T74" s="61" t="s">
        <v>1261</v>
      </c>
      <c r="U74" s="54">
        <f>20*75</f>
        <v>1500</v>
      </c>
      <c r="V74" s="54">
        <f t="shared" si="4"/>
        <v>600</v>
      </c>
      <c r="W74" s="49"/>
      <c r="X74" s="49"/>
    </row>
    <row r="75" spans="1:24" ht="15.75" customHeight="1">
      <c r="A75" s="101"/>
      <c r="B75" s="32"/>
      <c r="C75" s="52">
        <v>45364</v>
      </c>
      <c r="D75" s="53" t="s">
        <v>104</v>
      </c>
      <c r="E75" s="53" t="s">
        <v>61</v>
      </c>
      <c r="F75" s="53" t="s">
        <v>181</v>
      </c>
      <c r="G75" s="53" t="s">
        <v>1221</v>
      </c>
      <c r="H75" s="53" t="s">
        <v>30</v>
      </c>
      <c r="I75" s="53">
        <v>20</v>
      </c>
      <c r="J75" s="54">
        <v>75</v>
      </c>
      <c r="K75" s="54">
        <f t="shared" si="3"/>
        <v>1500</v>
      </c>
      <c r="L75" s="55" t="b">
        <v>1</v>
      </c>
      <c r="M75" s="56">
        <v>130320241416</v>
      </c>
      <c r="N75" s="57" t="b">
        <v>1</v>
      </c>
      <c r="O75" s="58" t="s">
        <v>31</v>
      </c>
      <c r="P75" s="59" t="b">
        <v>1</v>
      </c>
      <c r="Q75" s="78"/>
      <c r="R75" s="60"/>
      <c r="S75" s="47" t="b">
        <v>1</v>
      </c>
      <c r="T75" s="61" t="s">
        <v>1262</v>
      </c>
      <c r="U75" s="54">
        <v>600</v>
      </c>
      <c r="V75" s="54">
        <f t="shared" si="4"/>
        <v>900</v>
      </c>
      <c r="W75" s="49"/>
      <c r="X75" s="49"/>
    </row>
    <row r="76" spans="1:24" ht="15.75" customHeight="1">
      <c r="A76" s="101"/>
      <c r="B76" s="32"/>
      <c r="C76" s="52">
        <v>45364</v>
      </c>
      <c r="D76" s="53" t="s">
        <v>104</v>
      </c>
      <c r="E76" s="53" t="s">
        <v>486</v>
      </c>
      <c r="F76" s="53" t="s">
        <v>241</v>
      </c>
      <c r="G76" s="53" t="s">
        <v>1263</v>
      </c>
      <c r="H76" s="53" t="s">
        <v>30</v>
      </c>
      <c r="I76" s="53">
        <v>6</v>
      </c>
      <c r="J76" s="54">
        <v>750</v>
      </c>
      <c r="K76" s="54">
        <f t="shared" si="3"/>
        <v>4500</v>
      </c>
      <c r="L76" s="55" t="b">
        <v>1</v>
      </c>
      <c r="M76" s="56">
        <v>130320241448</v>
      </c>
      <c r="N76" s="57" t="b">
        <v>1</v>
      </c>
      <c r="O76" s="58" t="s">
        <v>31</v>
      </c>
      <c r="P76" s="59" t="b">
        <v>1</v>
      </c>
      <c r="Q76" s="78"/>
      <c r="R76" s="60"/>
      <c r="S76" s="47" t="b">
        <v>1</v>
      </c>
      <c r="T76" s="61" t="s">
        <v>1264</v>
      </c>
      <c r="U76" s="54">
        <v>2700</v>
      </c>
      <c r="V76" s="54">
        <f t="shared" si="4"/>
        <v>1800</v>
      </c>
      <c r="W76" s="49"/>
      <c r="X76" s="49"/>
    </row>
    <row r="77" spans="1:24" ht="15.75" customHeight="1">
      <c r="A77" s="101"/>
      <c r="B77" s="32"/>
      <c r="C77" s="52">
        <v>45364</v>
      </c>
      <c r="D77" s="53" t="s">
        <v>104</v>
      </c>
      <c r="E77" s="53" t="s">
        <v>486</v>
      </c>
      <c r="F77" s="53" t="s">
        <v>241</v>
      </c>
      <c r="G77" s="53" t="s">
        <v>321</v>
      </c>
      <c r="H77" s="53" t="s">
        <v>30</v>
      </c>
      <c r="I77" s="53">
        <v>84</v>
      </c>
      <c r="J77" s="54">
        <v>30</v>
      </c>
      <c r="K77" s="54">
        <f t="shared" si="3"/>
        <v>2520</v>
      </c>
      <c r="L77" s="55" t="b">
        <v>1</v>
      </c>
      <c r="M77" s="56">
        <v>130320241454</v>
      </c>
      <c r="N77" s="57" t="b">
        <v>1</v>
      </c>
      <c r="O77" s="58" t="s">
        <v>31</v>
      </c>
      <c r="P77" s="59" t="b">
        <v>1</v>
      </c>
      <c r="Q77" s="78"/>
      <c r="R77" s="60"/>
      <c r="S77" s="47" t="b">
        <v>1</v>
      </c>
      <c r="T77" s="61" t="s">
        <v>1265</v>
      </c>
      <c r="U77" s="54">
        <f>84*21.5</f>
        <v>1806</v>
      </c>
      <c r="V77" s="54">
        <f t="shared" si="4"/>
        <v>714</v>
      </c>
      <c r="W77" s="49"/>
      <c r="X77" s="49"/>
    </row>
    <row r="78" spans="1:24" ht="15.75" customHeight="1">
      <c r="A78" s="101"/>
      <c r="B78" s="32"/>
      <c r="C78" s="52">
        <v>45364</v>
      </c>
      <c r="D78" s="53" t="s">
        <v>904</v>
      </c>
      <c r="E78" s="53">
        <v>41</v>
      </c>
      <c r="F78" s="53" t="s">
        <v>1231</v>
      </c>
      <c r="G78" s="53" t="s">
        <v>1266</v>
      </c>
      <c r="H78" s="53" t="s">
        <v>30</v>
      </c>
      <c r="I78" s="53">
        <v>2</v>
      </c>
      <c r="J78" s="54">
        <v>6600</v>
      </c>
      <c r="K78" s="54">
        <f t="shared" si="3"/>
        <v>13200</v>
      </c>
      <c r="L78" s="55" t="b">
        <v>1</v>
      </c>
      <c r="M78" s="56">
        <v>130320241536</v>
      </c>
      <c r="N78" s="57" t="b">
        <v>1</v>
      </c>
      <c r="O78" s="58" t="s">
        <v>351</v>
      </c>
      <c r="P78" s="59" t="b">
        <v>1</v>
      </c>
      <c r="Q78" s="78"/>
      <c r="R78" s="60"/>
      <c r="S78" s="47" t="b">
        <v>1</v>
      </c>
      <c r="T78" s="61" t="s">
        <v>1258</v>
      </c>
      <c r="U78" s="54">
        <v>5500</v>
      </c>
      <c r="V78" s="54">
        <f t="shared" si="4"/>
        <v>7700</v>
      </c>
      <c r="W78" s="49"/>
      <c r="X78" s="49"/>
    </row>
    <row r="79" spans="1:24" ht="15.75" customHeight="1">
      <c r="A79" s="101"/>
      <c r="B79" s="32"/>
      <c r="C79" s="52">
        <v>45364</v>
      </c>
      <c r="D79" s="53" t="s">
        <v>904</v>
      </c>
      <c r="E79" s="53">
        <v>41</v>
      </c>
      <c r="F79" s="53" t="s">
        <v>1231</v>
      </c>
      <c r="G79" s="53" t="s">
        <v>72</v>
      </c>
      <c r="H79" s="53" t="s">
        <v>30</v>
      </c>
      <c r="I79" s="53">
        <v>1</v>
      </c>
      <c r="J79" s="54">
        <v>2400</v>
      </c>
      <c r="K79" s="54">
        <f t="shared" si="3"/>
        <v>2400</v>
      </c>
      <c r="L79" s="55" t="b">
        <v>1</v>
      </c>
      <c r="M79" s="56">
        <v>130320241536</v>
      </c>
      <c r="N79" s="57" t="b">
        <v>1</v>
      </c>
      <c r="O79" s="58" t="s">
        <v>351</v>
      </c>
      <c r="P79" s="59" t="b">
        <v>1</v>
      </c>
      <c r="Q79" s="78"/>
      <c r="R79" s="60"/>
      <c r="S79" s="47" t="b">
        <v>1</v>
      </c>
      <c r="T79" s="61" t="s">
        <v>1258</v>
      </c>
      <c r="U79" s="54"/>
      <c r="V79" s="54">
        <f t="shared" si="4"/>
        <v>2400</v>
      </c>
      <c r="W79" s="49"/>
      <c r="X79" s="49"/>
    </row>
    <row r="80" spans="1:24" ht="15.75" customHeight="1">
      <c r="A80" s="101"/>
      <c r="B80" s="32"/>
      <c r="C80" s="52">
        <v>45364</v>
      </c>
      <c r="D80" s="53" t="s">
        <v>1133</v>
      </c>
      <c r="E80" s="53" t="s">
        <v>1234</v>
      </c>
      <c r="F80" s="53" t="s">
        <v>1235</v>
      </c>
      <c r="G80" s="53" t="s">
        <v>1267</v>
      </c>
      <c r="H80" s="53" t="s">
        <v>30</v>
      </c>
      <c r="I80" s="53">
        <v>4</v>
      </c>
      <c r="J80" s="54">
        <v>750</v>
      </c>
      <c r="K80" s="54">
        <f t="shared" si="3"/>
        <v>3000</v>
      </c>
      <c r="L80" s="55" t="b">
        <v>1</v>
      </c>
      <c r="M80" s="56">
        <v>130320241628</v>
      </c>
      <c r="N80" s="57" t="b">
        <v>1</v>
      </c>
      <c r="O80" s="58" t="s">
        <v>31</v>
      </c>
      <c r="P80" s="59" t="b">
        <v>1</v>
      </c>
      <c r="Q80" s="78"/>
      <c r="R80" s="60"/>
      <c r="S80" s="47" t="b">
        <v>1</v>
      </c>
      <c r="T80" s="61" t="s">
        <v>1268</v>
      </c>
      <c r="U80" s="54">
        <v>1800</v>
      </c>
      <c r="V80" s="54">
        <f t="shared" si="4"/>
        <v>1200</v>
      </c>
      <c r="W80" s="49"/>
      <c r="X80" s="49"/>
    </row>
    <row r="81" spans="1:24" ht="15.75" customHeight="1">
      <c r="A81" s="101"/>
      <c r="B81" s="32"/>
      <c r="C81" s="82">
        <v>45364</v>
      </c>
      <c r="D81" s="53" t="s">
        <v>104</v>
      </c>
      <c r="E81" s="53" t="s">
        <v>296</v>
      </c>
      <c r="F81" s="53" t="s">
        <v>297</v>
      </c>
      <c r="G81" s="53" t="s">
        <v>49</v>
      </c>
      <c r="H81" s="53" t="s">
        <v>30</v>
      </c>
      <c r="I81" s="53">
        <v>5</v>
      </c>
      <c r="J81" s="54">
        <v>695</v>
      </c>
      <c r="K81" s="54">
        <f t="shared" si="3"/>
        <v>3475</v>
      </c>
      <c r="L81" s="55" t="b">
        <v>1</v>
      </c>
      <c r="M81" s="56">
        <v>130320241631</v>
      </c>
      <c r="N81" s="57" t="b">
        <v>1</v>
      </c>
      <c r="O81" s="58" t="s">
        <v>31</v>
      </c>
      <c r="P81" s="59" t="b">
        <v>1</v>
      </c>
      <c r="Q81" s="78"/>
      <c r="R81" s="60"/>
      <c r="S81" s="47" t="b">
        <v>1</v>
      </c>
      <c r="T81" s="61" t="s">
        <v>1269</v>
      </c>
      <c r="U81" s="54">
        <f>5000*0.46</f>
        <v>2300</v>
      </c>
      <c r="V81" s="54">
        <f t="shared" si="4"/>
        <v>1175</v>
      </c>
      <c r="W81" s="49"/>
      <c r="X81" s="49"/>
    </row>
    <row r="82" spans="1:24" ht="15.75" customHeight="1">
      <c r="A82" s="101"/>
      <c r="B82" s="32"/>
      <c r="C82" s="82">
        <v>45365</v>
      </c>
      <c r="D82" s="53" t="s">
        <v>433</v>
      </c>
      <c r="E82" s="53" t="s">
        <v>1270</v>
      </c>
      <c r="F82" s="53" t="s">
        <v>752</v>
      </c>
      <c r="G82" s="119" t="s">
        <v>650</v>
      </c>
      <c r="H82" s="53" t="s">
        <v>30</v>
      </c>
      <c r="I82" s="53">
        <v>3</v>
      </c>
      <c r="J82" s="54">
        <v>1300</v>
      </c>
      <c r="K82" s="54">
        <f t="shared" si="3"/>
        <v>3900</v>
      </c>
      <c r="L82" s="55" t="b">
        <v>1</v>
      </c>
      <c r="M82" s="56">
        <v>130320241502</v>
      </c>
      <c r="N82" s="57" t="b">
        <v>1</v>
      </c>
      <c r="O82" s="58" t="s">
        <v>31</v>
      </c>
      <c r="P82" s="59" t="b">
        <v>1</v>
      </c>
      <c r="Q82" s="78"/>
      <c r="R82" s="60"/>
      <c r="S82" s="47" t="b">
        <v>1</v>
      </c>
      <c r="T82" s="61" t="s">
        <v>1271</v>
      </c>
      <c r="U82" s="54">
        <f>3*600</f>
        <v>1800</v>
      </c>
      <c r="V82" s="54">
        <f t="shared" si="4"/>
        <v>2100</v>
      </c>
      <c r="W82" s="49"/>
      <c r="X82" s="49"/>
    </row>
    <row r="83" spans="1:24" ht="15.75" customHeight="1">
      <c r="A83" s="101"/>
      <c r="B83" s="32"/>
      <c r="C83" s="82">
        <v>45365</v>
      </c>
      <c r="D83" s="53" t="s">
        <v>433</v>
      </c>
      <c r="E83" s="53" t="s">
        <v>1270</v>
      </c>
      <c r="F83" s="53" t="s">
        <v>752</v>
      </c>
      <c r="G83" s="120" t="s">
        <v>68</v>
      </c>
      <c r="H83" s="53" t="s">
        <v>30</v>
      </c>
      <c r="I83" s="53">
        <v>3000</v>
      </c>
      <c r="J83" s="54">
        <v>0.75</v>
      </c>
      <c r="K83" s="54">
        <f t="shared" si="3"/>
        <v>2250</v>
      </c>
      <c r="L83" s="55" t="b">
        <v>1</v>
      </c>
      <c r="M83" s="56">
        <v>13032024505</v>
      </c>
      <c r="N83" s="57" t="b">
        <v>1</v>
      </c>
      <c r="O83" s="58" t="s">
        <v>31</v>
      </c>
      <c r="P83" s="59" t="b">
        <v>1</v>
      </c>
      <c r="Q83" s="78"/>
      <c r="R83" s="60"/>
      <c r="S83" s="47" t="b">
        <v>1</v>
      </c>
      <c r="T83" s="61" t="s">
        <v>1272</v>
      </c>
      <c r="U83" s="54">
        <f>3000*0.3194</f>
        <v>958.2</v>
      </c>
      <c r="V83" s="54">
        <f t="shared" si="4"/>
        <v>1291.8</v>
      </c>
      <c r="W83" s="49"/>
      <c r="X83" s="49"/>
    </row>
    <row r="84" spans="1:24" ht="15.75" customHeight="1">
      <c r="A84" s="101"/>
      <c r="B84" s="32"/>
      <c r="C84" s="82">
        <v>45365</v>
      </c>
      <c r="D84" s="53" t="s">
        <v>26</v>
      </c>
      <c r="E84" s="53" t="s">
        <v>27</v>
      </c>
      <c r="F84" s="53" t="s">
        <v>1273</v>
      </c>
      <c r="G84" s="53" t="s">
        <v>650</v>
      </c>
      <c r="H84" s="53" t="s">
        <v>30</v>
      </c>
      <c r="I84" s="53">
        <v>3</v>
      </c>
      <c r="J84" s="54">
        <v>1300</v>
      </c>
      <c r="K84" s="54">
        <f t="shared" si="3"/>
        <v>3900</v>
      </c>
      <c r="L84" s="55" t="b">
        <v>1</v>
      </c>
      <c r="M84" s="56">
        <v>130320241529</v>
      </c>
      <c r="N84" s="57" t="b">
        <v>1</v>
      </c>
      <c r="O84" s="58" t="s">
        <v>31</v>
      </c>
      <c r="P84" s="59" t="b">
        <v>1</v>
      </c>
      <c r="Q84" s="78"/>
      <c r="R84" s="60"/>
      <c r="S84" s="47" t="b">
        <v>1</v>
      </c>
      <c r="T84" s="61" t="s">
        <v>1274</v>
      </c>
      <c r="U84" s="54">
        <f>3*600</f>
        <v>1800</v>
      </c>
      <c r="V84" s="54">
        <f t="shared" si="4"/>
        <v>2100</v>
      </c>
      <c r="W84" s="49"/>
      <c r="X84" s="49"/>
    </row>
    <row r="85" spans="1:24" ht="15.75" customHeight="1">
      <c r="A85" s="101"/>
      <c r="B85" s="32"/>
      <c r="C85" s="82">
        <v>45365</v>
      </c>
      <c r="D85" s="53" t="s">
        <v>26</v>
      </c>
      <c r="E85" s="53" t="s">
        <v>27</v>
      </c>
      <c r="F85" s="53" t="s">
        <v>1273</v>
      </c>
      <c r="G85" s="53" t="s">
        <v>1275</v>
      </c>
      <c r="H85" s="53" t="s">
        <v>30</v>
      </c>
      <c r="I85" s="53">
        <v>2</v>
      </c>
      <c r="J85" s="54">
        <v>250</v>
      </c>
      <c r="K85" s="54">
        <f t="shared" si="3"/>
        <v>500</v>
      </c>
      <c r="L85" s="55" t="b">
        <v>1</v>
      </c>
      <c r="M85" s="56">
        <v>130320241529</v>
      </c>
      <c r="N85" s="57" t="b">
        <v>1</v>
      </c>
      <c r="O85" s="58" t="s">
        <v>31</v>
      </c>
      <c r="P85" s="59" t="b">
        <v>1</v>
      </c>
      <c r="Q85" s="78"/>
      <c r="R85" s="60"/>
      <c r="S85" s="47" t="b">
        <v>1</v>
      </c>
      <c r="T85" s="61" t="s">
        <v>1276</v>
      </c>
      <c r="U85" s="54">
        <f>2*150</f>
        <v>300</v>
      </c>
      <c r="V85" s="54">
        <f t="shared" si="4"/>
        <v>200</v>
      </c>
      <c r="W85" s="49"/>
      <c r="X85" s="49"/>
    </row>
    <row r="86" spans="1:24" ht="15.75" customHeight="1">
      <c r="C86" s="82">
        <v>45365</v>
      </c>
      <c r="D86" s="53" t="s">
        <v>26</v>
      </c>
      <c r="E86" s="53" t="s">
        <v>27</v>
      </c>
      <c r="F86" s="53" t="s">
        <v>1273</v>
      </c>
      <c r="G86" s="81" t="s">
        <v>1277</v>
      </c>
      <c r="H86" s="81" t="s">
        <v>30</v>
      </c>
      <c r="I86" s="81">
        <v>150</v>
      </c>
      <c r="J86" s="54">
        <v>8</v>
      </c>
      <c r="K86" s="54">
        <f t="shared" si="3"/>
        <v>1200</v>
      </c>
      <c r="L86" s="55" t="b">
        <v>1</v>
      </c>
      <c r="M86" s="56">
        <v>130320241531</v>
      </c>
      <c r="N86" s="57" t="b">
        <v>1</v>
      </c>
      <c r="O86" s="58" t="s">
        <v>31</v>
      </c>
      <c r="P86" s="59" t="b">
        <v>1</v>
      </c>
      <c r="Q86" s="78"/>
      <c r="R86" s="60"/>
      <c r="S86" s="47" t="b">
        <v>1</v>
      </c>
      <c r="T86" s="61" t="s">
        <v>1278</v>
      </c>
      <c r="U86" s="54">
        <v>600</v>
      </c>
      <c r="V86" s="54">
        <f t="shared" si="4"/>
        <v>600</v>
      </c>
      <c r="W86" s="49"/>
      <c r="X86" s="49"/>
    </row>
    <row r="87" spans="1:24" ht="15.75" customHeight="1">
      <c r="A87" s="101"/>
      <c r="B87" s="32"/>
      <c r="C87" s="82">
        <v>45365</v>
      </c>
      <c r="D87" s="53" t="s">
        <v>438</v>
      </c>
      <c r="E87" s="53" t="s">
        <v>439</v>
      </c>
      <c r="F87" s="53" t="s">
        <v>1279</v>
      </c>
      <c r="G87" s="53" t="s">
        <v>1280</v>
      </c>
      <c r="H87" s="53" t="s">
        <v>30</v>
      </c>
      <c r="I87" s="53">
        <v>9000</v>
      </c>
      <c r="J87" s="54">
        <v>0.75</v>
      </c>
      <c r="K87" s="54">
        <f t="shared" si="3"/>
        <v>6750</v>
      </c>
      <c r="L87" s="55" t="b">
        <v>1</v>
      </c>
      <c r="M87" s="56">
        <v>130320241602</v>
      </c>
      <c r="N87" s="57" t="b">
        <v>1</v>
      </c>
      <c r="O87" s="58" t="s">
        <v>31</v>
      </c>
      <c r="P87" s="59" t="b">
        <v>1</v>
      </c>
      <c r="Q87" s="78"/>
      <c r="R87" s="60"/>
      <c r="S87" s="47" t="b">
        <v>1</v>
      </c>
      <c r="T87" s="61" t="s">
        <v>1281</v>
      </c>
      <c r="U87" s="54">
        <f>9000*0.3194</f>
        <v>2874.6000000000004</v>
      </c>
      <c r="V87" s="54">
        <f t="shared" si="4"/>
        <v>3875.3999999999996</v>
      </c>
      <c r="W87" s="49"/>
      <c r="X87" s="49"/>
    </row>
    <row r="88" spans="1:24" ht="15.75" customHeight="1">
      <c r="A88" s="101"/>
      <c r="B88" s="32"/>
      <c r="C88" s="82">
        <v>45365</v>
      </c>
      <c r="D88" s="53" t="s">
        <v>263</v>
      </c>
      <c r="E88" s="53" t="s">
        <v>248</v>
      </c>
      <c r="F88" s="53" t="s">
        <v>451</v>
      </c>
      <c r="G88" s="81" t="s">
        <v>1168</v>
      </c>
      <c r="H88" s="53" t="s">
        <v>30</v>
      </c>
      <c r="I88" s="83">
        <v>10</v>
      </c>
      <c r="J88" s="54">
        <v>300</v>
      </c>
      <c r="K88" s="54">
        <f t="shared" si="3"/>
        <v>3000</v>
      </c>
      <c r="L88" s="55" t="b">
        <v>1</v>
      </c>
      <c r="M88" s="56">
        <v>140320242038</v>
      </c>
      <c r="N88" s="57" t="b">
        <v>1</v>
      </c>
      <c r="O88" s="58" t="s">
        <v>31</v>
      </c>
      <c r="P88" s="59" t="b">
        <v>1</v>
      </c>
      <c r="Q88" s="78"/>
      <c r="R88" s="60"/>
      <c r="S88" s="47" t="b">
        <v>1</v>
      </c>
      <c r="T88" s="61" t="s">
        <v>1282</v>
      </c>
      <c r="U88" s="54">
        <f>10*120</f>
        <v>1200</v>
      </c>
      <c r="V88" s="54">
        <f t="shared" si="4"/>
        <v>1800</v>
      </c>
      <c r="W88" s="49"/>
      <c r="X88" s="49"/>
    </row>
    <row r="89" spans="1:24" ht="15.75" customHeight="1">
      <c r="A89" s="121"/>
      <c r="B89" s="32"/>
      <c r="C89" s="82">
        <v>45366</v>
      </c>
      <c r="D89" s="53" t="s">
        <v>418</v>
      </c>
      <c r="E89" s="53" t="s">
        <v>230</v>
      </c>
      <c r="F89" s="53" t="s">
        <v>231</v>
      </c>
      <c r="G89" s="53" t="s">
        <v>68</v>
      </c>
      <c r="H89" s="53" t="s">
        <v>30</v>
      </c>
      <c r="I89" s="53">
        <v>3000</v>
      </c>
      <c r="J89" s="54">
        <v>0.75</v>
      </c>
      <c r="K89" s="54">
        <f t="shared" si="3"/>
        <v>2250</v>
      </c>
      <c r="L89" s="55" t="b">
        <v>1</v>
      </c>
      <c r="M89" s="56">
        <v>150320240842</v>
      </c>
      <c r="N89" s="57" t="b">
        <v>1</v>
      </c>
      <c r="O89" s="58" t="s">
        <v>31</v>
      </c>
      <c r="P89" s="59" t="b">
        <v>1</v>
      </c>
      <c r="Q89" s="78"/>
      <c r="R89" s="60"/>
      <c r="S89" s="47" t="b">
        <v>1</v>
      </c>
      <c r="T89" s="61" t="s">
        <v>1283</v>
      </c>
      <c r="U89" s="54">
        <f>3000*0.3194</f>
        <v>958.2</v>
      </c>
      <c r="V89" s="54">
        <f t="shared" si="4"/>
        <v>1291.8</v>
      </c>
      <c r="W89" s="49"/>
      <c r="X89" s="49"/>
    </row>
    <row r="90" spans="1:24" ht="15.75" customHeight="1">
      <c r="A90" s="101"/>
      <c r="B90" s="32"/>
      <c r="C90" s="82">
        <v>45366</v>
      </c>
      <c r="D90" s="53" t="s">
        <v>144</v>
      </c>
      <c r="E90" s="53" t="s">
        <v>980</v>
      </c>
      <c r="F90" s="53" t="s">
        <v>981</v>
      </c>
      <c r="G90" s="53" t="s">
        <v>1284</v>
      </c>
      <c r="H90" s="53" t="s">
        <v>30</v>
      </c>
      <c r="I90" s="53">
        <v>2</v>
      </c>
      <c r="J90" s="54">
        <v>750</v>
      </c>
      <c r="K90" s="54">
        <f>J90*I90</f>
        <v>1500</v>
      </c>
      <c r="L90" s="55" t="b">
        <v>1</v>
      </c>
      <c r="M90" s="56">
        <v>150320241134</v>
      </c>
      <c r="N90" s="57" t="b">
        <v>1</v>
      </c>
      <c r="O90" s="58" t="s">
        <v>31</v>
      </c>
      <c r="P90" s="59" t="b">
        <v>1</v>
      </c>
      <c r="Q90" s="43"/>
      <c r="R90" s="60"/>
      <c r="S90" s="47" t="b">
        <v>1</v>
      </c>
      <c r="T90" s="61" t="s">
        <v>1285</v>
      </c>
      <c r="U90" s="54">
        <v>900</v>
      </c>
      <c r="V90" s="54">
        <f t="shared" si="4"/>
        <v>600</v>
      </c>
      <c r="W90" s="49"/>
      <c r="X90" s="49"/>
    </row>
    <row r="91" spans="1:24" ht="15.75" customHeight="1">
      <c r="A91" s="101"/>
      <c r="B91" s="32"/>
      <c r="C91" s="82">
        <v>45366</v>
      </c>
      <c r="D91" s="53" t="s">
        <v>904</v>
      </c>
      <c r="E91" s="53" t="s">
        <v>56</v>
      </c>
      <c r="F91" s="53" t="s">
        <v>303</v>
      </c>
      <c r="G91" s="53" t="s">
        <v>236</v>
      </c>
      <c r="H91" s="53" t="s">
        <v>30</v>
      </c>
      <c r="I91" s="53">
        <v>6</v>
      </c>
      <c r="J91" s="54">
        <v>140</v>
      </c>
      <c r="K91" s="54">
        <f t="shared" ref="K91:K96" si="5">J91:J92*I91</f>
        <v>840</v>
      </c>
      <c r="L91" s="55" t="b">
        <v>1</v>
      </c>
      <c r="M91" s="56">
        <v>15030241146</v>
      </c>
      <c r="N91" s="57" t="b">
        <v>1</v>
      </c>
      <c r="O91" s="58" t="s">
        <v>31</v>
      </c>
      <c r="P91" s="59" t="b">
        <v>1</v>
      </c>
      <c r="Q91" s="78"/>
      <c r="R91" s="60"/>
      <c r="S91" s="47" t="b">
        <v>1</v>
      </c>
      <c r="T91" s="61" t="s">
        <v>1286</v>
      </c>
      <c r="U91" s="54">
        <f>6*97</f>
        <v>582</v>
      </c>
      <c r="V91" s="54">
        <f t="shared" si="4"/>
        <v>258</v>
      </c>
      <c r="W91" s="49"/>
      <c r="X91" s="49"/>
    </row>
    <row r="92" spans="1:24" ht="15.75" customHeight="1">
      <c r="A92" s="101"/>
      <c r="B92" s="32"/>
      <c r="C92" s="82">
        <v>45366</v>
      </c>
      <c r="D92" s="53" t="s">
        <v>904</v>
      </c>
      <c r="E92" s="53" t="s">
        <v>56</v>
      </c>
      <c r="F92" s="53" t="s">
        <v>303</v>
      </c>
      <c r="G92" s="66" t="s">
        <v>142</v>
      </c>
      <c r="H92" s="66" t="s">
        <v>30</v>
      </c>
      <c r="I92" s="66">
        <v>1500</v>
      </c>
      <c r="J92" s="54">
        <v>1</v>
      </c>
      <c r="K92" s="54">
        <f t="shared" si="5"/>
        <v>1500</v>
      </c>
      <c r="L92" s="55" t="b">
        <v>1</v>
      </c>
      <c r="M92" s="56">
        <v>15030241146</v>
      </c>
      <c r="N92" s="57" t="b">
        <v>1</v>
      </c>
      <c r="O92" s="58" t="s">
        <v>31</v>
      </c>
      <c r="P92" s="59" t="b">
        <v>1</v>
      </c>
      <c r="Q92" s="78"/>
      <c r="R92" s="60"/>
      <c r="S92" s="47" t="b">
        <v>1</v>
      </c>
      <c r="T92" s="61" t="s">
        <v>1286</v>
      </c>
      <c r="U92" s="54">
        <f>1500*0.82</f>
        <v>1230</v>
      </c>
      <c r="V92" s="54">
        <f t="shared" si="4"/>
        <v>270</v>
      </c>
      <c r="W92" s="49"/>
      <c r="X92" s="49"/>
    </row>
    <row r="93" spans="1:24" ht="15.75" customHeight="1">
      <c r="A93" s="101"/>
      <c r="B93" s="32"/>
      <c r="C93" s="82">
        <v>45366</v>
      </c>
      <c r="D93" s="53" t="s">
        <v>60</v>
      </c>
      <c r="E93" s="53" t="s">
        <v>646</v>
      </c>
      <c r="F93" s="53" t="s">
        <v>647</v>
      </c>
      <c r="G93" s="66" t="s">
        <v>1287</v>
      </c>
      <c r="H93" s="66" t="s">
        <v>30</v>
      </c>
      <c r="I93" s="66">
        <v>1</v>
      </c>
      <c r="J93" s="54">
        <v>750</v>
      </c>
      <c r="K93" s="54">
        <f t="shared" si="5"/>
        <v>750</v>
      </c>
      <c r="L93" s="55" t="b">
        <v>1</v>
      </c>
      <c r="M93" s="56">
        <v>150320241151</v>
      </c>
      <c r="N93" s="57" t="b">
        <v>1</v>
      </c>
      <c r="O93" s="58" t="s">
        <v>31</v>
      </c>
      <c r="P93" s="59" t="b">
        <v>1</v>
      </c>
      <c r="Q93" s="78"/>
      <c r="R93" s="60"/>
      <c r="S93" s="47" t="b">
        <v>1</v>
      </c>
      <c r="T93" s="61" t="s">
        <v>1288</v>
      </c>
      <c r="U93" s="54">
        <v>450</v>
      </c>
      <c r="V93" s="54">
        <f t="shared" si="4"/>
        <v>300</v>
      </c>
      <c r="W93" s="49"/>
      <c r="X93" s="49"/>
    </row>
    <row r="94" spans="1:24" ht="15.75" customHeight="1">
      <c r="A94" s="101"/>
      <c r="B94" s="32"/>
      <c r="C94" s="82">
        <v>45366</v>
      </c>
      <c r="D94" s="53" t="s">
        <v>60</v>
      </c>
      <c r="E94" s="53" t="s">
        <v>646</v>
      </c>
      <c r="F94" s="53" t="s">
        <v>647</v>
      </c>
      <c r="G94" s="156" t="s">
        <v>1289</v>
      </c>
      <c r="H94" s="85" t="s">
        <v>30</v>
      </c>
      <c r="I94" s="66">
        <v>3</v>
      </c>
      <c r="J94" s="54">
        <v>1050</v>
      </c>
      <c r="K94" s="54">
        <f t="shared" si="5"/>
        <v>3150</v>
      </c>
      <c r="L94" s="55" t="b">
        <v>1</v>
      </c>
      <c r="M94" s="56">
        <v>150320241158</v>
      </c>
      <c r="N94" s="57" t="b">
        <v>1</v>
      </c>
      <c r="O94" s="58" t="s">
        <v>31</v>
      </c>
      <c r="P94" s="59" t="b">
        <v>1</v>
      </c>
      <c r="Q94" s="78"/>
      <c r="R94" s="60"/>
      <c r="S94" s="47" t="b">
        <v>1</v>
      </c>
      <c r="T94" s="61" t="s">
        <v>1288</v>
      </c>
      <c r="U94" s="54">
        <v>1950</v>
      </c>
      <c r="V94" s="54">
        <f t="shared" si="4"/>
        <v>1200</v>
      </c>
      <c r="W94" s="49"/>
      <c r="X94" s="49"/>
    </row>
    <row r="95" spans="1:24" ht="15.75" customHeight="1">
      <c r="A95" s="101"/>
      <c r="B95" s="32"/>
      <c r="C95" s="82">
        <v>45366</v>
      </c>
      <c r="D95" s="53" t="s">
        <v>51</v>
      </c>
      <c r="E95" s="53" t="s">
        <v>137</v>
      </c>
      <c r="F95" s="53" t="s">
        <v>138</v>
      </c>
      <c r="G95" s="53" t="s">
        <v>650</v>
      </c>
      <c r="H95" s="53" t="s">
        <v>30</v>
      </c>
      <c r="I95" s="53">
        <v>1</v>
      </c>
      <c r="J95" s="54">
        <v>1300</v>
      </c>
      <c r="K95" s="54">
        <f t="shared" si="5"/>
        <v>1300</v>
      </c>
      <c r="L95" s="55" t="b">
        <v>1</v>
      </c>
      <c r="M95" s="56">
        <v>150320241321</v>
      </c>
      <c r="N95" s="57" t="b">
        <v>1</v>
      </c>
      <c r="O95" s="58" t="s">
        <v>31</v>
      </c>
      <c r="P95" s="59" t="b">
        <v>1</v>
      </c>
      <c r="Q95" s="78"/>
      <c r="R95" s="60"/>
      <c r="S95" s="47" t="b">
        <v>1</v>
      </c>
      <c r="T95" s="61" t="s">
        <v>1290</v>
      </c>
      <c r="U95" s="54">
        <f>1*600</f>
        <v>600</v>
      </c>
      <c r="V95" s="54">
        <f t="shared" si="4"/>
        <v>700</v>
      </c>
      <c r="W95" s="49"/>
      <c r="X95" s="49"/>
    </row>
    <row r="96" spans="1:24" ht="15.75" customHeight="1">
      <c r="A96" s="101"/>
      <c r="B96" s="32"/>
      <c r="C96" s="82">
        <v>45366</v>
      </c>
      <c r="D96" s="53" t="s">
        <v>51</v>
      </c>
      <c r="E96" s="53" t="s">
        <v>137</v>
      </c>
      <c r="F96" s="53" t="s">
        <v>138</v>
      </c>
      <c r="G96" s="53" t="s">
        <v>68</v>
      </c>
      <c r="H96" s="53" t="s">
        <v>30</v>
      </c>
      <c r="I96" s="53">
        <v>3000</v>
      </c>
      <c r="J96" s="54">
        <v>0.75</v>
      </c>
      <c r="K96" s="54">
        <f t="shared" si="5"/>
        <v>2250</v>
      </c>
      <c r="L96" s="55" t="b">
        <v>1</v>
      </c>
      <c r="M96" s="56">
        <v>150320241321</v>
      </c>
      <c r="N96" s="57" t="b">
        <v>1</v>
      </c>
      <c r="O96" s="58" t="s">
        <v>31</v>
      </c>
      <c r="P96" s="59" t="b">
        <v>1</v>
      </c>
      <c r="Q96" s="78"/>
      <c r="R96" s="60"/>
      <c r="S96" s="47" t="b">
        <v>1</v>
      </c>
      <c r="T96" s="61" t="s">
        <v>1291</v>
      </c>
      <c r="U96" s="54">
        <f>3000*0.3194</f>
        <v>958.2</v>
      </c>
      <c r="V96" s="54">
        <f t="shared" si="4"/>
        <v>1291.8</v>
      </c>
      <c r="W96" s="49"/>
      <c r="X96" s="49"/>
    </row>
    <row r="97" spans="1:24" ht="15.75" customHeight="1">
      <c r="A97" s="101"/>
      <c r="B97" s="32"/>
      <c r="C97" s="82">
        <v>45366</v>
      </c>
      <c r="D97" s="53" t="s">
        <v>51</v>
      </c>
      <c r="E97" s="53" t="s">
        <v>89</v>
      </c>
      <c r="F97" s="53" t="s">
        <v>178</v>
      </c>
      <c r="G97" s="53" t="s">
        <v>1292</v>
      </c>
      <c r="H97" s="53" t="s">
        <v>30</v>
      </c>
      <c r="I97" s="53">
        <v>10</v>
      </c>
      <c r="J97" s="54">
        <v>305</v>
      </c>
      <c r="K97" s="54">
        <f>J97*I97</f>
        <v>3050</v>
      </c>
      <c r="L97" s="55" t="b">
        <v>1</v>
      </c>
      <c r="M97" s="56">
        <v>150320241347</v>
      </c>
      <c r="N97" s="57" t="b">
        <v>1</v>
      </c>
      <c r="O97" s="58" t="s">
        <v>31</v>
      </c>
      <c r="P97" s="59" t="b">
        <v>1</v>
      </c>
      <c r="Q97" s="78"/>
      <c r="R97" s="60"/>
      <c r="S97" s="47" t="b">
        <v>1</v>
      </c>
      <c r="T97" s="61" t="s">
        <v>1293</v>
      </c>
      <c r="U97" s="54">
        <f>10*171</f>
        <v>1710</v>
      </c>
      <c r="V97" s="54">
        <f t="shared" si="4"/>
        <v>1340</v>
      </c>
      <c r="W97" s="49"/>
      <c r="X97" s="49"/>
    </row>
    <row r="98" spans="1:24" ht="15.75" customHeight="1">
      <c r="A98" s="101"/>
      <c r="B98" s="32"/>
      <c r="C98" s="82">
        <v>45427</v>
      </c>
      <c r="D98" s="53" t="s">
        <v>51</v>
      </c>
      <c r="E98" s="53" t="s">
        <v>201</v>
      </c>
      <c r="F98" s="53" t="s">
        <v>202</v>
      </c>
      <c r="G98" s="53" t="s">
        <v>142</v>
      </c>
      <c r="H98" s="53" t="s">
        <v>30</v>
      </c>
      <c r="I98" s="53">
        <v>3000</v>
      </c>
      <c r="J98" s="54">
        <v>1</v>
      </c>
      <c r="K98" s="54">
        <f t="shared" ref="K98:K99" si="6">J98:J99*I98</f>
        <v>3000</v>
      </c>
      <c r="L98" s="55" t="b">
        <v>1</v>
      </c>
      <c r="M98" s="56">
        <v>150320241457</v>
      </c>
      <c r="N98" s="57" t="b">
        <v>1</v>
      </c>
      <c r="O98" s="58" t="s">
        <v>31</v>
      </c>
      <c r="P98" s="59" t="b">
        <v>1</v>
      </c>
      <c r="Q98" s="78"/>
      <c r="R98" s="60"/>
      <c r="S98" s="47" t="b">
        <v>1</v>
      </c>
      <c r="T98" s="61" t="s">
        <v>1294</v>
      </c>
      <c r="U98" s="54">
        <f>3000*0.82</f>
        <v>2460</v>
      </c>
      <c r="V98" s="54">
        <f t="shared" si="4"/>
        <v>540</v>
      </c>
      <c r="W98" s="49"/>
      <c r="X98" s="49"/>
    </row>
    <row r="99" spans="1:24" ht="15.75" customHeight="1">
      <c r="A99" s="101"/>
      <c r="B99" s="32"/>
      <c r="C99" s="82">
        <v>45366</v>
      </c>
      <c r="D99" s="53" t="s">
        <v>194</v>
      </c>
      <c r="E99" s="53" t="s">
        <v>137</v>
      </c>
      <c r="F99" s="53" t="s">
        <v>1295</v>
      </c>
      <c r="G99" s="66" t="s">
        <v>1296</v>
      </c>
      <c r="H99" s="53" t="s">
        <v>30</v>
      </c>
      <c r="I99" s="53">
        <v>5</v>
      </c>
      <c r="J99" s="54">
        <v>750</v>
      </c>
      <c r="K99" s="54">
        <f t="shared" si="6"/>
        <v>3750</v>
      </c>
      <c r="L99" s="55" t="b">
        <v>1</v>
      </c>
      <c r="M99" s="56">
        <v>150320241805</v>
      </c>
      <c r="N99" s="57" t="b">
        <v>1</v>
      </c>
      <c r="O99" s="58"/>
      <c r="P99" s="59" t="b">
        <v>1</v>
      </c>
      <c r="Q99" s="78"/>
      <c r="R99" s="60"/>
      <c r="S99" s="47" t="b">
        <v>1</v>
      </c>
      <c r="T99" s="61" t="s">
        <v>1297</v>
      </c>
      <c r="U99" s="54">
        <v>2250</v>
      </c>
      <c r="V99" s="54">
        <f t="shared" si="4"/>
        <v>1500</v>
      </c>
      <c r="W99" s="49"/>
      <c r="X99" s="49"/>
    </row>
    <row r="100" spans="1:24" ht="15.75" customHeight="1">
      <c r="A100" s="101"/>
      <c r="B100" s="32"/>
      <c r="C100" s="82">
        <v>45367</v>
      </c>
      <c r="D100" s="53" t="s">
        <v>904</v>
      </c>
      <c r="E100" s="53">
        <v>41</v>
      </c>
      <c r="F100" s="53" t="s">
        <v>166</v>
      </c>
      <c r="G100" s="53" t="s">
        <v>1298</v>
      </c>
      <c r="H100" s="53" t="s">
        <v>30</v>
      </c>
      <c r="I100" s="53">
        <v>1</v>
      </c>
      <c r="J100" s="54">
        <v>11400</v>
      </c>
      <c r="K100" s="54">
        <f>J100:J102*I100</f>
        <v>11400</v>
      </c>
      <c r="L100" s="55" t="b">
        <v>1</v>
      </c>
      <c r="M100" s="56">
        <v>160320242013</v>
      </c>
      <c r="N100" s="57" t="b">
        <v>1</v>
      </c>
      <c r="O100" s="58"/>
      <c r="P100" s="59" t="b">
        <v>1</v>
      </c>
      <c r="Q100" s="78"/>
      <c r="R100" s="60"/>
      <c r="S100" s="47" t="b">
        <v>1</v>
      </c>
      <c r="T100" s="61" t="s">
        <v>1299</v>
      </c>
      <c r="U100" s="54">
        <v>5400</v>
      </c>
      <c r="V100" s="54">
        <f t="shared" si="4"/>
        <v>6000</v>
      </c>
      <c r="W100" s="49"/>
      <c r="X100" s="49"/>
    </row>
    <row r="101" spans="1:24" ht="15.75" customHeight="1">
      <c r="A101" s="101"/>
      <c r="B101" s="32"/>
      <c r="C101" s="82">
        <v>45367</v>
      </c>
      <c r="D101" s="53" t="s">
        <v>904</v>
      </c>
      <c r="E101" s="53">
        <v>41</v>
      </c>
      <c r="F101" s="53" t="s">
        <v>166</v>
      </c>
      <c r="G101" s="53" t="s">
        <v>72</v>
      </c>
      <c r="H101" s="53" t="s">
        <v>30</v>
      </c>
      <c r="I101" s="53">
        <v>1</v>
      </c>
      <c r="J101" s="54">
        <v>2500</v>
      </c>
      <c r="K101" s="54">
        <v>2500</v>
      </c>
      <c r="L101" s="55" t="b">
        <v>1</v>
      </c>
      <c r="M101" s="56"/>
      <c r="N101" s="57" t="b">
        <v>1</v>
      </c>
      <c r="O101" s="58"/>
      <c r="P101" s="59" t="b">
        <v>1</v>
      </c>
      <c r="Q101" s="78"/>
      <c r="R101" s="60"/>
      <c r="S101" s="47" t="b">
        <v>1</v>
      </c>
      <c r="T101" s="61" t="s">
        <v>1299</v>
      </c>
      <c r="U101" s="54"/>
      <c r="V101" s="54"/>
      <c r="W101" s="49"/>
      <c r="X101" s="49"/>
    </row>
    <row r="102" spans="1:24" ht="15.75" customHeight="1">
      <c r="A102" s="101"/>
      <c r="B102" s="32"/>
      <c r="C102" s="82">
        <v>45367</v>
      </c>
      <c r="D102" s="53" t="s">
        <v>1300</v>
      </c>
      <c r="E102" s="53" t="s">
        <v>94</v>
      </c>
      <c r="F102" s="53" t="s">
        <v>95</v>
      </c>
      <c r="G102" s="53" t="s">
        <v>1301</v>
      </c>
      <c r="H102" s="53" t="s">
        <v>30</v>
      </c>
      <c r="I102" s="53">
        <v>1</v>
      </c>
      <c r="J102" s="54">
        <v>3750</v>
      </c>
      <c r="K102" s="54">
        <f t="shared" ref="K102:K105" si="7">J102:J103*I102</f>
        <v>3750</v>
      </c>
      <c r="L102" s="55" t="b">
        <v>1</v>
      </c>
      <c r="M102" s="56">
        <v>160320242015</v>
      </c>
      <c r="N102" s="57" t="b">
        <v>1</v>
      </c>
      <c r="O102" s="58" t="s">
        <v>31</v>
      </c>
      <c r="P102" s="59" t="b">
        <v>1</v>
      </c>
      <c r="Q102" s="78"/>
      <c r="R102" s="60"/>
      <c r="S102" s="47" t="b">
        <v>1</v>
      </c>
      <c r="T102" s="61" t="s">
        <v>1302</v>
      </c>
      <c r="U102" s="54">
        <v>2200</v>
      </c>
      <c r="V102" s="54">
        <f t="shared" ref="V102:V137" si="8">K102-U102</f>
        <v>1550</v>
      </c>
      <c r="W102" s="49"/>
      <c r="X102" s="49"/>
    </row>
    <row r="103" spans="1:24" ht="15.75" customHeight="1">
      <c r="A103" s="101"/>
      <c r="B103" s="32"/>
      <c r="C103" s="82">
        <v>45367</v>
      </c>
      <c r="D103" s="53" t="s">
        <v>1300</v>
      </c>
      <c r="E103" s="53" t="s">
        <v>94</v>
      </c>
      <c r="F103" s="53" t="s">
        <v>95</v>
      </c>
      <c r="G103" s="53" t="s">
        <v>1303</v>
      </c>
      <c r="H103" s="53" t="s">
        <v>30</v>
      </c>
      <c r="I103" s="53">
        <v>10</v>
      </c>
      <c r="J103" s="54">
        <v>105</v>
      </c>
      <c r="K103" s="54">
        <f t="shared" si="7"/>
        <v>1050</v>
      </c>
      <c r="L103" s="55" t="b">
        <v>1</v>
      </c>
      <c r="M103" s="56">
        <v>160320242016</v>
      </c>
      <c r="N103" s="57" t="b">
        <v>1</v>
      </c>
      <c r="O103" s="58" t="s">
        <v>31</v>
      </c>
      <c r="P103" s="59" t="b">
        <v>1</v>
      </c>
      <c r="Q103" s="78"/>
      <c r="R103" s="60"/>
      <c r="S103" s="47" t="b">
        <v>1</v>
      </c>
      <c r="T103" s="61" t="s">
        <v>1304</v>
      </c>
      <c r="U103" s="54">
        <f>10*75</f>
        <v>750</v>
      </c>
      <c r="V103" s="54">
        <f t="shared" si="8"/>
        <v>300</v>
      </c>
      <c r="W103" s="49"/>
      <c r="X103" s="49"/>
    </row>
    <row r="104" spans="1:24" ht="15.75" customHeight="1">
      <c r="A104" s="101"/>
      <c r="B104" s="32"/>
      <c r="C104" s="82">
        <v>45367</v>
      </c>
      <c r="D104" s="53" t="s">
        <v>418</v>
      </c>
      <c r="E104" s="53" t="s">
        <v>565</v>
      </c>
      <c r="F104" s="53" t="s">
        <v>43</v>
      </c>
      <c r="G104" s="53" t="s">
        <v>1305</v>
      </c>
      <c r="H104" s="53" t="s">
        <v>30</v>
      </c>
      <c r="I104" s="53">
        <v>3</v>
      </c>
      <c r="J104" s="54">
        <v>300</v>
      </c>
      <c r="K104" s="54">
        <f t="shared" si="7"/>
        <v>900</v>
      </c>
      <c r="L104" s="55" t="b">
        <v>1</v>
      </c>
      <c r="M104" s="56">
        <v>160320242019</v>
      </c>
      <c r="N104" s="57" t="b">
        <v>1</v>
      </c>
      <c r="O104" s="58" t="s">
        <v>31</v>
      </c>
      <c r="P104" s="59" t="b">
        <v>1</v>
      </c>
      <c r="Q104" s="78"/>
      <c r="R104" s="60"/>
      <c r="S104" s="47" t="b">
        <v>1</v>
      </c>
      <c r="T104" s="61" t="s">
        <v>1306</v>
      </c>
      <c r="U104" s="54">
        <f>3*150</f>
        <v>450</v>
      </c>
      <c r="V104" s="54">
        <f t="shared" si="8"/>
        <v>450</v>
      </c>
      <c r="W104" s="49"/>
      <c r="X104" s="49"/>
    </row>
    <row r="105" spans="1:24" ht="15.75" customHeight="1">
      <c r="A105" s="101"/>
      <c r="B105" s="32"/>
      <c r="C105" s="82">
        <v>45367</v>
      </c>
      <c r="D105" s="53" t="s">
        <v>418</v>
      </c>
      <c r="E105" s="53" t="s">
        <v>565</v>
      </c>
      <c r="F105" s="53" t="s">
        <v>43</v>
      </c>
      <c r="G105" s="53" t="s">
        <v>1307</v>
      </c>
      <c r="H105" s="53" t="s">
        <v>30</v>
      </c>
      <c r="I105" s="53">
        <v>1</v>
      </c>
      <c r="J105" s="54">
        <v>300</v>
      </c>
      <c r="K105" s="54">
        <f t="shared" si="7"/>
        <v>300</v>
      </c>
      <c r="L105" s="55" t="b">
        <v>1</v>
      </c>
      <c r="M105" s="56">
        <v>160320242019</v>
      </c>
      <c r="N105" s="57" t="b">
        <v>1</v>
      </c>
      <c r="O105" s="58" t="s">
        <v>31</v>
      </c>
      <c r="P105" s="59" t="b">
        <v>1</v>
      </c>
      <c r="Q105" s="78"/>
      <c r="R105" s="60"/>
      <c r="S105" s="47" t="b">
        <v>1</v>
      </c>
      <c r="T105" s="61" t="s">
        <v>1306</v>
      </c>
      <c r="U105" s="54">
        <v>150</v>
      </c>
      <c r="V105" s="54">
        <f t="shared" si="8"/>
        <v>150</v>
      </c>
      <c r="W105" s="49"/>
      <c r="X105" s="49"/>
    </row>
    <row r="106" spans="1:24" ht="15.75" customHeight="1">
      <c r="A106" s="101"/>
      <c r="B106" s="32"/>
      <c r="C106" s="82">
        <v>45367</v>
      </c>
      <c r="D106" s="53" t="s">
        <v>26</v>
      </c>
      <c r="E106" s="53" t="s">
        <v>386</v>
      </c>
      <c r="F106" s="53" t="s">
        <v>733</v>
      </c>
      <c r="G106" s="53" t="s">
        <v>1308</v>
      </c>
      <c r="H106" s="53" t="s">
        <v>30</v>
      </c>
      <c r="I106" s="53">
        <v>3</v>
      </c>
      <c r="J106" s="54">
        <v>250</v>
      </c>
      <c r="K106" s="54">
        <f>J106*I106</f>
        <v>750</v>
      </c>
      <c r="L106" s="55" t="b">
        <v>1</v>
      </c>
      <c r="M106" s="56"/>
      <c r="N106" s="57" t="b">
        <v>1</v>
      </c>
      <c r="O106" s="58" t="s">
        <v>31</v>
      </c>
      <c r="P106" s="59" t="b">
        <v>1</v>
      </c>
      <c r="Q106" s="78"/>
      <c r="R106" s="60"/>
      <c r="S106" s="47" t="b">
        <v>1</v>
      </c>
      <c r="T106" s="61" t="s">
        <v>1309</v>
      </c>
      <c r="U106" s="54">
        <f>3*150</f>
        <v>450</v>
      </c>
      <c r="V106" s="54">
        <f t="shared" si="8"/>
        <v>300</v>
      </c>
      <c r="W106" s="49"/>
      <c r="X106" s="49"/>
    </row>
    <row r="107" spans="1:24" ht="15.75" customHeight="1">
      <c r="A107" s="101"/>
      <c r="B107" s="32"/>
      <c r="C107" s="82">
        <v>45369</v>
      </c>
      <c r="D107" s="53" t="s">
        <v>26</v>
      </c>
      <c r="E107" s="53" t="s">
        <v>36</v>
      </c>
      <c r="F107" s="53" t="s">
        <v>715</v>
      </c>
      <c r="G107" s="120" t="s">
        <v>1174</v>
      </c>
      <c r="H107" s="53" t="s">
        <v>30</v>
      </c>
      <c r="I107" s="53">
        <v>10</v>
      </c>
      <c r="J107" s="54">
        <v>450</v>
      </c>
      <c r="K107" s="54">
        <f>J107:J108*I107</f>
        <v>4500</v>
      </c>
      <c r="L107" s="55" t="b">
        <v>1</v>
      </c>
      <c r="M107" s="56">
        <v>180320241102</v>
      </c>
      <c r="N107" s="57" t="b">
        <v>1</v>
      </c>
      <c r="O107" s="58"/>
      <c r="P107" s="59" t="b">
        <v>1</v>
      </c>
      <c r="Q107" s="43"/>
      <c r="R107" s="60"/>
      <c r="S107" s="47" t="b">
        <v>1</v>
      </c>
      <c r="T107" s="61" t="s">
        <v>1310</v>
      </c>
      <c r="U107" s="54">
        <v>2800</v>
      </c>
      <c r="V107" s="54">
        <f t="shared" si="8"/>
        <v>1700</v>
      </c>
      <c r="W107" s="49"/>
      <c r="X107" s="49"/>
    </row>
    <row r="108" spans="1:24" ht="15.75" customHeight="1">
      <c r="A108" s="101"/>
      <c r="B108" s="32"/>
      <c r="C108" s="82">
        <v>45369</v>
      </c>
      <c r="D108" s="53" t="s">
        <v>51</v>
      </c>
      <c r="E108" s="53" t="s">
        <v>475</v>
      </c>
      <c r="F108" s="53" t="s">
        <v>168</v>
      </c>
      <c r="G108" s="53" t="s">
        <v>1311</v>
      </c>
      <c r="H108" s="53" t="s">
        <v>30</v>
      </c>
      <c r="I108" s="53">
        <v>1</v>
      </c>
      <c r="J108" s="54">
        <v>650</v>
      </c>
      <c r="K108" s="54">
        <f>J108*I108</f>
        <v>650</v>
      </c>
      <c r="L108" s="55" t="b">
        <v>1</v>
      </c>
      <c r="M108" s="56">
        <v>180320241106</v>
      </c>
      <c r="N108" s="57" t="b">
        <v>1</v>
      </c>
      <c r="O108" s="58"/>
      <c r="P108" s="59" t="b">
        <v>1</v>
      </c>
      <c r="Q108" s="78"/>
      <c r="R108" s="60"/>
      <c r="S108" s="47" t="b">
        <v>1</v>
      </c>
      <c r="T108" s="61" t="s">
        <v>1312</v>
      </c>
      <c r="U108" s="54">
        <f>1000*0.32</f>
        <v>320</v>
      </c>
      <c r="V108" s="54">
        <f t="shared" si="8"/>
        <v>330</v>
      </c>
      <c r="W108" s="49"/>
      <c r="X108" s="49"/>
    </row>
    <row r="109" spans="1:24" ht="15.75" customHeight="1">
      <c r="A109" s="101"/>
      <c r="B109" s="32"/>
      <c r="C109" s="82">
        <v>45369</v>
      </c>
      <c r="D109" s="53" t="s">
        <v>104</v>
      </c>
      <c r="E109" s="53" t="s">
        <v>516</v>
      </c>
      <c r="F109" s="53" t="s">
        <v>517</v>
      </c>
      <c r="G109" s="80" t="s">
        <v>746</v>
      </c>
      <c r="H109" s="53" t="s">
        <v>30</v>
      </c>
      <c r="I109" s="53">
        <v>10</v>
      </c>
      <c r="J109" s="54">
        <v>745</v>
      </c>
      <c r="K109" s="54">
        <f t="shared" ref="K109:K128" si="9">J109:J110*I109</f>
        <v>7450</v>
      </c>
      <c r="L109" s="55" t="b">
        <v>1</v>
      </c>
      <c r="M109" s="56">
        <v>180320241126</v>
      </c>
      <c r="N109" s="57" t="b">
        <v>1</v>
      </c>
      <c r="O109" s="58"/>
      <c r="P109" s="59" t="b">
        <v>1</v>
      </c>
      <c r="Q109" s="43"/>
      <c r="R109" s="60"/>
      <c r="S109" s="47" t="b">
        <v>1</v>
      </c>
      <c r="T109" s="61" t="s">
        <v>1313</v>
      </c>
      <c r="U109" s="54"/>
      <c r="V109" s="54">
        <f t="shared" si="8"/>
        <v>7450</v>
      </c>
      <c r="W109" s="49"/>
      <c r="X109" s="49"/>
    </row>
    <row r="110" spans="1:24" ht="15.75" customHeight="1">
      <c r="A110" s="101"/>
      <c r="B110" s="32"/>
      <c r="C110" s="82">
        <v>45369</v>
      </c>
      <c r="D110" s="53" t="s">
        <v>104</v>
      </c>
      <c r="E110" s="53" t="s">
        <v>342</v>
      </c>
      <c r="F110" s="53" t="s">
        <v>1314</v>
      </c>
      <c r="G110" s="80" t="s">
        <v>1315</v>
      </c>
      <c r="H110" s="53" t="s">
        <v>30</v>
      </c>
      <c r="I110" s="53">
        <v>1</v>
      </c>
      <c r="J110" s="54">
        <v>3000</v>
      </c>
      <c r="K110" s="54">
        <f t="shared" si="9"/>
        <v>3000</v>
      </c>
      <c r="L110" s="55" t="b">
        <v>1</v>
      </c>
      <c r="M110" s="56">
        <v>180320241257</v>
      </c>
      <c r="N110" s="57" t="b">
        <v>1</v>
      </c>
      <c r="O110" s="58" t="s">
        <v>31</v>
      </c>
      <c r="P110" s="59" t="b">
        <v>1</v>
      </c>
      <c r="Q110" s="78"/>
      <c r="R110" s="60"/>
      <c r="S110" s="47" t="b">
        <v>1</v>
      </c>
      <c r="T110" s="61" t="s">
        <v>1316</v>
      </c>
      <c r="U110" s="54">
        <f>1*1400</f>
        <v>1400</v>
      </c>
      <c r="V110" s="54">
        <f t="shared" si="8"/>
        <v>1600</v>
      </c>
      <c r="W110" s="49"/>
      <c r="X110" s="49"/>
    </row>
    <row r="111" spans="1:24" ht="15.75" customHeight="1">
      <c r="A111" s="101"/>
      <c r="B111" s="32"/>
      <c r="C111" s="82">
        <v>45369</v>
      </c>
      <c r="D111" s="53" t="s">
        <v>463</v>
      </c>
      <c r="E111" s="53" t="s">
        <v>463</v>
      </c>
      <c r="F111" s="53" t="s">
        <v>579</v>
      </c>
      <c r="G111" s="80" t="s">
        <v>1317</v>
      </c>
      <c r="H111" s="53" t="s">
        <v>30</v>
      </c>
      <c r="I111" s="53">
        <v>8</v>
      </c>
      <c r="J111" s="54">
        <v>525</v>
      </c>
      <c r="K111" s="54">
        <f t="shared" si="9"/>
        <v>4200</v>
      </c>
      <c r="L111" s="55" t="b">
        <v>1</v>
      </c>
      <c r="M111" s="56">
        <v>180320241514</v>
      </c>
      <c r="N111" s="57" t="b">
        <v>1</v>
      </c>
      <c r="O111" s="58" t="s">
        <v>31</v>
      </c>
      <c r="P111" s="59" t="b">
        <v>1</v>
      </c>
      <c r="Q111" s="78"/>
      <c r="R111" s="60"/>
      <c r="S111" s="47" t="b">
        <v>1</v>
      </c>
      <c r="T111" s="61" t="s">
        <v>1318</v>
      </c>
      <c r="U111" s="54">
        <v>2600</v>
      </c>
      <c r="V111" s="54">
        <f t="shared" si="8"/>
        <v>1600</v>
      </c>
      <c r="W111" s="49"/>
      <c r="X111" s="49"/>
    </row>
    <row r="112" spans="1:24" ht="15.75" customHeight="1">
      <c r="A112" s="101"/>
      <c r="B112" s="32"/>
      <c r="C112" s="82">
        <v>45369</v>
      </c>
      <c r="D112" s="53" t="s">
        <v>51</v>
      </c>
      <c r="E112" s="53" t="s">
        <v>475</v>
      </c>
      <c r="F112" s="53" t="s">
        <v>168</v>
      </c>
      <c r="G112" s="53" t="s">
        <v>1319</v>
      </c>
      <c r="H112" s="53" t="s">
        <v>30</v>
      </c>
      <c r="I112" s="53">
        <v>2</v>
      </c>
      <c r="J112" s="54">
        <v>550</v>
      </c>
      <c r="K112" s="54">
        <f t="shared" si="9"/>
        <v>1100</v>
      </c>
      <c r="L112" s="55" t="b">
        <v>1</v>
      </c>
      <c r="M112" s="56">
        <v>180320241822</v>
      </c>
      <c r="N112" s="57" t="b">
        <v>1</v>
      </c>
      <c r="O112" s="58" t="s">
        <v>39</v>
      </c>
      <c r="P112" s="59" t="b">
        <v>1</v>
      </c>
      <c r="Q112" s="78"/>
      <c r="R112" s="60"/>
      <c r="S112" s="47" t="b">
        <v>1</v>
      </c>
      <c r="T112" s="61" t="s">
        <v>1320</v>
      </c>
      <c r="U112" s="54">
        <f>2*302</f>
        <v>604</v>
      </c>
      <c r="V112" s="54">
        <f t="shared" si="8"/>
        <v>496</v>
      </c>
      <c r="W112" s="49"/>
      <c r="X112" s="49"/>
    </row>
    <row r="113" spans="1:24" ht="15.75" customHeight="1">
      <c r="A113" s="101"/>
      <c r="B113" s="32"/>
      <c r="C113" s="82">
        <v>45369</v>
      </c>
      <c r="D113" s="53" t="s">
        <v>171</v>
      </c>
      <c r="E113" s="53" t="s">
        <v>137</v>
      </c>
      <c r="F113" s="53" t="s">
        <v>172</v>
      </c>
      <c r="G113" s="80" t="s">
        <v>1321</v>
      </c>
      <c r="H113" s="53" t="s">
        <v>30</v>
      </c>
      <c r="I113" s="53">
        <v>3</v>
      </c>
      <c r="J113" s="54">
        <v>585</v>
      </c>
      <c r="K113" s="54">
        <f t="shared" si="9"/>
        <v>1755</v>
      </c>
      <c r="L113" s="55" t="b">
        <v>1</v>
      </c>
      <c r="M113" s="56">
        <v>180320241823</v>
      </c>
      <c r="N113" s="57" t="b">
        <v>1</v>
      </c>
      <c r="O113" s="58" t="s">
        <v>31</v>
      </c>
      <c r="P113" s="59" t="b">
        <v>1</v>
      </c>
      <c r="Q113" s="78"/>
      <c r="R113" s="60"/>
      <c r="S113" s="47" t="b">
        <v>1</v>
      </c>
      <c r="T113" s="61" t="s">
        <v>1322</v>
      </c>
      <c r="U113" s="54">
        <f>3*325</f>
        <v>975</v>
      </c>
      <c r="V113" s="54">
        <f t="shared" si="8"/>
        <v>780</v>
      </c>
      <c r="W113" s="49"/>
      <c r="X113" s="49"/>
    </row>
    <row r="114" spans="1:24" ht="15.75" customHeight="1">
      <c r="A114" s="101"/>
      <c r="B114" s="32"/>
      <c r="C114" s="82">
        <v>45369</v>
      </c>
      <c r="D114" s="53" t="s">
        <v>104</v>
      </c>
      <c r="E114" s="53" t="s">
        <v>296</v>
      </c>
      <c r="F114" s="53" t="s">
        <v>297</v>
      </c>
      <c r="G114" s="53" t="s">
        <v>103</v>
      </c>
      <c r="H114" s="53" t="s">
        <v>30</v>
      </c>
      <c r="I114" s="53">
        <v>15</v>
      </c>
      <c r="J114" s="54">
        <v>180</v>
      </c>
      <c r="K114" s="54">
        <f t="shared" si="9"/>
        <v>2700</v>
      </c>
      <c r="L114" s="55" t="b">
        <v>1</v>
      </c>
      <c r="M114" s="56">
        <v>180320241909</v>
      </c>
      <c r="N114" s="57" t="b">
        <v>1</v>
      </c>
      <c r="O114" s="58" t="s">
        <v>31</v>
      </c>
      <c r="P114" s="59" t="b">
        <v>1</v>
      </c>
      <c r="Q114" s="43"/>
      <c r="R114" s="60"/>
      <c r="S114" s="47" t="b">
        <v>1</v>
      </c>
      <c r="T114" s="61" t="s">
        <v>1323</v>
      </c>
      <c r="U114" s="54">
        <f>15*70</f>
        <v>1050</v>
      </c>
      <c r="V114" s="54">
        <f t="shared" si="8"/>
        <v>1650</v>
      </c>
      <c r="W114" s="49"/>
      <c r="X114" s="49"/>
    </row>
    <row r="115" spans="1:24" ht="15.75" customHeight="1">
      <c r="A115" s="101"/>
      <c r="B115" s="32"/>
      <c r="C115" s="82">
        <v>45370</v>
      </c>
      <c r="D115" s="53" t="s">
        <v>171</v>
      </c>
      <c r="E115" s="53" t="s">
        <v>137</v>
      </c>
      <c r="F115" s="53" t="s">
        <v>681</v>
      </c>
      <c r="G115" s="53" t="s">
        <v>1324</v>
      </c>
      <c r="H115" s="53" t="s">
        <v>30</v>
      </c>
      <c r="I115" s="53">
        <v>11</v>
      </c>
      <c r="J115" s="54">
        <v>720</v>
      </c>
      <c r="K115" s="54">
        <f t="shared" si="9"/>
        <v>7920</v>
      </c>
      <c r="L115" s="55" t="b">
        <v>1</v>
      </c>
      <c r="M115" s="56">
        <v>190320240916</v>
      </c>
      <c r="N115" s="57" t="b">
        <v>1</v>
      </c>
      <c r="O115" s="58" t="s">
        <v>31</v>
      </c>
      <c r="P115" s="59" t="b">
        <v>1</v>
      </c>
      <c r="Q115" s="78"/>
      <c r="R115" s="60" t="s">
        <v>1325</v>
      </c>
      <c r="S115" s="47" t="b">
        <v>1</v>
      </c>
      <c r="T115" s="61" t="s">
        <v>1326</v>
      </c>
      <c r="U115" s="54">
        <f>11*450</f>
        <v>4950</v>
      </c>
      <c r="V115" s="54">
        <f t="shared" si="8"/>
        <v>2970</v>
      </c>
      <c r="W115" s="49"/>
      <c r="X115" s="49"/>
    </row>
    <row r="116" spans="1:24" ht="15.75" customHeight="1">
      <c r="A116" s="101"/>
      <c r="B116" s="32"/>
      <c r="C116" s="82">
        <v>45370</v>
      </c>
      <c r="D116" s="53" t="s">
        <v>171</v>
      </c>
      <c r="E116" s="53" t="s">
        <v>137</v>
      </c>
      <c r="F116" s="53" t="s">
        <v>681</v>
      </c>
      <c r="G116" s="53" t="s">
        <v>1327</v>
      </c>
      <c r="H116" s="53" t="s">
        <v>30</v>
      </c>
      <c r="I116" s="53">
        <v>14</v>
      </c>
      <c r="J116" s="54">
        <v>1000</v>
      </c>
      <c r="K116" s="54">
        <f t="shared" si="9"/>
        <v>14000</v>
      </c>
      <c r="L116" s="55" t="b">
        <v>1</v>
      </c>
      <c r="M116" s="56">
        <v>190320240916</v>
      </c>
      <c r="N116" s="57" t="b">
        <v>1</v>
      </c>
      <c r="O116" s="58" t="s">
        <v>31</v>
      </c>
      <c r="P116" s="59" t="b">
        <v>1</v>
      </c>
      <c r="Q116" s="78"/>
      <c r="R116" s="60" t="s">
        <v>1325</v>
      </c>
      <c r="S116" s="47" t="b">
        <v>1</v>
      </c>
      <c r="T116" s="61" t="s">
        <v>1326</v>
      </c>
      <c r="U116" s="54">
        <f>14*650</f>
        <v>9100</v>
      </c>
      <c r="V116" s="54">
        <f t="shared" si="8"/>
        <v>4900</v>
      </c>
      <c r="W116" s="49"/>
      <c r="X116" s="49"/>
    </row>
    <row r="117" spans="1:24" ht="15.75" customHeight="1">
      <c r="A117" s="101"/>
      <c r="B117" s="32"/>
      <c r="C117" s="82">
        <v>45371</v>
      </c>
      <c r="D117" s="53" t="s">
        <v>51</v>
      </c>
      <c r="E117" s="53" t="s">
        <v>201</v>
      </c>
      <c r="F117" s="53" t="s">
        <v>202</v>
      </c>
      <c r="G117" s="66" t="s">
        <v>1328</v>
      </c>
      <c r="H117" s="53" t="s">
        <v>30</v>
      </c>
      <c r="I117" s="53">
        <v>1</v>
      </c>
      <c r="J117" s="54">
        <v>4350</v>
      </c>
      <c r="K117" s="54">
        <f t="shared" si="9"/>
        <v>4350</v>
      </c>
      <c r="L117" s="55" t="b">
        <v>1</v>
      </c>
      <c r="M117" s="56">
        <v>200320241105</v>
      </c>
      <c r="N117" s="57" t="b">
        <v>1</v>
      </c>
      <c r="O117" s="58" t="s">
        <v>31</v>
      </c>
      <c r="P117" s="59" t="b">
        <v>1</v>
      </c>
      <c r="Q117" s="78"/>
      <c r="R117" s="60"/>
      <c r="S117" s="47" t="b">
        <v>1</v>
      </c>
      <c r="T117" s="61" t="s">
        <v>1329</v>
      </c>
      <c r="U117" s="54">
        <v>2898</v>
      </c>
      <c r="V117" s="54">
        <f t="shared" si="8"/>
        <v>1452</v>
      </c>
      <c r="W117" s="49"/>
      <c r="X117" s="49"/>
    </row>
    <row r="118" spans="1:24" ht="15.75" customHeight="1">
      <c r="A118" s="101"/>
      <c r="B118" s="32"/>
      <c r="C118" s="82">
        <v>45371</v>
      </c>
      <c r="D118" s="53" t="s">
        <v>51</v>
      </c>
      <c r="E118" s="53" t="s">
        <v>201</v>
      </c>
      <c r="F118" s="53" t="s">
        <v>607</v>
      </c>
      <c r="G118" s="53" t="s">
        <v>1330</v>
      </c>
      <c r="H118" s="53" t="s">
        <v>30</v>
      </c>
      <c r="I118" s="53">
        <v>1</v>
      </c>
      <c r="J118" s="54">
        <v>2350</v>
      </c>
      <c r="K118" s="54">
        <f t="shared" si="9"/>
        <v>2350</v>
      </c>
      <c r="L118" s="55" t="b">
        <v>1</v>
      </c>
      <c r="M118" s="56">
        <v>200320241106</v>
      </c>
      <c r="N118" s="57" t="b">
        <v>1</v>
      </c>
      <c r="O118" s="58" t="s">
        <v>39</v>
      </c>
      <c r="P118" s="59" t="b">
        <v>1</v>
      </c>
      <c r="Q118" s="78"/>
      <c r="R118" s="60"/>
      <c r="S118" s="47" t="b">
        <v>1</v>
      </c>
      <c r="T118" s="61" t="s">
        <v>1331</v>
      </c>
      <c r="U118" s="54">
        <v>1554</v>
      </c>
      <c r="V118" s="54">
        <f t="shared" si="8"/>
        <v>796</v>
      </c>
      <c r="W118" s="49"/>
      <c r="X118" s="49"/>
    </row>
    <row r="119" spans="1:24" ht="15.75" customHeight="1">
      <c r="A119" s="101"/>
      <c r="B119" s="32"/>
      <c r="C119" s="82">
        <v>45371</v>
      </c>
      <c r="D119" s="53" t="s">
        <v>418</v>
      </c>
      <c r="E119" s="53" t="s">
        <v>565</v>
      </c>
      <c r="F119" s="53" t="s">
        <v>43</v>
      </c>
      <c r="G119" s="53" t="s">
        <v>1332</v>
      </c>
      <c r="H119" s="53" t="s">
        <v>30</v>
      </c>
      <c r="I119" s="53">
        <v>1</v>
      </c>
      <c r="J119" s="54">
        <v>300</v>
      </c>
      <c r="K119" s="54">
        <f t="shared" si="9"/>
        <v>300</v>
      </c>
      <c r="L119" s="55" t="b">
        <v>1</v>
      </c>
      <c r="M119" s="56">
        <v>200320241234</v>
      </c>
      <c r="N119" s="57" t="b">
        <v>1</v>
      </c>
      <c r="O119" s="58"/>
      <c r="P119" s="59" t="b">
        <v>1</v>
      </c>
      <c r="Q119" s="78"/>
      <c r="R119" s="60"/>
      <c r="S119" s="47" t="b">
        <v>1</v>
      </c>
      <c r="T119" s="61" t="s">
        <v>1333</v>
      </c>
      <c r="U119" s="54">
        <f>1*150</f>
        <v>150</v>
      </c>
      <c r="V119" s="54">
        <f t="shared" si="8"/>
        <v>150</v>
      </c>
      <c r="W119" s="49"/>
      <c r="X119" s="49"/>
    </row>
    <row r="120" spans="1:24" ht="15.75" customHeight="1">
      <c r="A120" s="101"/>
      <c r="B120" s="32"/>
      <c r="C120" s="82">
        <v>45371</v>
      </c>
      <c r="D120" s="53" t="s">
        <v>438</v>
      </c>
      <c r="E120" s="53" t="s">
        <v>439</v>
      </c>
      <c r="F120" s="53" t="s">
        <v>440</v>
      </c>
      <c r="G120" s="53" t="s">
        <v>142</v>
      </c>
      <c r="H120" s="53" t="s">
        <v>30</v>
      </c>
      <c r="I120" s="53">
        <v>1500</v>
      </c>
      <c r="J120" s="54">
        <v>1</v>
      </c>
      <c r="K120" s="54">
        <f t="shared" si="9"/>
        <v>1500</v>
      </c>
      <c r="L120" s="55" t="b">
        <v>1</v>
      </c>
      <c r="M120" s="56">
        <v>200320241635</v>
      </c>
      <c r="N120" s="57" t="b">
        <v>1</v>
      </c>
      <c r="O120" s="58" t="s">
        <v>31</v>
      </c>
      <c r="P120" s="59" t="b">
        <v>1</v>
      </c>
      <c r="Q120" s="78"/>
      <c r="R120" s="60"/>
      <c r="S120" s="47" t="b">
        <v>1</v>
      </c>
      <c r="T120" s="61" t="s">
        <v>1334</v>
      </c>
      <c r="U120" s="54">
        <f>1500*0.82</f>
        <v>1230</v>
      </c>
      <c r="V120" s="54">
        <f t="shared" si="8"/>
        <v>270</v>
      </c>
      <c r="W120" s="49"/>
      <c r="X120" s="49"/>
    </row>
    <row r="121" spans="1:24" ht="15" customHeight="1">
      <c r="A121" s="101"/>
      <c r="B121" s="32"/>
      <c r="C121" s="82">
        <v>45371</v>
      </c>
      <c r="D121" s="53" t="s">
        <v>438</v>
      </c>
      <c r="E121" s="53" t="s">
        <v>439</v>
      </c>
      <c r="F121" s="53" t="s">
        <v>440</v>
      </c>
      <c r="G121" s="53" t="s">
        <v>58</v>
      </c>
      <c r="H121" s="53" t="s">
        <v>30</v>
      </c>
      <c r="I121" s="53">
        <v>84</v>
      </c>
      <c r="J121" s="54">
        <v>30</v>
      </c>
      <c r="K121" s="54">
        <f t="shared" si="9"/>
        <v>2520</v>
      </c>
      <c r="L121" s="55" t="b">
        <v>1</v>
      </c>
      <c r="M121" s="56">
        <v>200320241635</v>
      </c>
      <c r="N121" s="57" t="b">
        <v>1</v>
      </c>
      <c r="O121" s="58"/>
      <c r="P121" s="59" t="b">
        <v>1</v>
      </c>
      <c r="Q121" s="43"/>
      <c r="R121" s="60"/>
      <c r="S121" s="47" t="b">
        <v>1</v>
      </c>
      <c r="T121" s="61" t="s">
        <v>1334</v>
      </c>
      <c r="U121" s="54">
        <f>84*21.5</f>
        <v>1806</v>
      </c>
      <c r="V121" s="54">
        <f t="shared" si="8"/>
        <v>714</v>
      </c>
      <c r="W121" s="49"/>
      <c r="X121" s="49"/>
    </row>
    <row r="122" spans="1:24" ht="15.75" customHeight="1">
      <c r="A122" s="101"/>
      <c r="B122" s="32"/>
      <c r="C122" s="82">
        <v>45371</v>
      </c>
      <c r="D122" s="53" t="s">
        <v>60</v>
      </c>
      <c r="E122" s="53" t="s">
        <v>646</v>
      </c>
      <c r="F122" s="53" t="s">
        <v>647</v>
      </c>
      <c r="G122" s="53" t="s">
        <v>1335</v>
      </c>
      <c r="H122" s="53" t="s">
        <v>30</v>
      </c>
      <c r="I122" s="53">
        <v>4</v>
      </c>
      <c r="J122" s="54">
        <v>1050</v>
      </c>
      <c r="K122" s="54">
        <f t="shared" si="9"/>
        <v>4200</v>
      </c>
      <c r="L122" s="55" t="b">
        <v>1</v>
      </c>
      <c r="M122" s="56">
        <v>200320241639</v>
      </c>
      <c r="N122" s="57" t="b">
        <v>1</v>
      </c>
      <c r="O122" s="58" t="s">
        <v>31</v>
      </c>
      <c r="P122" s="59" t="b">
        <v>1</v>
      </c>
      <c r="Q122" s="78"/>
      <c r="R122" s="60"/>
      <c r="S122" s="47" t="b">
        <v>1</v>
      </c>
      <c r="T122" s="61" t="s">
        <v>1336</v>
      </c>
      <c r="U122" s="54">
        <f>4*450</f>
        <v>1800</v>
      </c>
      <c r="V122" s="54">
        <f t="shared" si="8"/>
        <v>2400</v>
      </c>
      <c r="W122" s="49"/>
      <c r="X122" s="49"/>
    </row>
    <row r="123" spans="1:24" ht="15.75" customHeight="1">
      <c r="A123" s="101"/>
      <c r="B123" s="32"/>
      <c r="C123" s="82">
        <v>45372</v>
      </c>
      <c r="D123" s="53" t="s">
        <v>1337</v>
      </c>
      <c r="E123" s="53" t="s">
        <v>137</v>
      </c>
      <c r="F123" s="53" t="s">
        <v>681</v>
      </c>
      <c r="G123" s="81" t="s">
        <v>1338</v>
      </c>
      <c r="H123" s="53" t="s">
        <v>30</v>
      </c>
      <c r="I123" s="53">
        <v>2</v>
      </c>
      <c r="J123" s="54">
        <v>950</v>
      </c>
      <c r="K123" s="54">
        <f t="shared" si="9"/>
        <v>1900</v>
      </c>
      <c r="L123" s="55" t="b">
        <v>1</v>
      </c>
      <c r="M123" s="56">
        <v>210320241125</v>
      </c>
      <c r="N123" s="57" t="b">
        <v>1</v>
      </c>
      <c r="O123" s="58" t="s">
        <v>31</v>
      </c>
      <c r="P123" s="59" t="b">
        <v>1</v>
      </c>
      <c r="Q123" s="78"/>
      <c r="R123" s="60" t="s">
        <v>1325</v>
      </c>
      <c r="S123" s="47" t="b">
        <v>1</v>
      </c>
      <c r="T123" s="61" t="s">
        <v>1326</v>
      </c>
      <c r="U123" s="54">
        <f>2*450</f>
        <v>900</v>
      </c>
      <c r="V123" s="54">
        <f t="shared" si="8"/>
        <v>1000</v>
      </c>
      <c r="W123" s="49"/>
      <c r="X123" s="49"/>
    </row>
    <row r="124" spans="1:24" ht="15.75" customHeight="1">
      <c r="A124" s="101"/>
      <c r="B124" s="32"/>
      <c r="C124" s="82">
        <v>45372</v>
      </c>
      <c r="D124" s="53" t="s">
        <v>98</v>
      </c>
      <c r="E124" s="53" t="s">
        <v>99</v>
      </c>
      <c r="F124" s="53" t="s">
        <v>444</v>
      </c>
      <c r="G124" s="81" t="s">
        <v>236</v>
      </c>
      <c r="H124" s="53" t="s">
        <v>30</v>
      </c>
      <c r="I124" s="53">
        <v>18</v>
      </c>
      <c r="J124" s="54">
        <v>140</v>
      </c>
      <c r="K124" s="54">
        <f t="shared" si="9"/>
        <v>2520</v>
      </c>
      <c r="L124" s="55" t="b">
        <v>1</v>
      </c>
      <c r="M124" s="56">
        <v>210320241125</v>
      </c>
      <c r="N124" s="57" t="b">
        <v>1</v>
      </c>
      <c r="O124" s="58" t="s">
        <v>31</v>
      </c>
      <c r="P124" s="59" t="b">
        <v>1</v>
      </c>
      <c r="Q124" s="78"/>
      <c r="R124" s="60"/>
      <c r="S124" s="47" t="b">
        <v>1</v>
      </c>
      <c r="T124" s="61" t="s">
        <v>1339</v>
      </c>
      <c r="U124" s="54">
        <f>18*105</f>
        <v>1890</v>
      </c>
      <c r="V124" s="54">
        <f t="shared" si="8"/>
        <v>630</v>
      </c>
      <c r="W124" s="49"/>
      <c r="X124" s="49"/>
    </row>
    <row r="125" spans="1:24" ht="15.75" customHeight="1">
      <c r="A125" s="101"/>
      <c r="B125" s="32"/>
      <c r="C125" s="82">
        <v>45372</v>
      </c>
      <c r="D125" s="53" t="s">
        <v>51</v>
      </c>
      <c r="E125" s="53" t="s">
        <v>89</v>
      </c>
      <c r="F125" s="53" t="s">
        <v>90</v>
      </c>
      <c r="G125" s="53" t="s">
        <v>1181</v>
      </c>
      <c r="H125" s="53" t="s">
        <v>30</v>
      </c>
      <c r="I125" s="53">
        <v>20</v>
      </c>
      <c r="J125" s="54">
        <v>90</v>
      </c>
      <c r="K125" s="54">
        <f t="shared" si="9"/>
        <v>1800</v>
      </c>
      <c r="L125" s="55" t="b">
        <v>1</v>
      </c>
      <c r="M125" s="56">
        <v>210320241126</v>
      </c>
      <c r="N125" s="57" t="b">
        <v>1</v>
      </c>
      <c r="O125" s="58" t="s">
        <v>31</v>
      </c>
      <c r="P125" s="59" t="b">
        <v>1</v>
      </c>
      <c r="Q125" s="78"/>
      <c r="R125" s="60"/>
      <c r="S125" s="47" t="b">
        <v>1</v>
      </c>
      <c r="T125" s="61" t="s">
        <v>1340</v>
      </c>
      <c r="U125" s="54">
        <f>20*56</f>
        <v>1120</v>
      </c>
      <c r="V125" s="54">
        <f t="shared" si="8"/>
        <v>680</v>
      </c>
      <c r="W125" s="49"/>
      <c r="X125" s="49"/>
    </row>
    <row r="126" spans="1:24" ht="15.75" customHeight="1">
      <c r="A126" s="101"/>
      <c r="B126" s="32"/>
      <c r="C126" s="82">
        <v>45372</v>
      </c>
      <c r="D126" s="53" t="s">
        <v>51</v>
      </c>
      <c r="E126" s="53" t="s">
        <v>89</v>
      </c>
      <c r="F126" s="53" t="s">
        <v>90</v>
      </c>
      <c r="G126" s="53" t="s">
        <v>1341</v>
      </c>
      <c r="H126" s="53" t="s">
        <v>30</v>
      </c>
      <c r="I126" s="53">
        <v>6</v>
      </c>
      <c r="J126" s="54">
        <v>550</v>
      </c>
      <c r="K126" s="54">
        <f t="shared" si="9"/>
        <v>3300</v>
      </c>
      <c r="L126" s="55" t="b">
        <v>1</v>
      </c>
      <c r="M126" s="56">
        <v>210320241424</v>
      </c>
      <c r="N126" s="57" t="b">
        <v>1</v>
      </c>
      <c r="O126" s="58" t="s">
        <v>31</v>
      </c>
      <c r="P126" s="59" t="b">
        <v>1</v>
      </c>
      <c r="Q126" s="78"/>
      <c r="R126" s="60"/>
      <c r="S126" s="47" t="b">
        <v>1</v>
      </c>
      <c r="T126" s="61" t="s">
        <v>1342</v>
      </c>
      <c r="U126" s="54">
        <f>5*112</f>
        <v>560</v>
      </c>
      <c r="V126" s="54">
        <f t="shared" si="8"/>
        <v>2740</v>
      </c>
      <c r="W126" s="49"/>
      <c r="X126" s="49"/>
    </row>
    <row r="127" spans="1:24" ht="15.75" customHeight="1">
      <c r="A127" s="101"/>
      <c r="B127" s="32"/>
      <c r="C127" s="82">
        <v>45372</v>
      </c>
      <c r="D127" s="53" t="s">
        <v>51</v>
      </c>
      <c r="E127" s="53" t="s">
        <v>89</v>
      </c>
      <c r="F127" s="53" t="s">
        <v>178</v>
      </c>
      <c r="G127" s="53" t="s">
        <v>1343</v>
      </c>
      <c r="H127" s="53" t="s">
        <v>30</v>
      </c>
      <c r="I127" s="53">
        <v>4</v>
      </c>
      <c r="J127" s="54">
        <v>485</v>
      </c>
      <c r="K127" s="54">
        <f t="shared" si="9"/>
        <v>1940</v>
      </c>
      <c r="L127" s="55" t="b">
        <v>1</v>
      </c>
      <c r="M127" s="56">
        <v>210320241740</v>
      </c>
      <c r="N127" s="57" t="b">
        <v>1</v>
      </c>
      <c r="O127" s="58" t="s">
        <v>31</v>
      </c>
      <c r="P127" s="59" t="b">
        <v>1</v>
      </c>
      <c r="Q127" s="78"/>
      <c r="R127" s="60"/>
      <c r="S127" s="47" t="b">
        <v>1</v>
      </c>
      <c r="T127" s="61" t="s">
        <v>1342</v>
      </c>
      <c r="U127" s="54">
        <f>4*296</f>
        <v>1184</v>
      </c>
      <c r="V127" s="54">
        <f t="shared" si="8"/>
        <v>756</v>
      </c>
      <c r="W127" s="49"/>
      <c r="X127" s="49"/>
    </row>
    <row r="128" spans="1:24" ht="15.75" customHeight="1">
      <c r="A128" s="101"/>
      <c r="B128" s="32"/>
      <c r="C128" s="82">
        <v>45373</v>
      </c>
      <c r="D128" s="53" t="s">
        <v>149</v>
      </c>
      <c r="E128" s="53" t="s">
        <v>130</v>
      </c>
      <c r="F128" s="53" t="s">
        <v>1344</v>
      </c>
      <c r="G128" s="53" t="s">
        <v>1345</v>
      </c>
      <c r="H128" s="53" t="s">
        <v>30</v>
      </c>
      <c r="I128" s="53">
        <v>20</v>
      </c>
      <c r="J128" s="54">
        <v>200</v>
      </c>
      <c r="K128" s="54">
        <f t="shared" si="9"/>
        <v>4000</v>
      </c>
      <c r="L128" s="55" t="b">
        <v>1</v>
      </c>
      <c r="M128" s="56">
        <v>220320241545</v>
      </c>
      <c r="N128" s="57" t="b">
        <v>1</v>
      </c>
      <c r="O128" s="58" t="s">
        <v>31</v>
      </c>
      <c r="P128" s="59" t="b">
        <v>1</v>
      </c>
      <c r="Q128" s="78"/>
      <c r="R128" s="60"/>
      <c r="S128" s="47" t="b">
        <v>1</v>
      </c>
      <c r="T128" s="61" t="s">
        <v>1346</v>
      </c>
      <c r="U128" s="54">
        <f>20*120</f>
        <v>2400</v>
      </c>
      <c r="V128" s="54">
        <f t="shared" si="8"/>
        <v>1600</v>
      </c>
      <c r="W128" s="49"/>
      <c r="X128" s="49"/>
    </row>
    <row r="129" spans="1:24" ht="15.75" customHeight="1">
      <c r="A129" s="101"/>
      <c r="B129" s="32"/>
      <c r="C129" s="84">
        <v>45373</v>
      </c>
      <c r="D129" s="53" t="s">
        <v>149</v>
      </c>
      <c r="E129" s="53" t="s">
        <v>130</v>
      </c>
      <c r="F129" s="53" t="s">
        <v>1344</v>
      </c>
      <c r="G129" s="53" t="s">
        <v>1347</v>
      </c>
      <c r="H129" s="53" t="s">
        <v>30</v>
      </c>
      <c r="I129" s="53">
        <v>1</v>
      </c>
      <c r="J129" s="54">
        <v>2750</v>
      </c>
      <c r="K129" s="54">
        <f t="shared" ref="K129:K130" si="10">J129:J131*I129</f>
        <v>2750</v>
      </c>
      <c r="L129" s="55" t="b">
        <v>1</v>
      </c>
      <c r="M129" s="56">
        <v>220320241813</v>
      </c>
      <c r="N129" s="57" t="b">
        <v>0</v>
      </c>
      <c r="O129" s="58"/>
      <c r="P129" s="59" t="b">
        <v>1</v>
      </c>
      <c r="Q129" s="78"/>
      <c r="R129" s="60"/>
      <c r="S129" s="47" t="b">
        <v>1</v>
      </c>
      <c r="T129" s="61" t="s">
        <v>1348</v>
      </c>
      <c r="U129" s="54">
        <f>1850</f>
        <v>1850</v>
      </c>
      <c r="V129" s="54">
        <f t="shared" si="8"/>
        <v>900</v>
      </c>
      <c r="W129" s="49"/>
      <c r="X129" s="49"/>
    </row>
    <row r="130" spans="1:24" ht="15.75" customHeight="1">
      <c r="A130" s="101"/>
      <c r="B130" s="32"/>
      <c r="C130" s="84">
        <v>45373</v>
      </c>
      <c r="D130" s="53" t="s">
        <v>149</v>
      </c>
      <c r="E130" s="53" t="s">
        <v>130</v>
      </c>
      <c r="F130" s="53" t="s">
        <v>1344</v>
      </c>
      <c r="G130" s="53" t="s">
        <v>72</v>
      </c>
      <c r="H130" s="53" t="s">
        <v>30</v>
      </c>
      <c r="I130" s="53">
        <v>1</v>
      </c>
      <c r="J130" s="54">
        <v>860</v>
      </c>
      <c r="K130" s="54">
        <f t="shared" si="10"/>
        <v>860</v>
      </c>
      <c r="L130" s="55" t="b">
        <v>1</v>
      </c>
      <c r="M130" s="56">
        <v>170420241237</v>
      </c>
      <c r="N130" s="57" t="b">
        <v>0</v>
      </c>
      <c r="O130" s="58"/>
      <c r="P130" s="59" t="b">
        <v>1</v>
      </c>
      <c r="Q130" s="78"/>
      <c r="R130" s="60"/>
      <c r="S130" s="47" t="b">
        <v>1</v>
      </c>
      <c r="T130" s="61" t="s">
        <v>1348</v>
      </c>
      <c r="U130" s="54">
        <v>250</v>
      </c>
      <c r="V130" s="54">
        <f t="shared" si="8"/>
        <v>610</v>
      </c>
      <c r="W130" s="49"/>
      <c r="X130" s="49"/>
    </row>
    <row r="131" spans="1:24" ht="15.75" customHeight="1">
      <c r="A131" s="101"/>
      <c r="B131" s="32"/>
      <c r="C131" s="52">
        <v>45374</v>
      </c>
      <c r="D131" s="53" t="s">
        <v>523</v>
      </c>
      <c r="E131" s="53" t="s">
        <v>524</v>
      </c>
      <c r="F131" s="53" t="s">
        <v>525</v>
      </c>
      <c r="G131" s="53" t="s">
        <v>49</v>
      </c>
      <c r="H131" s="53" t="s">
        <v>30</v>
      </c>
      <c r="I131" s="53">
        <v>5</v>
      </c>
      <c r="J131" s="54">
        <v>695</v>
      </c>
      <c r="K131" s="54">
        <f t="shared" ref="K131:K136" si="11">J131:J132*I131</f>
        <v>3475</v>
      </c>
      <c r="L131" s="55" t="b">
        <v>1</v>
      </c>
      <c r="M131" s="56">
        <v>230320241040</v>
      </c>
      <c r="N131" s="57" t="b">
        <v>1</v>
      </c>
      <c r="O131" s="58" t="s">
        <v>39</v>
      </c>
      <c r="P131" s="59" t="b">
        <v>1</v>
      </c>
      <c r="Q131" s="78"/>
      <c r="R131" s="60"/>
      <c r="S131" s="47" t="b">
        <v>1</v>
      </c>
      <c r="T131" s="61" t="s">
        <v>1349</v>
      </c>
      <c r="U131" s="54">
        <f>5000*0.465</f>
        <v>2325</v>
      </c>
      <c r="V131" s="54">
        <f t="shared" si="8"/>
        <v>1150</v>
      </c>
      <c r="W131" s="49"/>
      <c r="X131" s="49"/>
    </row>
    <row r="132" spans="1:24" ht="15.75" customHeight="1">
      <c r="A132" s="101"/>
      <c r="B132" s="32"/>
      <c r="C132" s="52">
        <v>45374</v>
      </c>
      <c r="D132" s="53" t="s">
        <v>171</v>
      </c>
      <c r="E132" s="53" t="s">
        <v>137</v>
      </c>
      <c r="F132" s="53" t="s">
        <v>172</v>
      </c>
      <c r="G132" s="53" t="s">
        <v>49</v>
      </c>
      <c r="H132" s="53" t="s">
        <v>30</v>
      </c>
      <c r="I132" s="53">
        <v>10</v>
      </c>
      <c r="J132" s="54">
        <v>695</v>
      </c>
      <c r="K132" s="54">
        <f t="shared" si="11"/>
        <v>6950</v>
      </c>
      <c r="L132" s="55" t="b">
        <v>1</v>
      </c>
      <c r="M132" s="56">
        <v>230320241608</v>
      </c>
      <c r="N132" s="57" t="b">
        <v>1</v>
      </c>
      <c r="O132" s="58" t="s">
        <v>31</v>
      </c>
      <c r="P132" s="59" t="b">
        <v>1</v>
      </c>
      <c r="Q132" s="78"/>
      <c r="R132" s="60"/>
      <c r="S132" s="47" t="b">
        <v>1</v>
      </c>
      <c r="T132" s="61" t="s">
        <v>1350</v>
      </c>
      <c r="U132" s="54">
        <f>10000*0.465</f>
        <v>4650</v>
      </c>
      <c r="V132" s="54">
        <f t="shared" si="8"/>
        <v>2300</v>
      </c>
      <c r="W132" s="49"/>
      <c r="X132" s="49"/>
    </row>
    <row r="133" spans="1:24" ht="15.75" customHeight="1">
      <c r="A133" s="101"/>
      <c r="B133" s="32"/>
      <c r="C133" s="52">
        <v>45374</v>
      </c>
      <c r="D133" s="53" t="s">
        <v>832</v>
      </c>
      <c r="E133" s="53" t="s">
        <v>833</v>
      </c>
      <c r="F133" s="53" t="s">
        <v>834</v>
      </c>
      <c r="G133" s="53" t="s">
        <v>1351</v>
      </c>
      <c r="H133" s="53" t="s">
        <v>30</v>
      </c>
      <c r="I133" s="53">
        <v>15</v>
      </c>
      <c r="J133" s="54">
        <v>105</v>
      </c>
      <c r="K133" s="54">
        <f t="shared" si="11"/>
        <v>1575</v>
      </c>
      <c r="L133" s="55" t="b">
        <v>1</v>
      </c>
      <c r="M133" s="56">
        <v>230320241610</v>
      </c>
      <c r="N133" s="57" t="b">
        <v>1</v>
      </c>
      <c r="O133" s="58" t="s">
        <v>31</v>
      </c>
      <c r="P133" s="59" t="b">
        <v>1</v>
      </c>
      <c r="Q133" s="78"/>
      <c r="R133" s="60"/>
      <c r="S133" s="47" t="b">
        <v>1</v>
      </c>
      <c r="T133" s="61" t="s">
        <v>1352</v>
      </c>
      <c r="U133" s="54">
        <f>15*75</f>
        <v>1125</v>
      </c>
      <c r="V133" s="54">
        <f t="shared" si="8"/>
        <v>450</v>
      </c>
      <c r="W133" s="49"/>
      <c r="X133" s="49"/>
    </row>
    <row r="134" spans="1:24" ht="15.75" customHeight="1">
      <c r="A134" s="101"/>
      <c r="B134" s="32"/>
      <c r="C134" s="52">
        <v>45374</v>
      </c>
      <c r="D134" s="53" t="s">
        <v>104</v>
      </c>
      <c r="E134" s="53" t="s">
        <v>158</v>
      </c>
      <c r="F134" s="53" t="s">
        <v>159</v>
      </c>
      <c r="G134" s="53" t="s">
        <v>1181</v>
      </c>
      <c r="H134" s="53" t="s">
        <v>30</v>
      </c>
      <c r="I134" s="53">
        <v>40</v>
      </c>
      <c r="J134" s="54">
        <v>90</v>
      </c>
      <c r="K134" s="54">
        <f t="shared" si="11"/>
        <v>3600</v>
      </c>
      <c r="L134" s="55" t="b">
        <v>1</v>
      </c>
      <c r="M134" s="56">
        <v>230320241727</v>
      </c>
      <c r="N134" s="57" t="b">
        <v>1</v>
      </c>
      <c r="O134" s="58" t="s">
        <v>31</v>
      </c>
      <c r="P134" s="59" t="b">
        <v>1</v>
      </c>
      <c r="Q134" s="78"/>
      <c r="R134" s="60"/>
      <c r="S134" s="47" t="b">
        <v>1</v>
      </c>
      <c r="T134" s="61" t="s">
        <v>1353</v>
      </c>
      <c r="U134" s="54">
        <f>40*60</f>
        <v>2400</v>
      </c>
      <c r="V134" s="54">
        <f t="shared" si="8"/>
        <v>1200</v>
      </c>
      <c r="W134" s="49"/>
      <c r="X134" s="49"/>
    </row>
    <row r="135" spans="1:24" ht="15.75" customHeight="1">
      <c r="A135" s="123"/>
      <c r="B135" s="32"/>
      <c r="C135" s="52">
        <v>45374</v>
      </c>
      <c r="D135" s="53" t="s">
        <v>104</v>
      </c>
      <c r="E135" s="53" t="s">
        <v>158</v>
      </c>
      <c r="F135" s="53" t="s">
        <v>159</v>
      </c>
      <c r="G135" s="53" t="s">
        <v>1168</v>
      </c>
      <c r="H135" s="53" t="s">
        <v>30</v>
      </c>
      <c r="I135" s="53">
        <v>40</v>
      </c>
      <c r="J135" s="54">
        <v>300</v>
      </c>
      <c r="K135" s="54">
        <f t="shared" si="11"/>
        <v>12000</v>
      </c>
      <c r="L135" s="55" t="b">
        <v>1</v>
      </c>
      <c r="M135" s="56">
        <v>230320241727</v>
      </c>
      <c r="N135" s="57" t="b">
        <v>1</v>
      </c>
      <c r="O135" s="58" t="s">
        <v>31</v>
      </c>
      <c r="P135" s="59" t="b">
        <v>1</v>
      </c>
      <c r="Q135" s="157" t="s">
        <v>1354</v>
      </c>
      <c r="R135" s="60"/>
      <c r="S135" s="47" t="b">
        <v>1</v>
      </c>
      <c r="T135" s="61" t="s">
        <v>1353</v>
      </c>
      <c r="U135" s="54">
        <f>40*120</f>
        <v>4800</v>
      </c>
      <c r="V135" s="54">
        <f t="shared" si="8"/>
        <v>7200</v>
      </c>
      <c r="W135" s="49"/>
      <c r="X135" s="49"/>
    </row>
    <row r="136" spans="1:24" ht="15.75" customHeight="1">
      <c r="A136" s="101"/>
      <c r="B136" s="32"/>
      <c r="C136" s="52">
        <v>45376</v>
      </c>
      <c r="D136" s="53" t="s">
        <v>104</v>
      </c>
      <c r="E136" s="53" t="s">
        <v>158</v>
      </c>
      <c r="F136" s="53" t="s">
        <v>159</v>
      </c>
      <c r="G136" s="53" t="s">
        <v>1355</v>
      </c>
      <c r="H136" s="53" t="s">
        <v>30</v>
      </c>
      <c r="I136" s="53">
        <v>1</v>
      </c>
      <c r="J136" s="54">
        <v>650</v>
      </c>
      <c r="K136" s="54">
        <f t="shared" si="11"/>
        <v>650</v>
      </c>
      <c r="L136" s="55" t="b">
        <v>1</v>
      </c>
      <c r="M136" s="56">
        <v>250320240945</v>
      </c>
      <c r="N136" s="57" t="b">
        <v>1</v>
      </c>
      <c r="O136" s="58" t="s">
        <v>31</v>
      </c>
      <c r="P136" s="59" t="b">
        <v>1</v>
      </c>
      <c r="Q136" s="78"/>
      <c r="R136" s="60"/>
      <c r="S136" s="47" t="b">
        <v>1</v>
      </c>
      <c r="T136" s="61" t="s">
        <v>1356</v>
      </c>
      <c r="U136" s="54">
        <f>1*42</f>
        <v>42</v>
      </c>
      <c r="V136" s="54">
        <f t="shared" si="8"/>
        <v>608</v>
      </c>
      <c r="W136" s="49"/>
      <c r="X136" s="49"/>
    </row>
    <row r="137" spans="1:24" ht="15.75" customHeight="1">
      <c r="A137" s="101"/>
      <c r="B137" s="32"/>
      <c r="C137" s="52">
        <v>45376</v>
      </c>
      <c r="D137" s="53" t="s">
        <v>523</v>
      </c>
      <c r="E137" s="53" t="s">
        <v>524</v>
      </c>
      <c r="F137" s="53" t="s">
        <v>1357</v>
      </c>
      <c r="G137" s="53" t="s">
        <v>1358</v>
      </c>
      <c r="H137" s="53" t="s">
        <v>30</v>
      </c>
      <c r="I137" s="53">
        <v>5</v>
      </c>
      <c r="J137" s="54">
        <v>285</v>
      </c>
      <c r="K137" s="54">
        <f t="shared" ref="K137:K138" si="12">J137*I137</f>
        <v>1425</v>
      </c>
      <c r="L137" s="55" t="b">
        <v>1</v>
      </c>
      <c r="M137" s="56">
        <v>250320240945</v>
      </c>
      <c r="N137" s="57" t="b">
        <v>1</v>
      </c>
      <c r="O137" s="58" t="s">
        <v>31</v>
      </c>
      <c r="P137" s="59" t="b">
        <v>1</v>
      </c>
      <c r="Q137" s="78"/>
      <c r="R137" s="60"/>
      <c r="S137" s="47" t="b">
        <v>1</v>
      </c>
      <c r="T137" s="61" t="s">
        <v>1359</v>
      </c>
      <c r="U137" s="54">
        <f>5*35</f>
        <v>175</v>
      </c>
      <c r="V137" s="54">
        <f t="shared" si="8"/>
        <v>1250</v>
      </c>
      <c r="W137" s="49"/>
      <c r="X137" s="49"/>
    </row>
    <row r="138" spans="1:24" ht="15.75" customHeight="1">
      <c r="A138" s="101"/>
      <c r="B138" s="32"/>
      <c r="C138" s="52">
        <v>45376</v>
      </c>
      <c r="D138" s="53" t="s">
        <v>523</v>
      </c>
      <c r="E138" s="53" t="s">
        <v>524</v>
      </c>
      <c r="F138" s="53" t="s">
        <v>1357</v>
      </c>
      <c r="G138" s="53" t="s">
        <v>1360</v>
      </c>
      <c r="H138" s="53" t="s">
        <v>30</v>
      </c>
      <c r="I138" s="53">
        <v>2</v>
      </c>
      <c r="J138" s="54">
        <v>95</v>
      </c>
      <c r="K138" s="54">
        <f t="shared" si="12"/>
        <v>190</v>
      </c>
      <c r="L138" s="55" t="b">
        <v>1</v>
      </c>
      <c r="M138" s="56"/>
      <c r="N138" s="57" t="b">
        <v>1</v>
      </c>
      <c r="O138" s="58" t="s">
        <v>31</v>
      </c>
      <c r="P138" s="59" t="b">
        <v>1</v>
      </c>
      <c r="Q138" s="78"/>
      <c r="R138" s="60"/>
      <c r="S138" s="47" t="b">
        <v>1</v>
      </c>
      <c r="T138" s="61" t="s">
        <v>1359</v>
      </c>
      <c r="U138" s="54"/>
      <c r="V138" s="54"/>
      <c r="W138" s="49"/>
      <c r="X138" s="49"/>
    </row>
    <row r="139" spans="1:24" ht="15.75" customHeight="1">
      <c r="A139" s="101"/>
      <c r="B139" s="32"/>
      <c r="C139" s="52">
        <v>45376</v>
      </c>
      <c r="D139" s="53" t="s">
        <v>1155</v>
      </c>
      <c r="E139" s="53" t="s">
        <v>342</v>
      </c>
      <c r="F139" s="53" t="s">
        <v>343</v>
      </c>
      <c r="G139" s="53" t="s">
        <v>1361</v>
      </c>
      <c r="H139" s="53" t="s">
        <v>30</v>
      </c>
      <c r="I139" s="53">
        <v>100</v>
      </c>
      <c r="J139" s="54">
        <v>13.5</v>
      </c>
      <c r="K139" s="54">
        <f t="shared" ref="K139:K146" si="13">J139:J140*I139</f>
        <v>1350</v>
      </c>
      <c r="L139" s="55" t="b">
        <v>1</v>
      </c>
      <c r="M139" s="56">
        <v>250320241023</v>
      </c>
      <c r="N139" s="57" t="b">
        <v>1</v>
      </c>
      <c r="O139" s="58" t="s">
        <v>39</v>
      </c>
      <c r="P139" s="59" t="b">
        <v>1</v>
      </c>
      <c r="Q139" s="78"/>
      <c r="R139" s="60"/>
      <c r="S139" s="47" t="b">
        <v>1</v>
      </c>
      <c r="T139" s="61" t="s">
        <v>1362</v>
      </c>
      <c r="U139" s="54">
        <f>100*2.95</f>
        <v>295</v>
      </c>
      <c r="V139" s="54">
        <f t="shared" ref="V139:V164" si="14">K139-U139</f>
        <v>1055</v>
      </c>
      <c r="W139" s="49"/>
      <c r="X139" s="49"/>
    </row>
    <row r="140" spans="1:24" ht="15.75" customHeight="1">
      <c r="A140" s="101"/>
      <c r="B140" s="32"/>
      <c r="C140" s="52">
        <v>45376</v>
      </c>
      <c r="D140" s="53" t="s">
        <v>282</v>
      </c>
      <c r="E140" s="53" t="s">
        <v>74</v>
      </c>
      <c r="F140" s="53" t="s">
        <v>365</v>
      </c>
      <c r="G140" s="53" t="s">
        <v>1363</v>
      </c>
      <c r="H140" s="53" t="s">
        <v>30</v>
      </c>
      <c r="I140" s="53">
        <v>19</v>
      </c>
      <c r="J140" s="54">
        <v>105</v>
      </c>
      <c r="K140" s="54">
        <f t="shared" si="13"/>
        <v>1995</v>
      </c>
      <c r="L140" s="55" t="b">
        <v>1</v>
      </c>
      <c r="M140" s="56">
        <v>250320251229</v>
      </c>
      <c r="N140" s="57" t="b">
        <v>1</v>
      </c>
      <c r="O140" s="58"/>
      <c r="P140" s="59" t="b">
        <v>1</v>
      </c>
      <c r="Q140" s="78"/>
      <c r="R140" s="60"/>
      <c r="S140" s="47" t="b">
        <v>1</v>
      </c>
      <c r="T140" s="61" t="s">
        <v>1364</v>
      </c>
      <c r="U140" s="54">
        <f>19*75</f>
        <v>1425</v>
      </c>
      <c r="V140" s="54">
        <f t="shared" si="14"/>
        <v>570</v>
      </c>
      <c r="W140" s="49"/>
      <c r="X140" s="49"/>
    </row>
    <row r="141" spans="1:24" ht="15.75" customHeight="1">
      <c r="A141" s="101"/>
      <c r="B141" s="32"/>
      <c r="C141" s="52">
        <v>45376</v>
      </c>
      <c r="D141" s="53" t="s">
        <v>282</v>
      </c>
      <c r="E141" s="53" t="s">
        <v>1365</v>
      </c>
      <c r="F141" s="53" t="s">
        <v>365</v>
      </c>
      <c r="G141" s="53" t="s">
        <v>1366</v>
      </c>
      <c r="H141" s="53" t="s">
        <v>30</v>
      </c>
      <c r="I141" s="53">
        <v>15</v>
      </c>
      <c r="J141" s="54">
        <v>70</v>
      </c>
      <c r="K141" s="54">
        <f t="shared" si="13"/>
        <v>1050</v>
      </c>
      <c r="L141" s="55" t="b">
        <v>1</v>
      </c>
      <c r="M141" s="56">
        <v>250320251230</v>
      </c>
      <c r="N141" s="57" t="b">
        <v>1</v>
      </c>
      <c r="O141" s="58"/>
      <c r="P141" s="59" t="b">
        <v>1</v>
      </c>
      <c r="Q141" s="78"/>
      <c r="R141" s="60"/>
      <c r="S141" s="47" t="b">
        <v>1</v>
      </c>
      <c r="T141" s="61" t="s">
        <v>1364</v>
      </c>
      <c r="U141" s="54"/>
      <c r="V141" s="54">
        <f t="shared" si="14"/>
        <v>1050</v>
      </c>
      <c r="W141" s="49"/>
      <c r="X141" s="49"/>
    </row>
    <row r="142" spans="1:24" ht="15.75" customHeight="1">
      <c r="A142" s="101"/>
      <c r="B142" s="124"/>
      <c r="C142" s="52">
        <v>45376</v>
      </c>
      <c r="D142" s="53" t="s">
        <v>418</v>
      </c>
      <c r="E142" s="53" t="s">
        <v>230</v>
      </c>
      <c r="F142" s="53" t="s">
        <v>231</v>
      </c>
      <c r="G142" s="53" t="s">
        <v>1367</v>
      </c>
      <c r="H142" s="53" t="s">
        <v>30</v>
      </c>
      <c r="I142" s="53">
        <v>10</v>
      </c>
      <c r="J142" s="54">
        <v>745</v>
      </c>
      <c r="K142" s="54">
        <f t="shared" si="13"/>
        <v>7450</v>
      </c>
      <c r="L142" s="55" t="b">
        <v>1</v>
      </c>
      <c r="M142" s="56">
        <v>250320241530</v>
      </c>
      <c r="N142" s="57" t="b">
        <v>1</v>
      </c>
      <c r="O142" s="58" t="s">
        <v>31</v>
      </c>
      <c r="P142" s="59" t="b">
        <v>1</v>
      </c>
      <c r="Q142" s="78"/>
      <c r="R142" s="60"/>
      <c r="S142" s="47" t="b">
        <v>1</v>
      </c>
      <c r="T142" s="61" t="s">
        <v>1368</v>
      </c>
      <c r="U142" s="54">
        <f>10*350</f>
        <v>3500</v>
      </c>
      <c r="V142" s="54">
        <f t="shared" si="14"/>
        <v>3950</v>
      </c>
      <c r="W142" s="49"/>
      <c r="X142" s="49"/>
    </row>
    <row r="143" spans="1:24" ht="15.75" customHeight="1">
      <c r="A143" s="101"/>
      <c r="B143" s="124"/>
      <c r="C143" s="52">
        <v>45376</v>
      </c>
      <c r="D143" s="53" t="s">
        <v>397</v>
      </c>
      <c r="E143" s="53" t="s">
        <v>646</v>
      </c>
      <c r="F143" s="53" t="s">
        <v>1369</v>
      </c>
      <c r="G143" s="53" t="s">
        <v>1370</v>
      </c>
      <c r="H143" s="53" t="s">
        <v>30</v>
      </c>
      <c r="I143" s="53">
        <v>1</v>
      </c>
      <c r="J143" s="54">
        <v>1050</v>
      </c>
      <c r="K143" s="54">
        <f t="shared" si="13"/>
        <v>1050</v>
      </c>
      <c r="L143" s="55" t="b">
        <v>1</v>
      </c>
      <c r="M143" s="56">
        <v>250320241530</v>
      </c>
      <c r="N143" s="57" t="b">
        <v>1</v>
      </c>
      <c r="O143" s="58"/>
      <c r="P143" s="59" t="b">
        <v>1</v>
      </c>
      <c r="Q143" s="78"/>
      <c r="R143" s="60"/>
      <c r="S143" s="47" t="b">
        <v>1</v>
      </c>
      <c r="T143" s="61" t="s">
        <v>1371</v>
      </c>
      <c r="U143" s="54">
        <f>1*650</f>
        <v>650</v>
      </c>
      <c r="V143" s="54">
        <f t="shared" si="14"/>
        <v>400</v>
      </c>
      <c r="W143" s="49"/>
      <c r="X143" s="49"/>
    </row>
    <row r="144" spans="1:24" ht="15.75" customHeight="1">
      <c r="A144" s="101"/>
      <c r="B144" s="124"/>
      <c r="C144" s="52">
        <v>45376</v>
      </c>
      <c r="D144" s="53" t="s">
        <v>51</v>
      </c>
      <c r="E144" s="53" t="s">
        <v>1372</v>
      </c>
      <c r="F144" s="53" t="s">
        <v>202</v>
      </c>
      <c r="G144" s="53" t="s">
        <v>63</v>
      </c>
      <c r="H144" s="53" t="s">
        <v>30</v>
      </c>
      <c r="I144" s="53">
        <v>100</v>
      </c>
      <c r="J144" s="54">
        <v>30</v>
      </c>
      <c r="K144" s="54">
        <f t="shared" si="13"/>
        <v>3000</v>
      </c>
      <c r="L144" s="55" t="b">
        <v>1</v>
      </c>
      <c r="M144" s="56">
        <v>250320241530</v>
      </c>
      <c r="N144" s="57" t="b">
        <v>1</v>
      </c>
      <c r="O144" s="58" t="s">
        <v>31</v>
      </c>
      <c r="P144" s="59" t="b">
        <v>1</v>
      </c>
      <c r="Q144" s="78"/>
      <c r="R144" s="60"/>
      <c r="S144" s="47" t="b">
        <v>1</v>
      </c>
      <c r="T144" s="61" t="s">
        <v>1373</v>
      </c>
      <c r="U144" s="54">
        <f>100*7</f>
        <v>700</v>
      </c>
      <c r="V144" s="54">
        <f t="shared" si="14"/>
        <v>2300</v>
      </c>
      <c r="W144" s="49"/>
      <c r="X144" s="49"/>
    </row>
    <row r="145" spans="1:24" ht="15.75" customHeight="1">
      <c r="A145" s="101"/>
      <c r="B145" s="124"/>
      <c r="C145" s="52">
        <v>45376</v>
      </c>
      <c r="D145" s="53" t="s">
        <v>51</v>
      </c>
      <c r="E145" s="53" t="s">
        <v>201</v>
      </c>
      <c r="F145" s="53" t="s">
        <v>202</v>
      </c>
      <c r="G145" s="53" t="s">
        <v>1374</v>
      </c>
      <c r="H145" s="53" t="s">
        <v>30</v>
      </c>
      <c r="I145" s="53">
        <v>50</v>
      </c>
      <c r="J145" s="54">
        <v>60</v>
      </c>
      <c r="K145" s="54">
        <f t="shared" si="13"/>
        <v>3000</v>
      </c>
      <c r="L145" s="55" t="b">
        <v>1</v>
      </c>
      <c r="M145" s="56">
        <v>250320241530</v>
      </c>
      <c r="N145" s="57" t="b">
        <v>1</v>
      </c>
      <c r="O145" s="58" t="s">
        <v>31</v>
      </c>
      <c r="P145" s="59" t="b">
        <v>1</v>
      </c>
      <c r="Q145" s="78"/>
      <c r="R145" s="60"/>
      <c r="S145" s="47" t="b">
        <v>1</v>
      </c>
      <c r="T145" s="61" t="s">
        <v>1373</v>
      </c>
      <c r="U145" s="54">
        <f>50*30</f>
        <v>1500</v>
      </c>
      <c r="V145" s="54">
        <f t="shared" si="14"/>
        <v>1500</v>
      </c>
      <c r="W145" s="49"/>
      <c r="X145" s="49"/>
    </row>
    <row r="146" spans="1:24" ht="16.5" customHeight="1">
      <c r="A146" s="101"/>
      <c r="B146" s="124"/>
      <c r="C146" s="52">
        <v>45376</v>
      </c>
      <c r="D146" s="53" t="s">
        <v>263</v>
      </c>
      <c r="E146" s="53" t="s">
        <v>248</v>
      </c>
      <c r="F146" s="53" t="s">
        <v>451</v>
      </c>
      <c r="G146" s="53" t="s">
        <v>1181</v>
      </c>
      <c r="H146" s="53" t="s">
        <v>30</v>
      </c>
      <c r="I146" s="53">
        <v>20</v>
      </c>
      <c r="J146" s="75">
        <v>115</v>
      </c>
      <c r="K146" s="54">
        <f t="shared" si="13"/>
        <v>2300</v>
      </c>
      <c r="L146" s="55" t="b">
        <v>1</v>
      </c>
      <c r="M146" s="56">
        <v>250320241530</v>
      </c>
      <c r="N146" s="57" t="b">
        <v>1</v>
      </c>
      <c r="O146" s="58" t="s">
        <v>31</v>
      </c>
      <c r="P146" s="59" t="b">
        <v>1</v>
      </c>
      <c r="Q146" s="78"/>
      <c r="R146" s="60"/>
      <c r="S146" s="47" t="b">
        <v>1</v>
      </c>
      <c r="T146" s="61" t="s">
        <v>1375</v>
      </c>
      <c r="U146" s="54">
        <f>20*60</f>
        <v>1200</v>
      </c>
      <c r="V146" s="54">
        <f t="shared" si="14"/>
        <v>1100</v>
      </c>
      <c r="W146" s="49"/>
      <c r="X146" s="49"/>
    </row>
    <row r="147" spans="1:24" ht="15.75" customHeight="1">
      <c r="A147" s="101"/>
      <c r="B147" s="124"/>
      <c r="C147" s="52">
        <v>45376</v>
      </c>
      <c r="D147" s="53" t="s">
        <v>263</v>
      </c>
      <c r="E147" s="53" t="s">
        <v>248</v>
      </c>
      <c r="F147" s="53" t="s">
        <v>451</v>
      </c>
      <c r="G147" s="53" t="s">
        <v>1168</v>
      </c>
      <c r="H147" s="53" t="s">
        <v>30</v>
      </c>
      <c r="I147" s="53">
        <v>20</v>
      </c>
      <c r="J147" s="54">
        <v>300</v>
      </c>
      <c r="K147" s="54">
        <f>J147*I147</f>
        <v>6000</v>
      </c>
      <c r="L147" s="55" t="b">
        <v>1</v>
      </c>
      <c r="M147" s="56">
        <v>250320241530</v>
      </c>
      <c r="N147" s="57" t="b">
        <v>1</v>
      </c>
      <c r="O147" s="58" t="s">
        <v>31</v>
      </c>
      <c r="P147" s="59" t="b">
        <v>1</v>
      </c>
      <c r="Q147" s="78"/>
      <c r="R147" s="60"/>
      <c r="S147" s="47" t="b">
        <v>1</v>
      </c>
      <c r="T147" s="61" t="s">
        <v>1375</v>
      </c>
      <c r="U147" s="54">
        <f>20*120</f>
        <v>2400</v>
      </c>
      <c r="V147" s="54">
        <f t="shared" si="14"/>
        <v>3600</v>
      </c>
      <c r="W147" s="49"/>
      <c r="X147" s="49"/>
    </row>
    <row r="148" spans="1:24" ht="15.75" customHeight="1">
      <c r="A148" s="101"/>
      <c r="B148" s="32"/>
      <c r="C148" s="52">
        <v>45377</v>
      </c>
      <c r="D148" s="53" t="s">
        <v>282</v>
      </c>
      <c r="E148" s="53" t="s">
        <v>74</v>
      </c>
      <c r="F148" s="53" t="s">
        <v>365</v>
      </c>
      <c r="G148" s="66" t="s">
        <v>103</v>
      </c>
      <c r="H148" s="53" t="s">
        <v>30</v>
      </c>
      <c r="I148" s="53">
        <v>10</v>
      </c>
      <c r="J148" s="75">
        <v>180</v>
      </c>
      <c r="K148" s="54">
        <f t="shared" ref="K148:K163" si="15">J148:J149*I148</f>
        <v>1800</v>
      </c>
      <c r="L148" s="55" t="b">
        <v>1</v>
      </c>
      <c r="M148" s="56">
        <v>260320241337</v>
      </c>
      <c r="N148" s="57" t="b">
        <v>1</v>
      </c>
      <c r="O148" s="58" t="s">
        <v>31</v>
      </c>
      <c r="P148" s="59" t="b">
        <v>1</v>
      </c>
      <c r="Q148" s="78"/>
      <c r="R148" s="60"/>
      <c r="S148" s="47" t="b">
        <v>1</v>
      </c>
      <c r="T148" s="61" t="s">
        <v>1376</v>
      </c>
      <c r="U148" s="54"/>
      <c r="V148" s="54">
        <f t="shared" si="14"/>
        <v>1800</v>
      </c>
      <c r="W148" s="49"/>
      <c r="X148" s="49"/>
    </row>
    <row r="149" spans="1:24" ht="15.75" customHeight="1">
      <c r="A149" s="101"/>
      <c r="B149" s="32"/>
      <c r="C149" s="52">
        <v>45377</v>
      </c>
      <c r="D149" s="53" t="s">
        <v>282</v>
      </c>
      <c r="E149" s="53" t="s">
        <v>74</v>
      </c>
      <c r="F149" s="53" t="s">
        <v>365</v>
      </c>
      <c r="G149" s="66" t="s">
        <v>1377</v>
      </c>
      <c r="H149" s="53" t="s">
        <v>30</v>
      </c>
      <c r="I149" s="53">
        <v>10</v>
      </c>
      <c r="J149" s="75">
        <v>1495</v>
      </c>
      <c r="K149" s="54">
        <f t="shared" si="15"/>
        <v>14950</v>
      </c>
      <c r="L149" s="55" t="b">
        <v>1</v>
      </c>
      <c r="M149" s="56">
        <v>260320241338</v>
      </c>
      <c r="N149" s="57" t="b">
        <v>1</v>
      </c>
      <c r="O149" s="58" t="s">
        <v>31</v>
      </c>
      <c r="P149" s="59" t="b">
        <v>1</v>
      </c>
      <c r="Q149" s="78"/>
      <c r="R149" s="60"/>
      <c r="S149" s="47" t="b">
        <v>1</v>
      </c>
      <c r="T149" s="61" t="s">
        <v>1376</v>
      </c>
      <c r="U149" s="54">
        <f>10*680</f>
        <v>6800</v>
      </c>
      <c r="V149" s="54">
        <f t="shared" si="14"/>
        <v>8150</v>
      </c>
      <c r="W149" s="49"/>
      <c r="X149" s="49"/>
    </row>
    <row r="150" spans="1:24" ht="15.75" customHeight="1">
      <c r="A150" s="101"/>
      <c r="B150" s="32"/>
      <c r="C150" s="52">
        <v>45377</v>
      </c>
      <c r="D150" s="53" t="s">
        <v>433</v>
      </c>
      <c r="E150" s="53" t="s">
        <v>434</v>
      </c>
      <c r="F150" s="53" t="s">
        <v>435</v>
      </c>
      <c r="G150" s="66" t="s">
        <v>436</v>
      </c>
      <c r="H150" s="53" t="s">
        <v>30</v>
      </c>
      <c r="I150" s="53">
        <v>30</v>
      </c>
      <c r="J150" s="75">
        <v>135</v>
      </c>
      <c r="K150" s="54">
        <f t="shared" si="15"/>
        <v>4050</v>
      </c>
      <c r="L150" s="55" t="b">
        <v>1</v>
      </c>
      <c r="M150" s="56">
        <v>260320241423</v>
      </c>
      <c r="N150" s="57" t="b">
        <v>1</v>
      </c>
      <c r="O150" s="58" t="s">
        <v>31</v>
      </c>
      <c r="P150" s="59" t="b">
        <v>1</v>
      </c>
      <c r="Q150" s="78"/>
      <c r="R150" s="60"/>
      <c r="S150" s="47" t="b">
        <v>1</v>
      </c>
      <c r="T150" s="61" t="s">
        <v>1378</v>
      </c>
      <c r="U150" s="54">
        <f>30*90</f>
        <v>2700</v>
      </c>
      <c r="V150" s="54">
        <f t="shared" si="14"/>
        <v>1350</v>
      </c>
      <c r="W150" s="49"/>
      <c r="X150" s="49"/>
    </row>
    <row r="151" spans="1:24" ht="15.75" customHeight="1">
      <c r="A151" s="101"/>
      <c r="B151" s="32"/>
      <c r="C151" s="52">
        <v>45377</v>
      </c>
      <c r="D151" s="53" t="s">
        <v>433</v>
      </c>
      <c r="E151" s="53" t="s">
        <v>434</v>
      </c>
      <c r="F151" s="53" t="s">
        <v>435</v>
      </c>
      <c r="G151" s="66" t="s">
        <v>627</v>
      </c>
      <c r="H151" s="53" t="s">
        <v>30</v>
      </c>
      <c r="I151" s="53">
        <v>2</v>
      </c>
      <c r="J151" s="75">
        <v>150</v>
      </c>
      <c r="K151" s="54">
        <f t="shared" si="15"/>
        <v>300</v>
      </c>
      <c r="L151" s="55" t="b">
        <v>1</v>
      </c>
      <c r="M151" s="56">
        <v>260320241423</v>
      </c>
      <c r="N151" s="57" t="b">
        <v>1</v>
      </c>
      <c r="O151" s="58"/>
      <c r="P151" s="59" t="b">
        <v>1</v>
      </c>
      <c r="Q151" s="78"/>
      <c r="R151" s="60"/>
      <c r="S151" s="47" t="b">
        <v>1</v>
      </c>
      <c r="T151" s="61" t="s">
        <v>1379</v>
      </c>
      <c r="U151" s="54"/>
      <c r="V151" s="54">
        <f t="shared" si="14"/>
        <v>300</v>
      </c>
      <c r="W151" s="49"/>
      <c r="X151" s="49"/>
    </row>
    <row r="152" spans="1:24" ht="15.75" customHeight="1">
      <c r="A152" s="101"/>
      <c r="B152" s="32"/>
      <c r="C152" s="52">
        <v>45377</v>
      </c>
      <c r="D152" s="53" t="s">
        <v>51</v>
      </c>
      <c r="E152" s="53" t="s">
        <v>66</v>
      </c>
      <c r="F152" s="53" t="s">
        <v>67</v>
      </c>
      <c r="G152" s="66" t="s">
        <v>68</v>
      </c>
      <c r="H152" s="53" t="s">
        <v>30</v>
      </c>
      <c r="I152" s="53">
        <v>4</v>
      </c>
      <c r="J152" s="75">
        <v>2100</v>
      </c>
      <c r="K152" s="54">
        <f t="shared" si="15"/>
        <v>8400</v>
      </c>
      <c r="L152" s="55" t="b">
        <v>1</v>
      </c>
      <c r="M152" s="56">
        <v>260320241709</v>
      </c>
      <c r="N152" s="57" t="b">
        <v>1</v>
      </c>
      <c r="O152" s="63"/>
      <c r="P152" s="59" t="b">
        <v>1</v>
      </c>
      <c r="Q152" s="78"/>
      <c r="R152" s="60"/>
      <c r="S152" s="47" t="b">
        <v>1</v>
      </c>
      <c r="T152" s="61" t="s">
        <v>1380</v>
      </c>
      <c r="U152" s="54">
        <f>12000*0.3194</f>
        <v>3832.8</v>
      </c>
      <c r="V152" s="54">
        <f t="shared" si="14"/>
        <v>4567.2</v>
      </c>
      <c r="W152" s="49"/>
      <c r="X152" s="49"/>
    </row>
    <row r="153" spans="1:24" ht="15.75" customHeight="1">
      <c r="A153" s="101"/>
      <c r="B153" s="32"/>
      <c r="C153" s="52">
        <v>45378</v>
      </c>
      <c r="D153" s="53" t="s">
        <v>433</v>
      </c>
      <c r="E153" s="53" t="s">
        <v>751</v>
      </c>
      <c r="F153" s="53" t="s">
        <v>752</v>
      </c>
      <c r="G153" s="66" t="s">
        <v>1381</v>
      </c>
      <c r="H153" s="53" t="s">
        <v>30</v>
      </c>
      <c r="I153" s="53">
        <v>1</v>
      </c>
      <c r="J153" s="75">
        <v>8250</v>
      </c>
      <c r="K153" s="54">
        <f t="shared" si="15"/>
        <v>8250</v>
      </c>
      <c r="L153" s="55" t="b">
        <v>1</v>
      </c>
      <c r="M153" s="56">
        <v>270320241217</v>
      </c>
      <c r="N153" s="57" t="b">
        <v>0</v>
      </c>
      <c r="O153" s="58"/>
      <c r="P153" s="59" t="b">
        <v>1</v>
      </c>
      <c r="Q153" s="78"/>
      <c r="R153" s="60"/>
      <c r="S153" s="47" t="b">
        <v>1</v>
      </c>
      <c r="T153" s="61" t="s">
        <v>1382</v>
      </c>
      <c r="U153" s="54"/>
      <c r="V153" s="54">
        <f t="shared" si="14"/>
        <v>8250</v>
      </c>
      <c r="W153" s="49"/>
      <c r="X153" s="49"/>
    </row>
    <row r="154" spans="1:24" ht="15.75" customHeight="1">
      <c r="A154" s="101"/>
      <c r="B154" s="32"/>
      <c r="C154" s="52">
        <v>45378</v>
      </c>
      <c r="D154" s="53" t="s">
        <v>433</v>
      </c>
      <c r="E154" s="53" t="s">
        <v>751</v>
      </c>
      <c r="F154" s="53" t="s">
        <v>752</v>
      </c>
      <c r="G154" s="66" t="s">
        <v>1383</v>
      </c>
      <c r="H154" s="53" t="s">
        <v>30</v>
      </c>
      <c r="I154" s="53">
        <v>1</v>
      </c>
      <c r="J154" s="75">
        <v>3000</v>
      </c>
      <c r="K154" s="54">
        <f t="shared" si="15"/>
        <v>3000</v>
      </c>
      <c r="L154" s="55" t="b">
        <v>1</v>
      </c>
      <c r="M154" s="56"/>
      <c r="N154" s="57" t="b">
        <v>0</v>
      </c>
      <c r="O154" s="58"/>
      <c r="P154" s="59" t="b">
        <v>1</v>
      </c>
      <c r="Q154" s="78"/>
      <c r="R154" s="60"/>
      <c r="S154" s="47" t="b">
        <v>1</v>
      </c>
      <c r="T154" s="61" t="s">
        <v>1382</v>
      </c>
      <c r="U154" s="54">
        <v>1800</v>
      </c>
      <c r="V154" s="54">
        <f t="shared" si="14"/>
        <v>1200</v>
      </c>
      <c r="W154" s="49"/>
      <c r="X154" s="49"/>
    </row>
    <row r="155" spans="1:24" ht="15.75" customHeight="1">
      <c r="A155" s="101"/>
      <c r="B155" s="32"/>
      <c r="C155" s="52">
        <v>45378</v>
      </c>
      <c r="D155" s="53" t="s">
        <v>26</v>
      </c>
      <c r="E155" s="53" t="s">
        <v>158</v>
      </c>
      <c r="F155" s="53" t="s">
        <v>1014</v>
      </c>
      <c r="G155" s="66" t="s">
        <v>103</v>
      </c>
      <c r="H155" s="53" t="s">
        <v>30</v>
      </c>
      <c r="I155" s="53">
        <v>10</v>
      </c>
      <c r="J155" s="54">
        <v>180</v>
      </c>
      <c r="K155" s="54">
        <f t="shared" si="15"/>
        <v>1800</v>
      </c>
      <c r="L155" s="55" t="b">
        <v>1</v>
      </c>
      <c r="M155" s="56">
        <v>270320241410</v>
      </c>
      <c r="N155" s="57" t="b">
        <v>1</v>
      </c>
      <c r="O155" s="58"/>
      <c r="P155" s="59" t="b">
        <v>1</v>
      </c>
      <c r="Q155" s="78"/>
      <c r="R155" s="60"/>
      <c r="S155" s="47" t="b">
        <v>1</v>
      </c>
      <c r="T155" s="61" t="s">
        <v>1384</v>
      </c>
      <c r="U155" s="54">
        <f>10*70</f>
        <v>700</v>
      </c>
      <c r="V155" s="54">
        <f t="shared" si="14"/>
        <v>1100</v>
      </c>
      <c r="W155" s="49"/>
      <c r="X155" s="49"/>
    </row>
    <row r="156" spans="1:24" ht="15.75" customHeight="1">
      <c r="A156" s="101"/>
      <c r="B156" s="32"/>
      <c r="C156" s="52">
        <v>45378</v>
      </c>
      <c r="D156" s="53" t="s">
        <v>104</v>
      </c>
      <c r="E156" s="53" t="s">
        <v>486</v>
      </c>
      <c r="F156" s="53" t="s">
        <v>241</v>
      </c>
      <c r="G156" s="66" t="s">
        <v>68</v>
      </c>
      <c r="H156" s="53" t="s">
        <v>30</v>
      </c>
      <c r="I156" s="53">
        <v>3000</v>
      </c>
      <c r="J156" s="54">
        <v>0.75</v>
      </c>
      <c r="K156" s="54">
        <f t="shared" si="15"/>
        <v>2250</v>
      </c>
      <c r="L156" s="55" t="b">
        <v>1</v>
      </c>
      <c r="M156" s="56">
        <v>270320241410</v>
      </c>
      <c r="N156" s="57" t="b">
        <v>1</v>
      </c>
      <c r="O156" s="58"/>
      <c r="P156" s="59" t="b">
        <v>1</v>
      </c>
      <c r="Q156" s="78"/>
      <c r="R156" s="60"/>
      <c r="S156" s="47" t="b">
        <v>1</v>
      </c>
      <c r="T156" s="61" t="s">
        <v>1385</v>
      </c>
      <c r="U156" s="54">
        <f>3000*0.3194</f>
        <v>958.2</v>
      </c>
      <c r="V156" s="54">
        <f t="shared" si="14"/>
        <v>1291.8</v>
      </c>
      <c r="W156" s="49"/>
      <c r="X156" s="49"/>
    </row>
    <row r="157" spans="1:24" ht="15.75" customHeight="1">
      <c r="A157" s="101"/>
      <c r="B157" s="32"/>
      <c r="C157" s="52">
        <v>45378</v>
      </c>
      <c r="D157" s="53" t="s">
        <v>104</v>
      </c>
      <c r="E157" s="53" t="s">
        <v>486</v>
      </c>
      <c r="F157" s="53" t="s">
        <v>241</v>
      </c>
      <c r="G157" s="66" t="s">
        <v>101</v>
      </c>
      <c r="H157" s="53" t="s">
        <v>30</v>
      </c>
      <c r="I157" s="53">
        <v>5</v>
      </c>
      <c r="J157" s="75">
        <v>595</v>
      </c>
      <c r="K157" s="54">
        <f t="shared" si="15"/>
        <v>2975</v>
      </c>
      <c r="L157" s="55" t="b">
        <v>1</v>
      </c>
      <c r="M157" s="56">
        <v>270320241410</v>
      </c>
      <c r="N157" s="57" t="b">
        <v>1</v>
      </c>
      <c r="O157" s="58" t="s">
        <v>31</v>
      </c>
      <c r="P157" s="59" t="b">
        <v>1</v>
      </c>
      <c r="Q157" s="78"/>
      <c r="R157" s="86"/>
      <c r="S157" s="47" t="b">
        <v>1</v>
      </c>
      <c r="T157" s="61" t="s">
        <v>1386</v>
      </c>
      <c r="U157" s="54">
        <f>5*350</f>
        <v>1750</v>
      </c>
      <c r="V157" s="54">
        <f t="shared" si="14"/>
        <v>1225</v>
      </c>
      <c r="W157" s="49"/>
      <c r="X157" s="49"/>
    </row>
    <row r="158" spans="1:24" ht="15.75" customHeight="1">
      <c r="A158" s="101"/>
      <c r="B158" s="32"/>
      <c r="C158" s="52">
        <v>45378</v>
      </c>
      <c r="D158" s="53" t="s">
        <v>104</v>
      </c>
      <c r="E158" s="53" t="s">
        <v>486</v>
      </c>
      <c r="F158" s="53" t="s">
        <v>241</v>
      </c>
      <c r="G158" s="66" t="s">
        <v>83</v>
      </c>
      <c r="H158" s="53" t="s">
        <v>30</v>
      </c>
      <c r="I158" s="53">
        <v>2000</v>
      </c>
      <c r="J158" s="75">
        <v>1.5</v>
      </c>
      <c r="K158" s="54">
        <f t="shared" si="15"/>
        <v>3000</v>
      </c>
      <c r="L158" s="55" t="b">
        <v>1</v>
      </c>
      <c r="M158" s="56">
        <v>270320241410</v>
      </c>
      <c r="N158" s="57" t="b">
        <v>1</v>
      </c>
      <c r="O158" s="58" t="s">
        <v>31</v>
      </c>
      <c r="P158" s="59" t="b">
        <v>1</v>
      </c>
      <c r="Q158" s="78"/>
      <c r="R158" s="86"/>
      <c r="S158" s="47" t="b">
        <v>1</v>
      </c>
      <c r="T158" s="61" t="s">
        <v>1386</v>
      </c>
      <c r="U158" s="54">
        <f>2000*1</f>
        <v>2000</v>
      </c>
      <c r="V158" s="54">
        <f t="shared" si="14"/>
        <v>1000</v>
      </c>
      <c r="W158" s="49"/>
      <c r="X158" s="49"/>
    </row>
    <row r="159" spans="1:24" ht="15.75" customHeight="1">
      <c r="A159" s="101"/>
      <c r="B159" s="32"/>
      <c r="C159" s="52">
        <v>45378</v>
      </c>
      <c r="D159" s="53" t="s">
        <v>51</v>
      </c>
      <c r="E159" s="53" t="s">
        <v>137</v>
      </c>
      <c r="F159" s="53" t="s">
        <v>138</v>
      </c>
      <c r="G159" s="66" t="s">
        <v>49</v>
      </c>
      <c r="H159" s="53" t="s">
        <v>30</v>
      </c>
      <c r="I159" s="53">
        <v>3</v>
      </c>
      <c r="J159" s="75">
        <v>695</v>
      </c>
      <c r="K159" s="54">
        <f t="shared" si="15"/>
        <v>2085</v>
      </c>
      <c r="L159" s="55" t="b">
        <v>1</v>
      </c>
      <c r="M159" s="56">
        <v>270320241700</v>
      </c>
      <c r="N159" s="57" t="b">
        <v>1</v>
      </c>
      <c r="O159" s="58" t="s">
        <v>31</v>
      </c>
      <c r="P159" s="59" t="b">
        <v>1</v>
      </c>
      <c r="Q159" s="78"/>
      <c r="R159" s="86"/>
      <c r="S159" s="47" t="b">
        <v>1</v>
      </c>
      <c r="T159" s="61" t="s">
        <v>1387</v>
      </c>
      <c r="U159" s="54">
        <f>3000*0.46</f>
        <v>1380</v>
      </c>
      <c r="V159" s="54">
        <f t="shared" si="14"/>
        <v>705</v>
      </c>
      <c r="W159" s="49"/>
      <c r="X159" s="49"/>
    </row>
    <row r="160" spans="1:24" ht="15.75" customHeight="1">
      <c r="A160" s="1"/>
      <c r="B160" s="1"/>
      <c r="C160" s="52">
        <v>45378</v>
      </c>
      <c r="D160" s="53" t="s">
        <v>418</v>
      </c>
      <c r="E160" s="53" t="s">
        <v>42</v>
      </c>
      <c r="F160" s="53" t="s">
        <v>209</v>
      </c>
      <c r="G160" s="66" t="s">
        <v>1388</v>
      </c>
      <c r="H160" s="53" t="s">
        <v>30</v>
      </c>
      <c r="I160" s="53">
        <v>12</v>
      </c>
      <c r="J160" s="75">
        <v>390</v>
      </c>
      <c r="K160" s="54">
        <f t="shared" si="15"/>
        <v>4680</v>
      </c>
      <c r="L160" s="55" t="b">
        <v>1</v>
      </c>
      <c r="M160" s="56">
        <v>270320241828</v>
      </c>
      <c r="N160" s="57" t="b">
        <v>1</v>
      </c>
      <c r="O160" s="58" t="s">
        <v>31</v>
      </c>
      <c r="P160" s="59" t="b">
        <v>1</v>
      </c>
      <c r="Q160" s="78"/>
      <c r="R160" s="86"/>
      <c r="S160" s="47" t="b">
        <v>1</v>
      </c>
      <c r="T160" s="61" t="s">
        <v>1389</v>
      </c>
      <c r="U160" s="54"/>
      <c r="V160" s="54">
        <f t="shared" si="14"/>
        <v>4680</v>
      </c>
      <c r="W160" s="49"/>
      <c r="X160" s="49"/>
    </row>
    <row r="161" spans="1:24" ht="15.75" customHeight="1">
      <c r="A161" s="1"/>
      <c r="B161" s="1"/>
      <c r="C161" s="52">
        <v>45379</v>
      </c>
      <c r="D161" s="53" t="s">
        <v>1194</v>
      </c>
      <c r="E161" s="53" t="s">
        <v>122</v>
      </c>
      <c r="F161" s="53" t="s">
        <v>582</v>
      </c>
      <c r="G161" s="66" t="s">
        <v>1390</v>
      </c>
      <c r="H161" s="53" t="s">
        <v>30</v>
      </c>
      <c r="I161" s="53">
        <v>4</v>
      </c>
      <c r="J161" s="75">
        <v>800</v>
      </c>
      <c r="K161" s="54">
        <f t="shared" si="15"/>
        <v>3200</v>
      </c>
      <c r="L161" s="55" t="b">
        <v>1</v>
      </c>
      <c r="M161" s="56">
        <v>280320241252</v>
      </c>
      <c r="N161" s="57" t="b">
        <v>1</v>
      </c>
      <c r="O161" s="58" t="s">
        <v>31</v>
      </c>
      <c r="P161" s="59" t="b">
        <v>1</v>
      </c>
      <c r="Q161" s="78"/>
      <c r="R161" s="86"/>
      <c r="S161" s="47" t="b">
        <v>1</v>
      </c>
      <c r="T161" s="61" t="s">
        <v>1391</v>
      </c>
      <c r="U161" s="54">
        <f>4*450</f>
        <v>1800</v>
      </c>
      <c r="V161" s="54">
        <f t="shared" si="14"/>
        <v>1400</v>
      </c>
      <c r="W161" s="49"/>
      <c r="X161" s="49"/>
    </row>
    <row r="162" spans="1:24" ht="15.75" customHeight="1">
      <c r="A162" s="1"/>
      <c r="B162" s="1"/>
      <c r="C162" s="52">
        <v>45379</v>
      </c>
      <c r="D162" s="53" t="s">
        <v>51</v>
      </c>
      <c r="E162" s="53" t="s">
        <v>372</v>
      </c>
      <c r="F162" s="53" t="s">
        <v>373</v>
      </c>
      <c r="G162" s="66" t="s">
        <v>1392</v>
      </c>
      <c r="H162" s="53" t="s">
        <v>30</v>
      </c>
      <c r="I162" s="53">
        <v>1</v>
      </c>
      <c r="J162" s="75">
        <v>3600</v>
      </c>
      <c r="K162" s="54">
        <f t="shared" si="15"/>
        <v>3600</v>
      </c>
      <c r="L162" s="55" t="b">
        <v>1</v>
      </c>
      <c r="M162" s="56">
        <v>280320242124</v>
      </c>
      <c r="N162" s="57" t="b">
        <v>1</v>
      </c>
      <c r="O162" s="58" t="s">
        <v>351</v>
      </c>
      <c r="P162" s="59" t="b">
        <v>1</v>
      </c>
      <c r="Q162" s="78"/>
      <c r="R162" s="86"/>
      <c r="S162" s="47" t="b">
        <v>1</v>
      </c>
      <c r="T162" s="61" t="s">
        <v>1393</v>
      </c>
      <c r="U162" s="54"/>
      <c r="V162" s="54">
        <f t="shared" si="14"/>
        <v>3600</v>
      </c>
      <c r="W162" s="49"/>
      <c r="X162" s="49"/>
    </row>
    <row r="163" spans="1:24" ht="15.75" customHeight="1">
      <c r="A163" s="1"/>
      <c r="B163" s="1"/>
      <c r="C163" s="52">
        <v>45380</v>
      </c>
      <c r="D163" s="53" t="s">
        <v>194</v>
      </c>
      <c r="E163" s="53" t="s">
        <v>137</v>
      </c>
      <c r="F163" s="53" t="s">
        <v>1394</v>
      </c>
      <c r="G163" s="66" t="s">
        <v>49</v>
      </c>
      <c r="H163" s="53" t="s">
        <v>30</v>
      </c>
      <c r="I163" s="53">
        <v>10</v>
      </c>
      <c r="J163" s="75">
        <v>695</v>
      </c>
      <c r="K163" s="54">
        <f t="shared" si="15"/>
        <v>6950</v>
      </c>
      <c r="L163" s="55" t="b">
        <v>1</v>
      </c>
      <c r="M163" s="56">
        <v>290320241634</v>
      </c>
      <c r="N163" s="57" t="b">
        <v>1</v>
      </c>
      <c r="O163" s="58" t="s">
        <v>31</v>
      </c>
      <c r="P163" s="59" t="b">
        <v>1</v>
      </c>
      <c r="Q163" s="78"/>
      <c r="R163" s="86"/>
      <c r="S163" s="47" t="b">
        <v>1</v>
      </c>
      <c r="T163" s="61" t="s">
        <v>1395</v>
      </c>
      <c r="U163" s="54">
        <f>10000*0.46</f>
        <v>4600</v>
      </c>
      <c r="V163" s="54">
        <f t="shared" si="14"/>
        <v>2350</v>
      </c>
      <c r="W163" s="49"/>
      <c r="X163" s="49"/>
    </row>
    <row r="164" spans="1:24" ht="15.75" customHeight="1">
      <c r="A164" s="1"/>
      <c r="B164" s="1"/>
      <c r="C164" s="52">
        <v>45381</v>
      </c>
      <c r="D164" s="53" t="s">
        <v>418</v>
      </c>
      <c r="E164" s="53" t="s">
        <v>42</v>
      </c>
      <c r="F164" s="53" t="s">
        <v>209</v>
      </c>
      <c r="G164" s="66" t="s">
        <v>1396</v>
      </c>
      <c r="H164" s="53" t="s">
        <v>30</v>
      </c>
      <c r="I164" s="53">
        <v>10</v>
      </c>
      <c r="J164" s="75">
        <v>105</v>
      </c>
      <c r="K164" s="54">
        <f>J164*I164</f>
        <v>1050</v>
      </c>
      <c r="L164" s="55" t="b">
        <v>1</v>
      </c>
      <c r="M164" s="56">
        <v>290320241514</v>
      </c>
      <c r="N164" s="57" t="b">
        <v>1</v>
      </c>
      <c r="O164" s="58" t="s">
        <v>31</v>
      </c>
      <c r="P164" s="59" t="b">
        <v>1</v>
      </c>
      <c r="Q164" s="78"/>
      <c r="R164" s="86"/>
      <c r="S164" s="47" t="b">
        <v>1</v>
      </c>
      <c r="T164" s="61" t="s">
        <v>1397</v>
      </c>
      <c r="U164" s="54">
        <f>10*75</f>
        <v>750</v>
      </c>
      <c r="V164" s="54">
        <f t="shared" si="14"/>
        <v>300</v>
      </c>
      <c r="W164" s="49"/>
      <c r="X164" s="49"/>
    </row>
    <row r="165" spans="1:24" ht="15.75" customHeight="1">
      <c r="A165" s="1"/>
      <c r="B165" s="1"/>
      <c r="C165" s="52"/>
      <c r="D165" s="53"/>
      <c r="E165" s="53"/>
      <c r="F165" s="53"/>
      <c r="G165" s="66"/>
      <c r="H165" s="53"/>
      <c r="I165" s="53"/>
      <c r="J165" s="75"/>
      <c r="K165" s="54">
        <f>J165:J166*I165</f>
        <v>0</v>
      </c>
      <c r="L165" s="55" t="b">
        <v>0</v>
      </c>
      <c r="M165" s="56"/>
      <c r="N165" s="57" t="b">
        <v>0</v>
      </c>
      <c r="O165" s="58"/>
      <c r="P165" s="65"/>
      <c r="Q165" s="78"/>
      <c r="R165" s="86"/>
      <c r="S165" s="47"/>
      <c r="T165" s="61"/>
      <c r="U165" s="54"/>
      <c r="V165" s="49"/>
      <c r="W165" s="49"/>
      <c r="X165" s="49"/>
    </row>
    <row r="166" spans="1:24" ht="15.75" customHeight="1">
      <c r="A166" s="1"/>
      <c r="B166" s="1"/>
      <c r="C166" s="52"/>
      <c r="D166" s="53"/>
      <c r="E166" s="53"/>
      <c r="F166" s="53"/>
      <c r="G166" s="66"/>
      <c r="H166" s="53"/>
      <c r="I166" s="53"/>
      <c r="J166" s="75"/>
      <c r="K166" s="54">
        <f>J166*I166</f>
        <v>0</v>
      </c>
      <c r="L166" s="55" t="b">
        <v>0</v>
      </c>
      <c r="M166" s="56"/>
      <c r="N166" s="57" t="b">
        <v>0</v>
      </c>
      <c r="O166" s="58"/>
      <c r="P166" s="65"/>
      <c r="Q166" s="78"/>
      <c r="R166" s="86"/>
      <c r="S166" s="47"/>
      <c r="T166" s="61"/>
      <c r="U166" s="54"/>
      <c r="V166" s="49"/>
      <c r="W166" s="49"/>
      <c r="X166" s="49"/>
    </row>
    <row r="167" spans="1:24" ht="15.75" customHeight="1">
      <c r="A167" s="1"/>
      <c r="B167" s="1"/>
      <c r="C167" s="52"/>
      <c r="D167" s="53"/>
      <c r="E167" s="53"/>
      <c r="F167" s="53"/>
      <c r="G167" s="66"/>
      <c r="H167" s="53"/>
      <c r="I167" s="53"/>
      <c r="J167" s="75"/>
      <c r="K167" s="54">
        <f t="shared" ref="K167:K168" si="16">J167:J168*I167</f>
        <v>0</v>
      </c>
      <c r="L167" s="55" t="b">
        <v>0</v>
      </c>
      <c r="M167" s="56"/>
      <c r="N167" s="57" t="b">
        <v>0</v>
      </c>
      <c r="O167" s="58"/>
      <c r="P167" s="65"/>
      <c r="Q167" s="78"/>
      <c r="R167" s="86"/>
      <c r="S167" s="87"/>
      <c r="T167" s="61"/>
      <c r="U167" s="54"/>
      <c r="V167" s="49"/>
      <c r="W167" s="49"/>
      <c r="X167" s="49"/>
    </row>
    <row r="168" spans="1:24" ht="15.75" customHeight="1">
      <c r="A168" s="1"/>
      <c r="B168" s="1"/>
      <c r="C168" s="52"/>
      <c r="D168" s="53"/>
      <c r="E168" s="53"/>
      <c r="F168" s="53"/>
      <c r="G168" s="66"/>
      <c r="H168" s="53"/>
      <c r="I168" s="53"/>
      <c r="J168" s="75"/>
      <c r="K168" s="54">
        <f t="shared" si="16"/>
        <v>0</v>
      </c>
      <c r="L168" s="55" t="b">
        <v>0</v>
      </c>
      <c r="M168" s="56"/>
      <c r="N168" s="57" t="b">
        <v>0</v>
      </c>
      <c r="O168" s="58"/>
      <c r="P168" s="65"/>
      <c r="Q168" s="78"/>
      <c r="R168" s="86"/>
      <c r="S168" s="47"/>
      <c r="T168" s="61"/>
      <c r="U168" s="54"/>
      <c r="V168" s="49"/>
      <c r="W168" s="49"/>
      <c r="X168" s="49"/>
    </row>
    <row r="169" spans="1:24" ht="15.75" customHeight="1">
      <c r="A169" s="1"/>
      <c r="B169" s="1"/>
      <c r="C169" s="52"/>
      <c r="D169" s="53"/>
      <c r="E169" s="53"/>
      <c r="F169" s="53"/>
      <c r="G169" s="66"/>
      <c r="H169" s="53"/>
      <c r="I169" s="53"/>
      <c r="J169" s="75"/>
      <c r="K169" s="54">
        <f>J169*I169</f>
        <v>0</v>
      </c>
      <c r="L169" s="55" t="b">
        <v>0</v>
      </c>
      <c r="M169" s="56"/>
      <c r="N169" s="57" t="b">
        <v>0</v>
      </c>
      <c r="O169" s="58"/>
      <c r="P169" s="65"/>
      <c r="Q169" s="78"/>
      <c r="R169" s="86"/>
      <c r="S169" s="47"/>
      <c r="T169" s="61"/>
      <c r="U169" s="54"/>
      <c r="V169" s="49"/>
      <c r="W169" s="49"/>
      <c r="X169" s="49"/>
    </row>
    <row r="170" spans="1:24" ht="15.75" customHeight="1">
      <c r="A170" s="1"/>
      <c r="B170" s="1"/>
      <c r="C170" s="52"/>
      <c r="D170" s="53"/>
      <c r="E170" s="53"/>
      <c r="F170" s="53"/>
      <c r="G170" s="66"/>
      <c r="H170" s="53"/>
      <c r="I170" s="53"/>
      <c r="J170" s="75"/>
      <c r="K170" s="54">
        <f t="shared" ref="K170:K171" si="17">J170:J171*I170</f>
        <v>0</v>
      </c>
      <c r="L170" s="55" t="b">
        <v>0</v>
      </c>
      <c r="M170" s="56"/>
      <c r="N170" s="57" t="b">
        <v>0</v>
      </c>
      <c r="O170" s="58"/>
      <c r="P170" s="65"/>
      <c r="Q170" s="78"/>
      <c r="R170" s="86"/>
      <c r="S170" s="87"/>
      <c r="T170" s="61"/>
      <c r="U170" s="54"/>
      <c r="V170" s="49"/>
      <c r="W170" s="49"/>
      <c r="X170" s="49"/>
    </row>
    <row r="171" spans="1:24" ht="15.75" customHeight="1">
      <c r="A171" s="1"/>
      <c r="B171" s="1"/>
      <c r="C171" s="52"/>
      <c r="D171" s="53"/>
      <c r="E171" s="53"/>
      <c r="F171" s="53"/>
      <c r="G171" s="66"/>
      <c r="H171" s="53"/>
      <c r="I171" s="53"/>
      <c r="J171" s="75"/>
      <c r="K171" s="54">
        <f t="shared" si="17"/>
        <v>0</v>
      </c>
      <c r="L171" s="55" t="b">
        <v>0</v>
      </c>
      <c r="M171" s="56"/>
      <c r="N171" s="57" t="b">
        <v>0</v>
      </c>
      <c r="O171" s="58"/>
      <c r="P171" s="65"/>
      <c r="Q171" s="78"/>
      <c r="R171" s="86"/>
      <c r="S171" s="47"/>
      <c r="T171" s="61"/>
      <c r="U171" s="54"/>
      <c r="V171" s="49"/>
      <c r="W171" s="49"/>
      <c r="X171" s="49"/>
    </row>
    <row r="172" spans="1:24" ht="15.75" customHeight="1">
      <c r="A172" s="1"/>
      <c r="B172" s="1"/>
      <c r="C172" s="52"/>
      <c r="D172" s="53"/>
      <c r="E172" s="53"/>
      <c r="F172" s="53"/>
      <c r="G172" s="66"/>
      <c r="H172" s="53"/>
      <c r="I172" s="53"/>
      <c r="J172" s="75"/>
      <c r="K172" s="54">
        <f>J172*I172</f>
        <v>0</v>
      </c>
      <c r="L172" s="55" t="b">
        <v>0</v>
      </c>
      <c r="M172" s="56"/>
      <c r="N172" s="57" t="b">
        <v>0</v>
      </c>
      <c r="O172" s="58"/>
      <c r="P172" s="65"/>
      <c r="Q172" s="78"/>
      <c r="R172" s="86"/>
      <c r="S172" s="47"/>
      <c r="T172" s="61"/>
      <c r="U172" s="54"/>
      <c r="V172" s="49"/>
      <c r="W172" s="49"/>
      <c r="X172" s="49"/>
    </row>
    <row r="173" spans="1:24" ht="15.75" customHeight="1">
      <c r="A173" s="1"/>
      <c r="B173" s="1"/>
      <c r="C173" s="52"/>
      <c r="D173" s="53"/>
      <c r="E173" s="53"/>
      <c r="F173" s="53"/>
      <c r="G173" s="66"/>
      <c r="H173" s="53"/>
      <c r="I173" s="53"/>
      <c r="J173" s="75"/>
      <c r="K173" s="54">
        <f t="shared" ref="K173:K174" si="18">J173:J174*I173</f>
        <v>0</v>
      </c>
      <c r="L173" s="55" t="b">
        <v>0</v>
      </c>
      <c r="M173" s="56"/>
      <c r="N173" s="57" t="b">
        <v>0</v>
      </c>
      <c r="O173" s="58"/>
      <c r="P173" s="65"/>
      <c r="Q173" s="78"/>
      <c r="R173" s="86"/>
      <c r="S173" s="87"/>
      <c r="T173" s="61"/>
      <c r="U173" s="54"/>
      <c r="V173" s="49"/>
      <c r="W173" s="49"/>
      <c r="X173" s="49"/>
    </row>
    <row r="174" spans="1:24" ht="15.75" customHeight="1">
      <c r="A174" s="1"/>
      <c r="B174" s="1"/>
      <c r="C174" s="52"/>
      <c r="D174" s="53"/>
      <c r="E174" s="53"/>
      <c r="F174" s="53"/>
      <c r="G174" s="66"/>
      <c r="H174" s="53"/>
      <c r="I174" s="53"/>
      <c r="J174" s="75"/>
      <c r="K174" s="54">
        <f t="shared" si="18"/>
        <v>0</v>
      </c>
      <c r="L174" s="55" t="b">
        <v>0</v>
      </c>
      <c r="M174" s="56"/>
      <c r="N174" s="57" t="b">
        <v>0</v>
      </c>
      <c r="O174" s="58"/>
      <c r="P174" s="65"/>
      <c r="Q174" s="78"/>
      <c r="R174" s="86"/>
      <c r="S174" s="47"/>
      <c r="T174" s="61"/>
      <c r="U174" s="54"/>
      <c r="V174" s="49"/>
      <c r="W174" s="49"/>
      <c r="X174" s="49"/>
    </row>
    <row r="175" spans="1:24" ht="15.75" customHeight="1">
      <c r="A175" s="1"/>
      <c r="B175" s="1"/>
      <c r="C175" s="52"/>
      <c r="D175" s="53"/>
      <c r="E175" s="53"/>
      <c r="F175" s="53"/>
      <c r="G175" s="66"/>
      <c r="H175" s="53"/>
      <c r="I175" s="53"/>
      <c r="J175" s="75"/>
      <c r="K175" s="54">
        <f>J175*I175</f>
        <v>0</v>
      </c>
      <c r="L175" s="55" t="b">
        <v>0</v>
      </c>
      <c r="M175" s="56"/>
      <c r="N175" s="57" t="b">
        <v>0</v>
      </c>
      <c r="O175" s="58"/>
      <c r="P175" s="65"/>
      <c r="Q175" s="78"/>
      <c r="R175" s="86"/>
      <c r="S175" s="47"/>
      <c r="T175" s="61"/>
      <c r="U175" s="54"/>
      <c r="V175" s="49"/>
      <c r="W175" s="49"/>
      <c r="X175" s="49"/>
    </row>
    <row r="176" spans="1:24" ht="15.75" customHeight="1">
      <c r="A176" s="1"/>
      <c r="B176" s="1"/>
      <c r="C176" s="52"/>
      <c r="D176" s="53"/>
      <c r="E176" s="53"/>
      <c r="F176" s="53"/>
      <c r="G176" s="66"/>
      <c r="H176" s="53"/>
      <c r="I176" s="53"/>
      <c r="J176" s="75"/>
      <c r="K176" s="54">
        <f t="shared" ref="K176:K177" si="19">J176:J177*I176</f>
        <v>0</v>
      </c>
      <c r="L176" s="55" t="b">
        <v>0</v>
      </c>
      <c r="M176" s="56"/>
      <c r="N176" s="57" t="b">
        <v>0</v>
      </c>
      <c r="O176" s="58"/>
      <c r="P176" s="65"/>
      <c r="Q176" s="78"/>
      <c r="R176" s="86"/>
      <c r="S176" s="87"/>
      <c r="T176" s="61"/>
      <c r="U176" s="54"/>
      <c r="V176" s="49"/>
      <c r="W176" s="49"/>
      <c r="X176" s="49"/>
    </row>
    <row r="177" spans="1:24" ht="15.75" customHeight="1">
      <c r="A177" s="1"/>
      <c r="B177" s="1"/>
      <c r="C177" s="52"/>
      <c r="D177" s="53"/>
      <c r="E177" s="53"/>
      <c r="F177" s="53"/>
      <c r="G177" s="66"/>
      <c r="H177" s="53"/>
      <c r="I177" s="53"/>
      <c r="J177" s="75"/>
      <c r="K177" s="54">
        <f t="shared" si="19"/>
        <v>0</v>
      </c>
      <c r="L177" s="55" t="b">
        <v>0</v>
      </c>
      <c r="M177" s="56"/>
      <c r="N177" s="57" t="b">
        <v>0</v>
      </c>
      <c r="O177" s="58"/>
      <c r="P177" s="65"/>
      <c r="Q177" s="78"/>
      <c r="R177" s="86"/>
      <c r="S177" s="47"/>
      <c r="T177" s="61"/>
      <c r="U177" s="54"/>
      <c r="V177" s="49"/>
      <c r="W177" s="49"/>
      <c r="X177" s="49"/>
    </row>
    <row r="178" spans="1:24" ht="15.75" customHeight="1">
      <c r="A178" s="1"/>
      <c r="B178" s="1"/>
      <c r="C178" s="1"/>
      <c r="D178" s="1"/>
      <c r="E178" s="1"/>
      <c r="F178" s="1"/>
      <c r="G178" s="18"/>
      <c r="H178" s="1"/>
      <c r="I178" s="1"/>
      <c r="J178" s="8"/>
      <c r="K178" s="8"/>
      <c r="L178" s="1"/>
      <c r="M178" s="1"/>
      <c r="N178" s="9"/>
      <c r="O178" s="10"/>
      <c r="P178" s="1"/>
      <c r="Q178" s="1"/>
      <c r="R178" s="1"/>
      <c r="S178" s="1"/>
      <c r="T178" s="1"/>
      <c r="U178" s="1"/>
    </row>
    <row r="179" spans="1:24" ht="15.75" customHeight="1">
      <c r="A179" s="1"/>
      <c r="B179" s="1"/>
      <c r="C179" s="1"/>
      <c r="D179" s="1"/>
      <c r="E179" s="1"/>
      <c r="F179" s="1"/>
      <c r="G179" s="18"/>
      <c r="H179" s="1"/>
      <c r="I179" s="1"/>
      <c r="J179" s="8"/>
      <c r="K179" s="8"/>
      <c r="L179" s="1"/>
      <c r="M179" s="1"/>
      <c r="N179" s="9"/>
      <c r="O179" s="10"/>
      <c r="P179" s="1"/>
      <c r="Q179" s="1"/>
      <c r="R179" s="1"/>
      <c r="S179" s="1"/>
      <c r="T179" s="1"/>
      <c r="U179" s="1"/>
    </row>
    <row r="180" spans="1:24" ht="15.75" customHeight="1">
      <c r="A180" s="1"/>
      <c r="B180" s="1"/>
      <c r="C180" s="1"/>
      <c r="D180" s="1"/>
      <c r="E180" s="1"/>
      <c r="F180" s="1"/>
      <c r="G180" s="18"/>
      <c r="H180" s="1"/>
      <c r="I180" s="1"/>
      <c r="J180" s="8"/>
      <c r="K180" s="8"/>
      <c r="L180" s="1"/>
      <c r="M180" s="1"/>
      <c r="N180" s="9"/>
      <c r="O180" s="10"/>
      <c r="P180" s="1"/>
      <c r="Q180" s="1"/>
      <c r="R180" s="1"/>
      <c r="S180" s="1"/>
      <c r="T180" s="1"/>
      <c r="U180" s="1"/>
    </row>
    <row r="181" spans="1:24" ht="15.75" customHeight="1">
      <c r="A181" s="1"/>
      <c r="B181" s="1"/>
      <c r="C181" s="1"/>
      <c r="D181" s="1"/>
      <c r="E181" s="1"/>
      <c r="F181" s="1"/>
      <c r="G181" s="18"/>
      <c r="H181" s="1"/>
      <c r="I181" s="1"/>
      <c r="J181" s="8"/>
      <c r="K181" s="8"/>
      <c r="L181" s="1"/>
      <c r="M181" s="1"/>
      <c r="N181" s="9"/>
      <c r="O181" s="10"/>
      <c r="P181" s="1"/>
      <c r="Q181" s="1"/>
      <c r="R181" s="1"/>
      <c r="S181" s="1"/>
      <c r="T181" s="1"/>
      <c r="U181" s="1"/>
    </row>
    <row r="182" spans="1:24" ht="15.75" customHeight="1">
      <c r="A182" s="1"/>
      <c r="B182" s="1"/>
      <c r="C182" s="1"/>
      <c r="D182" s="1"/>
      <c r="E182" s="1"/>
      <c r="F182" s="1"/>
      <c r="G182" s="18"/>
      <c r="H182" s="1"/>
      <c r="I182" s="1"/>
      <c r="J182" s="8"/>
      <c r="K182" s="8"/>
      <c r="L182" s="1"/>
      <c r="M182" s="1"/>
      <c r="N182" s="9"/>
      <c r="O182" s="10"/>
      <c r="P182" s="1"/>
      <c r="Q182" s="1"/>
      <c r="R182" s="1"/>
      <c r="S182" s="1"/>
      <c r="T182" s="1"/>
      <c r="U182" s="1"/>
    </row>
    <row r="183" spans="1:24" ht="15.75" customHeight="1">
      <c r="A183" s="1"/>
      <c r="B183" s="1"/>
      <c r="C183" s="1"/>
      <c r="D183" s="1"/>
      <c r="E183" s="1"/>
      <c r="F183" s="1"/>
      <c r="G183" s="18"/>
      <c r="H183" s="1"/>
      <c r="I183" s="1"/>
      <c r="J183" s="8"/>
      <c r="K183" s="8"/>
      <c r="L183" s="1"/>
      <c r="M183" s="1"/>
      <c r="N183" s="9"/>
      <c r="O183" s="10"/>
      <c r="P183" s="1"/>
      <c r="Q183" s="1"/>
      <c r="R183" s="1"/>
      <c r="S183" s="1"/>
      <c r="T183" s="1"/>
      <c r="U183" s="1"/>
    </row>
    <row r="184" spans="1:24" ht="15.75" customHeight="1">
      <c r="A184" s="1"/>
      <c r="B184" s="1"/>
      <c r="C184" s="1"/>
      <c r="D184" s="1"/>
      <c r="E184" s="1"/>
      <c r="F184" s="1"/>
      <c r="G184" s="18"/>
      <c r="H184" s="1"/>
      <c r="I184" s="1"/>
      <c r="J184" s="8"/>
      <c r="K184" s="8"/>
      <c r="L184" s="1"/>
      <c r="M184" s="1"/>
      <c r="N184" s="9"/>
      <c r="O184" s="10"/>
      <c r="P184" s="1"/>
      <c r="Q184" s="1"/>
      <c r="R184" s="1"/>
      <c r="S184" s="1"/>
      <c r="T184" s="1"/>
      <c r="U184" s="1"/>
    </row>
    <row r="185" spans="1:24" ht="15.75" customHeight="1">
      <c r="A185" s="1"/>
      <c r="B185" s="1"/>
      <c r="C185" s="1"/>
      <c r="D185" s="1"/>
      <c r="E185" s="1"/>
      <c r="F185" s="1"/>
      <c r="G185" s="18"/>
      <c r="H185" s="1"/>
      <c r="I185" s="1"/>
      <c r="J185" s="8"/>
      <c r="K185" s="8"/>
      <c r="L185" s="1"/>
      <c r="M185" s="1"/>
      <c r="N185" s="9"/>
      <c r="O185" s="10"/>
      <c r="P185" s="1"/>
      <c r="Q185" s="1"/>
      <c r="R185" s="1"/>
      <c r="S185" s="1"/>
      <c r="T185" s="1"/>
      <c r="U185" s="1"/>
    </row>
    <row r="186" spans="1:24" ht="15.75" customHeight="1">
      <c r="A186" s="1"/>
      <c r="B186" s="1"/>
      <c r="C186" s="1"/>
      <c r="D186" s="1"/>
      <c r="E186" s="1"/>
      <c r="F186" s="1"/>
      <c r="G186" s="18"/>
      <c r="H186" s="1"/>
      <c r="I186" s="1"/>
      <c r="J186" s="8"/>
      <c r="K186" s="8"/>
      <c r="L186" s="1"/>
      <c r="M186" s="1"/>
      <c r="N186" s="9"/>
      <c r="O186" s="10"/>
      <c r="P186" s="1"/>
      <c r="Q186" s="1"/>
      <c r="R186" s="1"/>
      <c r="S186" s="1"/>
      <c r="T186" s="1"/>
      <c r="U186" s="1"/>
    </row>
    <row r="187" spans="1:24" ht="15.75" customHeight="1">
      <c r="A187" s="1"/>
      <c r="B187" s="1"/>
      <c r="C187" s="1"/>
      <c r="D187" s="1"/>
      <c r="E187" s="1"/>
      <c r="F187" s="1"/>
      <c r="G187" s="18"/>
      <c r="H187" s="1"/>
      <c r="I187" s="1"/>
      <c r="J187" s="8"/>
      <c r="K187" s="8"/>
      <c r="L187" s="1"/>
      <c r="M187" s="1"/>
      <c r="N187" s="9"/>
      <c r="O187" s="10"/>
      <c r="P187" s="1"/>
      <c r="Q187" s="1"/>
      <c r="R187" s="1"/>
      <c r="S187" s="1"/>
      <c r="T187" s="1"/>
      <c r="U187" s="1"/>
    </row>
    <row r="188" spans="1:24" ht="15.75" customHeight="1">
      <c r="A188" s="1"/>
      <c r="B188" s="1"/>
      <c r="C188" s="1"/>
      <c r="D188" s="1"/>
      <c r="E188" s="1"/>
      <c r="F188" s="1"/>
      <c r="G188" s="18"/>
      <c r="H188" s="1"/>
      <c r="I188" s="1"/>
      <c r="J188" s="8"/>
      <c r="K188" s="8"/>
      <c r="L188" s="1"/>
      <c r="M188" s="1"/>
      <c r="N188" s="9"/>
      <c r="O188" s="10"/>
      <c r="P188" s="1"/>
      <c r="Q188" s="1"/>
      <c r="R188" s="1"/>
      <c r="S188" s="1"/>
      <c r="T188" s="1"/>
      <c r="U188" s="1"/>
    </row>
    <row r="189" spans="1:24" ht="15.75" customHeight="1">
      <c r="A189" s="1"/>
      <c r="B189" s="1"/>
      <c r="C189" s="1"/>
      <c r="D189" s="1"/>
      <c r="E189" s="1"/>
      <c r="F189" s="1"/>
      <c r="G189" s="18"/>
      <c r="H189" s="1"/>
      <c r="I189" s="1"/>
      <c r="J189" s="8"/>
      <c r="K189" s="8"/>
      <c r="L189" s="1"/>
      <c r="M189" s="1"/>
      <c r="N189" s="9"/>
      <c r="O189" s="10"/>
      <c r="P189" s="1"/>
      <c r="Q189" s="1"/>
      <c r="R189" s="1"/>
      <c r="S189" s="1"/>
      <c r="T189" s="1"/>
      <c r="U189" s="1"/>
    </row>
    <row r="190" spans="1:24" ht="15.75" customHeight="1">
      <c r="A190" s="1"/>
      <c r="B190" s="1"/>
      <c r="C190" s="1"/>
      <c r="D190" s="1"/>
      <c r="E190" s="1"/>
      <c r="F190" s="1"/>
      <c r="G190" s="18"/>
      <c r="H190" s="1"/>
      <c r="I190" s="1"/>
      <c r="J190" s="8"/>
      <c r="K190" s="8"/>
      <c r="L190" s="1"/>
      <c r="M190" s="1"/>
      <c r="N190" s="9"/>
      <c r="O190" s="10"/>
      <c r="P190" s="1"/>
      <c r="Q190" s="1"/>
      <c r="R190" s="1"/>
      <c r="S190" s="1"/>
      <c r="T190" s="1"/>
      <c r="U190" s="1"/>
    </row>
    <row r="191" spans="1:24" ht="15.75" customHeight="1">
      <c r="A191" s="1"/>
      <c r="B191" s="1"/>
      <c r="C191" s="1"/>
      <c r="D191" s="1"/>
      <c r="E191" s="1"/>
      <c r="F191" s="1"/>
      <c r="G191" s="18"/>
      <c r="H191" s="1"/>
      <c r="I191" s="1"/>
      <c r="J191" s="8"/>
      <c r="K191" s="8"/>
      <c r="L191" s="1"/>
      <c r="M191" s="1"/>
      <c r="N191" s="9"/>
      <c r="O191" s="10"/>
      <c r="P191" s="1"/>
      <c r="Q191" s="1"/>
      <c r="R191" s="1"/>
      <c r="S191" s="1"/>
      <c r="T191" s="1"/>
      <c r="U191" s="1"/>
    </row>
    <row r="192" spans="1:24" ht="15.75" customHeight="1">
      <c r="A192" s="1"/>
      <c r="B192" s="1"/>
      <c r="C192" s="1"/>
      <c r="D192" s="1"/>
      <c r="E192" s="1"/>
      <c r="F192" s="1"/>
      <c r="G192" s="18"/>
      <c r="H192" s="1"/>
      <c r="I192" s="1"/>
      <c r="J192" s="8"/>
      <c r="K192" s="8"/>
      <c r="L192" s="1"/>
      <c r="M192" s="1"/>
      <c r="N192" s="9"/>
      <c r="O192" s="10"/>
      <c r="P192" s="1"/>
      <c r="Q192" s="1"/>
      <c r="R192" s="1"/>
      <c r="S192" s="1"/>
      <c r="T192" s="1"/>
      <c r="U192" s="1"/>
    </row>
    <row r="193" spans="1:21" ht="15.75" customHeight="1">
      <c r="A193" s="1"/>
      <c r="B193" s="1"/>
      <c r="C193" s="1"/>
      <c r="D193" s="1"/>
      <c r="E193" s="1"/>
      <c r="F193" s="1"/>
      <c r="G193" s="18"/>
      <c r="H193" s="1"/>
      <c r="I193" s="1"/>
      <c r="J193" s="8"/>
      <c r="K193" s="8"/>
      <c r="L193" s="1"/>
      <c r="M193" s="1"/>
      <c r="N193" s="9"/>
      <c r="O193" s="10"/>
      <c r="P193" s="1"/>
      <c r="Q193" s="1"/>
      <c r="R193" s="1"/>
      <c r="S193" s="1"/>
      <c r="T193" s="1"/>
      <c r="U193" s="1"/>
    </row>
    <row r="194" spans="1:21" ht="15.75" customHeight="1">
      <c r="A194" s="1"/>
      <c r="B194" s="1"/>
      <c r="C194" s="1"/>
      <c r="D194" s="1"/>
      <c r="E194" s="1"/>
      <c r="F194" s="1"/>
      <c r="G194" s="18"/>
      <c r="H194" s="1"/>
      <c r="I194" s="1"/>
      <c r="J194" s="8"/>
      <c r="K194" s="8"/>
      <c r="L194" s="1"/>
      <c r="M194" s="1"/>
      <c r="N194" s="9"/>
      <c r="O194" s="10"/>
      <c r="P194" s="1"/>
      <c r="Q194" s="1"/>
      <c r="R194" s="1"/>
      <c r="S194" s="1"/>
      <c r="T194" s="1"/>
      <c r="U194" s="1"/>
    </row>
    <row r="195" spans="1:21" ht="15.75" customHeight="1">
      <c r="A195" s="1"/>
      <c r="B195" s="1"/>
      <c r="C195" s="1"/>
      <c r="D195" s="1"/>
      <c r="E195" s="1"/>
      <c r="F195" s="1"/>
      <c r="G195" s="18"/>
      <c r="H195" s="1"/>
      <c r="I195" s="1"/>
      <c r="J195" s="8"/>
      <c r="K195" s="8"/>
      <c r="L195" s="1"/>
      <c r="M195" s="1"/>
      <c r="N195" s="9"/>
      <c r="O195" s="10"/>
      <c r="P195" s="1"/>
      <c r="Q195" s="1"/>
      <c r="R195" s="1"/>
      <c r="S195" s="1"/>
      <c r="T195" s="1"/>
      <c r="U195" s="1"/>
    </row>
    <row r="196" spans="1:21" ht="15.75" customHeight="1">
      <c r="A196" s="1"/>
      <c r="B196" s="1"/>
      <c r="C196" s="1"/>
      <c r="D196" s="1"/>
      <c r="E196" s="1"/>
      <c r="F196" s="1"/>
      <c r="G196" s="18"/>
      <c r="H196" s="1"/>
      <c r="I196" s="1"/>
      <c r="J196" s="8"/>
      <c r="K196" s="8"/>
      <c r="L196" s="1"/>
      <c r="M196" s="1"/>
      <c r="N196" s="9"/>
      <c r="O196" s="10"/>
      <c r="P196" s="1"/>
      <c r="Q196" s="1"/>
      <c r="R196" s="1"/>
      <c r="S196" s="1"/>
      <c r="T196" s="1"/>
      <c r="U196" s="1"/>
    </row>
    <row r="197" spans="1:21" ht="15.75" customHeight="1">
      <c r="A197" s="1"/>
      <c r="B197" s="1"/>
      <c r="C197" s="1"/>
      <c r="D197" s="1"/>
      <c r="E197" s="1"/>
      <c r="F197" s="1"/>
      <c r="G197" s="18"/>
      <c r="H197" s="1"/>
      <c r="I197" s="1"/>
      <c r="J197" s="8"/>
      <c r="K197" s="8"/>
      <c r="L197" s="1"/>
      <c r="M197" s="1"/>
      <c r="N197" s="9"/>
      <c r="O197" s="10"/>
      <c r="P197" s="1"/>
      <c r="Q197" s="1"/>
      <c r="R197" s="1"/>
      <c r="S197" s="1"/>
      <c r="T197" s="1"/>
      <c r="U197" s="1"/>
    </row>
    <row r="198" spans="1:21" ht="15.75" customHeight="1">
      <c r="A198" s="1"/>
      <c r="B198" s="1"/>
      <c r="C198" s="1"/>
      <c r="D198" s="1"/>
      <c r="E198" s="1"/>
      <c r="F198" s="1"/>
      <c r="G198" s="18"/>
      <c r="H198" s="1"/>
      <c r="I198" s="1"/>
      <c r="J198" s="8"/>
      <c r="K198" s="8"/>
      <c r="L198" s="1"/>
      <c r="M198" s="1"/>
      <c r="N198" s="9"/>
      <c r="O198" s="10"/>
      <c r="P198" s="1"/>
      <c r="Q198" s="1"/>
      <c r="R198" s="1"/>
      <c r="S198" s="1"/>
      <c r="T198" s="1"/>
      <c r="U198" s="1"/>
    </row>
    <row r="199" spans="1:21" ht="15.75" customHeight="1">
      <c r="A199" s="1"/>
      <c r="B199" s="1"/>
      <c r="C199" s="1"/>
      <c r="D199" s="1"/>
      <c r="E199" s="1"/>
      <c r="F199" s="1"/>
      <c r="G199" s="18"/>
      <c r="H199" s="1"/>
      <c r="I199" s="1"/>
      <c r="J199" s="8"/>
      <c r="K199" s="8"/>
      <c r="L199" s="1"/>
      <c r="M199" s="1"/>
      <c r="N199" s="9"/>
      <c r="O199" s="10"/>
      <c r="P199" s="1"/>
      <c r="Q199" s="1"/>
      <c r="R199" s="1"/>
      <c r="S199" s="1"/>
      <c r="T199" s="1"/>
      <c r="U199" s="1"/>
    </row>
    <row r="200" spans="1:21" ht="15.75" customHeight="1">
      <c r="A200" s="1"/>
      <c r="B200" s="1"/>
      <c r="C200" s="1"/>
      <c r="D200" s="1"/>
      <c r="E200" s="1"/>
      <c r="F200" s="1"/>
      <c r="G200" s="18"/>
      <c r="H200" s="1"/>
      <c r="I200" s="1"/>
      <c r="J200" s="8"/>
      <c r="K200" s="8"/>
      <c r="L200" s="1"/>
      <c r="M200" s="1"/>
      <c r="N200" s="9"/>
      <c r="O200" s="10"/>
      <c r="P200" s="1"/>
      <c r="Q200" s="1"/>
      <c r="R200" s="1"/>
      <c r="S200" s="1"/>
      <c r="T200" s="1"/>
      <c r="U200" s="1"/>
    </row>
    <row r="201" spans="1:21" ht="15.75" customHeight="1">
      <c r="A201" s="1"/>
      <c r="B201" s="1"/>
      <c r="C201" s="1"/>
      <c r="D201" s="1"/>
      <c r="E201" s="1"/>
      <c r="F201" s="1"/>
      <c r="G201" s="18"/>
      <c r="H201" s="1"/>
      <c r="I201" s="1"/>
      <c r="J201" s="8"/>
      <c r="K201" s="8"/>
      <c r="L201" s="1"/>
      <c r="M201" s="1"/>
      <c r="N201" s="9"/>
      <c r="O201" s="10"/>
      <c r="P201" s="1"/>
      <c r="Q201" s="1"/>
      <c r="R201" s="1"/>
      <c r="S201" s="1"/>
      <c r="T201" s="1"/>
      <c r="U201" s="1"/>
    </row>
    <row r="202" spans="1:21" ht="15.75" customHeight="1">
      <c r="A202" s="1"/>
      <c r="B202" s="1"/>
      <c r="C202" s="1"/>
      <c r="D202" s="1"/>
      <c r="E202" s="1"/>
      <c r="F202" s="1"/>
      <c r="G202" s="18"/>
      <c r="H202" s="1"/>
      <c r="I202" s="1"/>
      <c r="J202" s="8"/>
      <c r="K202" s="8"/>
      <c r="L202" s="1"/>
      <c r="M202" s="1"/>
      <c r="N202" s="9"/>
      <c r="O202" s="10"/>
      <c r="P202" s="1"/>
      <c r="Q202" s="1"/>
      <c r="R202" s="1"/>
      <c r="S202" s="1"/>
      <c r="T202" s="1"/>
      <c r="U202" s="1"/>
    </row>
    <row r="203" spans="1:21" ht="15.75" customHeight="1">
      <c r="A203" s="1"/>
      <c r="B203" s="1"/>
      <c r="C203" s="1"/>
      <c r="D203" s="1"/>
      <c r="E203" s="1"/>
      <c r="F203" s="1"/>
      <c r="G203" s="18"/>
      <c r="H203" s="1"/>
      <c r="I203" s="1"/>
      <c r="J203" s="8"/>
      <c r="K203" s="8"/>
      <c r="L203" s="1"/>
      <c r="M203" s="1"/>
      <c r="N203" s="9"/>
      <c r="O203" s="10"/>
      <c r="P203" s="1"/>
      <c r="Q203" s="1"/>
      <c r="R203" s="1"/>
      <c r="S203" s="1"/>
      <c r="T203" s="1"/>
      <c r="U203" s="1"/>
    </row>
    <row r="204" spans="1:21" ht="15.75" customHeight="1">
      <c r="A204" s="1"/>
      <c r="B204" s="1"/>
      <c r="C204" s="1"/>
      <c r="D204" s="1"/>
      <c r="E204" s="1"/>
      <c r="F204" s="1"/>
      <c r="G204" s="18"/>
      <c r="H204" s="1"/>
      <c r="I204" s="1"/>
      <c r="J204" s="8"/>
      <c r="K204" s="8"/>
      <c r="L204" s="1"/>
      <c r="M204" s="1"/>
      <c r="N204" s="9"/>
      <c r="O204" s="10"/>
      <c r="P204" s="1"/>
      <c r="Q204" s="1"/>
      <c r="R204" s="1"/>
      <c r="S204" s="1"/>
      <c r="T204" s="1"/>
      <c r="U204" s="1"/>
    </row>
    <row r="205" spans="1:21" ht="15.75" customHeight="1">
      <c r="A205" s="1"/>
      <c r="B205" s="1"/>
      <c r="C205" s="1"/>
      <c r="D205" s="1"/>
      <c r="E205" s="1"/>
      <c r="F205" s="1"/>
      <c r="G205" s="18"/>
      <c r="H205" s="1"/>
      <c r="I205" s="1"/>
      <c r="J205" s="8"/>
      <c r="K205" s="8"/>
      <c r="L205" s="1"/>
      <c r="M205" s="1"/>
      <c r="N205" s="9"/>
      <c r="O205" s="10"/>
      <c r="P205" s="1"/>
      <c r="Q205" s="1"/>
      <c r="R205" s="1"/>
      <c r="S205" s="1"/>
      <c r="T205" s="1"/>
      <c r="U205" s="1"/>
    </row>
    <row r="206" spans="1:21" ht="15.75" customHeight="1">
      <c r="A206" s="1"/>
      <c r="B206" s="1"/>
      <c r="C206" s="1"/>
      <c r="D206" s="1"/>
      <c r="E206" s="1"/>
      <c r="F206" s="1"/>
      <c r="G206" s="18"/>
      <c r="H206" s="1"/>
      <c r="I206" s="1"/>
      <c r="J206" s="8"/>
      <c r="K206" s="8"/>
      <c r="L206" s="1"/>
      <c r="M206" s="1"/>
      <c r="N206" s="9"/>
      <c r="O206" s="10"/>
      <c r="P206" s="1"/>
      <c r="Q206" s="1"/>
      <c r="R206" s="1"/>
      <c r="S206" s="1"/>
      <c r="T206" s="1"/>
      <c r="U206" s="1"/>
    </row>
    <row r="207" spans="1:21" ht="15.75" customHeight="1">
      <c r="A207" s="1"/>
      <c r="B207" s="1"/>
      <c r="C207" s="1"/>
      <c r="D207" s="1"/>
      <c r="E207" s="1"/>
      <c r="F207" s="1"/>
      <c r="G207" s="18"/>
      <c r="H207" s="1"/>
      <c r="I207" s="1"/>
      <c r="J207" s="8"/>
      <c r="K207" s="8"/>
      <c r="L207" s="1"/>
      <c r="M207" s="1"/>
      <c r="N207" s="9"/>
      <c r="O207" s="10"/>
      <c r="P207" s="1"/>
      <c r="Q207" s="1"/>
      <c r="R207" s="1"/>
      <c r="S207" s="1"/>
      <c r="T207" s="1"/>
      <c r="U207" s="1"/>
    </row>
    <row r="208" spans="1:21" ht="15.75" customHeight="1">
      <c r="A208" s="1"/>
      <c r="B208" s="1"/>
      <c r="C208" s="1"/>
      <c r="D208" s="1"/>
      <c r="E208" s="1"/>
      <c r="F208" s="1"/>
      <c r="G208" s="18"/>
      <c r="H208" s="1"/>
      <c r="I208" s="1"/>
      <c r="J208" s="8"/>
      <c r="K208" s="8"/>
      <c r="L208" s="1"/>
      <c r="M208" s="1"/>
      <c r="N208" s="9"/>
      <c r="O208" s="10"/>
      <c r="P208" s="1"/>
      <c r="Q208" s="1"/>
      <c r="R208" s="1"/>
      <c r="S208" s="1"/>
      <c r="T208" s="1"/>
      <c r="U208" s="1"/>
    </row>
    <row r="209" spans="1:21" ht="15.75" customHeight="1">
      <c r="A209" s="1"/>
      <c r="B209" s="1"/>
      <c r="C209" s="1"/>
      <c r="D209" s="1"/>
      <c r="E209" s="1"/>
      <c r="F209" s="1"/>
      <c r="G209" s="18"/>
      <c r="H209" s="1"/>
      <c r="I209" s="1"/>
      <c r="J209" s="8"/>
      <c r="K209" s="8"/>
      <c r="L209" s="1"/>
      <c r="M209" s="1"/>
      <c r="N209" s="9"/>
      <c r="O209" s="10"/>
      <c r="P209" s="1"/>
      <c r="Q209" s="1"/>
      <c r="R209" s="1"/>
      <c r="S209" s="1"/>
      <c r="T209" s="1"/>
      <c r="U209" s="1"/>
    </row>
    <row r="210" spans="1:21" ht="15.75" customHeight="1">
      <c r="A210" s="1"/>
      <c r="B210" s="1"/>
      <c r="C210" s="1"/>
      <c r="D210" s="1"/>
      <c r="E210" s="1"/>
      <c r="F210" s="1"/>
      <c r="G210" s="18"/>
      <c r="H210" s="1"/>
      <c r="I210" s="1"/>
      <c r="J210" s="8"/>
      <c r="K210" s="8"/>
      <c r="L210" s="1"/>
      <c r="M210" s="1"/>
      <c r="N210" s="9"/>
      <c r="O210" s="10"/>
      <c r="P210" s="1"/>
      <c r="Q210" s="1"/>
      <c r="R210" s="1"/>
      <c r="S210" s="1"/>
      <c r="T210" s="1"/>
      <c r="U210" s="1"/>
    </row>
    <row r="211" spans="1:21" ht="15.75" customHeight="1">
      <c r="A211" s="1"/>
      <c r="B211" s="1"/>
      <c r="C211" s="1"/>
      <c r="D211" s="1"/>
      <c r="E211" s="1"/>
      <c r="F211" s="1"/>
      <c r="G211" s="18"/>
      <c r="H211" s="1"/>
      <c r="I211" s="1"/>
      <c r="J211" s="8"/>
      <c r="K211" s="8"/>
      <c r="L211" s="1"/>
      <c r="M211" s="1"/>
      <c r="N211" s="9"/>
      <c r="O211" s="10"/>
      <c r="P211" s="1"/>
      <c r="Q211" s="1"/>
      <c r="R211" s="1"/>
      <c r="S211" s="1"/>
      <c r="T211" s="1"/>
      <c r="U211" s="1"/>
    </row>
    <row r="212" spans="1:21" ht="15.75" customHeight="1">
      <c r="A212" s="1"/>
      <c r="B212" s="1"/>
      <c r="C212" s="1"/>
      <c r="D212" s="1"/>
      <c r="E212" s="1"/>
      <c r="F212" s="1"/>
      <c r="G212" s="18"/>
      <c r="H212" s="1"/>
      <c r="I212" s="1"/>
      <c r="J212" s="8"/>
      <c r="K212" s="8"/>
      <c r="L212" s="1"/>
      <c r="M212" s="1"/>
      <c r="N212" s="9"/>
      <c r="O212" s="10"/>
      <c r="P212" s="1"/>
      <c r="Q212" s="1"/>
      <c r="R212" s="1"/>
      <c r="S212" s="1"/>
      <c r="T212" s="1"/>
      <c r="U212" s="1"/>
    </row>
    <row r="213" spans="1:21" ht="15.75" customHeight="1">
      <c r="A213" s="1"/>
      <c r="B213" s="1"/>
      <c r="C213" s="1"/>
      <c r="D213" s="1"/>
      <c r="E213" s="1"/>
      <c r="F213" s="1"/>
      <c r="G213" s="18"/>
      <c r="H213" s="1"/>
      <c r="I213" s="1"/>
      <c r="J213" s="8"/>
      <c r="K213" s="8"/>
      <c r="L213" s="1"/>
      <c r="M213" s="1"/>
      <c r="N213" s="9"/>
      <c r="O213" s="10"/>
      <c r="P213" s="1"/>
      <c r="Q213" s="1"/>
      <c r="R213" s="1"/>
      <c r="S213" s="1"/>
      <c r="T213" s="1"/>
      <c r="U213" s="1"/>
    </row>
    <row r="214" spans="1:21" ht="15.75" customHeight="1">
      <c r="A214" s="1"/>
      <c r="B214" s="1"/>
      <c r="C214" s="1"/>
      <c r="D214" s="1"/>
      <c r="E214" s="1"/>
      <c r="F214" s="1"/>
      <c r="G214" s="18"/>
      <c r="H214" s="1"/>
      <c r="I214" s="1"/>
      <c r="J214" s="8"/>
      <c r="K214" s="8"/>
      <c r="L214" s="1"/>
      <c r="M214" s="1"/>
      <c r="N214" s="9"/>
      <c r="O214" s="10"/>
      <c r="P214" s="1"/>
      <c r="Q214" s="1"/>
      <c r="R214" s="1"/>
      <c r="S214" s="1"/>
      <c r="T214" s="1"/>
      <c r="U214" s="1"/>
    </row>
    <row r="215" spans="1:21" ht="15.75" customHeight="1">
      <c r="A215" s="1"/>
      <c r="B215" s="1"/>
      <c r="C215" s="1"/>
      <c r="D215" s="1"/>
      <c r="E215" s="1"/>
      <c r="F215" s="1"/>
      <c r="G215" s="18"/>
      <c r="H215" s="1"/>
      <c r="I215" s="1"/>
      <c r="J215" s="8"/>
      <c r="K215" s="8"/>
      <c r="L215" s="1"/>
      <c r="M215" s="1"/>
      <c r="N215" s="9"/>
      <c r="O215" s="10"/>
      <c r="P215" s="1"/>
      <c r="Q215" s="1"/>
      <c r="R215" s="1"/>
      <c r="S215" s="1"/>
      <c r="T215" s="1"/>
      <c r="U215" s="1"/>
    </row>
    <row r="216" spans="1:21" ht="15.75" customHeight="1">
      <c r="A216" s="1"/>
      <c r="B216" s="1"/>
      <c r="C216" s="1"/>
      <c r="D216" s="1"/>
      <c r="E216" s="1"/>
      <c r="F216" s="1"/>
      <c r="G216" s="18"/>
      <c r="H216" s="1"/>
      <c r="I216" s="1"/>
      <c r="J216" s="8"/>
      <c r="K216" s="8"/>
      <c r="L216" s="1"/>
      <c r="M216" s="1"/>
      <c r="N216" s="9"/>
      <c r="O216" s="10"/>
      <c r="P216" s="1"/>
      <c r="Q216" s="1"/>
      <c r="R216" s="1"/>
      <c r="S216" s="1"/>
      <c r="T216" s="1"/>
      <c r="U216" s="1"/>
    </row>
    <row r="217" spans="1:21" ht="15.75" customHeight="1">
      <c r="A217" s="1"/>
      <c r="B217" s="1"/>
      <c r="C217" s="1"/>
      <c r="D217" s="1"/>
      <c r="E217" s="1"/>
      <c r="F217" s="1"/>
      <c r="G217" s="18"/>
      <c r="H217" s="1"/>
      <c r="I217" s="1"/>
      <c r="J217" s="8"/>
      <c r="K217" s="8"/>
      <c r="L217" s="1"/>
      <c r="M217" s="1"/>
      <c r="N217" s="9"/>
      <c r="O217" s="10"/>
      <c r="P217" s="1"/>
      <c r="Q217" s="1"/>
      <c r="R217" s="1"/>
      <c r="S217" s="1"/>
      <c r="T217" s="1"/>
      <c r="U217" s="1"/>
    </row>
    <row r="218" spans="1:21" ht="15.75" customHeight="1">
      <c r="A218" s="1"/>
      <c r="B218" s="1"/>
      <c r="C218" s="1"/>
      <c r="D218" s="1"/>
      <c r="E218" s="1"/>
      <c r="F218" s="1"/>
      <c r="G218" s="18"/>
      <c r="H218" s="1"/>
      <c r="I218" s="1"/>
      <c r="J218" s="8"/>
      <c r="K218" s="8"/>
      <c r="L218" s="1"/>
      <c r="M218" s="1"/>
      <c r="N218" s="9"/>
      <c r="O218" s="10"/>
      <c r="P218" s="1"/>
      <c r="Q218" s="1"/>
      <c r="R218" s="1"/>
      <c r="S218" s="1"/>
      <c r="T218" s="1"/>
      <c r="U218" s="1"/>
    </row>
    <row r="219" spans="1:21" ht="15.75" customHeight="1">
      <c r="A219" s="1"/>
      <c r="B219" s="1"/>
      <c r="C219" s="1"/>
      <c r="D219" s="1"/>
      <c r="E219" s="1"/>
      <c r="F219" s="1"/>
      <c r="G219" s="18"/>
      <c r="H219" s="1"/>
      <c r="I219" s="1"/>
      <c r="J219" s="8"/>
      <c r="K219" s="8"/>
      <c r="L219" s="1"/>
      <c r="M219" s="1"/>
      <c r="N219" s="9"/>
      <c r="O219" s="10"/>
      <c r="P219" s="1"/>
      <c r="Q219" s="1"/>
      <c r="R219" s="1"/>
      <c r="S219" s="1"/>
      <c r="T219" s="1"/>
      <c r="U219" s="1"/>
    </row>
    <row r="220" spans="1:21" ht="15.75" customHeight="1">
      <c r="A220" s="1"/>
      <c r="B220" s="1"/>
      <c r="C220" s="1"/>
      <c r="D220" s="1"/>
      <c r="E220" s="1"/>
      <c r="F220" s="1"/>
      <c r="G220" s="18"/>
      <c r="H220" s="1"/>
      <c r="I220" s="1"/>
      <c r="J220" s="8"/>
      <c r="K220" s="8"/>
      <c r="L220" s="1"/>
      <c r="M220" s="1"/>
      <c r="N220" s="9"/>
      <c r="O220" s="10"/>
      <c r="P220" s="1"/>
      <c r="Q220" s="1"/>
      <c r="R220" s="1"/>
      <c r="S220" s="1"/>
      <c r="T220" s="1"/>
      <c r="U220" s="1"/>
    </row>
    <row r="221" spans="1:21" ht="15.75" customHeight="1">
      <c r="A221" s="1"/>
      <c r="B221" s="1"/>
      <c r="C221" s="1"/>
      <c r="D221" s="1"/>
      <c r="E221" s="1"/>
      <c r="F221" s="1"/>
      <c r="G221" s="18"/>
      <c r="H221" s="1"/>
      <c r="I221" s="1"/>
      <c r="J221" s="8"/>
      <c r="K221" s="8"/>
      <c r="L221" s="1"/>
      <c r="M221" s="1"/>
      <c r="N221" s="9"/>
      <c r="O221" s="10"/>
      <c r="P221" s="1"/>
      <c r="Q221" s="1"/>
      <c r="R221" s="1"/>
      <c r="S221" s="1"/>
      <c r="T221" s="1"/>
      <c r="U221" s="1"/>
    </row>
    <row r="222" spans="1:21" ht="15.75" customHeight="1">
      <c r="A222" s="1"/>
      <c r="B222" s="1"/>
      <c r="C222" s="1"/>
      <c r="D222" s="1"/>
      <c r="E222" s="1"/>
      <c r="F222" s="1"/>
      <c r="G222" s="18"/>
      <c r="H222" s="1"/>
      <c r="I222" s="1"/>
      <c r="J222" s="8"/>
      <c r="K222" s="8"/>
      <c r="L222" s="1"/>
      <c r="M222" s="1"/>
      <c r="N222" s="9"/>
      <c r="O222" s="10"/>
      <c r="P222" s="1"/>
      <c r="Q222" s="1"/>
      <c r="R222" s="1"/>
      <c r="S222" s="1"/>
      <c r="T222" s="1"/>
      <c r="U222" s="1"/>
    </row>
    <row r="223" spans="1:21" ht="15.75" customHeight="1">
      <c r="A223" s="1"/>
      <c r="B223" s="1"/>
      <c r="C223" s="1"/>
      <c r="D223" s="1"/>
      <c r="E223" s="1"/>
      <c r="F223" s="1"/>
      <c r="G223" s="18"/>
      <c r="H223" s="1"/>
      <c r="I223" s="1"/>
      <c r="J223" s="8"/>
      <c r="K223" s="8"/>
      <c r="L223" s="1"/>
      <c r="M223" s="1"/>
      <c r="N223" s="9"/>
      <c r="O223" s="10"/>
      <c r="P223" s="1"/>
      <c r="Q223" s="1"/>
      <c r="R223" s="1"/>
      <c r="S223" s="1"/>
      <c r="T223" s="1"/>
      <c r="U223" s="1"/>
    </row>
    <row r="224" spans="1:21" ht="15.75" customHeight="1">
      <c r="A224" s="1"/>
      <c r="B224" s="1"/>
      <c r="C224" s="1"/>
      <c r="D224" s="1"/>
      <c r="E224" s="1"/>
      <c r="F224" s="1"/>
      <c r="G224" s="18"/>
      <c r="H224" s="1"/>
      <c r="I224" s="1"/>
      <c r="J224" s="8"/>
      <c r="K224" s="8"/>
      <c r="L224" s="1"/>
      <c r="M224" s="1"/>
      <c r="N224" s="9"/>
      <c r="O224" s="10"/>
      <c r="P224" s="1"/>
      <c r="Q224" s="1"/>
      <c r="R224" s="1"/>
      <c r="S224" s="1"/>
      <c r="T224" s="1"/>
      <c r="U224" s="1"/>
    </row>
    <row r="225" spans="1:21" ht="15.75" customHeight="1">
      <c r="A225" s="1"/>
      <c r="B225" s="1"/>
      <c r="C225" s="1"/>
      <c r="D225" s="1"/>
      <c r="E225" s="1"/>
      <c r="F225" s="1"/>
      <c r="G225" s="18"/>
      <c r="H225" s="1"/>
      <c r="I225" s="1"/>
      <c r="J225" s="8"/>
      <c r="K225" s="8"/>
      <c r="L225" s="1"/>
      <c r="M225" s="1"/>
      <c r="N225" s="9"/>
      <c r="O225" s="10"/>
      <c r="P225" s="1"/>
      <c r="Q225" s="1"/>
      <c r="R225" s="1"/>
      <c r="S225" s="1"/>
      <c r="T225" s="1"/>
      <c r="U225" s="1"/>
    </row>
    <row r="226" spans="1:21" ht="15.75" customHeight="1">
      <c r="A226" s="1"/>
      <c r="B226" s="1"/>
      <c r="C226" s="1"/>
      <c r="D226" s="1"/>
      <c r="E226" s="1"/>
      <c r="F226" s="1"/>
      <c r="G226" s="18"/>
      <c r="H226" s="1"/>
      <c r="I226" s="1"/>
      <c r="J226" s="8"/>
      <c r="K226" s="8"/>
      <c r="L226" s="1"/>
      <c r="M226" s="1"/>
      <c r="N226" s="9"/>
      <c r="O226" s="10"/>
      <c r="P226" s="1"/>
      <c r="Q226" s="1"/>
      <c r="R226" s="1"/>
      <c r="S226" s="1"/>
      <c r="T226" s="1"/>
      <c r="U226" s="1"/>
    </row>
    <row r="227" spans="1:21" ht="15.75" customHeight="1">
      <c r="A227" s="1"/>
      <c r="B227" s="1"/>
      <c r="C227" s="1"/>
      <c r="D227" s="1"/>
      <c r="E227" s="1"/>
      <c r="F227" s="1"/>
      <c r="G227" s="18"/>
      <c r="H227" s="1"/>
      <c r="I227" s="1"/>
      <c r="J227" s="8"/>
      <c r="K227" s="8"/>
      <c r="L227" s="1"/>
      <c r="M227" s="1"/>
      <c r="N227" s="9"/>
      <c r="O227" s="10"/>
      <c r="P227" s="1"/>
      <c r="Q227" s="1"/>
      <c r="R227" s="1"/>
      <c r="S227" s="1"/>
      <c r="T227" s="1"/>
      <c r="U227" s="1"/>
    </row>
    <row r="228" spans="1:21" ht="15.75" customHeight="1">
      <c r="A228" s="1"/>
      <c r="B228" s="1"/>
      <c r="C228" s="1"/>
      <c r="D228" s="1"/>
      <c r="E228" s="1"/>
      <c r="F228" s="1"/>
      <c r="G228" s="18"/>
      <c r="H228" s="1"/>
      <c r="I228" s="1"/>
      <c r="J228" s="8"/>
      <c r="K228" s="8"/>
      <c r="L228" s="1"/>
      <c r="M228" s="1"/>
      <c r="N228" s="9"/>
      <c r="O228" s="10"/>
      <c r="P228" s="1"/>
      <c r="Q228" s="1"/>
      <c r="R228" s="1"/>
      <c r="S228" s="1"/>
      <c r="T228" s="1"/>
      <c r="U228" s="1"/>
    </row>
    <row r="229" spans="1:21" ht="15.75" customHeight="1">
      <c r="A229" s="1"/>
      <c r="B229" s="1"/>
      <c r="C229" s="1"/>
      <c r="D229" s="1"/>
      <c r="E229" s="1"/>
      <c r="F229" s="1"/>
      <c r="G229" s="18"/>
      <c r="H229" s="1"/>
      <c r="I229" s="1"/>
      <c r="J229" s="8"/>
      <c r="K229" s="8"/>
      <c r="L229" s="1"/>
      <c r="M229" s="1"/>
      <c r="N229" s="9"/>
      <c r="O229" s="10"/>
      <c r="P229" s="1"/>
      <c r="Q229" s="1"/>
      <c r="R229" s="1"/>
      <c r="S229" s="1"/>
      <c r="T229" s="1"/>
      <c r="U229" s="1"/>
    </row>
    <row r="230" spans="1:21" ht="15.75" customHeight="1">
      <c r="A230" s="1"/>
      <c r="B230" s="1"/>
      <c r="C230" s="1"/>
      <c r="D230" s="1"/>
      <c r="E230" s="1"/>
      <c r="F230" s="1"/>
      <c r="G230" s="18"/>
      <c r="H230" s="1"/>
      <c r="I230" s="1"/>
      <c r="J230" s="8"/>
      <c r="K230" s="8"/>
      <c r="L230" s="1"/>
      <c r="M230" s="1"/>
      <c r="N230" s="9"/>
      <c r="O230" s="10"/>
      <c r="P230" s="1"/>
      <c r="Q230" s="1"/>
      <c r="R230" s="1"/>
      <c r="S230" s="1"/>
      <c r="T230" s="1"/>
      <c r="U230" s="1"/>
    </row>
    <row r="231" spans="1:21" ht="15.75" customHeight="1">
      <c r="A231" s="1"/>
      <c r="B231" s="1"/>
      <c r="C231" s="1"/>
      <c r="D231" s="1"/>
      <c r="E231" s="1"/>
      <c r="F231" s="1"/>
      <c r="G231" s="18"/>
      <c r="H231" s="1"/>
      <c r="I231" s="1"/>
      <c r="J231" s="8"/>
      <c r="K231" s="8"/>
      <c r="L231" s="1"/>
      <c r="M231" s="1"/>
      <c r="N231" s="9"/>
      <c r="O231" s="10"/>
      <c r="P231" s="1"/>
      <c r="Q231" s="1"/>
      <c r="R231" s="1"/>
      <c r="S231" s="1"/>
      <c r="T231" s="1"/>
      <c r="U231" s="1"/>
    </row>
    <row r="232" spans="1:21" ht="15.75" customHeight="1">
      <c r="A232" s="1"/>
      <c r="B232" s="1"/>
      <c r="C232" s="1"/>
      <c r="D232" s="1"/>
      <c r="E232" s="1"/>
      <c r="F232" s="1"/>
      <c r="G232" s="18"/>
      <c r="H232" s="1"/>
      <c r="I232" s="1"/>
      <c r="J232" s="8"/>
      <c r="K232" s="8"/>
      <c r="L232" s="1"/>
      <c r="M232" s="1"/>
      <c r="N232" s="9"/>
      <c r="O232" s="10"/>
      <c r="P232" s="1"/>
      <c r="Q232" s="1"/>
      <c r="R232" s="1"/>
      <c r="S232" s="1"/>
      <c r="T232" s="1"/>
      <c r="U232" s="1"/>
    </row>
    <row r="233" spans="1:21" ht="15.75" customHeight="1">
      <c r="A233" s="1"/>
      <c r="B233" s="1"/>
      <c r="C233" s="1"/>
      <c r="D233" s="1"/>
      <c r="E233" s="1"/>
      <c r="F233" s="1"/>
      <c r="G233" s="18"/>
      <c r="H233" s="1"/>
      <c r="I233" s="1"/>
      <c r="J233" s="8"/>
      <c r="K233" s="8"/>
      <c r="L233" s="1"/>
      <c r="M233" s="1"/>
      <c r="N233" s="9"/>
      <c r="O233" s="10"/>
      <c r="P233" s="1"/>
      <c r="Q233" s="1"/>
      <c r="R233" s="1"/>
      <c r="S233" s="1"/>
      <c r="T233" s="1"/>
      <c r="U233" s="1"/>
    </row>
    <row r="234" spans="1:21" ht="15.75" customHeight="1">
      <c r="A234" s="1"/>
      <c r="B234" s="1"/>
      <c r="C234" s="1"/>
      <c r="D234" s="1"/>
      <c r="E234" s="1"/>
      <c r="F234" s="1"/>
      <c r="G234" s="18"/>
      <c r="H234" s="1"/>
      <c r="I234" s="1"/>
      <c r="J234" s="8"/>
      <c r="K234" s="8"/>
      <c r="L234" s="1"/>
      <c r="M234" s="1"/>
      <c r="N234" s="9"/>
      <c r="O234" s="10"/>
      <c r="P234" s="1"/>
      <c r="Q234" s="1"/>
      <c r="R234" s="1"/>
      <c r="S234" s="1"/>
      <c r="T234" s="1"/>
      <c r="U234" s="1"/>
    </row>
    <row r="235" spans="1:21" ht="15.75" customHeight="1">
      <c r="A235" s="1"/>
      <c r="B235" s="1"/>
      <c r="C235" s="1"/>
      <c r="D235" s="1"/>
      <c r="E235" s="1"/>
      <c r="F235" s="1"/>
      <c r="G235" s="18"/>
      <c r="H235" s="1"/>
      <c r="I235" s="1"/>
      <c r="J235" s="8"/>
      <c r="K235" s="8"/>
      <c r="L235" s="1"/>
      <c r="M235" s="1"/>
      <c r="N235" s="9"/>
      <c r="O235" s="10"/>
      <c r="P235" s="1"/>
      <c r="Q235" s="1"/>
      <c r="R235" s="1"/>
      <c r="S235" s="1"/>
      <c r="T235" s="1"/>
      <c r="U235" s="1"/>
    </row>
    <row r="236" spans="1:21" ht="15.75" customHeight="1">
      <c r="A236" s="1"/>
      <c r="B236" s="1"/>
      <c r="C236" s="1"/>
      <c r="D236" s="1"/>
      <c r="E236" s="1"/>
      <c r="F236" s="1"/>
      <c r="G236" s="18"/>
      <c r="H236" s="1"/>
      <c r="I236" s="1"/>
      <c r="J236" s="8"/>
      <c r="K236" s="8"/>
      <c r="L236" s="1"/>
      <c r="M236" s="1"/>
      <c r="N236" s="9"/>
      <c r="O236" s="10"/>
      <c r="P236" s="1"/>
      <c r="Q236" s="1"/>
      <c r="R236" s="1"/>
      <c r="S236" s="1"/>
      <c r="T236" s="1"/>
      <c r="U236" s="1"/>
    </row>
    <row r="237" spans="1:21" ht="15.75" customHeight="1">
      <c r="A237" s="1"/>
      <c r="B237" s="1"/>
      <c r="C237" s="1"/>
      <c r="D237" s="1"/>
      <c r="E237" s="1"/>
      <c r="F237" s="1"/>
      <c r="G237" s="18"/>
      <c r="H237" s="1"/>
      <c r="I237" s="1"/>
      <c r="J237" s="8"/>
      <c r="K237" s="8"/>
      <c r="L237" s="1"/>
      <c r="M237" s="1"/>
      <c r="N237" s="9"/>
      <c r="O237" s="10"/>
      <c r="P237" s="1"/>
      <c r="Q237" s="1"/>
      <c r="R237" s="1"/>
      <c r="S237" s="1"/>
      <c r="T237" s="1"/>
      <c r="U237" s="1"/>
    </row>
    <row r="238" spans="1:21" ht="15.75" customHeight="1">
      <c r="A238" s="1"/>
      <c r="B238" s="1"/>
      <c r="C238" s="1"/>
      <c r="D238" s="1"/>
      <c r="E238" s="1"/>
      <c r="F238" s="1"/>
      <c r="G238" s="18"/>
      <c r="H238" s="1"/>
      <c r="I238" s="1"/>
      <c r="J238" s="8"/>
      <c r="K238" s="8"/>
      <c r="L238" s="1"/>
      <c r="M238" s="1"/>
      <c r="N238" s="9"/>
      <c r="O238" s="10"/>
      <c r="P238" s="1"/>
      <c r="Q238" s="1"/>
      <c r="R238" s="1"/>
      <c r="S238" s="1"/>
      <c r="T238" s="1"/>
      <c r="U238" s="1"/>
    </row>
    <row r="239" spans="1:21" ht="15.75" customHeight="1">
      <c r="A239" s="1"/>
      <c r="B239" s="1"/>
      <c r="C239" s="1"/>
      <c r="D239" s="1"/>
      <c r="E239" s="1"/>
      <c r="F239" s="1"/>
      <c r="G239" s="18"/>
      <c r="H239" s="1"/>
      <c r="I239" s="1"/>
      <c r="J239" s="8"/>
      <c r="K239" s="8"/>
      <c r="L239" s="1"/>
      <c r="M239" s="1"/>
      <c r="N239" s="9"/>
      <c r="O239" s="10"/>
      <c r="P239" s="1"/>
      <c r="Q239" s="1"/>
      <c r="R239" s="1"/>
      <c r="S239" s="1"/>
      <c r="T239" s="1"/>
      <c r="U239" s="1"/>
    </row>
    <row r="240" spans="1:21" ht="15.75" customHeight="1">
      <c r="A240" s="1"/>
      <c r="B240" s="1"/>
      <c r="C240" s="1"/>
      <c r="D240" s="1"/>
      <c r="E240" s="1"/>
      <c r="F240" s="1"/>
      <c r="G240" s="18"/>
      <c r="H240" s="1"/>
      <c r="I240" s="1"/>
      <c r="J240" s="8"/>
      <c r="K240" s="8"/>
      <c r="L240" s="1"/>
      <c r="M240" s="1"/>
      <c r="N240" s="9"/>
      <c r="O240" s="10"/>
      <c r="P240" s="1"/>
      <c r="Q240" s="1"/>
      <c r="R240" s="1"/>
      <c r="S240" s="1"/>
      <c r="T240" s="1"/>
      <c r="U240" s="1"/>
    </row>
    <row r="241" spans="1:21" ht="15.75" customHeight="1">
      <c r="A241" s="1"/>
      <c r="B241" s="1"/>
      <c r="C241" s="1"/>
      <c r="D241" s="1"/>
      <c r="E241" s="1"/>
      <c r="F241" s="1"/>
      <c r="G241" s="18"/>
      <c r="H241" s="1"/>
      <c r="I241" s="1"/>
      <c r="J241" s="8"/>
      <c r="K241" s="8"/>
      <c r="L241" s="1"/>
      <c r="M241" s="1"/>
      <c r="N241" s="9"/>
      <c r="O241" s="10"/>
      <c r="P241" s="1"/>
      <c r="Q241" s="1"/>
      <c r="R241" s="1"/>
      <c r="S241" s="1"/>
      <c r="T241" s="1"/>
      <c r="U241" s="1"/>
    </row>
    <row r="242" spans="1:21" ht="15.75" customHeight="1">
      <c r="A242" s="1"/>
      <c r="B242" s="1"/>
      <c r="C242" s="1"/>
      <c r="D242" s="1"/>
      <c r="E242" s="1"/>
      <c r="F242" s="1"/>
      <c r="G242" s="18"/>
      <c r="H242" s="1"/>
      <c r="I242" s="1"/>
      <c r="J242" s="8"/>
      <c r="K242" s="8"/>
      <c r="L242" s="1"/>
      <c r="M242" s="1"/>
      <c r="N242" s="9"/>
      <c r="O242" s="10"/>
      <c r="P242" s="1"/>
      <c r="Q242" s="1"/>
      <c r="R242" s="1"/>
      <c r="S242" s="1"/>
      <c r="T242" s="1"/>
      <c r="U242" s="1"/>
    </row>
    <row r="243" spans="1:21" ht="15.75" customHeight="1">
      <c r="A243" s="1"/>
      <c r="B243" s="1"/>
      <c r="C243" s="1"/>
      <c r="D243" s="1"/>
      <c r="E243" s="1"/>
      <c r="F243" s="1"/>
      <c r="G243" s="18"/>
      <c r="H243" s="1"/>
      <c r="I243" s="1"/>
      <c r="J243" s="8"/>
      <c r="K243" s="8"/>
      <c r="L243" s="1"/>
      <c r="M243" s="1"/>
      <c r="N243" s="9"/>
      <c r="O243" s="10"/>
      <c r="P243" s="1"/>
      <c r="Q243" s="1"/>
      <c r="R243" s="1"/>
      <c r="S243" s="1"/>
      <c r="T243" s="1"/>
      <c r="U243" s="1"/>
    </row>
    <row r="244" spans="1:21" ht="15.75" customHeight="1">
      <c r="A244" s="1"/>
      <c r="B244" s="1"/>
      <c r="C244" s="1"/>
      <c r="D244" s="1"/>
      <c r="E244" s="1"/>
      <c r="F244" s="1"/>
      <c r="G244" s="18"/>
      <c r="H244" s="1"/>
      <c r="I244" s="1"/>
      <c r="J244" s="8"/>
      <c r="K244" s="8"/>
      <c r="L244" s="1"/>
      <c r="M244" s="1"/>
      <c r="N244" s="9"/>
      <c r="O244" s="10"/>
      <c r="P244" s="1"/>
      <c r="Q244" s="1"/>
      <c r="R244" s="1"/>
      <c r="S244" s="1"/>
      <c r="T244" s="1"/>
      <c r="U244" s="1"/>
    </row>
    <row r="245" spans="1:21" ht="15.75" customHeight="1">
      <c r="A245" s="1"/>
      <c r="B245" s="1"/>
      <c r="C245" s="1"/>
      <c r="D245" s="1"/>
      <c r="E245" s="1"/>
      <c r="F245" s="1"/>
      <c r="G245" s="18"/>
      <c r="H245" s="1"/>
      <c r="I245" s="1"/>
      <c r="J245" s="8"/>
      <c r="K245" s="8"/>
      <c r="L245" s="1"/>
      <c r="M245" s="1"/>
      <c r="N245" s="9"/>
      <c r="O245" s="10"/>
      <c r="P245" s="1"/>
      <c r="Q245" s="1"/>
      <c r="R245" s="1"/>
      <c r="S245" s="1"/>
      <c r="T245" s="1"/>
      <c r="U245" s="1"/>
    </row>
    <row r="246" spans="1:21" ht="15.75" customHeight="1">
      <c r="A246" s="1"/>
      <c r="B246" s="1"/>
      <c r="C246" s="1"/>
      <c r="D246" s="1"/>
      <c r="E246" s="1"/>
      <c r="F246" s="1"/>
      <c r="G246" s="18"/>
      <c r="H246" s="1"/>
      <c r="I246" s="1"/>
      <c r="J246" s="8"/>
      <c r="K246" s="8"/>
      <c r="L246" s="1"/>
      <c r="M246" s="1"/>
      <c r="N246" s="9"/>
      <c r="O246" s="10"/>
      <c r="P246" s="1"/>
      <c r="Q246" s="1"/>
      <c r="R246" s="1"/>
      <c r="S246" s="1"/>
      <c r="T246" s="1"/>
      <c r="U246" s="1"/>
    </row>
    <row r="247" spans="1:21" ht="15.75" customHeight="1">
      <c r="A247" s="1"/>
      <c r="B247" s="1"/>
      <c r="C247" s="1"/>
      <c r="D247" s="1"/>
      <c r="E247" s="1"/>
      <c r="F247" s="1"/>
      <c r="G247" s="18"/>
      <c r="H247" s="1"/>
      <c r="I247" s="1"/>
      <c r="J247" s="8"/>
      <c r="K247" s="8"/>
      <c r="L247" s="1"/>
      <c r="M247" s="1"/>
      <c r="N247" s="9"/>
      <c r="O247" s="10"/>
      <c r="P247" s="1"/>
      <c r="Q247" s="1"/>
      <c r="R247" s="1"/>
      <c r="S247" s="1"/>
      <c r="T247" s="1"/>
      <c r="U247" s="1"/>
    </row>
    <row r="248" spans="1:21" ht="15.75" customHeight="1">
      <c r="A248" s="1"/>
      <c r="B248" s="1"/>
      <c r="C248" s="1"/>
      <c r="D248" s="1"/>
      <c r="E248" s="1"/>
      <c r="F248" s="1"/>
      <c r="G248" s="18"/>
      <c r="H248" s="1"/>
      <c r="I248" s="1"/>
      <c r="J248" s="8"/>
      <c r="K248" s="8"/>
      <c r="L248" s="1"/>
      <c r="M248" s="1"/>
      <c r="N248" s="9"/>
      <c r="O248" s="10"/>
      <c r="P248" s="1"/>
      <c r="Q248" s="1"/>
      <c r="R248" s="1"/>
      <c r="S248" s="1"/>
      <c r="T248" s="1"/>
      <c r="U248" s="1"/>
    </row>
    <row r="249" spans="1:21" ht="15.75" customHeight="1">
      <c r="A249" s="1"/>
      <c r="B249" s="1"/>
      <c r="C249" s="1"/>
      <c r="D249" s="1"/>
      <c r="E249" s="1"/>
      <c r="F249" s="1"/>
      <c r="G249" s="18"/>
      <c r="H249" s="1"/>
      <c r="I249" s="1"/>
      <c r="J249" s="8"/>
      <c r="K249" s="8"/>
      <c r="L249" s="1"/>
      <c r="M249" s="1"/>
      <c r="N249" s="9"/>
      <c r="O249" s="10"/>
      <c r="P249" s="1"/>
      <c r="Q249" s="1"/>
      <c r="R249" s="1"/>
      <c r="S249" s="1"/>
      <c r="T249" s="1"/>
      <c r="U249" s="1"/>
    </row>
    <row r="250" spans="1:21" ht="15.75" customHeight="1">
      <c r="A250" s="1"/>
      <c r="B250" s="1"/>
      <c r="C250" s="1"/>
      <c r="D250" s="1"/>
      <c r="E250" s="1"/>
      <c r="F250" s="1"/>
      <c r="G250" s="18"/>
      <c r="H250" s="1"/>
      <c r="I250" s="1"/>
      <c r="J250" s="8"/>
      <c r="K250" s="8"/>
      <c r="L250" s="1"/>
      <c r="M250" s="1"/>
      <c r="N250" s="9"/>
      <c r="O250" s="10"/>
      <c r="P250" s="1"/>
      <c r="Q250" s="1"/>
      <c r="R250" s="1"/>
      <c r="S250" s="1"/>
      <c r="T250" s="1"/>
      <c r="U250" s="1"/>
    </row>
    <row r="251" spans="1:21" ht="15.75" customHeight="1">
      <c r="A251" s="1"/>
      <c r="B251" s="1"/>
      <c r="C251" s="1"/>
      <c r="D251" s="1"/>
      <c r="E251" s="1"/>
      <c r="F251" s="1"/>
      <c r="G251" s="18"/>
      <c r="H251" s="1"/>
      <c r="I251" s="1"/>
      <c r="J251" s="8"/>
      <c r="K251" s="8"/>
      <c r="L251" s="1"/>
      <c r="M251" s="1"/>
      <c r="N251" s="9"/>
      <c r="O251" s="10"/>
      <c r="P251" s="1"/>
      <c r="Q251" s="1"/>
      <c r="R251" s="1"/>
      <c r="S251" s="1"/>
      <c r="T251" s="1"/>
      <c r="U251" s="1"/>
    </row>
    <row r="252" spans="1:21" ht="15.75" customHeight="1">
      <c r="A252" s="1"/>
      <c r="B252" s="1"/>
      <c r="C252" s="1"/>
      <c r="D252" s="1"/>
      <c r="E252" s="1"/>
      <c r="F252" s="1"/>
      <c r="G252" s="18"/>
      <c r="H252" s="1"/>
      <c r="I252" s="1"/>
      <c r="J252" s="8"/>
      <c r="K252" s="8"/>
      <c r="L252" s="1"/>
      <c r="M252" s="1"/>
      <c r="N252" s="9"/>
      <c r="O252" s="10"/>
      <c r="P252" s="1"/>
      <c r="Q252" s="1"/>
      <c r="R252" s="1"/>
      <c r="S252" s="1"/>
      <c r="T252" s="1"/>
      <c r="U252" s="1"/>
    </row>
    <row r="253" spans="1:21" ht="15.75" customHeight="1">
      <c r="A253" s="1"/>
      <c r="B253" s="1"/>
      <c r="C253" s="1"/>
      <c r="D253" s="1"/>
      <c r="E253" s="1"/>
      <c r="F253" s="1"/>
      <c r="G253" s="18"/>
      <c r="H253" s="1"/>
      <c r="I253" s="1"/>
      <c r="J253" s="8"/>
      <c r="K253" s="8"/>
      <c r="L253" s="1"/>
      <c r="M253" s="1"/>
      <c r="N253" s="9"/>
      <c r="O253" s="10"/>
      <c r="P253" s="1"/>
      <c r="Q253" s="1"/>
      <c r="R253" s="1"/>
      <c r="S253" s="1"/>
      <c r="T253" s="1"/>
      <c r="U253" s="1"/>
    </row>
    <row r="254" spans="1:21" ht="15.75" customHeight="1">
      <c r="A254" s="1"/>
      <c r="B254" s="1"/>
      <c r="C254" s="1"/>
      <c r="D254" s="1"/>
      <c r="E254" s="1"/>
      <c r="F254" s="1"/>
      <c r="G254" s="18"/>
      <c r="H254" s="1"/>
      <c r="I254" s="1"/>
      <c r="J254" s="8"/>
      <c r="K254" s="8"/>
      <c r="L254" s="1"/>
      <c r="M254" s="1"/>
      <c r="N254" s="9"/>
      <c r="O254" s="10"/>
      <c r="P254" s="1"/>
      <c r="Q254" s="1"/>
      <c r="R254" s="1"/>
      <c r="S254" s="1"/>
      <c r="T254" s="1"/>
      <c r="U254" s="1"/>
    </row>
    <row r="255" spans="1:21" ht="15.75" customHeight="1">
      <c r="A255" s="1"/>
      <c r="B255" s="1"/>
      <c r="C255" s="1"/>
      <c r="D255" s="1"/>
      <c r="E255" s="1"/>
      <c r="F255" s="1"/>
      <c r="G255" s="18"/>
      <c r="H255" s="1"/>
      <c r="I255" s="1"/>
      <c r="J255" s="8"/>
      <c r="K255" s="8"/>
      <c r="L255" s="1"/>
      <c r="M255" s="1"/>
      <c r="N255" s="9"/>
      <c r="O255" s="10"/>
      <c r="P255" s="1"/>
      <c r="Q255" s="1"/>
      <c r="R255" s="1"/>
      <c r="S255" s="1"/>
      <c r="T255" s="1"/>
      <c r="U255" s="1"/>
    </row>
    <row r="256" spans="1:21" ht="15.75" customHeight="1">
      <c r="A256" s="1"/>
      <c r="B256" s="1"/>
      <c r="C256" s="1"/>
      <c r="D256" s="1"/>
      <c r="E256" s="1"/>
      <c r="F256" s="1"/>
      <c r="G256" s="18"/>
      <c r="H256" s="1"/>
      <c r="I256" s="1"/>
      <c r="J256" s="8"/>
      <c r="K256" s="8"/>
      <c r="L256" s="1"/>
      <c r="M256" s="1"/>
      <c r="N256" s="9"/>
      <c r="O256" s="10"/>
      <c r="P256" s="1"/>
      <c r="Q256" s="1"/>
      <c r="R256" s="1"/>
      <c r="S256" s="1"/>
      <c r="T256" s="1"/>
      <c r="U256" s="1"/>
    </row>
    <row r="257" spans="1:21" ht="15.75" customHeight="1">
      <c r="A257" s="1"/>
      <c r="B257" s="1"/>
      <c r="C257" s="1"/>
      <c r="D257" s="1"/>
      <c r="E257" s="1"/>
      <c r="F257" s="1"/>
      <c r="G257" s="18"/>
      <c r="H257" s="1"/>
      <c r="I257" s="1"/>
      <c r="J257" s="8"/>
      <c r="K257" s="8"/>
      <c r="L257" s="1"/>
      <c r="M257" s="1"/>
      <c r="N257" s="9"/>
      <c r="O257" s="10"/>
      <c r="P257" s="1"/>
      <c r="Q257" s="1"/>
      <c r="R257" s="1"/>
      <c r="S257" s="1"/>
      <c r="T257" s="1"/>
      <c r="U257" s="1"/>
    </row>
    <row r="258" spans="1:21" ht="15.75" customHeight="1">
      <c r="A258" s="1"/>
      <c r="B258" s="1"/>
      <c r="C258" s="1"/>
      <c r="D258" s="1"/>
      <c r="E258" s="1"/>
      <c r="F258" s="1"/>
      <c r="G258" s="18"/>
      <c r="H258" s="1"/>
      <c r="I258" s="1"/>
      <c r="J258" s="8"/>
      <c r="K258" s="8"/>
      <c r="L258" s="1"/>
      <c r="M258" s="1"/>
      <c r="N258" s="9"/>
      <c r="O258" s="10"/>
      <c r="P258" s="1"/>
      <c r="Q258" s="1"/>
      <c r="R258" s="1"/>
      <c r="S258" s="1"/>
      <c r="T258" s="1"/>
      <c r="U258" s="1"/>
    </row>
    <row r="259" spans="1:21" ht="15.75" customHeight="1">
      <c r="A259" s="1"/>
      <c r="B259" s="1"/>
      <c r="C259" s="1"/>
      <c r="D259" s="1"/>
      <c r="E259" s="1"/>
      <c r="F259" s="1"/>
      <c r="G259" s="18"/>
      <c r="H259" s="1"/>
      <c r="I259" s="1"/>
      <c r="J259" s="8"/>
      <c r="K259" s="8"/>
      <c r="L259" s="1"/>
      <c r="M259" s="1"/>
      <c r="N259" s="9"/>
      <c r="O259" s="10"/>
      <c r="P259" s="1"/>
      <c r="Q259" s="1"/>
      <c r="R259" s="1"/>
      <c r="S259" s="1"/>
      <c r="T259" s="1"/>
      <c r="U259" s="1"/>
    </row>
    <row r="260" spans="1:21" ht="15.75" customHeight="1">
      <c r="A260" s="1"/>
      <c r="B260" s="1"/>
      <c r="C260" s="1"/>
      <c r="D260" s="1"/>
      <c r="E260" s="1"/>
      <c r="F260" s="1"/>
      <c r="G260" s="18"/>
      <c r="H260" s="1"/>
      <c r="I260" s="1"/>
      <c r="J260" s="8"/>
      <c r="K260" s="8"/>
      <c r="L260" s="1"/>
      <c r="M260" s="1"/>
      <c r="N260" s="9"/>
      <c r="O260" s="10"/>
      <c r="P260" s="1"/>
      <c r="Q260" s="1"/>
      <c r="R260" s="1"/>
      <c r="S260" s="1"/>
      <c r="T260" s="1"/>
      <c r="U260" s="1"/>
    </row>
    <row r="261" spans="1:21" ht="15.75" customHeight="1">
      <c r="A261" s="1"/>
      <c r="B261" s="1"/>
      <c r="C261" s="1"/>
      <c r="D261" s="1"/>
      <c r="E261" s="1"/>
      <c r="F261" s="1"/>
      <c r="G261" s="18"/>
      <c r="H261" s="1"/>
      <c r="I261" s="1"/>
      <c r="J261" s="8"/>
      <c r="K261" s="8"/>
      <c r="L261" s="1"/>
      <c r="M261" s="1"/>
      <c r="N261" s="9"/>
      <c r="O261" s="10"/>
      <c r="P261" s="1"/>
      <c r="Q261" s="1"/>
      <c r="R261" s="1"/>
      <c r="S261" s="1"/>
      <c r="T261" s="1"/>
      <c r="U261" s="1"/>
    </row>
    <row r="262" spans="1:21" ht="15.75" customHeight="1">
      <c r="A262" s="1"/>
      <c r="B262" s="1"/>
      <c r="C262" s="1"/>
      <c r="D262" s="1"/>
      <c r="E262" s="1"/>
      <c r="F262" s="1"/>
      <c r="G262" s="18"/>
      <c r="H262" s="1"/>
      <c r="I262" s="1"/>
      <c r="J262" s="8"/>
      <c r="K262" s="8"/>
      <c r="L262" s="1"/>
      <c r="M262" s="1"/>
      <c r="N262" s="9"/>
      <c r="O262" s="10"/>
      <c r="P262" s="1"/>
      <c r="Q262" s="1"/>
      <c r="R262" s="1"/>
      <c r="S262" s="1"/>
      <c r="T262" s="1"/>
      <c r="U262" s="1"/>
    </row>
    <row r="263" spans="1:21" ht="15.75" customHeight="1">
      <c r="A263" s="1"/>
      <c r="B263" s="1"/>
      <c r="C263" s="1"/>
      <c r="D263" s="1"/>
      <c r="E263" s="1"/>
      <c r="F263" s="1"/>
      <c r="G263" s="18"/>
      <c r="H263" s="1"/>
      <c r="I263" s="1"/>
      <c r="J263" s="8"/>
      <c r="K263" s="8"/>
      <c r="L263" s="1"/>
      <c r="M263" s="1"/>
      <c r="N263" s="9"/>
      <c r="O263" s="10"/>
      <c r="P263" s="1"/>
      <c r="Q263" s="1"/>
      <c r="R263" s="1"/>
      <c r="S263" s="1"/>
      <c r="T263" s="1"/>
      <c r="U263" s="1"/>
    </row>
    <row r="264" spans="1:21" ht="15.75" customHeight="1">
      <c r="A264" s="1"/>
      <c r="B264" s="1"/>
      <c r="C264" s="1"/>
      <c r="D264" s="1"/>
      <c r="E264" s="1"/>
      <c r="F264" s="1"/>
      <c r="G264" s="18"/>
      <c r="H264" s="1"/>
      <c r="I264" s="1"/>
      <c r="J264" s="8"/>
      <c r="K264" s="8"/>
      <c r="L264" s="1"/>
      <c r="M264" s="1"/>
      <c r="N264" s="9"/>
      <c r="O264" s="10"/>
      <c r="P264" s="1"/>
      <c r="Q264" s="1"/>
      <c r="R264" s="1"/>
      <c r="S264" s="1"/>
      <c r="T264" s="1"/>
      <c r="U264" s="1"/>
    </row>
    <row r="265" spans="1:21" ht="15.75" customHeight="1">
      <c r="A265" s="1"/>
      <c r="B265" s="1"/>
      <c r="C265" s="1"/>
      <c r="D265" s="1"/>
      <c r="E265" s="1"/>
      <c r="F265" s="1"/>
      <c r="G265" s="18"/>
      <c r="H265" s="1"/>
      <c r="I265" s="1"/>
      <c r="J265" s="8"/>
      <c r="K265" s="8"/>
      <c r="L265" s="1"/>
      <c r="M265" s="1"/>
      <c r="N265" s="9"/>
      <c r="O265" s="10"/>
      <c r="P265" s="1"/>
      <c r="Q265" s="1"/>
      <c r="R265" s="1"/>
      <c r="S265" s="1"/>
      <c r="T265" s="1"/>
      <c r="U265" s="1"/>
    </row>
    <row r="266" spans="1:21" ht="15.75" customHeight="1">
      <c r="A266" s="1"/>
      <c r="B266" s="1"/>
      <c r="C266" s="1"/>
      <c r="D266" s="1"/>
      <c r="E266" s="1"/>
      <c r="F266" s="1"/>
      <c r="G266" s="18"/>
      <c r="H266" s="1"/>
      <c r="I266" s="1"/>
      <c r="J266" s="8"/>
      <c r="K266" s="8"/>
      <c r="L266" s="1"/>
      <c r="M266" s="1"/>
      <c r="N266" s="9"/>
      <c r="O266" s="10"/>
      <c r="P266" s="1"/>
      <c r="Q266" s="1"/>
      <c r="R266" s="1"/>
      <c r="S266" s="1"/>
      <c r="T266" s="1"/>
      <c r="U266" s="1"/>
    </row>
    <row r="267" spans="1:21" ht="15.75" customHeight="1">
      <c r="A267" s="1"/>
      <c r="B267" s="1"/>
      <c r="C267" s="1"/>
      <c r="D267" s="1"/>
      <c r="E267" s="1"/>
      <c r="F267" s="1"/>
      <c r="G267" s="18"/>
      <c r="H267" s="1"/>
      <c r="I267" s="1"/>
      <c r="J267" s="8"/>
      <c r="K267" s="8"/>
      <c r="L267" s="1"/>
      <c r="M267" s="1"/>
      <c r="N267" s="9"/>
      <c r="O267" s="10"/>
      <c r="P267" s="1"/>
      <c r="Q267" s="1"/>
      <c r="R267" s="1"/>
      <c r="S267" s="1"/>
      <c r="T267" s="1"/>
      <c r="U267" s="1"/>
    </row>
    <row r="268" spans="1:21" ht="15.75" customHeight="1">
      <c r="A268" s="1"/>
      <c r="B268" s="1"/>
      <c r="C268" s="1"/>
      <c r="D268" s="1"/>
      <c r="E268" s="1"/>
      <c r="F268" s="1"/>
      <c r="G268" s="18"/>
      <c r="H268" s="1"/>
      <c r="I268" s="1"/>
      <c r="J268" s="8"/>
      <c r="K268" s="8"/>
      <c r="L268" s="1"/>
      <c r="M268" s="1"/>
      <c r="N268" s="9"/>
      <c r="O268" s="10"/>
      <c r="P268" s="1"/>
      <c r="Q268" s="1"/>
      <c r="R268" s="1"/>
      <c r="S268" s="1"/>
      <c r="T268" s="1"/>
      <c r="U268" s="1"/>
    </row>
    <row r="269" spans="1:21" ht="15.75" customHeight="1">
      <c r="A269" s="1"/>
      <c r="B269" s="1"/>
      <c r="C269" s="1"/>
      <c r="D269" s="1"/>
      <c r="E269" s="1"/>
      <c r="F269" s="1"/>
      <c r="G269" s="18"/>
      <c r="H269" s="1"/>
      <c r="I269" s="1"/>
      <c r="J269" s="8"/>
      <c r="K269" s="8"/>
      <c r="L269" s="1"/>
      <c r="M269" s="1"/>
      <c r="N269" s="9"/>
      <c r="O269" s="10"/>
      <c r="P269" s="1"/>
      <c r="Q269" s="1"/>
      <c r="R269" s="1"/>
      <c r="S269" s="1"/>
      <c r="T269" s="1"/>
      <c r="U269" s="1"/>
    </row>
    <row r="270" spans="1:21" ht="15.75" customHeight="1">
      <c r="A270" s="1"/>
      <c r="B270" s="1"/>
      <c r="C270" s="1"/>
      <c r="D270" s="1"/>
      <c r="E270" s="1"/>
      <c r="F270" s="1"/>
      <c r="G270" s="18"/>
      <c r="H270" s="1"/>
      <c r="I270" s="1"/>
      <c r="J270" s="8"/>
      <c r="K270" s="8"/>
      <c r="L270" s="1"/>
      <c r="M270" s="1"/>
      <c r="N270" s="9"/>
      <c r="O270" s="10"/>
      <c r="P270" s="1"/>
      <c r="Q270" s="1"/>
      <c r="R270" s="1"/>
      <c r="S270" s="1"/>
      <c r="T270" s="1"/>
      <c r="U270" s="1"/>
    </row>
    <row r="271" spans="1:21" ht="15.75" customHeight="1">
      <c r="A271" s="1"/>
      <c r="B271" s="1"/>
      <c r="C271" s="1"/>
      <c r="D271" s="1"/>
      <c r="E271" s="1"/>
      <c r="F271" s="1"/>
      <c r="G271" s="18"/>
      <c r="H271" s="1"/>
      <c r="I271" s="1"/>
      <c r="J271" s="8"/>
      <c r="K271" s="8"/>
      <c r="L271" s="1"/>
      <c r="M271" s="1"/>
      <c r="N271" s="9"/>
      <c r="O271" s="10"/>
      <c r="P271" s="1"/>
      <c r="Q271" s="1"/>
      <c r="R271" s="1"/>
      <c r="S271" s="1"/>
      <c r="T271" s="1"/>
      <c r="U271" s="1"/>
    </row>
    <row r="272" spans="1:21" ht="15.75" customHeight="1">
      <c r="A272" s="1"/>
      <c r="B272" s="1"/>
      <c r="C272" s="1"/>
      <c r="D272" s="1"/>
      <c r="E272" s="1"/>
      <c r="F272" s="1"/>
      <c r="G272" s="18"/>
      <c r="H272" s="1"/>
      <c r="I272" s="1"/>
      <c r="J272" s="8"/>
      <c r="K272" s="8"/>
      <c r="L272" s="1"/>
      <c r="M272" s="1"/>
      <c r="N272" s="9"/>
      <c r="O272" s="10"/>
      <c r="P272" s="1"/>
      <c r="Q272" s="1"/>
      <c r="R272" s="1"/>
      <c r="S272" s="1"/>
      <c r="T272" s="1"/>
      <c r="U272" s="1"/>
    </row>
    <row r="273" spans="1:21" ht="15.75" customHeight="1">
      <c r="A273" s="1"/>
      <c r="B273" s="1"/>
      <c r="C273" s="1"/>
      <c r="D273" s="1"/>
      <c r="E273" s="1"/>
      <c r="F273" s="1"/>
      <c r="G273" s="18"/>
      <c r="H273" s="1"/>
      <c r="I273" s="1"/>
      <c r="J273" s="8"/>
      <c r="K273" s="8"/>
      <c r="L273" s="1"/>
      <c r="M273" s="1"/>
      <c r="N273" s="9"/>
      <c r="O273" s="10"/>
      <c r="P273" s="1"/>
      <c r="Q273" s="1"/>
      <c r="R273" s="1"/>
      <c r="S273" s="1"/>
      <c r="T273" s="1"/>
      <c r="U273" s="1"/>
    </row>
    <row r="274" spans="1:21" ht="15.75" customHeight="1">
      <c r="A274" s="1"/>
      <c r="B274" s="1"/>
      <c r="C274" s="1"/>
      <c r="D274" s="1"/>
      <c r="E274" s="1"/>
      <c r="F274" s="1"/>
      <c r="G274" s="18"/>
      <c r="H274" s="1"/>
      <c r="I274" s="1"/>
      <c r="J274" s="8"/>
      <c r="K274" s="8"/>
      <c r="L274" s="1"/>
      <c r="M274" s="1"/>
      <c r="N274" s="9"/>
      <c r="O274" s="10"/>
      <c r="P274" s="1"/>
      <c r="Q274" s="1"/>
      <c r="R274" s="1"/>
      <c r="S274" s="1"/>
      <c r="T274" s="1"/>
      <c r="U274" s="1"/>
    </row>
    <row r="275" spans="1:21" ht="15.75" customHeight="1">
      <c r="A275" s="1"/>
      <c r="B275" s="1"/>
      <c r="C275" s="1"/>
      <c r="D275" s="1"/>
      <c r="E275" s="1"/>
      <c r="F275" s="1"/>
      <c r="G275" s="18"/>
      <c r="H275" s="1"/>
      <c r="I275" s="1"/>
      <c r="J275" s="8"/>
      <c r="K275" s="8"/>
      <c r="L275" s="1"/>
      <c r="M275" s="1"/>
      <c r="N275" s="9"/>
      <c r="O275" s="10"/>
      <c r="P275" s="1"/>
      <c r="Q275" s="1"/>
      <c r="R275" s="1"/>
      <c r="S275" s="1"/>
      <c r="T275" s="1"/>
      <c r="U275" s="1"/>
    </row>
    <row r="276" spans="1:21" ht="15.75" customHeight="1">
      <c r="A276" s="1"/>
      <c r="B276" s="1"/>
      <c r="C276" s="1"/>
      <c r="D276" s="1"/>
      <c r="E276" s="1"/>
      <c r="F276" s="1"/>
      <c r="G276" s="18"/>
      <c r="H276" s="1"/>
      <c r="I276" s="1"/>
      <c r="J276" s="8"/>
      <c r="K276" s="8"/>
      <c r="L276" s="1"/>
      <c r="M276" s="1"/>
      <c r="N276" s="9"/>
      <c r="O276" s="10"/>
      <c r="P276" s="1"/>
      <c r="Q276" s="1"/>
      <c r="R276" s="1"/>
      <c r="S276" s="1"/>
      <c r="T276" s="1"/>
      <c r="U276" s="1"/>
    </row>
    <row r="277" spans="1:21" ht="15.75" customHeight="1">
      <c r="A277" s="1"/>
      <c r="B277" s="1"/>
      <c r="C277" s="1"/>
      <c r="D277" s="1"/>
      <c r="E277" s="1"/>
      <c r="F277" s="1"/>
      <c r="G277" s="18"/>
      <c r="H277" s="1"/>
      <c r="I277" s="1"/>
      <c r="J277" s="8"/>
      <c r="K277" s="8"/>
      <c r="L277" s="1"/>
      <c r="M277" s="1"/>
      <c r="N277" s="9"/>
      <c r="O277" s="10"/>
      <c r="P277" s="1"/>
      <c r="Q277" s="1"/>
      <c r="R277" s="1"/>
      <c r="S277" s="1"/>
      <c r="T277" s="1"/>
      <c r="U277" s="1"/>
    </row>
    <row r="278" spans="1:21" ht="15.75" customHeight="1">
      <c r="A278" s="1"/>
      <c r="B278" s="1"/>
      <c r="C278" s="1"/>
      <c r="D278" s="1"/>
      <c r="E278" s="1"/>
      <c r="F278" s="1"/>
      <c r="G278" s="18"/>
      <c r="H278" s="1"/>
      <c r="I278" s="1"/>
      <c r="J278" s="8"/>
      <c r="K278" s="8"/>
      <c r="L278" s="1"/>
      <c r="M278" s="1"/>
      <c r="N278" s="9"/>
      <c r="O278" s="10"/>
      <c r="P278" s="1"/>
      <c r="Q278" s="1"/>
      <c r="R278" s="1"/>
      <c r="S278" s="1"/>
      <c r="T278" s="1"/>
      <c r="U278" s="1"/>
    </row>
    <row r="279" spans="1:21" ht="15.75" customHeight="1">
      <c r="A279" s="1"/>
      <c r="B279" s="1"/>
      <c r="C279" s="1"/>
      <c r="D279" s="1"/>
      <c r="E279" s="1"/>
      <c r="F279" s="1"/>
      <c r="G279" s="18"/>
      <c r="H279" s="1"/>
      <c r="I279" s="1"/>
      <c r="J279" s="8"/>
      <c r="K279" s="8"/>
      <c r="L279" s="1"/>
      <c r="M279" s="1"/>
      <c r="N279" s="9"/>
      <c r="O279" s="10"/>
      <c r="P279" s="1"/>
      <c r="Q279" s="1"/>
      <c r="R279" s="1"/>
      <c r="S279" s="1"/>
      <c r="T279" s="1"/>
      <c r="U279" s="1"/>
    </row>
    <row r="280" spans="1:21" ht="15.75" customHeight="1">
      <c r="A280" s="1"/>
      <c r="B280" s="1"/>
      <c r="C280" s="1"/>
      <c r="D280" s="1"/>
      <c r="E280" s="1"/>
      <c r="F280" s="1"/>
      <c r="G280" s="18"/>
      <c r="H280" s="1"/>
      <c r="I280" s="1"/>
      <c r="J280" s="8"/>
      <c r="K280" s="8"/>
      <c r="L280" s="1"/>
      <c r="M280" s="1"/>
      <c r="N280" s="9"/>
      <c r="O280" s="10"/>
      <c r="P280" s="1"/>
      <c r="Q280" s="1"/>
      <c r="R280" s="1"/>
      <c r="S280" s="1"/>
      <c r="T280" s="1"/>
      <c r="U280" s="1"/>
    </row>
    <row r="281" spans="1:21" ht="15.75" customHeight="1">
      <c r="A281" s="1"/>
      <c r="B281" s="1"/>
      <c r="C281" s="1"/>
      <c r="D281" s="1"/>
      <c r="E281" s="1"/>
      <c r="F281" s="1"/>
      <c r="G281" s="18"/>
      <c r="H281" s="1"/>
      <c r="I281" s="1"/>
      <c r="J281" s="8"/>
      <c r="K281" s="8"/>
      <c r="L281" s="1"/>
      <c r="M281" s="1"/>
      <c r="N281" s="9"/>
      <c r="O281" s="10"/>
      <c r="P281" s="1"/>
      <c r="Q281" s="1"/>
      <c r="R281" s="1"/>
      <c r="S281" s="1"/>
      <c r="T281" s="1"/>
      <c r="U281" s="1"/>
    </row>
    <row r="282" spans="1:21" ht="15.75" customHeight="1">
      <c r="A282" s="1"/>
      <c r="B282" s="1"/>
      <c r="C282" s="1"/>
      <c r="D282" s="1"/>
      <c r="E282" s="1"/>
      <c r="F282" s="1"/>
      <c r="G282" s="18"/>
      <c r="H282" s="1"/>
      <c r="I282" s="1"/>
      <c r="J282" s="8"/>
      <c r="K282" s="8"/>
      <c r="L282" s="1"/>
      <c r="M282" s="1"/>
      <c r="N282" s="9"/>
      <c r="O282" s="10"/>
      <c r="P282" s="1"/>
      <c r="Q282" s="1"/>
      <c r="R282" s="1"/>
      <c r="S282" s="1"/>
      <c r="T282" s="1"/>
      <c r="U282" s="1"/>
    </row>
    <row r="283" spans="1:21" ht="15.75" customHeight="1">
      <c r="A283" s="1"/>
      <c r="B283" s="1"/>
      <c r="C283" s="1"/>
      <c r="D283" s="1"/>
      <c r="E283" s="1"/>
      <c r="F283" s="1"/>
      <c r="G283" s="18"/>
      <c r="H283" s="1"/>
      <c r="I283" s="1"/>
      <c r="J283" s="8"/>
      <c r="K283" s="8"/>
      <c r="L283" s="1"/>
      <c r="M283" s="1"/>
      <c r="N283" s="9"/>
      <c r="O283" s="10"/>
      <c r="P283" s="1"/>
      <c r="Q283" s="1"/>
      <c r="R283" s="1"/>
      <c r="S283" s="1"/>
      <c r="T283" s="1"/>
      <c r="U283" s="1"/>
    </row>
    <row r="284" spans="1:21" ht="15.75" customHeight="1">
      <c r="A284" s="1"/>
      <c r="B284" s="1"/>
      <c r="C284" s="1"/>
      <c r="D284" s="1"/>
      <c r="E284" s="1"/>
      <c r="F284" s="1"/>
      <c r="G284" s="18"/>
      <c r="H284" s="1"/>
      <c r="I284" s="1"/>
      <c r="J284" s="8"/>
      <c r="K284" s="8"/>
      <c r="L284" s="1"/>
      <c r="M284" s="1"/>
      <c r="N284" s="9"/>
      <c r="O284" s="10"/>
      <c r="P284" s="1"/>
      <c r="Q284" s="1"/>
      <c r="R284" s="1"/>
      <c r="S284" s="1"/>
      <c r="T284" s="1"/>
      <c r="U284" s="1"/>
    </row>
    <row r="285" spans="1:21" ht="15.75" customHeight="1">
      <c r="A285" s="1"/>
      <c r="B285" s="1"/>
      <c r="C285" s="1"/>
      <c r="D285" s="1"/>
      <c r="E285" s="1"/>
      <c r="F285" s="1"/>
      <c r="G285" s="18"/>
      <c r="H285" s="1"/>
      <c r="I285" s="1"/>
      <c r="J285" s="8"/>
      <c r="K285" s="8"/>
      <c r="L285" s="1"/>
      <c r="M285" s="1"/>
      <c r="N285" s="9"/>
      <c r="O285" s="10"/>
      <c r="P285" s="1"/>
      <c r="Q285" s="1"/>
      <c r="R285" s="1"/>
      <c r="S285" s="1"/>
      <c r="T285" s="1"/>
      <c r="U285" s="1"/>
    </row>
    <row r="286" spans="1:21" ht="15.75" customHeight="1">
      <c r="A286" s="1"/>
      <c r="B286" s="1"/>
      <c r="C286" s="1"/>
      <c r="D286" s="1"/>
      <c r="E286" s="1"/>
      <c r="F286" s="1"/>
      <c r="G286" s="18"/>
      <c r="H286" s="1"/>
      <c r="I286" s="1"/>
      <c r="J286" s="8"/>
      <c r="K286" s="8"/>
      <c r="L286" s="1"/>
      <c r="M286" s="1"/>
      <c r="N286" s="9"/>
      <c r="O286" s="10"/>
      <c r="P286" s="1"/>
      <c r="Q286" s="1"/>
      <c r="R286" s="1"/>
      <c r="S286" s="1"/>
      <c r="T286" s="1"/>
      <c r="U286" s="1"/>
    </row>
    <row r="287" spans="1:21" ht="15.75" customHeight="1">
      <c r="A287" s="1"/>
      <c r="B287" s="1"/>
      <c r="C287" s="1"/>
      <c r="D287" s="1"/>
      <c r="E287" s="1"/>
      <c r="F287" s="1"/>
      <c r="G287" s="18"/>
      <c r="H287" s="1"/>
      <c r="I287" s="1"/>
      <c r="J287" s="8"/>
      <c r="K287" s="8"/>
      <c r="L287" s="1"/>
      <c r="M287" s="1"/>
      <c r="N287" s="9"/>
      <c r="O287" s="10"/>
      <c r="P287" s="1"/>
      <c r="Q287" s="1"/>
      <c r="R287" s="1"/>
      <c r="S287" s="1"/>
      <c r="T287" s="1"/>
      <c r="U287" s="1"/>
    </row>
    <row r="288" spans="1:21" ht="15.75" customHeight="1">
      <c r="A288" s="1"/>
      <c r="B288" s="1"/>
      <c r="C288" s="1"/>
      <c r="D288" s="1"/>
      <c r="E288" s="1"/>
      <c r="F288" s="1"/>
      <c r="G288" s="18"/>
      <c r="H288" s="1"/>
      <c r="I288" s="1"/>
      <c r="J288" s="8"/>
      <c r="K288" s="8"/>
      <c r="L288" s="1"/>
      <c r="M288" s="1"/>
      <c r="N288" s="9"/>
      <c r="O288" s="10"/>
      <c r="P288" s="1"/>
      <c r="Q288" s="1"/>
      <c r="R288" s="1"/>
      <c r="S288" s="1"/>
      <c r="T288" s="1"/>
      <c r="U288" s="1"/>
    </row>
    <row r="289" spans="1:21" ht="15.75" customHeight="1">
      <c r="A289" s="1"/>
      <c r="B289" s="1"/>
      <c r="C289" s="1"/>
      <c r="D289" s="1"/>
      <c r="E289" s="1"/>
      <c r="F289" s="1"/>
      <c r="G289" s="18"/>
      <c r="H289" s="1"/>
      <c r="I289" s="1"/>
      <c r="J289" s="8"/>
      <c r="K289" s="8"/>
      <c r="L289" s="1"/>
      <c r="M289" s="1"/>
      <c r="N289" s="9"/>
      <c r="O289" s="10"/>
      <c r="P289" s="1"/>
      <c r="Q289" s="1"/>
      <c r="R289" s="1"/>
      <c r="S289" s="1"/>
      <c r="T289" s="1"/>
      <c r="U289" s="1"/>
    </row>
    <row r="290" spans="1:21" ht="15.75" customHeight="1">
      <c r="A290" s="1"/>
      <c r="B290" s="1"/>
      <c r="C290" s="1"/>
      <c r="D290" s="1"/>
      <c r="E290" s="1"/>
      <c r="F290" s="1"/>
      <c r="G290" s="18"/>
      <c r="H290" s="1"/>
      <c r="I290" s="1"/>
      <c r="J290" s="8"/>
      <c r="K290" s="8"/>
      <c r="L290" s="1"/>
      <c r="M290" s="1"/>
      <c r="N290" s="9"/>
      <c r="O290" s="10"/>
      <c r="P290" s="1"/>
      <c r="Q290" s="1"/>
      <c r="R290" s="1"/>
      <c r="S290" s="1"/>
      <c r="T290" s="1"/>
      <c r="U290" s="1"/>
    </row>
    <row r="291" spans="1:21" ht="15.75" customHeight="1">
      <c r="A291" s="1"/>
      <c r="B291" s="1"/>
      <c r="C291" s="1"/>
      <c r="D291" s="1"/>
      <c r="E291" s="1"/>
      <c r="F291" s="1"/>
      <c r="G291" s="18"/>
      <c r="H291" s="1"/>
      <c r="I291" s="1"/>
      <c r="J291" s="8"/>
      <c r="K291" s="8"/>
      <c r="L291" s="1"/>
      <c r="M291" s="1"/>
      <c r="N291" s="9"/>
      <c r="O291" s="10"/>
      <c r="P291" s="1"/>
      <c r="Q291" s="1"/>
      <c r="R291" s="1"/>
      <c r="S291" s="1"/>
      <c r="T291" s="1"/>
      <c r="U291" s="1"/>
    </row>
    <row r="292" spans="1:21" ht="15.75" customHeight="1">
      <c r="A292" s="1"/>
      <c r="B292" s="1"/>
      <c r="C292" s="1"/>
      <c r="D292" s="1"/>
      <c r="E292" s="1"/>
      <c r="F292" s="1"/>
      <c r="G292" s="18"/>
      <c r="H292" s="1"/>
      <c r="I292" s="1"/>
      <c r="J292" s="8"/>
      <c r="K292" s="8"/>
      <c r="L292" s="1"/>
      <c r="M292" s="1"/>
      <c r="N292" s="9"/>
      <c r="O292" s="10"/>
      <c r="P292" s="1"/>
      <c r="Q292" s="1"/>
      <c r="R292" s="1"/>
      <c r="S292" s="1"/>
      <c r="T292" s="1"/>
      <c r="U292" s="1"/>
    </row>
    <row r="293" spans="1:21" ht="15.75" customHeight="1">
      <c r="A293" s="1"/>
      <c r="B293" s="1"/>
      <c r="C293" s="1"/>
      <c r="D293" s="1"/>
      <c r="E293" s="1"/>
      <c r="F293" s="1"/>
      <c r="G293" s="18"/>
      <c r="H293" s="1"/>
      <c r="I293" s="1"/>
      <c r="J293" s="8"/>
      <c r="K293" s="8"/>
      <c r="L293" s="1"/>
      <c r="M293" s="1"/>
      <c r="N293" s="9"/>
      <c r="O293" s="10"/>
      <c r="P293" s="1"/>
      <c r="Q293" s="1"/>
      <c r="R293" s="1"/>
      <c r="S293" s="1"/>
      <c r="T293" s="1"/>
      <c r="U293" s="1"/>
    </row>
    <row r="294" spans="1:21" ht="15.75" customHeight="1">
      <c r="A294" s="1"/>
      <c r="B294" s="1"/>
      <c r="C294" s="1"/>
      <c r="D294" s="1"/>
      <c r="E294" s="1"/>
      <c r="F294" s="1"/>
      <c r="G294" s="18"/>
      <c r="H294" s="1"/>
      <c r="I294" s="1"/>
      <c r="J294" s="8"/>
      <c r="K294" s="8"/>
      <c r="L294" s="1"/>
      <c r="M294" s="1"/>
      <c r="N294" s="9"/>
      <c r="O294" s="10"/>
      <c r="P294" s="1"/>
      <c r="Q294" s="1"/>
      <c r="R294" s="1"/>
      <c r="S294" s="1"/>
      <c r="T294" s="1"/>
      <c r="U294" s="1"/>
    </row>
    <row r="295" spans="1:21" ht="15.75" customHeight="1">
      <c r="A295" s="1"/>
      <c r="B295" s="1"/>
      <c r="C295" s="1"/>
      <c r="D295" s="1"/>
      <c r="E295" s="1"/>
      <c r="F295" s="1"/>
      <c r="G295" s="18"/>
      <c r="H295" s="1"/>
      <c r="I295" s="1"/>
      <c r="J295" s="8"/>
      <c r="K295" s="8"/>
      <c r="L295" s="1"/>
      <c r="M295" s="1"/>
      <c r="N295" s="9"/>
      <c r="O295" s="10"/>
      <c r="P295" s="1"/>
      <c r="Q295" s="1"/>
      <c r="R295" s="1"/>
      <c r="S295" s="1"/>
      <c r="T295" s="1"/>
      <c r="U295" s="1"/>
    </row>
    <row r="296" spans="1:21" ht="15.75" customHeight="1">
      <c r="A296" s="1"/>
      <c r="B296" s="1"/>
      <c r="C296" s="1"/>
      <c r="D296" s="1"/>
      <c r="E296" s="1"/>
      <c r="F296" s="1"/>
      <c r="G296" s="18"/>
      <c r="H296" s="1"/>
      <c r="I296" s="1"/>
      <c r="J296" s="8"/>
      <c r="K296" s="8"/>
      <c r="L296" s="1"/>
      <c r="M296" s="1"/>
      <c r="N296" s="9"/>
      <c r="O296" s="10"/>
      <c r="P296" s="1"/>
      <c r="Q296" s="1"/>
      <c r="R296" s="1"/>
      <c r="S296" s="1"/>
      <c r="T296" s="1"/>
      <c r="U296" s="1"/>
    </row>
    <row r="297" spans="1:21" ht="15.75" customHeight="1">
      <c r="A297" s="1"/>
      <c r="B297" s="1"/>
      <c r="C297" s="1"/>
      <c r="D297" s="1"/>
      <c r="E297" s="1"/>
      <c r="F297" s="1"/>
      <c r="G297" s="18"/>
      <c r="H297" s="1"/>
      <c r="I297" s="1"/>
      <c r="J297" s="8"/>
      <c r="K297" s="8"/>
      <c r="L297" s="1"/>
      <c r="M297" s="1"/>
      <c r="N297" s="9"/>
      <c r="O297" s="10"/>
      <c r="P297" s="1"/>
      <c r="Q297" s="1"/>
      <c r="R297" s="1"/>
      <c r="S297" s="1"/>
      <c r="T297" s="1"/>
      <c r="U297" s="1"/>
    </row>
    <row r="298" spans="1:21" ht="15.75" customHeight="1">
      <c r="A298" s="1"/>
      <c r="B298" s="1"/>
      <c r="C298" s="1"/>
      <c r="D298" s="1"/>
      <c r="E298" s="1"/>
      <c r="F298" s="1"/>
      <c r="G298" s="18"/>
      <c r="H298" s="1"/>
      <c r="I298" s="1"/>
      <c r="J298" s="8"/>
      <c r="K298" s="8"/>
      <c r="L298" s="1"/>
      <c r="M298" s="1"/>
      <c r="N298" s="9"/>
      <c r="O298" s="10"/>
      <c r="P298" s="1"/>
      <c r="Q298" s="1"/>
      <c r="R298" s="1"/>
      <c r="S298" s="1"/>
      <c r="T298" s="1"/>
      <c r="U298" s="1"/>
    </row>
    <row r="299" spans="1:21" ht="15.75" customHeight="1">
      <c r="A299" s="1"/>
      <c r="B299" s="1"/>
      <c r="C299" s="1"/>
      <c r="D299" s="1"/>
      <c r="E299" s="1"/>
      <c r="F299" s="1"/>
      <c r="G299" s="18"/>
      <c r="H299" s="1"/>
      <c r="I299" s="1"/>
      <c r="J299" s="8"/>
      <c r="K299" s="8"/>
      <c r="L299" s="1"/>
      <c r="M299" s="1"/>
      <c r="N299" s="9"/>
      <c r="O299" s="10"/>
      <c r="P299" s="1"/>
      <c r="Q299" s="1"/>
      <c r="R299" s="1"/>
      <c r="S299" s="1"/>
      <c r="T299" s="1"/>
      <c r="U299" s="1"/>
    </row>
    <row r="300" spans="1:21" ht="15.75" customHeight="1">
      <c r="A300" s="1"/>
      <c r="B300" s="1"/>
      <c r="C300" s="1"/>
      <c r="D300" s="1"/>
      <c r="E300" s="1"/>
      <c r="F300" s="1"/>
      <c r="G300" s="18"/>
      <c r="H300" s="1"/>
      <c r="I300" s="1"/>
      <c r="J300" s="8"/>
      <c r="K300" s="8"/>
      <c r="L300" s="1"/>
      <c r="M300" s="1"/>
      <c r="N300" s="9"/>
      <c r="O300" s="10"/>
      <c r="P300" s="1"/>
      <c r="Q300" s="1"/>
      <c r="R300" s="1"/>
      <c r="S300" s="1"/>
      <c r="T300" s="1"/>
      <c r="U300" s="1"/>
    </row>
    <row r="301" spans="1:21" ht="15.75" customHeight="1">
      <c r="A301" s="1"/>
      <c r="B301" s="1"/>
      <c r="C301" s="1"/>
      <c r="D301" s="1"/>
      <c r="E301" s="1"/>
      <c r="F301" s="1"/>
      <c r="G301" s="18"/>
      <c r="H301" s="1"/>
      <c r="I301" s="1"/>
      <c r="J301" s="8"/>
      <c r="K301" s="8"/>
      <c r="L301" s="1"/>
      <c r="M301" s="1"/>
      <c r="N301" s="9"/>
      <c r="O301" s="10"/>
      <c r="P301" s="1"/>
      <c r="Q301" s="1"/>
      <c r="R301" s="1"/>
      <c r="S301" s="1"/>
      <c r="T301" s="1"/>
      <c r="U301" s="1"/>
    </row>
    <row r="302" spans="1:21" ht="15.75" customHeight="1">
      <c r="A302" s="1"/>
      <c r="B302" s="1"/>
      <c r="C302" s="1"/>
      <c r="D302" s="1"/>
      <c r="E302" s="1"/>
      <c r="F302" s="1"/>
      <c r="G302" s="18"/>
      <c r="H302" s="1"/>
      <c r="I302" s="1"/>
      <c r="J302" s="8"/>
      <c r="K302" s="8"/>
      <c r="L302" s="1"/>
      <c r="M302" s="1"/>
      <c r="N302" s="9"/>
      <c r="O302" s="10"/>
      <c r="P302" s="1"/>
      <c r="Q302" s="1"/>
      <c r="R302" s="1"/>
      <c r="S302" s="1"/>
      <c r="T302" s="1"/>
      <c r="U302" s="1"/>
    </row>
    <row r="303" spans="1:21" ht="15.75" customHeight="1">
      <c r="A303" s="1"/>
      <c r="B303" s="1"/>
      <c r="C303" s="1"/>
      <c r="D303" s="1"/>
      <c r="E303" s="1"/>
      <c r="F303" s="1"/>
      <c r="G303" s="18"/>
      <c r="H303" s="1"/>
      <c r="I303" s="1"/>
      <c r="J303" s="8"/>
      <c r="K303" s="8"/>
      <c r="L303" s="1"/>
      <c r="M303" s="1"/>
      <c r="N303" s="9"/>
      <c r="O303" s="10"/>
      <c r="P303" s="1"/>
      <c r="Q303" s="1"/>
      <c r="R303" s="1"/>
      <c r="S303" s="1"/>
      <c r="T303" s="1"/>
      <c r="U303" s="1"/>
    </row>
    <row r="304" spans="1:21" ht="15.75" customHeight="1">
      <c r="A304" s="1"/>
      <c r="B304" s="1"/>
      <c r="C304" s="1"/>
      <c r="D304" s="1"/>
      <c r="E304" s="1"/>
      <c r="F304" s="1"/>
      <c r="G304" s="18"/>
      <c r="H304" s="1"/>
      <c r="I304" s="1"/>
      <c r="J304" s="8"/>
      <c r="K304" s="8"/>
      <c r="L304" s="1"/>
      <c r="M304" s="1"/>
      <c r="N304" s="9"/>
      <c r="O304" s="10"/>
      <c r="P304" s="1"/>
      <c r="Q304" s="1"/>
      <c r="R304" s="1"/>
      <c r="S304" s="1"/>
      <c r="T304" s="1"/>
      <c r="U304" s="1"/>
    </row>
    <row r="305" spans="1:21" ht="15.75" customHeight="1">
      <c r="A305" s="1"/>
      <c r="B305" s="1"/>
      <c r="C305" s="1"/>
      <c r="D305" s="1"/>
      <c r="E305" s="1"/>
      <c r="F305" s="1"/>
      <c r="G305" s="18"/>
      <c r="H305" s="1"/>
      <c r="I305" s="1"/>
      <c r="J305" s="8"/>
      <c r="K305" s="8"/>
      <c r="L305" s="1"/>
      <c r="M305" s="1"/>
      <c r="N305" s="9"/>
      <c r="O305" s="10"/>
      <c r="P305" s="1"/>
      <c r="Q305" s="1"/>
      <c r="R305" s="1"/>
      <c r="S305" s="1"/>
      <c r="T305" s="1"/>
      <c r="U305" s="1"/>
    </row>
    <row r="306" spans="1:21" ht="15.75" customHeight="1">
      <c r="A306" s="1"/>
      <c r="B306" s="1"/>
      <c r="C306" s="1"/>
      <c r="D306" s="1"/>
      <c r="E306" s="1"/>
      <c r="F306" s="1"/>
      <c r="G306" s="18"/>
      <c r="H306" s="1"/>
      <c r="I306" s="1"/>
      <c r="J306" s="8"/>
      <c r="K306" s="8"/>
      <c r="L306" s="1"/>
      <c r="M306" s="1"/>
      <c r="N306" s="9"/>
      <c r="O306" s="10"/>
      <c r="P306" s="1"/>
      <c r="Q306" s="1"/>
      <c r="R306" s="1"/>
      <c r="S306" s="1"/>
      <c r="T306" s="1"/>
      <c r="U306" s="1"/>
    </row>
    <row r="307" spans="1:21" ht="15.75" customHeight="1">
      <c r="A307" s="1"/>
      <c r="B307" s="1"/>
      <c r="C307" s="1"/>
      <c r="D307" s="1"/>
      <c r="E307" s="1"/>
      <c r="F307" s="1"/>
      <c r="G307" s="18"/>
      <c r="H307" s="1"/>
      <c r="I307" s="1"/>
      <c r="J307" s="8"/>
      <c r="K307" s="8"/>
      <c r="L307" s="1"/>
      <c r="M307" s="1"/>
      <c r="N307" s="9"/>
      <c r="O307" s="10"/>
      <c r="P307" s="1"/>
      <c r="Q307" s="1"/>
      <c r="R307" s="1"/>
      <c r="S307" s="1"/>
      <c r="T307" s="1"/>
      <c r="U307" s="1"/>
    </row>
    <row r="308" spans="1:21" ht="15.75" customHeight="1">
      <c r="A308" s="1"/>
      <c r="B308" s="1"/>
      <c r="C308" s="1"/>
      <c r="D308" s="1"/>
      <c r="E308" s="1"/>
      <c r="F308" s="1"/>
      <c r="G308" s="18"/>
      <c r="H308" s="1"/>
      <c r="I308" s="1"/>
      <c r="J308" s="8"/>
      <c r="K308" s="8"/>
      <c r="L308" s="1"/>
      <c r="M308" s="1"/>
      <c r="N308" s="9"/>
      <c r="O308" s="10"/>
      <c r="P308" s="1"/>
      <c r="Q308" s="1"/>
      <c r="R308" s="1"/>
      <c r="S308" s="1"/>
      <c r="T308" s="1"/>
      <c r="U308" s="1"/>
    </row>
    <row r="309" spans="1:21" ht="15.75" customHeight="1">
      <c r="A309" s="1"/>
      <c r="B309" s="1"/>
      <c r="C309" s="1"/>
      <c r="D309" s="1"/>
      <c r="E309" s="1"/>
      <c r="F309" s="1"/>
      <c r="G309" s="18"/>
      <c r="H309" s="1"/>
      <c r="I309" s="1"/>
      <c r="J309" s="8"/>
      <c r="K309" s="8"/>
      <c r="L309" s="1"/>
      <c r="M309" s="1"/>
      <c r="N309" s="9"/>
      <c r="O309" s="10"/>
      <c r="P309" s="1"/>
      <c r="Q309" s="1"/>
      <c r="R309" s="1"/>
      <c r="S309" s="1"/>
      <c r="T309" s="1"/>
      <c r="U309" s="1"/>
    </row>
    <row r="310" spans="1:21" ht="15.75" customHeight="1">
      <c r="A310" s="1"/>
      <c r="B310" s="1"/>
      <c r="C310" s="1"/>
      <c r="D310" s="1"/>
      <c r="E310" s="1"/>
      <c r="F310" s="1"/>
      <c r="G310" s="18"/>
      <c r="H310" s="1"/>
      <c r="I310" s="1"/>
      <c r="J310" s="8"/>
      <c r="K310" s="8"/>
      <c r="L310" s="1"/>
      <c r="M310" s="1"/>
      <c r="N310" s="9"/>
      <c r="O310" s="10"/>
      <c r="P310" s="1"/>
      <c r="Q310" s="1"/>
      <c r="R310" s="1"/>
      <c r="S310" s="1"/>
      <c r="T310" s="1"/>
      <c r="U310" s="1"/>
    </row>
    <row r="311" spans="1:21" ht="15.75" customHeight="1">
      <c r="A311" s="1"/>
      <c r="B311" s="1"/>
      <c r="C311" s="1"/>
      <c r="D311" s="1"/>
      <c r="E311" s="1"/>
      <c r="F311" s="1"/>
      <c r="G311" s="18"/>
      <c r="H311" s="1"/>
      <c r="I311" s="1"/>
      <c r="J311" s="8"/>
      <c r="K311" s="8"/>
      <c r="L311" s="1"/>
      <c r="M311" s="1"/>
      <c r="N311" s="9"/>
      <c r="O311" s="10"/>
      <c r="P311" s="1"/>
      <c r="Q311" s="1"/>
      <c r="R311" s="1"/>
      <c r="S311" s="1"/>
      <c r="T311" s="1"/>
      <c r="U311" s="1"/>
    </row>
    <row r="312" spans="1:21" ht="15.75" customHeight="1">
      <c r="A312" s="1"/>
      <c r="B312" s="1"/>
      <c r="C312" s="1"/>
      <c r="D312" s="1"/>
      <c r="E312" s="1"/>
      <c r="F312" s="1"/>
      <c r="G312" s="18"/>
      <c r="H312" s="1"/>
      <c r="I312" s="1"/>
      <c r="J312" s="8"/>
      <c r="K312" s="8"/>
      <c r="L312" s="1"/>
      <c r="M312" s="1"/>
      <c r="N312" s="9"/>
      <c r="O312" s="10"/>
      <c r="P312" s="1"/>
      <c r="Q312" s="1"/>
      <c r="R312" s="1"/>
      <c r="S312" s="1"/>
      <c r="T312" s="1"/>
      <c r="U312" s="1"/>
    </row>
    <row r="313" spans="1:21" ht="15.75" customHeight="1">
      <c r="A313" s="1"/>
      <c r="B313" s="1"/>
      <c r="C313" s="1"/>
      <c r="D313" s="1"/>
      <c r="E313" s="1"/>
      <c r="F313" s="1"/>
      <c r="G313" s="18"/>
      <c r="H313" s="1"/>
      <c r="I313" s="1"/>
      <c r="J313" s="8"/>
      <c r="K313" s="8"/>
      <c r="L313" s="1"/>
      <c r="M313" s="1"/>
      <c r="N313" s="9"/>
      <c r="O313" s="10"/>
      <c r="P313" s="1"/>
      <c r="Q313" s="1"/>
      <c r="R313" s="1"/>
      <c r="S313" s="1"/>
      <c r="T313" s="1"/>
      <c r="U313" s="1"/>
    </row>
    <row r="314" spans="1:21" ht="15.75" customHeight="1">
      <c r="A314" s="1"/>
      <c r="B314" s="1"/>
      <c r="C314" s="1"/>
      <c r="D314" s="1"/>
      <c r="E314" s="1"/>
      <c r="F314" s="1"/>
      <c r="G314" s="18"/>
      <c r="H314" s="1"/>
      <c r="I314" s="1"/>
      <c r="J314" s="8"/>
      <c r="K314" s="8"/>
      <c r="L314" s="1"/>
      <c r="M314" s="1"/>
      <c r="N314" s="9"/>
      <c r="O314" s="10"/>
      <c r="P314" s="1"/>
      <c r="Q314" s="1"/>
      <c r="R314" s="1"/>
      <c r="S314" s="1"/>
      <c r="T314" s="1"/>
      <c r="U314" s="1"/>
    </row>
    <row r="315" spans="1:21" ht="15.75" customHeight="1">
      <c r="A315" s="1"/>
      <c r="B315" s="1"/>
      <c r="C315" s="1"/>
      <c r="D315" s="1"/>
      <c r="E315" s="1"/>
      <c r="F315" s="1"/>
      <c r="G315" s="18"/>
      <c r="H315" s="1"/>
      <c r="I315" s="1"/>
      <c r="J315" s="8"/>
      <c r="K315" s="8"/>
      <c r="L315" s="1"/>
      <c r="M315" s="1"/>
      <c r="N315" s="9"/>
      <c r="O315" s="10"/>
      <c r="P315" s="1"/>
      <c r="Q315" s="1"/>
      <c r="R315" s="1"/>
      <c r="S315" s="1"/>
      <c r="T315" s="1"/>
      <c r="U315" s="1"/>
    </row>
    <row r="316" spans="1:21" ht="15.75" customHeight="1">
      <c r="A316" s="1"/>
      <c r="B316" s="1"/>
      <c r="C316" s="1"/>
      <c r="D316" s="1"/>
      <c r="E316" s="1"/>
      <c r="F316" s="1"/>
      <c r="G316" s="18"/>
      <c r="H316" s="1"/>
      <c r="I316" s="1"/>
      <c r="J316" s="8"/>
      <c r="K316" s="8"/>
      <c r="L316" s="1"/>
      <c r="M316" s="1"/>
      <c r="N316" s="9"/>
      <c r="O316" s="10"/>
      <c r="P316" s="1"/>
      <c r="Q316" s="1"/>
      <c r="R316" s="1"/>
      <c r="S316" s="1"/>
      <c r="T316" s="1"/>
      <c r="U316" s="1"/>
    </row>
    <row r="317" spans="1:21" ht="15.75" customHeight="1">
      <c r="A317" s="1"/>
      <c r="B317" s="1"/>
      <c r="C317" s="1"/>
      <c r="D317" s="1"/>
      <c r="E317" s="1"/>
      <c r="F317" s="1"/>
      <c r="G317" s="18"/>
      <c r="H317" s="1"/>
      <c r="I317" s="1"/>
      <c r="J317" s="8"/>
      <c r="K317" s="8"/>
      <c r="L317" s="1"/>
      <c r="M317" s="1"/>
      <c r="N317" s="9"/>
      <c r="O317" s="10"/>
      <c r="P317" s="1"/>
      <c r="Q317" s="1"/>
      <c r="R317" s="1"/>
      <c r="S317" s="1"/>
      <c r="T317" s="1"/>
      <c r="U317" s="1"/>
    </row>
    <row r="318" spans="1:21" ht="15.75" customHeight="1">
      <c r="A318" s="1"/>
      <c r="B318" s="1"/>
      <c r="C318" s="1"/>
      <c r="D318" s="1"/>
      <c r="E318" s="1"/>
      <c r="F318" s="1"/>
      <c r="G318" s="18"/>
      <c r="H318" s="1"/>
      <c r="I318" s="1"/>
      <c r="J318" s="8"/>
      <c r="K318" s="8"/>
      <c r="L318" s="1"/>
      <c r="M318" s="1"/>
      <c r="N318" s="9"/>
      <c r="O318" s="10"/>
      <c r="P318" s="1"/>
      <c r="Q318" s="1"/>
      <c r="R318" s="1"/>
      <c r="S318" s="1"/>
      <c r="T318" s="1"/>
      <c r="U318" s="1"/>
    </row>
    <row r="319" spans="1:21" ht="15.75" customHeight="1">
      <c r="A319" s="1"/>
      <c r="B319" s="1"/>
      <c r="C319" s="1"/>
      <c r="D319" s="1"/>
      <c r="E319" s="1"/>
      <c r="F319" s="1"/>
      <c r="G319" s="18"/>
      <c r="H319" s="1"/>
      <c r="I319" s="1"/>
      <c r="J319" s="8"/>
      <c r="K319" s="8"/>
      <c r="L319" s="1"/>
      <c r="M319" s="1"/>
      <c r="N319" s="9"/>
      <c r="O319" s="10"/>
      <c r="P319" s="1"/>
      <c r="Q319" s="1"/>
      <c r="R319" s="1"/>
      <c r="S319" s="1"/>
      <c r="T319" s="1"/>
      <c r="U319" s="1"/>
    </row>
    <row r="320" spans="1:21" ht="15.75" customHeight="1">
      <c r="A320" s="1"/>
      <c r="B320" s="1"/>
      <c r="C320" s="1"/>
      <c r="D320" s="1"/>
      <c r="E320" s="1"/>
      <c r="F320" s="1"/>
      <c r="G320" s="18"/>
      <c r="H320" s="1"/>
      <c r="I320" s="1"/>
      <c r="J320" s="8"/>
      <c r="K320" s="8"/>
      <c r="L320" s="1"/>
      <c r="M320" s="1"/>
      <c r="N320" s="9"/>
      <c r="O320" s="10"/>
      <c r="P320" s="1"/>
      <c r="Q320" s="1"/>
      <c r="R320" s="1"/>
      <c r="S320" s="1"/>
      <c r="T320" s="1"/>
      <c r="U320" s="1"/>
    </row>
    <row r="321" spans="1:21" ht="15.75" customHeight="1">
      <c r="A321" s="1"/>
      <c r="B321" s="1"/>
      <c r="C321" s="1"/>
      <c r="D321" s="1"/>
      <c r="E321" s="1"/>
      <c r="F321" s="1"/>
      <c r="G321" s="18"/>
      <c r="H321" s="1"/>
      <c r="I321" s="1"/>
      <c r="J321" s="8"/>
      <c r="K321" s="8"/>
      <c r="L321" s="1"/>
      <c r="M321" s="1"/>
      <c r="N321" s="9"/>
      <c r="O321" s="10"/>
      <c r="P321" s="1"/>
      <c r="Q321" s="1"/>
      <c r="R321" s="1"/>
      <c r="S321" s="1"/>
      <c r="T321" s="1"/>
      <c r="U321" s="1"/>
    </row>
    <row r="322" spans="1:21" ht="15.75" customHeight="1">
      <c r="A322" s="1"/>
      <c r="B322" s="1"/>
      <c r="C322" s="1"/>
      <c r="D322" s="1"/>
      <c r="E322" s="1"/>
      <c r="F322" s="1"/>
      <c r="G322" s="18"/>
      <c r="H322" s="1"/>
      <c r="I322" s="1"/>
      <c r="J322" s="8"/>
      <c r="K322" s="8"/>
      <c r="L322" s="1"/>
      <c r="M322" s="1"/>
      <c r="N322" s="9"/>
      <c r="O322" s="10"/>
      <c r="P322" s="1"/>
      <c r="Q322" s="1"/>
      <c r="R322" s="1"/>
      <c r="S322" s="1"/>
      <c r="T322" s="1"/>
      <c r="U322" s="1"/>
    </row>
    <row r="323" spans="1:21" ht="15.75" customHeight="1">
      <c r="A323" s="1"/>
      <c r="B323" s="1"/>
      <c r="C323" s="1"/>
      <c r="D323" s="1"/>
      <c r="E323" s="1"/>
      <c r="F323" s="1"/>
      <c r="G323" s="18"/>
      <c r="H323" s="1"/>
      <c r="I323" s="1"/>
      <c r="J323" s="8"/>
      <c r="K323" s="8"/>
      <c r="L323" s="1"/>
      <c r="M323" s="1"/>
      <c r="N323" s="9"/>
      <c r="O323" s="10"/>
      <c r="P323" s="1"/>
      <c r="Q323" s="1"/>
      <c r="R323" s="1"/>
      <c r="S323" s="1"/>
      <c r="T323" s="1"/>
      <c r="U323" s="1"/>
    </row>
    <row r="324" spans="1:21" ht="15.75" customHeight="1">
      <c r="A324" s="1"/>
      <c r="B324" s="1"/>
      <c r="C324" s="1"/>
      <c r="D324" s="1"/>
      <c r="E324" s="1"/>
      <c r="F324" s="1"/>
      <c r="G324" s="18"/>
      <c r="H324" s="1"/>
      <c r="I324" s="1"/>
      <c r="J324" s="8"/>
      <c r="K324" s="8"/>
      <c r="L324" s="1"/>
      <c r="M324" s="1"/>
      <c r="N324" s="9"/>
      <c r="O324" s="10"/>
      <c r="P324" s="1"/>
      <c r="Q324" s="1"/>
      <c r="R324" s="1"/>
      <c r="S324" s="1"/>
      <c r="T324" s="1"/>
      <c r="U324" s="1"/>
    </row>
    <row r="325" spans="1:21" ht="15.75" customHeight="1">
      <c r="A325" s="1"/>
      <c r="B325" s="1"/>
      <c r="C325" s="1"/>
      <c r="D325" s="1"/>
      <c r="E325" s="1"/>
      <c r="F325" s="1"/>
      <c r="G325" s="18"/>
      <c r="H325" s="1"/>
      <c r="I325" s="1"/>
      <c r="J325" s="8"/>
      <c r="K325" s="8"/>
      <c r="L325" s="1"/>
      <c r="M325" s="1"/>
      <c r="N325" s="9"/>
      <c r="O325" s="10"/>
      <c r="P325" s="1"/>
      <c r="Q325" s="1"/>
      <c r="R325" s="1"/>
      <c r="S325" s="1"/>
      <c r="T325" s="1"/>
      <c r="U325" s="1"/>
    </row>
    <row r="326" spans="1:21" ht="15.75" customHeight="1">
      <c r="A326" s="1"/>
      <c r="B326" s="1"/>
      <c r="C326" s="1"/>
      <c r="D326" s="1"/>
      <c r="E326" s="1"/>
      <c r="F326" s="1"/>
      <c r="G326" s="18"/>
      <c r="H326" s="1"/>
      <c r="I326" s="1"/>
      <c r="J326" s="8"/>
      <c r="K326" s="8"/>
      <c r="L326" s="1"/>
      <c r="M326" s="1"/>
      <c r="N326" s="9"/>
      <c r="O326" s="10"/>
      <c r="P326" s="1"/>
      <c r="Q326" s="1"/>
      <c r="R326" s="1"/>
      <c r="S326" s="1"/>
      <c r="T326" s="1"/>
      <c r="U326" s="1"/>
    </row>
    <row r="327" spans="1:21" ht="15.75" customHeight="1">
      <c r="A327" s="1"/>
      <c r="B327" s="1"/>
      <c r="C327" s="1"/>
      <c r="D327" s="1"/>
      <c r="E327" s="1"/>
      <c r="F327" s="1"/>
      <c r="G327" s="18"/>
      <c r="H327" s="1"/>
      <c r="I327" s="1"/>
      <c r="J327" s="8"/>
      <c r="K327" s="8"/>
      <c r="L327" s="1"/>
      <c r="M327" s="1"/>
      <c r="N327" s="9"/>
      <c r="O327" s="10"/>
      <c r="P327" s="1"/>
      <c r="Q327" s="1"/>
      <c r="R327" s="1"/>
      <c r="S327" s="1"/>
      <c r="T327" s="1"/>
      <c r="U327" s="1"/>
    </row>
    <row r="328" spans="1:21" ht="15.75" customHeight="1">
      <c r="A328" s="1"/>
      <c r="B328" s="1"/>
      <c r="C328" s="1"/>
      <c r="D328" s="1"/>
      <c r="E328" s="1"/>
      <c r="F328" s="1"/>
      <c r="G328" s="18"/>
      <c r="H328" s="1"/>
      <c r="I328" s="1"/>
      <c r="J328" s="8"/>
      <c r="K328" s="8"/>
      <c r="L328" s="1"/>
      <c r="M328" s="1"/>
      <c r="N328" s="9"/>
      <c r="O328" s="10"/>
      <c r="P328" s="1"/>
      <c r="Q328" s="1"/>
      <c r="R328" s="1"/>
      <c r="S328" s="1"/>
      <c r="T328" s="1"/>
      <c r="U328" s="1"/>
    </row>
    <row r="329" spans="1:21" ht="15.75" customHeight="1">
      <c r="A329" s="1"/>
      <c r="B329" s="1"/>
      <c r="C329" s="1"/>
      <c r="D329" s="1"/>
      <c r="E329" s="1"/>
      <c r="F329" s="1"/>
      <c r="G329" s="18"/>
      <c r="H329" s="1"/>
      <c r="I329" s="1"/>
      <c r="J329" s="8"/>
      <c r="K329" s="8"/>
      <c r="L329" s="1"/>
      <c r="M329" s="1"/>
      <c r="N329" s="9"/>
      <c r="O329" s="10"/>
      <c r="P329" s="1"/>
      <c r="Q329" s="1"/>
      <c r="R329" s="1"/>
      <c r="S329" s="1"/>
      <c r="T329" s="1"/>
      <c r="U329" s="1"/>
    </row>
    <row r="330" spans="1:21" ht="15.75" customHeight="1">
      <c r="A330" s="1"/>
      <c r="B330" s="1"/>
      <c r="C330" s="1"/>
      <c r="D330" s="1"/>
      <c r="E330" s="1"/>
      <c r="F330" s="1"/>
      <c r="G330" s="18"/>
      <c r="H330" s="1"/>
      <c r="I330" s="1"/>
      <c r="J330" s="8"/>
      <c r="K330" s="8"/>
      <c r="L330" s="1"/>
      <c r="M330" s="1"/>
      <c r="N330" s="9"/>
      <c r="O330" s="10"/>
      <c r="P330" s="1"/>
      <c r="Q330" s="1"/>
      <c r="R330" s="1"/>
      <c r="S330" s="1"/>
      <c r="T330" s="1"/>
      <c r="U330" s="1"/>
    </row>
    <row r="331" spans="1:21" ht="15.75" customHeight="1">
      <c r="A331" s="1"/>
      <c r="B331" s="1"/>
      <c r="C331" s="1"/>
      <c r="D331" s="1"/>
      <c r="E331" s="1"/>
      <c r="F331" s="1"/>
      <c r="G331" s="18"/>
      <c r="H331" s="1"/>
      <c r="I331" s="1"/>
      <c r="J331" s="8"/>
      <c r="K331" s="8"/>
      <c r="L331" s="1"/>
      <c r="M331" s="1"/>
      <c r="N331" s="9"/>
      <c r="O331" s="10"/>
      <c r="P331" s="1"/>
      <c r="Q331" s="1"/>
      <c r="R331" s="1"/>
      <c r="S331" s="1"/>
      <c r="T331" s="1"/>
      <c r="U331" s="1"/>
    </row>
    <row r="332" spans="1:21" ht="15.75" customHeight="1">
      <c r="A332" s="1"/>
      <c r="B332" s="1"/>
      <c r="C332" s="1"/>
      <c r="D332" s="1"/>
      <c r="E332" s="1"/>
      <c r="F332" s="1"/>
      <c r="G332" s="18"/>
      <c r="H332" s="1"/>
      <c r="I332" s="1"/>
      <c r="J332" s="8"/>
      <c r="K332" s="8"/>
      <c r="L332" s="1"/>
      <c r="M332" s="1"/>
      <c r="N332" s="9"/>
      <c r="O332" s="10"/>
      <c r="P332" s="1"/>
      <c r="Q332" s="1"/>
      <c r="R332" s="1"/>
      <c r="S332" s="1"/>
      <c r="T332" s="1"/>
      <c r="U332" s="1"/>
    </row>
    <row r="333" spans="1:21" ht="15.75" customHeight="1">
      <c r="A333" s="1"/>
      <c r="B333" s="1"/>
      <c r="C333" s="1"/>
      <c r="D333" s="1"/>
      <c r="E333" s="1"/>
      <c r="F333" s="1"/>
      <c r="G333" s="18"/>
      <c r="H333" s="1"/>
      <c r="I333" s="1"/>
      <c r="J333" s="8"/>
      <c r="K333" s="8"/>
      <c r="L333" s="1"/>
      <c r="M333" s="1"/>
      <c r="N333" s="9"/>
      <c r="O333" s="10"/>
      <c r="P333" s="1"/>
      <c r="Q333" s="1"/>
      <c r="R333" s="1"/>
      <c r="S333" s="1"/>
      <c r="T333" s="1"/>
      <c r="U333" s="1"/>
    </row>
    <row r="334" spans="1:21" ht="15.75" customHeight="1">
      <c r="A334" s="1"/>
      <c r="B334" s="1"/>
      <c r="C334" s="1"/>
      <c r="D334" s="1"/>
      <c r="E334" s="1"/>
      <c r="F334" s="1"/>
      <c r="G334" s="18"/>
      <c r="H334" s="1"/>
      <c r="I334" s="1"/>
      <c r="J334" s="8"/>
      <c r="K334" s="8"/>
      <c r="L334" s="1"/>
      <c r="M334" s="1"/>
      <c r="N334" s="9"/>
      <c r="O334" s="10"/>
      <c r="P334" s="1"/>
      <c r="Q334" s="1"/>
      <c r="R334" s="1"/>
      <c r="S334" s="1"/>
      <c r="T334" s="1"/>
      <c r="U334" s="1"/>
    </row>
    <row r="335" spans="1:21" ht="15.75" customHeight="1">
      <c r="A335" s="1"/>
      <c r="B335" s="1"/>
      <c r="C335" s="1"/>
      <c r="D335" s="1"/>
      <c r="E335" s="1"/>
      <c r="F335" s="1"/>
      <c r="G335" s="18"/>
      <c r="H335" s="1"/>
      <c r="I335" s="1"/>
      <c r="J335" s="8"/>
      <c r="K335" s="8"/>
      <c r="L335" s="1"/>
      <c r="M335" s="1"/>
      <c r="N335" s="9"/>
      <c r="O335" s="10"/>
      <c r="P335" s="1"/>
      <c r="Q335" s="1"/>
      <c r="R335" s="1"/>
      <c r="S335" s="1"/>
      <c r="T335" s="1"/>
      <c r="U335" s="1"/>
    </row>
    <row r="336" spans="1:21" ht="15.75" customHeight="1">
      <c r="A336" s="1"/>
      <c r="B336" s="1"/>
      <c r="C336" s="1"/>
      <c r="D336" s="1"/>
      <c r="E336" s="1"/>
      <c r="F336" s="1"/>
      <c r="G336" s="18"/>
      <c r="H336" s="1"/>
      <c r="I336" s="1"/>
      <c r="J336" s="8"/>
      <c r="K336" s="8"/>
      <c r="L336" s="1"/>
      <c r="M336" s="1"/>
      <c r="N336" s="9"/>
      <c r="O336" s="10"/>
      <c r="P336" s="1"/>
      <c r="Q336" s="1"/>
      <c r="R336" s="1"/>
      <c r="S336" s="1"/>
      <c r="T336" s="1"/>
      <c r="U336" s="1"/>
    </row>
    <row r="337" spans="1:21" ht="15.75" customHeight="1">
      <c r="A337" s="1"/>
      <c r="B337" s="1"/>
      <c r="C337" s="1"/>
      <c r="D337" s="1"/>
      <c r="E337" s="1"/>
      <c r="F337" s="1"/>
      <c r="G337" s="18"/>
      <c r="H337" s="1"/>
      <c r="I337" s="1"/>
      <c r="J337" s="8"/>
      <c r="K337" s="8"/>
      <c r="L337" s="1"/>
      <c r="M337" s="1"/>
      <c r="N337" s="9"/>
      <c r="O337" s="10"/>
      <c r="P337" s="1"/>
      <c r="Q337" s="1"/>
      <c r="R337" s="1"/>
      <c r="S337" s="1"/>
      <c r="T337" s="1"/>
      <c r="U337" s="1"/>
    </row>
    <row r="338" spans="1:21" ht="15.75" customHeight="1">
      <c r="A338" s="1"/>
      <c r="B338" s="1"/>
      <c r="C338" s="1"/>
      <c r="D338" s="1"/>
      <c r="E338" s="1"/>
      <c r="F338" s="1"/>
      <c r="G338" s="18"/>
      <c r="H338" s="1"/>
      <c r="I338" s="1"/>
      <c r="J338" s="8"/>
      <c r="K338" s="8"/>
      <c r="L338" s="1"/>
      <c r="M338" s="1"/>
      <c r="N338" s="9"/>
      <c r="O338" s="10"/>
      <c r="P338" s="1"/>
      <c r="Q338" s="1"/>
      <c r="R338" s="1"/>
      <c r="S338" s="1"/>
      <c r="T338" s="1"/>
      <c r="U338" s="1"/>
    </row>
    <row r="339" spans="1:21" ht="15.75" customHeight="1">
      <c r="A339" s="1"/>
      <c r="B339" s="1"/>
      <c r="C339" s="1"/>
      <c r="D339" s="1"/>
      <c r="E339" s="1"/>
      <c r="F339" s="1"/>
      <c r="G339" s="18"/>
      <c r="H339" s="1"/>
      <c r="I339" s="1"/>
      <c r="J339" s="8"/>
      <c r="K339" s="8"/>
      <c r="L339" s="1"/>
      <c r="M339" s="1"/>
      <c r="N339" s="9"/>
      <c r="O339" s="10"/>
      <c r="P339" s="1"/>
      <c r="Q339" s="1"/>
      <c r="R339" s="1"/>
      <c r="S339" s="1"/>
      <c r="T339" s="1"/>
      <c r="U339" s="1"/>
    </row>
    <row r="340" spans="1:21" ht="15.75" customHeight="1">
      <c r="A340" s="1"/>
      <c r="B340" s="1"/>
      <c r="C340" s="1"/>
      <c r="D340" s="1"/>
      <c r="E340" s="1"/>
      <c r="F340" s="1"/>
      <c r="G340" s="18"/>
      <c r="H340" s="1"/>
      <c r="I340" s="1"/>
      <c r="J340" s="8"/>
      <c r="K340" s="8"/>
      <c r="L340" s="1"/>
      <c r="M340" s="1"/>
      <c r="N340" s="9"/>
      <c r="O340" s="10"/>
      <c r="P340" s="1"/>
      <c r="Q340" s="1"/>
      <c r="R340" s="1"/>
      <c r="S340" s="1"/>
      <c r="T340" s="1"/>
      <c r="U340" s="1"/>
    </row>
    <row r="341" spans="1:21" ht="15.75" customHeight="1">
      <c r="A341" s="1"/>
      <c r="B341" s="1"/>
      <c r="C341" s="1"/>
      <c r="D341" s="1"/>
      <c r="E341" s="1"/>
      <c r="F341" s="1"/>
      <c r="G341" s="18"/>
      <c r="H341" s="1"/>
      <c r="I341" s="1"/>
      <c r="J341" s="8"/>
      <c r="K341" s="8"/>
      <c r="L341" s="1"/>
      <c r="M341" s="1"/>
      <c r="N341" s="9"/>
      <c r="O341" s="10"/>
      <c r="P341" s="1"/>
      <c r="Q341" s="1"/>
      <c r="R341" s="1"/>
      <c r="S341" s="1"/>
      <c r="T341" s="1"/>
      <c r="U341" s="1"/>
    </row>
    <row r="342" spans="1:21" ht="15.75" customHeight="1">
      <c r="A342" s="1"/>
      <c r="B342" s="1"/>
      <c r="C342" s="1"/>
      <c r="D342" s="1"/>
      <c r="E342" s="1"/>
      <c r="F342" s="1"/>
      <c r="G342" s="18"/>
      <c r="H342" s="1"/>
      <c r="I342" s="1"/>
      <c r="J342" s="8"/>
      <c r="K342" s="8"/>
      <c r="L342" s="1"/>
      <c r="M342" s="1"/>
      <c r="N342" s="9"/>
      <c r="O342" s="10"/>
      <c r="P342" s="1"/>
      <c r="Q342" s="1"/>
      <c r="R342" s="1"/>
      <c r="S342" s="1"/>
      <c r="T342" s="1"/>
      <c r="U342" s="1"/>
    </row>
    <row r="343" spans="1:21" ht="15.75" customHeight="1">
      <c r="A343" s="1"/>
      <c r="B343" s="1"/>
      <c r="C343" s="1"/>
      <c r="D343" s="1"/>
      <c r="E343" s="1"/>
      <c r="F343" s="1"/>
      <c r="G343" s="18"/>
      <c r="H343" s="1"/>
      <c r="I343" s="1"/>
      <c r="J343" s="8"/>
      <c r="K343" s="8"/>
      <c r="L343" s="1"/>
      <c r="M343" s="1"/>
      <c r="N343" s="9"/>
      <c r="O343" s="10"/>
      <c r="P343" s="1"/>
      <c r="Q343" s="1"/>
      <c r="R343" s="1"/>
      <c r="S343" s="1"/>
      <c r="T343" s="1"/>
      <c r="U343" s="1"/>
    </row>
    <row r="344" spans="1:21" ht="15.75" customHeight="1">
      <c r="A344" s="1"/>
      <c r="B344" s="1"/>
      <c r="C344" s="1"/>
      <c r="D344" s="1"/>
      <c r="E344" s="1"/>
      <c r="F344" s="1"/>
      <c r="G344" s="18"/>
      <c r="H344" s="1"/>
      <c r="I344" s="1"/>
      <c r="J344" s="8"/>
      <c r="K344" s="8"/>
      <c r="L344" s="1"/>
      <c r="M344" s="1"/>
      <c r="N344" s="9"/>
      <c r="O344" s="10"/>
      <c r="P344" s="1"/>
      <c r="Q344" s="1"/>
      <c r="R344" s="1"/>
      <c r="S344" s="1"/>
      <c r="T344" s="1"/>
      <c r="U344" s="1"/>
    </row>
    <row r="345" spans="1:21" ht="15.75" customHeight="1">
      <c r="O345" s="92"/>
    </row>
    <row r="346" spans="1:21" ht="15.75" customHeight="1">
      <c r="O346" s="92"/>
    </row>
    <row r="347" spans="1:21" ht="15.75" customHeight="1">
      <c r="O347" s="92"/>
    </row>
    <row r="348" spans="1:21" ht="15.75" customHeight="1">
      <c r="O348" s="92"/>
    </row>
    <row r="349" spans="1:21" ht="15.75" customHeight="1">
      <c r="O349" s="92"/>
    </row>
    <row r="350" spans="1:21" ht="15.75" customHeight="1">
      <c r="O350" s="92"/>
    </row>
    <row r="351" spans="1:21" ht="15.75" customHeight="1">
      <c r="O351" s="92"/>
    </row>
    <row r="352" spans="1:21" ht="15.75" customHeight="1">
      <c r="O352" s="92"/>
    </row>
    <row r="353" spans="15:15" ht="15.75" customHeight="1">
      <c r="O353" s="92"/>
    </row>
    <row r="354" spans="15:15" ht="15.75" customHeight="1">
      <c r="O354" s="92"/>
    </row>
    <row r="355" spans="15:15" ht="15.75" customHeight="1">
      <c r="O355" s="92"/>
    </row>
    <row r="356" spans="15:15" ht="15.75" customHeight="1">
      <c r="O356" s="92"/>
    </row>
    <row r="357" spans="15:15" ht="15.75" customHeight="1">
      <c r="O357" s="92"/>
    </row>
    <row r="358" spans="15:15" ht="15.75" customHeight="1">
      <c r="O358" s="92"/>
    </row>
    <row r="359" spans="15:15" ht="15.75" customHeight="1">
      <c r="O359" s="92"/>
    </row>
    <row r="360" spans="15:15" ht="15.75" customHeight="1">
      <c r="O360" s="92"/>
    </row>
    <row r="361" spans="15:15" ht="15.75" customHeight="1">
      <c r="O361" s="92"/>
    </row>
    <row r="362" spans="15:15" ht="15.75" customHeight="1">
      <c r="O362" s="92"/>
    </row>
    <row r="363" spans="15:15" ht="15.75" customHeight="1">
      <c r="O363" s="92"/>
    </row>
    <row r="364" spans="15:15" ht="15.75" customHeight="1">
      <c r="O364" s="92"/>
    </row>
    <row r="365" spans="15:15" ht="15.75" customHeight="1">
      <c r="O365" s="92"/>
    </row>
    <row r="366" spans="15:15" ht="15.75" customHeight="1">
      <c r="O366" s="92"/>
    </row>
    <row r="367" spans="15:15" ht="15.75" customHeight="1">
      <c r="O367" s="92"/>
    </row>
    <row r="368" spans="15:15" ht="15.75" customHeight="1">
      <c r="O368" s="92"/>
    </row>
    <row r="369" spans="15:15" ht="15.75" customHeight="1">
      <c r="O369" s="92"/>
    </row>
    <row r="370" spans="15:15" ht="15.75" customHeight="1">
      <c r="O370" s="92"/>
    </row>
    <row r="371" spans="15:15" ht="15.75" customHeight="1">
      <c r="O371" s="92"/>
    </row>
    <row r="372" spans="15:15" ht="15.75" customHeight="1">
      <c r="O372" s="92"/>
    </row>
    <row r="373" spans="15:15" ht="15.75" customHeight="1">
      <c r="O373" s="92"/>
    </row>
    <row r="374" spans="15:15" ht="15.75" customHeight="1">
      <c r="O374" s="92"/>
    </row>
    <row r="375" spans="15:15" ht="15.75" customHeight="1">
      <c r="O375" s="92"/>
    </row>
    <row r="376" spans="15:15" ht="15.75" customHeight="1">
      <c r="O376" s="92"/>
    </row>
    <row r="377" spans="15:15" ht="15.75" customHeight="1">
      <c r="O377" s="92"/>
    </row>
    <row r="378" spans="15:15" ht="15.75" customHeight="1">
      <c r="O378" s="92"/>
    </row>
    <row r="379" spans="15:15" ht="15.75" customHeight="1">
      <c r="O379" s="92"/>
    </row>
    <row r="380" spans="15:15" ht="15.75" customHeight="1">
      <c r="O380" s="92"/>
    </row>
    <row r="381" spans="15:15" ht="15.75" customHeight="1">
      <c r="O381" s="92"/>
    </row>
    <row r="382" spans="15:15" ht="15.75" customHeight="1">
      <c r="O382" s="92"/>
    </row>
    <row r="383" spans="15:15" ht="15.75" customHeight="1">
      <c r="O383" s="92"/>
    </row>
    <row r="384" spans="15:15" ht="15.75" customHeight="1">
      <c r="O384" s="92"/>
    </row>
    <row r="385" spans="15:15" ht="15.75" customHeight="1">
      <c r="O385" s="92"/>
    </row>
    <row r="386" spans="15:15" ht="15.75" customHeight="1">
      <c r="O386" s="92"/>
    </row>
    <row r="387" spans="15:15" ht="15.75" customHeight="1">
      <c r="O387" s="92"/>
    </row>
    <row r="388" spans="15:15" ht="15.75" customHeight="1">
      <c r="O388" s="92"/>
    </row>
    <row r="389" spans="15:15" ht="15.75" customHeight="1">
      <c r="O389" s="92"/>
    </row>
    <row r="390" spans="15:15" ht="15.75" customHeight="1">
      <c r="O390" s="92"/>
    </row>
    <row r="391" spans="15:15" ht="15.75" customHeight="1">
      <c r="O391" s="92"/>
    </row>
    <row r="392" spans="15:15" ht="15.75" customHeight="1">
      <c r="O392" s="92"/>
    </row>
    <row r="393" spans="15:15" ht="15.75" customHeight="1">
      <c r="O393" s="92"/>
    </row>
    <row r="394" spans="15:15" ht="15.75" customHeight="1">
      <c r="O394" s="92"/>
    </row>
    <row r="395" spans="15:15" ht="15.75" customHeight="1">
      <c r="O395" s="92"/>
    </row>
    <row r="396" spans="15:15" ht="15.75" customHeight="1">
      <c r="O396" s="92"/>
    </row>
    <row r="397" spans="15:15" ht="15.75" customHeight="1">
      <c r="O397" s="92"/>
    </row>
    <row r="398" spans="15:15" ht="15.75" customHeight="1">
      <c r="O398" s="92"/>
    </row>
    <row r="399" spans="15:15" ht="15.75" customHeight="1">
      <c r="O399" s="92"/>
    </row>
    <row r="400" spans="15:15" ht="15.75" customHeight="1">
      <c r="O400" s="92"/>
    </row>
    <row r="401" spans="15:15" ht="15.75" customHeight="1">
      <c r="O401" s="92"/>
    </row>
    <row r="402" spans="15:15" ht="15.75" customHeight="1">
      <c r="O402" s="92"/>
    </row>
    <row r="403" spans="15:15" ht="15.75" customHeight="1">
      <c r="O403" s="92"/>
    </row>
    <row r="404" spans="15:15" ht="15.75" customHeight="1">
      <c r="O404" s="92"/>
    </row>
    <row r="405" spans="15:15" ht="15.75" customHeight="1">
      <c r="O405" s="92"/>
    </row>
    <row r="406" spans="15:15" ht="15.75" customHeight="1">
      <c r="O406" s="92"/>
    </row>
    <row r="407" spans="15:15" ht="15.75" customHeight="1">
      <c r="O407" s="92"/>
    </row>
    <row r="408" spans="15:15" ht="15.75" customHeight="1">
      <c r="O408" s="92"/>
    </row>
    <row r="409" spans="15:15" ht="15.75" customHeight="1">
      <c r="O409" s="92"/>
    </row>
    <row r="410" spans="15:15" ht="15.75" customHeight="1">
      <c r="O410" s="92"/>
    </row>
    <row r="411" spans="15:15" ht="15.75" customHeight="1">
      <c r="O411" s="92"/>
    </row>
    <row r="412" spans="15:15" ht="15.75" customHeight="1">
      <c r="O412" s="92"/>
    </row>
    <row r="413" spans="15:15" ht="15.75" customHeight="1">
      <c r="O413" s="92"/>
    </row>
    <row r="414" spans="15:15" ht="15.75" customHeight="1">
      <c r="O414" s="92"/>
    </row>
    <row r="415" spans="15:15" ht="15.75" customHeight="1">
      <c r="O415" s="92"/>
    </row>
    <row r="416" spans="15:15" ht="15.75" customHeight="1">
      <c r="O416" s="92"/>
    </row>
    <row r="417" spans="15:15" ht="15.75" customHeight="1">
      <c r="O417" s="92"/>
    </row>
    <row r="418" spans="15:15" ht="15.75" customHeight="1">
      <c r="O418" s="92"/>
    </row>
    <row r="419" spans="15:15" ht="15.75" customHeight="1">
      <c r="O419" s="92"/>
    </row>
    <row r="420" spans="15:15" ht="15.75" customHeight="1">
      <c r="O420" s="92"/>
    </row>
    <row r="421" spans="15:15" ht="15.75" customHeight="1">
      <c r="O421" s="92"/>
    </row>
    <row r="422" spans="15:15" ht="15.75" customHeight="1">
      <c r="O422" s="92"/>
    </row>
    <row r="423" spans="15:15" ht="15.75" customHeight="1">
      <c r="O423" s="92"/>
    </row>
    <row r="424" spans="15:15" ht="15.75" customHeight="1">
      <c r="O424" s="92"/>
    </row>
    <row r="425" spans="15:15" ht="15.75" customHeight="1">
      <c r="O425" s="92"/>
    </row>
    <row r="426" spans="15:15" ht="15.75" customHeight="1">
      <c r="O426" s="92"/>
    </row>
    <row r="427" spans="15:15" ht="15.75" customHeight="1">
      <c r="O427" s="92"/>
    </row>
    <row r="428" spans="15:15" ht="15.75" customHeight="1">
      <c r="O428" s="92"/>
    </row>
    <row r="429" spans="15:15" ht="15.75" customHeight="1">
      <c r="O429" s="92"/>
    </row>
    <row r="430" spans="15:15" ht="15.75" customHeight="1">
      <c r="O430" s="92"/>
    </row>
    <row r="431" spans="15:15" ht="15.75" customHeight="1">
      <c r="O431" s="92"/>
    </row>
    <row r="432" spans="15:15" ht="15.75" customHeight="1">
      <c r="O432" s="92"/>
    </row>
    <row r="433" spans="15:15" ht="15.75" customHeight="1">
      <c r="O433" s="92"/>
    </row>
    <row r="434" spans="15:15" ht="15.75" customHeight="1">
      <c r="O434" s="92"/>
    </row>
    <row r="435" spans="15:15" ht="15.75" customHeight="1">
      <c r="O435" s="92"/>
    </row>
    <row r="436" spans="15:15" ht="15.75" customHeight="1">
      <c r="O436" s="92"/>
    </row>
    <row r="437" spans="15:15" ht="15.75" customHeight="1">
      <c r="O437" s="92"/>
    </row>
    <row r="438" spans="15:15" ht="15.75" customHeight="1">
      <c r="O438" s="92"/>
    </row>
    <row r="439" spans="15:15" ht="15.75" customHeight="1">
      <c r="O439" s="92"/>
    </row>
    <row r="440" spans="15:15" ht="15.75" customHeight="1">
      <c r="O440" s="92"/>
    </row>
    <row r="441" spans="15:15" ht="15.75" customHeight="1">
      <c r="O441" s="92"/>
    </row>
    <row r="442" spans="15:15" ht="15.75" customHeight="1">
      <c r="O442" s="92"/>
    </row>
    <row r="443" spans="15:15" ht="15.75" customHeight="1">
      <c r="O443" s="92"/>
    </row>
    <row r="444" spans="15:15" ht="15.75" customHeight="1">
      <c r="O444" s="92"/>
    </row>
    <row r="445" spans="15:15" ht="15.75" customHeight="1">
      <c r="O445" s="92"/>
    </row>
    <row r="446" spans="15:15" ht="15.75" customHeight="1">
      <c r="O446" s="92"/>
    </row>
    <row r="447" spans="15:15" ht="15.75" customHeight="1">
      <c r="O447" s="92"/>
    </row>
    <row r="448" spans="15:15" ht="15.75" customHeight="1">
      <c r="O448" s="92"/>
    </row>
    <row r="449" spans="15:15" ht="15.75" customHeight="1">
      <c r="O449" s="92"/>
    </row>
    <row r="450" spans="15:15" ht="15.75" customHeight="1">
      <c r="O450" s="92"/>
    </row>
    <row r="451" spans="15:15" ht="15.75" customHeight="1">
      <c r="O451" s="92"/>
    </row>
    <row r="452" spans="15:15" ht="15.75" customHeight="1">
      <c r="O452" s="92"/>
    </row>
    <row r="453" spans="15:15" ht="15.75" customHeight="1">
      <c r="O453" s="92"/>
    </row>
    <row r="454" spans="15:15" ht="15.75" customHeight="1">
      <c r="O454" s="92"/>
    </row>
    <row r="455" spans="15:15" ht="15.75" customHeight="1">
      <c r="O455" s="92"/>
    </row>
    <row r="456" spans="15:15" ht="15.75" customHeight="1">
      <c r="O456" s="92"/>
    </row>
    <row r="457" spans="15:15" ht="15.75" customHeight="1">
      <c r="O457" s="92"/>
    </row>
    <row r="458" spans="15:15" ht="15.75" customHeight="1">
      <c r="O458" s="92"/>
    </row>
    <row r="459" spans="15:15" ht="15.75" customHeight="1">
      <c r="O459" s="92"/>
    </row>
    <row r="460" spans="15:15" ht="15.75" customHeight="1">
      <c r="O460" s="92"/>
    </row>
    <row r="461" spans="15:15" ht="15.75" customHeight="1">
      <c r="O461" s="92"/>
    </row>
    <row r="462" spans="15:15" ht="15.75" customHeight="1">
      <c r="O462" s="92"/>
    </row>
    <row r="463" spans="15:15" ht="15.75" customHeight="1">
      <c r="O463" s="92"/>
    </row>
    <row r="464" spans="15:15" ht="15.75" customHeight="1">
      <c r="O464" s="92"/>
    </row>
    <row r="465" spans="15:15" ht="15.75" customHeight="1">
      <c r="O465" s="92"/>
    </row>
    <row r="466" spans="15:15" ht="15.75" customHeight="1">
      <c r="O466" s="92"/>
    </row>
    <row r="467" spans="15:15" ht="15.75" customHeight="1">
      <c r="O467" s="92"/>
    </row>
    <row r="468" spans="15:15" ht="15.75" customHeight="1">
      <c r="O468" s="92"/>
    </row>
    <row r="469" spans="15:15" ht="15.75" customHeight="1">
      <c r="O469" s="92"/>
    </row>
    <row r="470" spans="15:15" ht="15.75" customHeight="1">
      <c r="O470" s="92"/>
    </row>
    <row r="471" spans="15:15" ht="15.75" customHeight="1">
      <c r="O471" s="92"/>
    </row>
    <row r="472" spans="15:15" ht="15.75" customHeight="1">
      <c r="O472" s="92"/>
    </row>
    <row r="473" spans="15:15" ht="15.75" customHeight="1">
      <c r="O473" s="92"/>
    </row>
    <row r="474" spans="15:15" ht="15.75" customHeight="1">
      <c r="O474" s="92"/>
    </row>
    <row r="475" spans="15:15" ht="15.75" customHeight="1">
      <c r="O475" s="92"/>
    </row>
    <row r="476" spans="15:15" ht="15.75" customHeight="1">
      <c r="O476" s="92"/>
    </row>
    <row r="477" spans="15:15" ht="15.75" customHeight="1">
      <c r="O477" s="92"/>
    </row>
    <row r="478" spans="15:15" ht="15.75" customHeight="1">
      <c r="O478" s="92"/>
    </row>
    <row r="479" spans="15:15" ht="15.75" customHeight="1">
      <c r="O479" s="92"/>
    </row>
    <row r="480" spans="15:15" ht="15.75" customHeight="1">
      <c r="O480" s="92"/>
    </row>
    <row r="481" spans="15:15" ht="15.75" customHeight="1">
      <c r="O481" s="92"/>
    </row>
    <row r="482" spans="15:15" ht="15.75" customHeight="1">
      <c r="O482" s="92"/>
    </row>
    <row r="483" spans="15:15" ht="15.75" customHeight="1">
      <c r="O483" s="92"/>
    </row>
    <row r="484" spans="15:15" ht="15.75" customHeight="1">
      <c r="O484" s="92"/>
    </row>
    <row r="485" spans="15:15" ht="15.75" customHeight="1">
      <c r="O485" s="92"/>
    </row>
    <row r="486" spans="15:15" ht="15.75" customHeight="1">
      <c r="O486" s="92"/>
    </row>
    <row r="487" spans="15:15" ht="15.75" customHeight="1">
      <c r="O487" s="92"/>
    </row>
    <row r="488" spans="15:15" ht="15.75" customHeight="1">
      <c r="O488" s="92"/>
    </row>
    <row r="489" spans="15:15" ht="15.75" customHeight="1">
      <c r="O489" s="92"/>
    </row>
    <row r="490" spans="15:15" ht="15.75" customHeight="1">
      <c r="O490" s="92"/>
    </row>
    <row r="491" spans="15:15" ht="15.75" customHeight="1">
      <c r="O491" s="92"/>
    </row>
    <row r="492" spans="15:15" ht="15.75" customHeight="1">
      <c r="O492" s="92"/>
    </row>
    <row r="493" spans="15:15" ht="15.75" customHeight="1">
      <c r="O493" s="92"/>
    </row>
    <row r="494" spans="15:15" ht="15.75" customHeight="1">
      <c r="O494" s="92"/>
    </row>
    <row r="495" spans="15:15" ht="15.75" customHeight="1">
      <c r="O495" s="92"/>
    </row>
    <row r="496" spans="15:15" ht="15.75" customHeight="1">
      <c r="O496" s="92"/>
    </row>
    <row r="497" spans="15:15" ht="15.75" customHeight="1">
      <c r="O497" s="92"/>
    </row>
    <row r="498" spans="15:15" ht="15.75" customHeight="1">
      <c r="O498" s="92"/>
    </row>
    <row r="499" spans="15:15" ht="15.75" customHeight="1">
      <c r="O499" s="92"/>
    </row>
    <row r="500" spans="15:15" ht="15.75" customHeight="1">
      <c r="O500" s="92"/>
    </row>
    <row r="501" spans="15:15" ht="15.75" customHeight="1">
      <c r="O501" s="92"/>
    </row>
    <row r="502" spans="15:15" ht="15.75" customHeight="1">
      <c r="O502" s="92"/>
    </row>
    <row r="503" spans="15:15" ht="15.75" customHeight="1">
      <c r="O503" s="92"/>
    </row>
    <row r="504" spans="15:15" ht="15.75" customHeight="1">
      <c r="O504" s="92"/>
    </row>
    <row r="505" spans="15:15" ht="15.75" customHeight="1">
      <c r="O505" s="92"/>
    </row>
    <row r="506" spans="15:15" ht="15.75" customHeight="1">
      <c r="O506" s="92"/>
    </row>
    <row r="507" spans="15:15" ht="15.75" customHeight="1">
      <c r="O507" s="92"/>
    </row>
    <row r="508" spans="15:15" ht="15.75" customHeight="1">
      <c r="O508" s="92"/>
    </row>
    <row r="509" spans="15:15" ht="15.75" customHeight="1">
      <c r="O509" s="92"/>
    </row>
    <row r="510" spans="15:15" ht="15.75" customHeight="1">
      <c r="O510" s="92"/>
    </row>
    <row r="511" spans="15:15" ht="15.75" customHeight="1">
      <c r="O511" s="92"/>
    </row>
    <row r="512" spans="15:15" ht="15.75" customHeight="1">
      <c r="O512" s="92"/>
    </row>
    <row r="513" spans="15:15" ht="15.75" customHeight="1">
      <c r="O513" s="92"/>
    </row>
    <row r="514" spans="15:15" ht="15.75" customHeight="1">
      <c r="O514" s="92"/>
    </row>
    <row r="515" spans="15:15" ht="15.75" customHeight="1">
      <c r="O515" s="92"/>
    </row>
    <row r="516" spans="15:15" ht="15.75" customHeight="1">
      <c r="O516" s="92"/>
    </row>
    <row r="517" spans="15:15" ht="15.75" customHeight="1">
      <c r="O517" s="92"/>
    </row>
    <row r="518" spans="15:15" ht="15.75" customHeight="1">
      <c r="O518" s="92"/>
    </row>
    <row r="519" spans="15:15" ht="15.75" customHeight="1">
      <c r="O519" s="92"/>
    </row>
    <row r="520" spans="15:15" ht="15.75" customHeight="1">
      <c r="O520" s="92"/>
    </row>
    <row r="521" spans="15:15" ht="15.75" customHeight="1">
      <c r="O521" s="92"/>
    </row>
    <row r="522" spans="15:15" ht="15.75" customHeight="1">
      <c r="O522" s="92"/>
    </row>
    <row r="523" spans="15:15" ht="15.75" customHeight="1">
      <c r="O523" s="92"/>
    </row>
    <row r="524" spans="15:15" ht="15.75" customHeight="1">
      <c r="O524" s="92"/>
    </row>
    <row r="525" spans="15:15" ht="15.75" customHeight="1">
      <c r="O525" s="92"/>
    </row>
    <row r="526" spans="15:15" ht="15.75" customHeight="1">
      <c r="O526" s="92"/>
    </row>
    <row r="527" spans="15:15" ht="15.75" customHeight="1">
      <c r="O527" s="92"/>
    </row>
    <row r="528" spans="15:15" ht="15.75" customHeight="1">
      <c r="O528" s="92"/>
    </row>
    <row r="529" spans="15:15" ht="15.75" customHeight="1">
      <c r="O529" s="92"/>
    </row>
    <row r="530" spans="15:15" ht="15.75" customHeight="1">
      <c r="O530" s="92"/>
    </row>
    <row r="531" spans="15:15" ht="15.75" customHeight="1">
      <c r="O531" s="92"/>
    </row>
    <row r="532" spans="15:15" ht="15.75" customHeight="1">
      <c r="O532" s="92"/>
    </row>
    <row r="533" spans="15:15" ht="15.75" customHeight="1">
      <c r="O533" s="92"/>
    </row>
    <row r="534" spans="15:15" ht="15.75" customHeight="1">
      <c r="O534" s="92"/>
    </row>
    <row r="535" spans="15:15" ht="15.75" customHeight="1">
      <c r="O535" s="92"/>
    </row>
    <row r="536" spans="15:15" ht="15.75" customHeight="1">
      <c r="O536" s="92"/>
    </row>
    <row r="537" spans="15:15" ht="15.75" customHeight="1">
      <c r="O537" s="92"/>
    </row>
    <row r="538" spans="15:15" ht="15.75" customHeight="1">
      <c r="O538" s="92"/>
    </row>
    <row r="539" spans="15:15" ht="15.75" customHeight="1">
      <c r="O539" s="92"/>
    </row>
    <row r="540" spans="15:15" ht="15.75" customHeight="1">
      <c r="O540" s="92"/>
    </row>
    <row r="541" spans="15:15" ht="15.75" customHeight="1">
      <c r="O541" s="92"/>
    </row>
    <row r="542" spans="15:15" ht="15.75" customHeight="1">
      <c r="O542" s="92"/>
    </row>
    <row r="543" spans="15:15" ht="15.75" customHeight="1">
      <c r="O543" s="92"/>
    </row>
    <row r="544" spans="15:15" ht="15.75" customHeight="1">
      <c r="O544" s="92"/>
    </row>
    <row r="545" spans="15:15" ht="15.75" customHeight="1">
      <c r="O545" s="92"/>
    </row>
    <row r="546" spans="15:15" ht="15.75" customHeight="1">
      <c r="O546" s="92"/>
    </row>
    <row r="547" spans="15:15" ht="15.75" customHeight="1">
      <c r="O547" s="92"/>
    </row>
    <row r="548" spans="15:15" ht="15.75" customHeight="1">
      <c r="O548" s="92"/>
    </row>
    <row r="549" spans="15:15" ht="15.75" customHeight="1">
      <c r="O549" s="92"/>
    </row>
    <row r="550" spans="15:15" ht="15.75" customHeight="1">
      <c r="O550" s="92"/>
    </row>
    <row r="551" spans="15:15" ht="15.75" customHeight="1">
      <c r="O551" s="92"/>
    </row>
    <row r="552" spans="15:15" ht="15.75" customHeight="1">
      <c r="O552" s="92"/>
    </row>
    <row r="553" spans="15:15" ht="15.75" customHeight="1">
      <c r="O553" s="92"/>
    </row>
    <row r="554" spans="15:15" ht="15.75" customHeight="1">
      <c r="O554" s="92"/>
    </row>
    <row r="555" spans="15:15" ht="15.75" customHeight="1">
      <c r="O555" s="92"/>
    </row>
    <row r="556" spans="15:15" ht="15.75" customHeight="1">
      <c r="O556" s="92"/>
    </row>
    <row r="557" spans="15:15" ht="15.75" customHeight="1">
      <c r="O557" s="92"/>
    </row>
    <row r="558" spans="15:15" ht="15.75" customHeight="1">
      <c r="O558" s="92"/>
    </row>
    <row r="559" spans="15:15" ht="15.75" customHeight="1">
      <c r="O559" s="92"/>
    </row>
    <row r="560" spans="15:15" ht="15.75" customHeight="1">
      <c r="O560" s="92"/>
    </row>
    <row r="561" spans="15:15" ht="15.75" customHeight="1">
      <c r="O561" s="92"/>
    </row>
    <row r="562" spans="15:15" ht="15.75" customHeight="1">
      <c r="O562" s="92"/>
    </row>
    <row r="563" spans="15:15" ht="15.75" customHeight="1">
      <c r="O563" s="92"/>
    </row>
    <row r="564" spans="15:15" ht="15.75" customHeight="1">
      <c r="O564" s="92"/>
    </row>
    <row r="565" spans="15:15" ht="15.75" customHeight="1">
      <c r="O565" s="92"/>
    </row>
    <row r="566" spans="15:15" ht="15.75" customHeight="1">
      <c r="O566" s="92"/>
    </row>
    <row r="567" spans="15:15" ht="15.75" customHeight="1">
      <c r="O567" s="92"/>
    </row>
    <row r="568" spans="15:15" ht="15.75" customHeight="1">
      <c r="O568" s="92"/>
    </row>
    <row r="569" spans="15:15" ht="15.75" customHeight="1">
      <c r="O569" s="92"/>
    </row>
    <row r="570" spans="15:15" ht="15.75" customHeight="1">
      <c r="O570" s="92"/>
    </row>
    <row r="571" spans="15:15" ht="15.75" customHeight="1">
      <c r="O571" s="92"/>
    </row>
    <row r="572" spans="15:15" ht="15.75" customHeight="1">
      <c r="O572" s="92"/>
    </row>
    <row r="573" spans="15:15" ht="15.75" customHeight="1">
      <c r="O573" s="92"/>
    </row>
    <row r="574" spans="15:15" ht="15.75" customHeight="1">
      <c r="O574" s="92"/>
    </row>
    <row r="575" spans="15:15" ht="15.75" customHeight="1">
      <c r="O575" s="92"/>
    </row>
    <row r="576" spans="15:15" ht="15.75" customHeight="1">
      <c r="O576" s="92"/>
    </row>
    <row r="577" spans="15:15" ht="15.75" customHeight="1">
      <c r="O577" s="92"/>
    </row>
    <row r="578" spans="15:15" ht="15.75" customHeight="1">
      <c r="O578" s="92"/>
    </row>
    <row r="579" spans="15:15" ht="15.75" customHeight="1">
      <c r="O579" s="92"/>
    </row>
    <row r="580" spans="15:15" ht="15.75" customHeight="1">
      <c r="O580" s="92"/>
    </row>
    <row r="581" spans="15:15" ht="15.75" customHeight="1">
      <c r="O581" s="92"/>
    </row>
    <row r="582" spans="15:15" ht="15.75" customHeight="1">
      <c r="O582" s="92"/>
    </row>
    <row r="583" spans="15:15" ht="15.75" customHeight="1">
      <c r="O583" s="92"/>
    </row>
    <row r="584" spans="15:15" ht="15.75" customHeight="1">
      <c r="O584" s="92"/>
    </row>
    <row r="585" spans="15:15" ht="15.75" customHeight="1">
      <c r="O585" s="92"/>
    </row>
    <row r="586" spans="15:15" ht="15.75" customHeight="1">
      <c r="O586" s="92"/>
    </row>
    <row r="587" spans="15:15" ht="15.75" customHeight="1">
      <c r="O587" s="92"/>
    </row>
    <row r="588" spans="15:15" ht="15.75" customHeight="1">
      <c r="O588" s="92"/>
    </row>
    <row r="589" spans="15:15" ht="15.75" customHeight="1">
      <c r="O589" s="92"/>
    </row>
    <row r="590" spans="15:15" ht="15.75" customHeight="1">
      <c r="O590" s="92"/>
    </row>
    <row r="591" spans="15:15" ht="15.75" customHeight="1">
      <c r="O591" s="92"/>
    </row>
    <row r="592" spans="15:15" ht="15.75" customHeight="1">
      <c r="O592" s="92"/>
    </row>
    <row r="593" spans="15:15" ht="15.75" customHeight="1">
      <c r="O593" s="92"/>
    </row>
    <row r="594" spans="15:15" ht="15.75" customHeight="1">
      <c r="O594" s="92"/>
    </row>
    <row r="595" spans="15:15" ht="15.75" customHeight="1">
      <c r="O595" s="92"/>
    </row>
    <row r="596" spans="15:15" ht="15.75" customHeight="1">
      <c r="O596" s="92"/>
    </row>
    <row r="597" spans="15:15" ht="15.75" customHeight="1">
      <c r="O597" s="92"/>
    </row>
    <row r="598" spans="15:15" ht="15.75" customHeight="1">
      <c r="O598" s="92"/>
    </row>
    <row r="599" spans="15:15" ht="15.75" customHeight="1">
      <c r="O599" s="92"/>
    </row>
    <row r="600" spans="15:15" ht="15.75" customHeight="1">
      <c r="O600" s="92"/>
    </row>
    <row r="601" spans="15:15" ht="15.75" customHeight="1">
      <c r="O601" s="92"/>
    </row>
    <row r="602" spans="15:15" ht="15.75" customHeight="1">
      <c r="O602" s="92"/>
    </row>
    <row r="603" spans="15:15" ht="15.75" customHeight="1">
      <c r="O603" s="92"/>
    </row>
    <row r="604" spans="15:15" ht="15.75" customHeight="1">
      <c r="O604" s="92"/>
    </row>
    <row r="605" spans="15:15" ht="15.75" customHeight="1">
      <c r="O605" s="92"/>
    </row>
    <row r="606" spans="15:15" ht="15.75" customHeight="1">
      <c r="O606" s="92"/>
    </row>
    <row r="607" spans="15:15" ht="15.75" customHeight="1">
      <c r="O607" s="92"/>
    </row>
    <row r="608" spans="15:15" ht="15.75" customHeight="1">
      <c r="O608" s="92"/>
    </row>
    <row r="609" spans="15:15" ht="15.75" customHeight="1">
      <c r="O609" s="92"/>
    </row>
    <row r="610" spans="15:15" ht="15.75" customHeight="1">
      <c r="O610" s="92"/>
    </row>
    <row r="611" spans="15:15" ht="15.75" customHeight="1">
      <c r="O611" s="92"/>
    </row>
    <row r="612" spans="15:15" ht="15.75" customHeight="1">
      <c r="O612" s="92"/>
    </row>
    <row r="613" spans="15:15" ht="15.75" customHeight="1">
      <c r="O613" s="92"/>
    </row>
    <row r="614" spans="15:15" ht="15.75" customHeight="1">
      <c r="O614" s="92"/>
    </row>
    <row r="615" spans="15:15" ht="15.75" customHeight="1">
      <c r="O615" s="92"/>
    </row>
    <row r="616" spans="15:15" ht="15.75" customHeight="1">
      <c r="O616" s="92"/>
    </row>
    <row r="617" spans="15:15" ht="15.75" customHeight="1">
      <c r="O617" s="92"/>
    </row>
    <row r="618" spans="15:15" ht="15.75" customHeight="1">
      <c r="O618" s="92"/>
    </row>
    <row r="619" spans="15:15" ht="15.75" customHeight="1">
      <c r="O619" s="92"/>
    </row>
    <row r="620" spans="15:15" ht="15.75" customHeight="1">
      <c r="O620" s="92"/>
    </row>
    <row r="621" spans="15:15" ht="15.75" customHeight="1">
      <c r="O621" s="92"/>
    </row>
    <row r="622" spans="15:15" ht="15.75" customHeight="1">
      <c r="O622" s="92"/>
    </row>
    <row r="623" spans="15:15" ht="15.75" customHeight="1">
      <c r="O623" s="92"/>
    </row>
    <row r="624" spans="15:15" ht="15.75" customHeight="1">
      <c r="O624" s="92"/>
    </row>
    <row r="625" spans="15:15" ht="15.75" customHeight="1">
      <c r="O625" s="92"/>
    </row>
    <row r="626" spans="15:15" ht="15.75" customHeight="1">
      <c r="O626" s="92"/>
    </row>
    <row r="627" spans="15:15" ht="15.75" customHeight="1">
      <c r="O627" s="92"/>
    </row>
    <row r="628" spans="15:15" ht="15.75" customHeight="1">
      <c r="O628" s="92"/>
    </row>
    <row r="629" spans="15:15" ht="15.75" customHeight="1">
      <c r="O629" s="92"/>
    </row>
    <row r="630" spans="15:15" ht="15.75" customHeight="1">
      <c r="O630" s="92"/>
    </row>
    <row r="631" spans="15:15" ht="15.75" customHeight="1">
      <c r="O631" s="92"/>
    </row>
    <row r="632" spans="15:15" ht="15.75" customHeight="1">
      <c r="O632" s="92"/>
    </row>
    <row r="633" spans="15:15" ht="15.75" customHeight="1">
      <c r="O633" s="92"/>
    </row>
    <row r="634" spans="15:15" ht="15.75" customHeight="1">
      <c r="O634" s="92"/>
    </row>
    <row r="635" spans="15:15" ht="15.75" customHeight="1">
      <c r="O635" s="92"/>
    </row>
    <row r="636" spans="15:15" ht="15.75" customHeight="1">
      <c r="O636" s="92"/>
    </row>
    <row r="637" spans="15:15" ht="15.75" customHeight="1">
      <c r="O637" s="92"/>
    </row>
    <row r="638" spans="15:15" ht="15.75" customHeight="1">
      <c r="O638" s="92"/>
    </row>
    <row r="639" spans="15:15" ht="15.75" customHeight="1">
      <c r="O639" s="92"/>
    </row>
    <row r="640" spans="15:15" ht="15.75" customHeight="1">
      <c r="O640" s="92"/>
    </row>
    <row r="641" spans="15:15" ht="15.75" customHeight="1">
      <c r="O641" s="92"/>
    </row>
    <row r="642" spans="15:15" ht="15.75" customHeight="1">
      <c r="O642" s="92"/>
    </row>
    <row r="643" spans="15:15" ht="15.75" customHeight="1">
      <c r="O643" s="92"/>
    </row>
    <row r="644" spans="15:15" ht="15.75" customHeight="1">
      <c r="O644" s="92"/>
    </row>
    <row r="645" spans="15:15" ht="15.75" customHeight="1">
      <c r="O645" s="92"/>
    </row>
    <row r="646" spans="15:15" ht="15.75" customHeight="1">
      <c r="O646" s="92"/>
    </row>
    <row r="647" spans="15:15" ht="15.75" customHeight="1">
      <c r="O647" s="92"/>
    </row>
    <row r="648" spans="15:15" ht="15.75" customHeight="1">
      <c r="O648" s="92"/>
    </row>
    <row r="649" spans="15:15" ht="15.75" customHeight="1">
      <c r="O649" s="92"/>
    </row>
    <row r="650" spans="15:15" ht="15.75" customHeight="1">
      <c r="O650" s="92"/>
    </row>
    <row r="651" spans="15:15" ht="15.75" customHeight="1">
      <c r="O651" s="92"/>
    </row>
    <row r="652" spans="15:15" ht="15.75" customHeight="1">
      <c r="O652" s="92"/>
    </row>
    <row r="653" spans="15:15" ht="15.75" customHeight="1">
      <c r="O653" s="92"/>
    </row>
    <row r="654" spans="15:15" ht="15.75" customHeight="1">
      <c r="O654" s="92"/>
    </row>
    <row r="655" spans="15:15" ht="15.75" customHeight="1">
      <c r="O655" s="92"/>
    </row>
    <row r="656" spans="15:15" ht="15.75" customHeight="1">
      <c r="O656" s="92"/>
    </row>
    <row r="657" spans="15:15" ht="15.75" customHeight="1">
      <c r="O657" s="92"/>
    </row>
    <row r="658" spans="15:15" ht="15.75" customHeight="1">
      <c r="O658" s="92"/>
    </row>
    <row r="659" spans="15:15" ht="15.75" customHeight="1">
      <c r="O659" s="92"/>
    </row>
    <row r="660" spans="15:15" ht="15.75" customHeight="1">
      <c r="O660" s="92"/>
    </row>
    <row r="661" spans="15:15" ht="15.75" customHeight="1">
      <c r="O661" s="92"/>
    </row>
    <row r="662" spans="15:15" ht="15.75" customHeight="1">
      <c r="O662" s="92"/>
    </row>
    <row r="663" spans="15:15" ht="15.75" customHeight="1">
      <c r="O663" s="92"/>
    </row>
    <row r="664" spans="15:15" ht="15.75" customHeight="1">
      <c r="O664" s="92"/>
    </row>
    <row r="665" spans="15:15" ht="15.75" customHeight="1">
      <c r="O665" s="92"/>
    </row>
    <row r="666" spans="15:15" ht="15.75" customHeight="1">
      <c r="O666" s="92"/>
    </row>
    <row r="667" spans="15:15" ht="15.75" customHeight="1">
      <c r="O667" s="92"/>
    </row>
    <row r="668" spans="15:15" ht="15.75" customHeight="1">
      <c r="O668" s="92"/>
    </row>
    <row r="669" spans="15:15" ht="15.75" customHeight="1">
      <c r="O669" s="92"/>
    </row>
    <row r="670" spans="15:15" ht="15.75" customHeight="1">
      <c r="O670" s="92"/>
    </row>
    <row r="671" spans="15:15" ht="15.75" customHeight="1">
      <c r="O671" s="92"/>
    </row>
    <row r="672" spans="15:15" ht="15.75" customHeight="1">
      <c r="O672" s="92"/>
    </row>
    <row r="673" spans="15:15" ht="15.75" customHeight="1">
      <c r="O673" s="92"/>
    </row>
    <row r="674" spans="15:15" ht="15.75" customHeight="1">
      <c r="O674" s="92"/>
    </row>
    <row r="675" spans="15:15" ht="15.75" customHeight="1">
      <c r="O675" s="92"/>
    </row>
    <row r="676" spans="15:15" ht="15.75" customHeight="1">
      <c r="O676" s="92"/>
    </row>
    <row r="677" spans="15:15" ht="15.75" customHeight="1">
      <c r="O677" s="92"/>
    </row>
    <row r="678" spans="15:15" ht="15.75" customHeight="1">
      <c r="O678" s="92"/>
    </row>
    <row r="679" spans="15:15" ht="15.75" customHeight="1">
      <c r="O679" s="92"/>
    </row>
    <row r="680" spans="15:15" ht="15.75" customHeight="1">
      <c r="O680" s="92"/>
    </row>
    <row r="681" spans="15:15" ht="15.75" customHeight="1">
      <c r="O681" s="92"/>
    </row>
    <row r="682" spans="15:15" ht="15.75" customHeight="1">
      <c r="O682" s="92"/>
    </row>
    <row r="683" spans="15:15" ht="15.75" customHeight="1">
      <c r="O683" s="92"/>
    </row>
    <row r="684" spans="15:15" ht="15.75" customHeight="1">
      <c r="O684" s="92"/>
    </row>
    <row r="685" spans="15:15" ht="15.75" customHeight="1">
      <c r="O685" s="92"/>
    </row>
    <row r="686" spans="15:15" ht="15.75" customHeight="1">
      <c r="O686" s="92"/>
    </row>
    <row r="687" spans="15:15" ht="15.75" customHeight="1">
      <c r="O687" s="92"/>
    </row>
    <row r="688" spans="15:15" ht="15.75" customHeight="1">
      <c r="O688" s="92"/>
    </row>
    <row r="689" spans="15:15" ht="15.75" customHeight="1">
      <c r="O689" s="92"/>
    </row>
    <row r="690" spans="15:15" ht="15.75" customHeight="1">
      <c r="O690" s="92"/>
    </row>
    <row r="691" spans="15:15" ht="15.75" customHeight="1">
      <c r="O691" s="92"/>
    </row>
    <row r="692" spans="15:15" ht="15.75" customHeight="1">
      <c r="O692" s="92"/>
    </row>
    <row r="693" spans="15:15" ht="15.75" customHeight="1">
      <c r="O693" s="92"/>
    </row>
    <row r="694" spans="15:15" ht="15.75" customHeight="1">
      <c r="O694" s="92"/>
    </row>
    <row r="695" spans="15:15" ht="15.75" customHeight="1">
      <c r="O695" s="92"/>
    </row>
    <row r="696" spans="15:15" ht="15.75" customHeight="1">
      <c r="O696" s="92"/>
    </row>
    <row r="697" spans="15:15" ht="15.75" customHeight="1">
      <c r="O697" s="92"/>
    </row>
    <row r="698" spans="15:15" ht="15.75" customHeight="1">
      <c r="O698" s="92"/>
    </row>
    <row r="699" spans="15:15" ht="15.75" customHeight="1">
      <c r="O699" s="92"/>
    </row>
    <row r="700" spans="15:15" ht="15.75" customHeight="1">
      <c r="O700" s="92"/>
    </row>
    <row r="701" spans="15:15" ht="15.75" customHeight="1">
      <c r="O701" s="92"/>
    </row>
    <row r="702" spans="15:15" ht="15.75" customHeight="1">
      <c r="O702" s="92"/>
    </row>
    <row r="703" spans="15:15" ht="15.75" customHeight="1">
      <c r="O703" s="92"/>
    </row>
    <row r="704" spans="15:15" ht="15.75" customHeight="1">
      <c r="O704" s="92"/>
    </row>
    <row r="705" spans="15:15" ht="15.75" customHeight="1">
      <c r="O705" s="92"/>
    </row>
    <row r="706" spans="15:15" ht="15.75" customHeight="1">
      <c r="O706" s="92"/>
    </row>
    <row r="707" spans="15:15" ht="15.75" customHeight="1">
      <c r="O707" s="92"/>
    </row>
    <row r="708" spans="15:15" ht="15.75" customHeight="1">
      <c r="O708" s="92"/>
    </row>
    <row r="709" spans="15:15" ht="15.75" customHeight="1">
      <c r="O709" s="92"/>
    </row>
    <row r="710" spans="15:15" ht="15.75" customHeight="1">
      <c r="O710" s="92"/>
    </row>
    <row r="711" spans="15:15" ht="15.75" customHeight="1">
      <c r="O711" s="92"/>
    </row>
    <row r="712" spans="15:15" ht="15.75" customHeight="1">
      <c r="O712" s="92"/>
    </row>
    <row r="713" spans="15:15" ht="15.75" customHeight="1">
      <c r="O713" s="92"/>
    </row>
    <row r="714" spans="15:15" ht="15.75" customHeight="1">
      <c r="O714" s="92"/>
    </row>
    <row r="715" spans="15:15" ht="15.75" customHeight="1">
      <c r="O715" s="92"/>
    </row>
    <row r="716" spans="15:15" ht="15.75" customHeight="1">
      <c r="O716" s="92"/>
    </row>
    <row r="717" spans="15:15" ht="15.75" customHeight="1">
      <c r="O717" s="92"/>
    </row>
    <row r="718" spans="15:15" ht="15.75" customHeight="1">
      <c r="O718" s="92"/>
    </row>
    <row r="719" spans="15:15" ht="15.75" customHeight="1">
      <c r="O719" s="92"/>
    </row>
    <row r="720" spans="15:15" ht="15.75" customHeight="1">
      <c r="O720" s="92"/>
    </row>
    <row r="721" spans="15:15" ht="15.75" customHeight="1">
      <c r="O721" s="92"/>
    </row>
    <row r="722" spans="15:15" ht="15.75" customHeight="1">
      <c r="O722" s="92"/>
    </row>
    <row r="723" spans="15:15" ht="15.75" customHeight="1">
      <c r="O723" s="92"/>
    </row>
    <row r="724" spans="15:15" ht="15.75" customHeight="1">
      <c r="O724" s="92"/>
    </row>
    <row r="725" spans="15:15" ht="15.75" customHeight="1">
      <c r="O725" s="92"/>
    </row>
    <row r="726" spans="15:15" ht="15.75" customHeight="1">
      <c r="O726" s="92"/>
    </row>
    <row r="727" spans="15:15" ht="15.75" customHeight="1">
      <c r="O727" s="92"/>
    </row>
    <row r="728" spans="15:15" ht="15.75" customHeight="1">
      <c r="O728" s="92"/>
    </row>
    <row r="729" spans="15:15" ht="15.75" customHeight="1">
      <c r="O729" s="92"/>
    </row>
    <row r="730" spans="15:15" ht="15.75" customHeight="1">
      <c r="O730" s="92"/>
    </row>
    <row r="731" spans="15:15" ht="15.75" customHeight="1">
      <c r="O731" s="92"/>
    </row>
    <row r="732" spans="15:15" ht="15.75" customHeight="1">
      <c r="O732" s="92"/>
    </row>
    <row r="733" spans="15:15" ht="15.75" customHeight="1">
      <c r="O733" s="92"/>
    </row>
    <row r="734" spans="15:15" ht="15.75" customHeight="1">
      <c r="O734" s="92"/>
    </row>
    <row r="735" spans="15:15" ht="15.75" customHeight="1">
      <c r="O735" s="92"/>
    </row>
    <row r="736" spans="15:15" ht="15.75" customHeight="1">
      <c r="O736" s="92"/>
    </row>
    <row r="737" spans="15:15" ht="15.75" customHeight="1">
      <c r="O737" s="92"/>
    </row>
    <row r="738" spans="15:15" ht="15.75" customHeight="1">
      <c r="O738" s="92"/>
    </row>
    <row r="739" spans="15:15" ht="15.75" customHeight="1">
      <c r="O739" s="92"/>
    </row>
    <row r="740" spans="15:15" ht="15.75" customHeight="1">
      <c r="O740" s="92"/>
    </row>
    <row r="741" spans="15:15" ht="15.75" customHeight="1">
      <c r="O741" s="92"/>
    </row>
    <row r="742" spans="15:15" ht="15.75" customHeight="1">
      <c r="O742" s="92"/>
    </row>
    <row r="743" spans="15:15" ht="15.75" customHeight="1">
      <c r="O743" s="92"/>
    </row>
    <row r="744" spans="15:15" ht="15.75" customHeight="1">
      <c r="O744" s="92"/>
    </row>
    <row r="745" spans="15:15" ht="15.75" customHeight="1">
      <c r="O745" s="92"/>
    </row>
    <row r="746" spans="15:15" ht="15.75" customHeight="1">
      <c r="O746" s="92"/>
    </row>
    <row r="747" spans="15:15" ht="15.75" customHeight="1">
      <c r="O747" s="92"/>
    </row>
    <row r="748" spans="15:15" ht="15.75" customHeight="1">
      <c r="O748" s="92"/>
    </row>
    <row r="749" spans="15:15" ht="15.75" customHeight="1">
      <c r="O749" s="92"/>
    </row>
    <row r="750" spans="15:15" ht="15.75" customHeight="1">
      <c r="O750" s="92"/>
    </row>
    <row r="751" spans="15:15" ht="15.75" customHeight="1">
      <c r="O751" s="92"/>
    </row>
    <row r="752" spans="15:15" ht="15.75" customHeight="1">
      <c r="O752" s="92"/>
    </row>
    <row r="753" spans="15:15" ht="15.75" customHeight="1">
      <c r="O753" s="92"/>
    </row>
    <row r="754" spans="15:15" ht="15.75" customHeight="1">
      <c r="O754" s="92"/>
    </row>
    <row r="755" spans="15:15" ht="15.75" customHeight="1">
      <c r="O755" s="92"/>
    </row>
    <row r="756" spans="15:15" ht="15.75" customHeight="1">
      <c r="O756" s="92"/>
    </row>
    <row r="757" spans="15:15" ht="15.75" customHeight="1">
      <c r="O757" s="92"/>
    </row>
    <row r="758" spans="15:15" ht="15.75" customHeight="1">
      <c r="O758" s="92"/>
    </row>
    <row r="759" spans="15:15" ht="15.75" customHeight="1">
      <c r="O759" s="92"/>
    </row>
    <row r="760" spans="15:15" ht="15.75" customHeight="1">
      <c r="O760" s="92"/>
    </row>
    <row r="761" spans="15:15" ht="15.75" customHeight="1">
      <c r="O761" s="92"/>
    </row>
    <row r="762" spans="15:15" ht="15.75" customHeight="1">
      <c r="O762" s="92"/>
    </row>
    <row r="763" spans="15:15" ht="15.75" customHeight="1">
      <c r="O763" s="92"/>
    </row>
    <row r="764" spans="15:15" ht="15.75" customHeight="1">
      <c r="O764" s="92"/>
    </row>
    <row r="765" spans="15:15" ht="15.75" customHeight="1">
      <c r="O765" s="92"/>
    </row>
    <row r="766" spans="15:15" ht="15.75" customHeight="1">
      <c r="O766" s="92"/>
    </row>
    <row r="767" spans="15:15" ht="15.75" customHeight="1">
      <c r="O767" s="92"/>
    </row>
    <row r="768" spans="15:15" ht="15.75" customHeight="1">
      <c r="O768" s="92"/>
    </row>
    <row r="769" spans="15:15" ht="15.75" customHeight="1">
      <c r="O769" s="92"/>
    </row>
    <row r="770" spans="15:15" ht="15.75" customHeight="1">
      <c r="O770" s="92"/>
    </row>
    <row r="771" spans="15:15" ht="15.75" customHeight="1">
      <c r="O771" s="92"/>
    </row>
    <row r="772" spans="15:15" ht="15.75" customHeight="1">
      <c r="O772" s="92"/>
    </row>
    <row r="773" spans="15:15" ht="15.75" customHeight="1">
      <c r="O773" s="92"/>
    </row>
    <row r="774" spans="15:15" ht="15.75" customHeight="1">
      <c r="O774" s="92"/>
    </row>
    <row r="775" spans="15:15" ht="15.75" customHeight="1">
      <c r="O775" s="92"/>
    </row>
    <row r="776" spans="15:15" ht="15.75" customHeight="1">
      <c r="O776" s="92"/>
    </row>
    <row r="777" spans="15:15" ht="15.75" customHeight="1">
      <c r="O777" s="92"/>
    </row>
    <row r="778" spans="15:15" ht="15.75" customHeight="1">
      <c r="O778" s="92"/>
    </row>
    <row r="779" spans="15:15" ht="15.75" customHeight="1">
      <c r="O779" s="92"/>
    </row>
    <row r="780" spans="15:15" ht="15.75" customHeight="1">
      <c r="O780" s="92"/>
    </row>
    <row r="781" spans="15:15" ht="15.75" customHeight="1">
      <c r="O781" s="92"/>
    </row>
    <row r="782" spans="15:15" ht="15.75" customHeight="1">
      <c r="O782" s="92"/>
    </row>
    <row r="783" spans="15:15" ht="15.75" customHeight="1">
      <c r="O783" s="92"/>
    </row>
    <row r="784" spans="15:15" ht="15.75" customHeight="1">
      <c r="O784" s="92"/>
    </row>
    <row r="785" spans="15:15" ht="15.75" customHeight="1">
      <c r="O785" s="92"/>
    </row>
    <row r="786" spans="15:15" ht="15.75" customHeight="1">
      <c r="O786" s="92"/>
    </row>
    <row r="787" spans="15:15" ht="15.75" customHeight="1">
      <c r="O787" s="92"/>
    </row>
    <row r="788" spans="15:15" ht="15.75" customHeight="1">
      <c r="O788" s="92"/>
    </row>
    <row r="789" spans="15:15" ht="15.75" customHeight="1">
      <c r="O789" s="92"/>
    </row>
    <row r="790" spans="15:15" ht="15.75" customHeight="1">
      <c r="O790" s="92"/>
    </row>
    <row r="791" spans="15:15" ht="15.75" customHeight="1">
      <c r="O791" s="92"/>
    </row>
    <row r="792" spans="15:15" ht="15.75" customHeight="1">
      <c r="O792" s="92"/>
    </row>
    <row r="793" spans="15:15" ht="15.75" customHeight="1">
      <c r="O793" s="92"/>
    </row>
    <row r="794" spans="15:15" ht="15.75" customHeight="1">
      <c r="O794" s="92"/>
    </row>
    <row r="795" spans="15:15" ht="15.75" customHeight="1">
      <c r="O795" s="92"/>
    </row>
    <row r="796" spans="15:15" ht="15.75" customHeight="1">
      <c r="O796" s="92"/>
    </row>
    <row r="797" spans="15:15" ht="15.75" customHeight="1">
      <c r="O797" s="92"/>
    </row>
    <row r="798" spans="15:15" ht="15.75" customHeight="1">
      <c r="O798" s="92"/>
    </row>
    <row r="799" spans="15:15" ht="15.75" customHeight="1">
      <c r="O799" s="92"/>
    </row>
    <row r="800" spans="15:15" ht="15.75" customHeight="1">
      <c r="O800" s="92"/>
    </row>
    <row r="801" spans="15:15" ht="15.75" customHeight="1">
      <c r="O801" s="92"/>
    </row>
    <row r="802" spans="15:15" ht="15.75" customHeight="1">
      <c r="O802" s="92"/>
    </row>
    <row r="803" spans="15:15" ht="15.75" customHeight="1">
      <c r="O803" s="92"/>
    </row>
    <row r="804" spans="15:15" ht="15.75" customHeight="1">
      <c r="O804" s="92"/>
    </row>
    <row r="805" spans="15:15" ht="15.75" customHeight="1">
      <c r="O805" s="92"/>
    </row>
    <row r="806" spans="15:15" ht="15.75" customHeight="1">
      <c r="O806" s="92"/>
    </row>
    <row r="807" spans="15:15" ht="15.75" customHeight="1">
      <c r="O807" s="92"/>
    </row>
    <row r="808" spans="15:15" ht="15.75" customHeight="1">
      <c r="O808" s="92"/>
    </row>
    <row r="809" spans="15:15" ht="15.75" customHeight="1">
      <c r="O809" s="92"/>
    </row>
    <row r="810" spans="15:15" ht="15.75" customHeight="1">
      <c r="O810" s="92"/>
    </row>
    <row r="811" spans="15:15" ht="15.75" customHeight="1">
      <c r="O811" s="92"/>
    </row>
    <row r="812" spans="15:15" ht="15.75" customHeight="1">
      <c r="O812" s="92"/>
    </row>
    <row r="813" spans="15:15" ht="15.75" customHeight="1">
      <c r="O813" s="92"/>
    </row>
    <row r="814" spans="15:15" ht="15.75" customHeight="1">
      <c r="O814" s="92"/>
    </row>
    <row r="815" spans="15:15" ht="15.75" customHeight="1">
      <c r="O815" s="92"/>
    </row>
    <row r="816" spans="15:15" ht="15.75" customHeight="1">
      <c r="O816" s="92"/>
    </row>
    <row r="817" spans="15:15" ht="15.75" customHeight="1">
      <c r="O817" s="92"/>
    </row>
    <row r="818" spans="15:15" ht="15.75" customHeight="1">
      <c r="O818" s="92"/>
    </row>
    <row r="819" spans="15:15" ht="15.75" customHeight="1">
      <c r="O819" s="92"/>
    </row>
    <row r="820" spans="15:15" ht="15.75" customHeight="1">
      <c r="O820" s="92"/>
    </row>
    <row r="821" spans="15:15" ht="15.75" customHeight="1">
      <c r="O821" s="92"/>
    </row>
    <row r="822" spans="15:15" ht="15.75" customHeight="1">
      <c r="O822" s="92"/>
    </row>
    <row r="823" spans="15:15" ht="15.75" customHeight="1">
      <c r="O823" s="92"/>
    </row>
    <row r="824" spans="15:15" ht="15.75" customHeight="1">
      <c r="O824" s="92"/>
    </row>
    <row r="825" spans="15:15" ht="15.75" customHeight="1">
      <c r="O825" s="92"/>
    </row>
    <row r="826" spans="15:15" ht="15.75" customHeight="1">
      <c r="O826" s="92"/>
    </row>
    <row r="827" spans="15:15" ht="15.75" customHeight="1">
      <c r="O827" s="92"/>
    </row>
    <row r="828" spans="15:15" ht="15.75" customHeight="1">
      <c r="O828" s="92"/>
    </row>
    <row r="829" spans="15:15" ht="15.75" customHeight="1">
      <c r="O829" s="92"/>
    </row>
    <row r="830" spans="15:15" ht="15.75" customHeight="1">
      <c r="O830" s="92"/>
    </row>
    <row r="831" spans="15:15" ht="15.75" customHeight="1">
      <c r="O831" s="92"/>
    </row>
    <row r="832" spans="15:15" ht="15.75" customHeight="1">
      <c r="O832" s="92"/>
    </row>
    <row r="833" spans="15:15" ht="15.75" customHeight="1">
      <c r="O833" s="92"/>
    </row>
    <row r="834" spans="15:15" ht="15.75" customHeight="1">
      <c r="O834" s="92"/>
    </row>
    <row r="835" spans="15:15" ht="15.75" customHeight="1">
      <c r="O835" s="92"/>
    </row>
    <row r="836" spans="15:15" ht="15.75" customHeight="1">
      <c r="O836" s="92"/>
    </row>
    <row r="837" spans="15:15" ht="15.75" customHeight="1">
      <c r="O837" s="92"/>
    </row>
    <row r="838" spans="15:15" ht="15.75" customHeight="1">
      <c r="O838" s="92"/>
    </row>
    <row r="839" spans="15:15" ht="15.75" customHeight="1">
      <c r="O839" s="92"/>
    </row>
    <row r="840" spans="15:15" ht="15.75" customHeight="1">
      <c r="O840" s="92"/>
    </row>
    <row r="841" spans="15:15" ht="15.75" customHeight="1">
      <c r="O841" s="92"/>
    </row>
    <row r="842" spans="15:15" ht="15.75" customHeight="1">
      <c r="O842" s="92"/>
    </row>
    <row r="843" spans="15:15" ht="15.75" customHeight="1">
      <c r="O843" s="92"/>
    </row>
    <row r="844" spans="15:15" ht="15.75" customHeight="1">
      <c r="O844" s="92"/>
    </row>
    <row r="845" spans="15:15" ht="15.75" customHeight="1">
      <c r="O845" s="92"/>
    </row>
    <row r="846" spans="15:15" ht="15.75" customHeight="1">
      <c r="O846" s="92"/>
    </row>
    <row r="847" spans="15:15" ht="15.75" customHeight="1">
      <c r="O847" s="92"/>
    </row>
    <row r="848" spans="15:15" ht="15.75" customHeight="1">
      <c r="O848" s="92"/>
    </row>
    <row r="849" spans="15:15" ht="15.75" customHeight="1">
      <c r="O849" s="92"/>
    </row>
    <row r="850" spans="15:15" ht="15.75" customHeight="1">
      <c r="O850" s="92"/>
    </row>
    <row r="851" spans="15:15" ht="15.75" customHeight="1">
      <c r="O851" s="92"/>
    </row>
    <row r="852" spans="15:15" ht="15.75" customHeight="1">
      <c r="O852" s="92"/>
    </row>
    <row r="853" spans="15:15" ht="15.75" customHeight="1">
      <c r="O853" s="92"/>
    </row>
    <row r="854" spans="15:15" ht="15.75" customHeight="1">
      <c r="O854" s="92"/>
    </row>
    <row r="855" spans="15:15" ht="15.75" customHeight="1">
      <c r="O855" s="92"/>
    </row>
    <row r="856" spans="15:15" ht="15.75" customHeight="1">
      <c r="O856" s="92"/>
    </row>
    <row r="857" spans="15:15" ht="15.75" customHeight="1">
      <c r="O857" s="92"/>
    </row>
    <row r="858" spans="15:15" ht="15.75" customHeight="1">
      <c r="O858" s="92"/>
    </row>
    <row r="859" spans="15:15" ht="15.75" customHeight="1">
      <c r="O859" s="92"/>
    </row>
    <row r="860" spans="15:15" ht="15.75" customHeight="1">
      <c r="O860" s="92"/>
    </row>
    <row r="861" spans="15:15" ht="15.75" customHeight="1">
      <c r="O861" s="92"/>
    </row>
    <row r="862" spans="15:15" ht="15.75" customHeight="1">
      <c r="O862" s="92"/>
    </row>
    <row r="863" spans="15:15" ht="15.75" customHeight="1">
      <c r="O863" s="92"/>
    </row>
    <row r="864" spans="15:15" ht="15.75" customHeight="1">
      <c r="O864" s="92"/>
    </row>
    <row r="865" spans="15:15" ht="15.75" customHeight="1">
      <c r="O865" s="92"/>
    </row>
    <row r="866" spans="15:15" ht="15.75" customHeight="1">
      <c r="O866" s="92"/>
    </row>
    <row r="867" spans="15:15" ht="15.75" customHeight="1">
      <c r="O867" s="92"/>
    </row>
    <row r="868" spans="15:15" ht="15.75" customHeight="1">
      <c r="O868" s="92"/>
    </row>
    <row r="869" spans="15:15" ht="15.75" customHeight="1">
      <c r="O869" s="92"/>
    </row>
    <row r="870" spans="15:15" ht="15.75" customHeight="1">
      <c r="O870" s="92"/>
    </row>
    <row r="871" spans="15:15" ht="15.75" customHeight="1">
      <c r="O871" s="92"/>
    </row>
    <row r="872" spans="15:15" ht="15.75" customHeight="1">
      <c r="O872" s="92"/>
    </row>
    <row r="873" spans="15:15" ht="15.75" customHeight="1">
      <c r="O873" s="92"/>
    </row>
    <row r="874" spans="15:15" ht="15.75" customHeight="1">
      <c r="O874" s="92"/>
    </row>
    <row r="875" spans="15:15" ht="15.75" customHeight="1">
      <c r="O875" s="92"/>
    </row>
    <row r="876" spans="15:15" ht="15.75" customHeight="1">
      <c r="O876" s="92"/>
    </row>
    <row r="877" spans="15:15" ht="15.75" customHeight="1">
      <c r="O877" s="92"/>
    </row>
    <row r="878" spans="15:15" ht="15.75" customHeight="1">
      <c r="O878" s="92"/>
    </row>
    <row r="879" spans="15:15" ht="15.75" customHeight="1">
      <c r="O879" s="92"/>
    </row>
    <row r="880" spans="15:15" ht="15.75" customHeight="1">
      <c r="O880" s="92"/>
    </row>
    <row r="881" spans="15:15" ht="15.75" customHeight="1">
      <c r="O881" s="92"/>
    </row>
    <row r="882" spans="15:15" ht="15.75" customHeight="1">
      <c r="O882" s="92"/>
    </row>
    <row r="883" spans="15:15" ht="15.75" customHeight="1">
      <c r="O883" s="92"/>
    </row>
    <row r="884" spans="15:15" ht="15.75" customHeight="1">
      <c r="O884" s="92"/>
    </row>
    <row r="885" spans="15:15" ht="15.75" customHeight="1">
      <c r="O885" s="92"/>
    </row>
    <row r="886" spans="15:15" ht="15.75" customHeight="1">
      <c r="O886" s="92"/>
    </row>
    <row r="887" spans="15:15" ht="15.75" customHeight="1">
      <c r="O887" s="92"/>
    </row>
    <row r="888" spans="15:15" ht="15.75" customHeight="1">
      <c r="O888" s="92"/>
    </row>
    <row r="889" spans="15:15" ht="15.75" customHeight="1">
      <c r="O889" s="92"/>
    </row>
    <row r="890" spans="15:15" ht="15.75" customHeight="1">
      <c r="O890" s="92"/>
    </row>
    <row r="891" spans="15:15" ht="15.75" customHeight="1">
      <c r="O891" s="92"/>
    </row>
    <row r="892" spans="15:15" ht="15.75" customHeight="1">
      <c r="O892" s="92"/>
    </row>
    <row r="893" spans="15:15" ht="15.75" customHeight="1">
      <c r="O893" s="92"/>
    </row>
    <row r="894" spans="15:15" ht="15.75" customHeight="1">
      <c r="O894" s="92"/>
    </row>
    <row r="895" spans="15:15" ht="15.75" customHeight="1">
      <c r="O895" s="92"/>
    </row>
    <row r="896" spans="15:15" ht="15.75" customHeight="1">
      <c r="O896" s="92"/>
    </row>
    <row r="897" spans="15:15" ht="15.75" customHeight="1">
      <c r="O897" s="92"/>
    </row>
    <row r="898" spans="15:15" ht="15.75" customHeight="1">
      <c r="O898" s="92"/>
    </row>
    <row r="899" spans="15:15" ht="15.75" customHeight="1">
      <c r="O899" s="92"/>
    </row>
    <row r="900" spans="15:15" ht="15.75" customHeight="1">
      <c r="O900" s="92"/>
    </row>
    <row r="901" spans="15:15" ht="15.75" customHeight="1">
      <c r="O901" s="92"/>
    </row>
    <row r="902" spans="15:15" ht="15.75" customHeight="1">
      <c r="O902" s="92"/>
    </row>
    <row r="903" spans="15:15" ht="15.75" customHeight="1">
      <c r="O903" s="92"/>
    </row>
    <row r="904" spans="15:15" ht="15.75" customHeight="1">
      <c r="O904" s="92"/>
    </row>
    <row r="905" spans="15:15" ht="15.75" customHeight="1">
      <c r="O905" s="92"/>
    </row>
    <row r="906" spans="15:15" ht="15.75" customHeight="1">
      <c r="O906" s="92"/>
    </row>
    <row r="907" spans="15:15" ht="15.75" customHeight="1">
      <c r="O907" s="92"/>
    </row>
    <row r="908" spans="15:15" ht="15.75" customHeight="1">
      <c r="O908" s="92"/>
    </row>
    <row r="909" spans="15:15" ht="15.75" customHeight="1">
      <c r="O909" s="92"/>
    </row>
    <row r="910" spans="15:15" ht="15.75" customHeight="1">
      <c r="O910" s="92"/>
    </row>
    <row r="911" spans="15:15" ht="15.75" customHeight="1">
      <c r="O911" s="92"/>
    </row>
    <row r="912" spans="15:15" ht="15.75" customHeight="1">
      <c r="O912" s="92"/>
    </row>
    <row r="913" spans="15:15" ht="15.75" customHeight="1">
      <c r="O913" s="92"/>
    </row>
    <row r="914" spans="15:15" ht="15.75" customHeight="1">
      <c r="O914" s="92"/>
    </row>
    <row r="915" spans="15:15" ht="15.75" customHeight="1">
      <c r="O915" s="92"/>
    </row>
    <row r="916" spans="15:15" ht="15.75" customHeight="1">
      <c r="O916" s="92"/>
    </row>
    <row r="917" spans="15:15" ht="15.75" customHeight="1">
      <c r="O917" s="92"/>
    </row>
    <row r="918" spans="15:15" ht="15.75" customHeight="1">
      <c r="O918" s="92"/>
    </row>
    <row r="919" spans="15:15" ht="15.75" customHeight="1">
      <c r="O919" s="92"/>
    </row>
    <row r="920" spans="15:15" ht="15.75" customHeight="1">
      <c r="O920" s="92"/>
    </row>
    <row r="921" spans="15:15" ht="15.75" customHeight="1">
      <c r="O921" s="92"/>
    </row>
    <row r="922" spans="15:15" ht="15.75" customHeight="1">
      <c r="O922" s="92"/>
    </row>
    <row r="923" spans="15:15" ht="15.75" customHeight="1">
      <c r="O923" s="92"/>
    </row>
    <row r="924" spans="15:15" ht="15.75" customHeight="1">
      <c r="O924" s="92"/>
    </row>
    <row r="925" spans="15:15" ht="15.75" customHeight="1">
      <c r="O925" s="92"/>
    </row>
    <row r="926" spans="15:15" ht="15.75" customHeight="1">
      <c r="O926" s="92"/>
    </row>
    <row r="927" spans="15:15" ht="15.75" customHeight="1">
      <c r="O927" s="92"/>
    </row>
    <row r="928" spans="15:15" ht="15.75" customHeight="1">
      <c r="O928" s="92"/>
    </row>
    <row r="929" spans="15:15" ht="15.75" customHeight="1">
      <c r="O929" s="92"/>
    </row>
    <row r="930" spans="15:15" ht="15.75" customHeight="1">
      <c r="O930" s="92"/>
    </row>
    <row r="931" spans="15:15" ht="15.75" customHeight="1">
      <c r="O931" s="92"/>
    </row>
    <row r="932" spans="15:15" ht="15.75" customHeight="1">
      <c r="O932" s="92"/>
    </row>
    <row r="933" spans="15:15" ht="15.75" customHeight="1">
      <c r="O933" s="92"/>
    </row>
    <row r="934" spans="15:15" ht="15.75" customHeight="1">
      <c r="O934" s="92"/>
    </row>
    <row r="935" spans="15:15" ht="15.75" customHeight="1">
      <c r="O935" s="92"/>
    </row>
    <row r="936" spans="15:15" ht="15.75" customHeight="1">
      <c r="O936" s="92"/>
    </row>
    <row r="937" spans="15:15" ht="15.75" customHeight="1">
      <c r="O937" s="92"/>
    </row>
    <row r="938" spans="15:15" ht="15.75" customHeight="1">
      <c r="O938" s="92"/>
    </row>
    <row r="939" spans="15:15" ht="15.75" customHeight="1">
      <c r="O939" s="92"/>
    </row>
    <row r="940" spans="15:15" ht="15.75" customHeight="1">
      <c r="O940" s="92"/>
    </row>
    <row r="941" spans="15:15" ht="15.75" customHeight="1">
      <c r="O941" s="92"/>
    </row>
    <row r="942" spans="15:15" ht="15.75" customHeight="1">
      <c r="O942" s="92"/>
    </row>
    <row r="943" spans="15:15" ht="15.75" customHeight="1">
      <c r="O943" s="92"/>
    </row>
    <row r="944" spans="15:15" ht="15.75" customHeight="1">
      <c r="O944" s="92"/>
    </row>
    <row r="945" spans="15:15" ht="15.75" customHeight="1">
      <c r="O945" s="92"/>
    </row>
    <row r="946" spans="15:15" ht="15.75" customHeight="1">
      <c r="O946" s="92"/>
    </row>
    <row r="947" spans="15:15" ht="15.75" customHeight="1">
      <c r="O947" s="92"/>
    </row>
    <row r="948" spans="15:15" ht="15.75" customHeight="1">
      <c r="O948" s="92"/>
    </row>
    <row r="949" spans="15:15" ht="15.75" customHeight="1">
      <c r="O949" s="92"/>
    </row>
    <row r="950" spans="15:15" ht="15.75" customHeight="1">
      <c r="O950" s="92"/>
    </row>
  </sheetData>
  <customSheetViews>
    <customSheetView guid="{88809CA9-5E40-46D7-B1E4-FD64890E3C54}" filter="1" showAutoFilter="1">
      <pageMargins left="0.7" right="0.7" top="0.75" bottom="0.75" header="0.3" footer="0.3"/>
      <autoFilter ref="A9:Z128" xr:uid="{50764415-82B5-F84B-9E57-8FC06BD24A06}">
        <filterColumn colId="20">
          <filters blank="1">
            <filter val="1,000.00 TL"/>
            <filter val="1,050.00 TL"/>
            <filter val="1,120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5.38 TL"/>
            <filter val="1,890.00 TL"/>
            <filter val="1,925.00 TL"/>
            <filter val="1,950.00 TL"/>
            <filter val="150.00 TL"/>
            <filter val="2,159.99 TL"/>
            <filter val="2,200.00 TL"/>
            <filter val="2,250.00 TL"/>
            <filter val="2,300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3,000.00 TL"/>
            <filter val="3,150.00 TL"/>
            <filter val="3,500.00 TL"/>
            <filter val="3,600.00 TL"/>
            <filter val="3,780.0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950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00.00 TL"/>
            <filter val="604.00 TL"/>
            <filter val="630.00 TL"/>
            <filter val="64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FE3E62DE-4CB7-4BB9-873B-C0E5A641A3C7}" filter="1" showAutoFilter="1">
      <pageMargins left="0.7" right="0.7" top="0.75" bottom="0.75" header="0.3" footer="0.3"/>
      <autoFilter ref="A9:Z164" xr:uid="{1FF26E2D-0F6D-4A49-927C-AD6D131347BA}">
        <filterColumn colId="15">
          <filters>
            <filter val="TRUE"/>
          </filters>
        </filterColumn>
        <filterColumn colId="19">
          <filters>
            <filter val="RE02024000000363"/>
            <filter val="RE02024000000364"/>
            <filter val="RE02024000000365"/>
            <filter val="RE02024000000366"/>
            <filter val="RE02024000000367"/>
            <filter val="RE02024000000368"/>
            <filter val="RE02024000000369"/>
            <filter val="RE02024000000370"/>
            <filter val="RE02024000000371"/>
            <filter val="RE02024000000372"/>
            <filter val="RE02024000000373"/>
            <filter val="RE02024000000374"/>
            <filter val="RE02024000000374-RE02024000000421"/>
            <filter val="RE02024000000375"/>
            <filter val="RE02024000000376"/>
            <filter val="RE02024000000377"/>
            <filter val="RE02024000000378"/>
            <filter val="RE02024000000379"/>
            <filter val="RE02024000000380"/>
            <filter val="RE02024000000381"/>
            <filter val="RE02024000000382"/>
            <filter val="RE02024000000383"/>
            <filter val="RE02024000000389"/>
            <filter val="RE02024000000390"/>
            <filter val="RE02024000000391"/>
            <filter val="RE02024000000392"/>
            <filter val="RE02024000000393"/>
            <filter val="RE02024000000394"/>
            <filter val="RE02024000000395"/>
            <filter val="RE02024000000399"/>
            <filter val="RE02024000000400"/>
            <filter val="RE02024000000402"/>
            <filter val="RE02024000000403"/>
            <filter val="RE02024000000404"/>
            <filter val="RE02024000000405"/>
            <filter val="RE02024000000406"/>
            <filter val="RE02024000000407"/>
            <filter val="RE02024000000408"/>
            <filter val="RE02024000000418"/>
            <filter val="RE02024000000428"/>
            <filter val="RE02024000000443"/>
            <filter val="RE02024000000444"/>
            <filter val="RE02024000000452"/>
            <filter val="RE02024000000453"/>
            <filter val="RE02024000000454"/>
          </filters>
        </filterColumn>
      </autoFilter>
    </customSheetView>
    <customSheetView guid="{A88120E2-7AF7-4F3D-82AF-D97CC58D97AE}" filter="1" showAutoFilter="1">
      <pageMargins left="0.7" right="0.7" top="0.75" bottom="0.75" header="0.3" footer="0.3"/>
      <autoFilter ref="A9:Z128" xr:uid="{C289F7B0-CB99-9E4B-B7F1-1D9C2766B5FA}">
        <filterColumn colId="15">
          <filters>
            <filter val="TRUE"/>
          </filters>
        </filterColumn>
        <filterColumn colId="19">
          <filters>
            <filter val="RE02024000000323"/>
            <filter val="RE02024000000324"/>
            <filter val="RE02024000000325"/>
            <filter val="RE02024000000326"/>
            <filter val="RE02024000000327"/>
            <filter val="RE02024000000328"/>
            <filter val="RE02024000000329"/>
            <filter val="RE02024000000330"/>
            <filter val="RE02024000000331"/>
            <filter val="RE02024000000332"/>
            <filter val="RE02024000000333"/>
            <filter val="RE02024000000334"/>
            <filter val="RE02024000000335"/>
            <filter val="RE02024000000336"/>
            <filter val="RE02024000000337"/>
            <filter val="RE02024000000338"/>
            <filter val="RE02024000000339"/>
            <filter val="RE02024000000340"/>
            <filter val="RE02024000000341"/>
            <filter val="RE02024000000342"/>
            <filter val="RE02024000000343"/>
            <filter val="RE02024000000344"/>
            <filter val="RE02024000000345"/>
            <filter val="RE02024000000346"/>
            <filter val="RE02024000000347"/>
            <filter val="RE02024000000348"/>
            <filter val="RE02024000000349"/>
            <filter val="RE02024000000350"/>
            <filter val="RE02024000000351"/>
            <filter val="RE02024000000352"/>
            <filter val="RE02024000000353"/>
            <filter val="RE02024000000354"/>
            <filter val="RE02024000000355"/>
            <filter val="RE02024000000356"/>
            <filter val="RE02024000000357"/>
            <filter val="RE02024000000358"/>
            <filter val="RE02024000000359"/>
            <filter val="RE02024000000360"/>
            <filter val="RE02024000000361"/>
            <filter val="RE02024000000362"/>
            <filter val="RE02024000000363"/>
            <filter val="RE02024000000364"/>
            <filter val="RE02024000000365"/>
            <filter val="RE02024000000366"/>
            <filter val="RE02024000000367"/>
            <filter val="RE02024000000368"/>
            <filter val="RE02024000000369"/>
            <filter val="RE02024000000370"/>
            <filter val="RE02024000000371"/>
            <filter val="RE02024000000376"/>
            <filter val="RE02024000000377"/>
            <filter val="RE02024000000389"/>
            <filter val="RE02024000000390"/>
            <filter val="RE02024000000399"/>
            <filter val="RE02024000000403"/>
            <filter val="RE02024000000406"/>
            <filter val="RE02024000000428"/>
            <filter val="RE02024000000443"/>
          </filters>
        </filterColumn>
      </autoFilter>
    </customSheetView>
    <customSheetView guid="{76FE80B7-048A-4848-BCC4-616193A540D1}" filter="1" showAutoFilter="1">
      <pageMargins left="0.7" right="0.7" top="0.75" bottom="0.75" header="0.3" footer="0.3"/>
      <autoFilter ref="A9:Z128" xr:uid="{EBE470BD-0CA0-C242-8739-6D582A80E30A}">
        <filterColumn colId="15">
          <filters>
            <filter val="TRUE"/>
          </filters>
        </filterColumn>
        <filterColumn colId="19">
          <filters>
            <filter val="RE02024000000293"/>
            <filter val="RE02024000000294"/>
            <filter val="RE02024000000295"/>
            <filter val="RE02024000000296"/>
            <filter val="RE02024000000297"/>
            <filter val="RE02024000000298"/>
            <filter val="RE02024000000299"/>
            <filter val="RE02024000000300"/>
            <filter val="RE02024000000301"/>
            <filter val="RE02024000000302"/>
            <filter val="RE02024000000303"/>
            <filter val="RE02024000000304"/>
            <filter val="RE02024000000305"/>
            <filter val="RE02024000000306"/>
            <filter val="RE02024000000307"/>
            <filter val="RE02024000000309"/>
            <filter val="RE02024000000310"/>
            <filter val="RE02024000000311"/>
            <filter val="RE02024000000312"/>
            <filter val="RE02024000000313"/>
            <filter val="RE02024000000314"/>
            <filter val="RE02024000000315"/>
            <filter val="RE02024000000316"/>
            <filter val="RE02024000000317"/>
            <filter val="RE02024000000318"/>
            <filter val="RE02024000000319"/>
            <filter val="RE02024000000320"/>
            <filter val="RE02024000000321"/>
            <filter val="RE02024000000322"/>
            <filter val="RE02024000000323"/>
            <filter val="RE02024000000324"/>
            <filter val="RE02024000000325"/>
            <filter val="RE02024000000326"/>
            <filter val="RE02024000000327"/>
            <filter val="RE02024000000328"/>
            <filter val="RE02024000000329"/>
            <filter val="RE02024000000330"/>
            <filter val="RE02024000000331"/>
            <filter val="RE02024000000332"/>
            <filter val="RE02024000000333"/>
            <filter val="RE02024000000334"/>
            <filter val="RE02024000000335"/>
            <filter val="RE02024000000336"/>
            <filter val="RE02024000000337"/>
            <filter val="RE02024000000338"/>
            <filter val="RE02024000000339"/>
            <filter val="RE02024000000340"/>
            <filter val="RE02024000000341"/>
            <filter val="RE02024000000342"/>
            <filter val="RE02024000000343"/>
            <filter val="RE02024000000344"/>
            <filter val="RE02024000000345"/>
            <filter val="RE02024000000346"/>
            <filter val="RE02024000000347"/>
            <filter val="RE02024000000348"/>
            <filter val="RE02024000000349"/>
            <filter val="RE02024000000350"/>
            <filter val="RE02024000000351"/>
            <filter val="RE02024000000352"/>
            <filter val="RE02024000000353"/>
            <filter val="RE02024000000354"/>
            <filter val="RE02024000000355"/>
            <filter val="RE02024000000356"/>
            <filter val="RE02024000000357"/>
            <filter val="RE02024000000358"/>
            <filter val="RE02024000000359"/>
            <filter val="RE02024000000360"/>
            <filter val="RE02024000000361"/>
            <filter val="RE02024000000362"/>
            <filter val="RE02024000000363"/>
            <filter val="RE02024000000364"/>
            <filter val="RE02024000000365"/>
            <filter val="RE02024000000366"/>
            <filter val="RE02024000000367"/>
            <filter val="RE02024000000368"/>
            <filter val="RE02024000000369"/>
            <filter val="RE02024000000370"/>
            <filter val="RE02024000000371"/>
            <filter val="RE02024000000376"/>
            <filter val="RE02024000000377"/>
            <filter val="RE02024000000389"/>
            <filter val="RE02024000000390"/>
            <filter val="RE02024000000399"/>
            <filter val="RE02024000000403"/>
            <filter val="RE02024000000406"/>
            <filter val="RE02024000000428"/>
            <filter val="RE02024000000443"/>
          </filters>
        </filterColumn>
      </autoFilter>
    </customSheetView>
    <customSheetView guid="{C001D0BF-773D-48AF-8B1B-6C89B000FA58}" filter="1" showAutoFilter="1">
      <pageMargins left="0.7" right="0.7" top="0.75" bottom="0.75" header="0.3" footer="0.3"/>
      <autoFilter ref="A9:Z177" xr:uid="{B8CC07E5-2721-4944-954D-8E8E3030D171}">
        <filterColumn colId="15">
          <filters>
            <filter val="TRUE"/>
          </filters>
        </filterColumn>
        <filterColumn colId="19">
          <filters blank="1">
            <filter val="RE02024000000374-RE02024000000421"/>
            <filter val="RE02024000000389"/>
            <filter val="RE02024000000390"/>
            <filter val="RE02024000000391"/>
            <filter val="RE02024000000392"/>
            <filter val="RE02024000000393"/>
            <filter val="RE02024000000394"/>
            <filter val="RE02024000000395"/>
            <filter val="RE02024000000399"/>
            <filter val="RE02024000000400"/>
            <filter val="RE02024000000402"/>
            <filter val="RE02024000000403"/>
            <filter val="RE02024000000404"/>
            <filter val="RE02024000000405"/>
            <filter val="RE02024000000406"/>
            <filter val="RE02024000000407"/>
            <filter val="RE02024000000408"/>
            <filter val="RE02024000000418"/>
            <filter val="RE02024000000428"/>
            <filter val="RE02024000000443"/>
            <filter val="RE02024000000444"/>
            <filter val="RE02024000000452"/>
            <filter val="RE02024000000453"/>
            <filter val="RE02024000000454"/>
          </filters>
        </filterColumn>
      </autoFilter>
    </customSheetView>
    <customSheetView guid="{80969A39-7711-4B04-A97F-757E47D9C537}" filter="1" showAutoFilter="1">
      <pageMargins left="0.7" right="0.7" top="0.75" bottom="0.75" header="0.3" footer="0.3"/>
      <autoFilter ref="A9:Z164" xr:uid="{900A2641-4BC6-6F40-A2CA-F2A29EDF80F7}">
        <filterColumn colId="20">
          <filters blank="1">
            <filter val="1,000.00 TL"/>
            <filter val="1,050.00 TL"/>
            <filter val="1,120.00 TL"/>
            <filter val="1,125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0.00 TL"/>
            <filter val="1,855.38 TL"/>
            <filter val="1,890.00 TL"/>
            <filter val="1,925.00 TL"/>
            <filter val="1,950.00 TL"/>
            <filter val="150.00 TL"/>
            <filter val="175.00 TL"/>
            <filter val="2,000.00 TL"/>
            <filter val="2,159.99 TL"/>
            <filter val="2,200.00 TL"/>
            <filter val="2,250.00 TL"/>
            <filter val="2,300.00 TL"/>
            <filter val="2,325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295.00 TL"/>
            <filter val="3,000.00 TL"/>
            <filter val="3,150.00 TL"/>
            <filter val="3,500.00 TL"/>
            <filter val="3,600.00 TL"/>
            <filter val="3,780.00 TL"/>
            <filter val="3,832.8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650.00 TL"/>
            <filter val="4,800.00 TL"/>
            <filter val="4,950.00 TL"/>
            <filter val="42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,800.00 TL"/>
            <filter val="600.00 TL"/>
            <filter val="604.00 TL"/>
            <filter val="630.00 TL"/>
            <filter val="640.00 TL"/>
            <filter val="65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0C67F4AD-E116-40FF-973D-584D89EF9B9A}" filter="1" showAutoFilter="1">
      <pageMargins left="0.7" right="0.7" top="0.75" bottom="0.75" header="0.3" footer="0.3"/>
      <autoFilter ref="A9:Z177" xr:uid="{4F91BD74-309D-204D-A7B3-E667958A9D9C}">
        <filterColumn colId="20">
          <filters blank="1">
            <filter val="1,000.00 TL"/>
            <filter val="1,050.00 TL"/>
            <filter val="1,120.00 TL"/>
            <filter val="1,125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0.00 TL"/>
            <filter val="1,855.38 TL"/>
            <filter val="1,890.00 TL"/>
            <filter val="1,925.00 TL"/>
            <filter val="1,950.00 TL"/>
            <filter val="150.00 TL"/>
            <filter val="175.00 TL"/>
            <filter val="2,000.00 TL"/>
            <filter val="2,159.99 TL"/>
            <filter val="2,200.00 TL"/>
            <filter val="2,250.00 TL"/>
            <filter val="2,300.00 TL"/>
            <filter val="2,325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295.00 TL"/>
            <filter val="3,000.00 TL"/>
            <filter val="3,150.00 TL"/>
            <filter val="3,500.00 TL"/>
            <filter val="3,600.00 TL"/>
            <filter val="3,780.00 TL"/>
            <filter val="3,832.8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650.00 TL"/>
            <filter val="4,800.00 TL"/>
            <filter val="4,950.00 TL"/>
            <filter val="42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,800.00 TL"/>
            <filter val="600.00 TL"/>
            <filter val="604.00 TL"/>
            <filter val="630.00 TL"/>
            <filter val="640.00 TL"/>
            <filter val="65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4E6C842E-1AE5-4266-A760-0DBC8ED32795}" filter="1" showAutoFilter="1">
      <pageMargins left="0.7" right="0.7" top="0.75" bottom="0.75" header="0.3" footer="0.3"/>
      <autoFilter ref="A9:Z177" xr:uid="{E615EAF6-A8CD-4B4D-B48F-8CDC6EEAB7BD}">
        <filterColumn colId="20">
          <filters blank="1">
            <filter val="1,000.00 TL"/>
            <filter val="1,050.00 TL"/>
            <filter val="1,120.00 TL"/>
            <filter val="1,125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0.00 TL"/>
            <filter val="1,855.38 TL"/>
            <filter val="1,890.00 TL"/>
            <filter val="1,925.00 TL"/>
            <filter val="1,950.00 TL"/>
            <filter val="150.00 TL"/>
            <filter val="175.00 TL"/>
            <filter val="2,000.00 TL"/>
            <filter val="2,159.99 TL"/>
            <filter val="2,200.00 TL"/>
            <filter val="2,250.00 TL"/>
            <filter val="2,300.00 TL"/>
            <filter val="2,325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295.00 TL"/>
            <filter val="3,000.00 TL"/>
            <filter val="3,150.00 TL"/>
            <filter val="3,500.00 TL"/>
            <filter val="3,600.00 TL"/>
            <filter val="3,780.00 TL"/>
            <filter val="3,832.8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650.00 TL"/>
            <filter val="4,800.00 TL"/>
            <filter val="4,950.00 TL"/>
            <filter val="42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,800.00 TL"/>
            <filter val="600.00 TL"/>
            <filter val="604.00 TL"/>
            <filter val="630.00 TL"/>
            <filter val="640.00 TL"/>
            <filter val="65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E661CD77-B31F-4C3C-8CD5-3A6BB7A3C70D}" filter="1" showAutoFilter="1">
      <pageMargins left="0.7" right="0.7" top="0.75" bottom="0.75" header="0.3" footer="0.3"/>
      <autoFilter ref="A9:Z128" xr:uid="{C2DF93B2-A835-AA42-9D94-3E9B09526E9A}">
        <filterColumn colId="20">
          <filters blank="1">
            <filter val="1,000.00 TL"/>
            <filter val="1,050.00 TL"/>
            <filter val="1,120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5.38 TL"/>
            <filter val="1,890.00 TL"/>
            <filter val="1,925.00 TL"/>
            <filter val="1,950.00 TL"/>
            <filter val="150.00 TL"/>
            <filter val="2,159.99 TL"/>
            <filter val="2,200.00 TL"/>
            <filter val="2,250.00 TL"/>
            <filter val="2,300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3,000.00 TL"/>
            <filter val="3,150.00 TL"/>
            <filter val="3,500.00 TL"/>
            <filter val="3,600.00 TL"/>
            <filter val="3,780.0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950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00.00 TL"/>
            <filter val="604.00 TL"/>
            <filter val="630.00 TL"/>
            <filter val="64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ADDEB23E-DB36-4807-A89B-0D9099286A16}" filter="1" showAutoFilter="1">
      <pageMargins left="0.7" right="0.7" top="0.75" bottom="0.75" header="0.3" footer="0.3"/>
      <autoFilter ref="A9:Z177" xr:uid="{FFED66BA-AD23-F342-AA41-56CDAFDFED12}">
        <filterColumn colId="20">
          <filters blank="1">
            <filter val="1,000.00 TL"/>
            <filter val="1,050.00 TL"/>
            <filter val="1,120.00 TL"/>
            <filter val="1,125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0.00 TL"/>
            <filter val="1,855.38 TL"/>
            <filter val="1,890.00 TL"/>
            <filter val="1,925.00 TL"/>
            <filter val="1,950.00 TL"/>
            <filter val="150.00 TL"/>
            <filter val="175.00 TL"/>
            <filter val="2,000.00 TL"/>
            <filter val="2,159.99 TL"/>
            <filter val="2,200.00 TL"/>
            <filter val="2,250.00 TL"/>
            <filter val="2,300.00 TL"/>
            <filter val="2,325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295.00 TL"/>
            <filter val="3,000.00 TL"/>
            <filter val="3,150.00 TL"/>
            <filter val="3,500.00 TL"/>
            <filter val="3,600.00 TL"/>
            <filter val="3,780.00 TL"/>
            <filter val="3,832.8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650.00 TL"/>
            <filter val="4,800.00 TL"/>
            <filter val="4,950.00 TL"/>
            <filter val="42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,800.00 TL"/>
            <filter val="600.00 TL"/>
            <filter val="604.00 TL"/>
            <filter val="630.00 TL"/>
            <filter val="640.00 TL"/>
            <filter val="65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35CA1A2D-FFBE-4615-96BB-101481E767E8}" filter="1" showAutoFilter="1">
      <pageMargins left="0.7" right="0.7" top="0.75" bottom="0.75" header="0.3" footer="0.3"/>
      <autoFilter ref="A9:Z164" xr:uid="{5CFA7332-BF3E-4A4C-A3E2-E9C33981B6F6}">
        <filterColumn colId="19">
          <filters>
            <filter val="RE02024000000342"/>
            <filter val="RE02024000000343"/>
            <filter val="RE02024000000344"/>
            <filter val="RE02024000000345"/>
            <filter val="RE02024000000346"/>
            <filter val="RE02024000000347"/>
            <filter val="RE02024000000348"/>
            <filter val="RE02024000000349"/>
            <filter val="RE02024000000350"/>
            <filter val="RE02024000000351"/>
            <filter val="RE02024000000352"/>
            <filter val="RE02024000000353"/>
            <filter val="RE02024000000354"/>
            <filter val="RE02024000000355"/>
            <filter val="RE02024000000356"/>
            <filter val="RE02024000000357"/>
            <filter val="RE02024000000358"/>
            <filter val="RE02024000000359"/>
            <filter val="RE02024000000360"/>
            <filter val="RE02024000000361"/>
            <filter val="RE02024000000362"/>
            <filter val="RE02024000000363"/>
            <filter val="RE02024000000364"/>
            <filter val="RE02024000000365"/>
            <filter val="RE02024000000366"/>
            <filter val="RE02024000000367"/>
            <filter val="RE02024000000368"/>
            <filter val="RE02024000000369"/>
            <filter val="RE02024000000370"/>
            <filter val="RE02024000000371"/>
            <filter val="RE02024000000372"/>
            <filter val="RE02024000000373"/>
            <filter val="RE02024000000374"/>
            <filter val="RE02024000000374-RE02024000000421"/>
            <filter val="RE02024000000375"/>
            <filter val="RE02024000000376"/>
            <filter val="RE02024000000377"/>
            <filter val="RE02024000000378"/>
            <filter val="RE02024000000379"/>
            <filter val="RE02024000000380"/>
            <filter val="RE02024000000381"/>
            <filter val="RE02024000000382"/>
            <filter val="RE02024000000383"/>
            <filter val="RE02024000000389"/>
            <filter val="RE02024000000390"/>
            <filter val="RE02024000000391"/>
            <filter val="RE02024000000392"/>
            <filter val="RE02024000000393"/>
            <filter val="RE02024000000394"/>
            <filter val="RE02024000000395"/>
            <filter val="RE02024000000399"/>
            <filter val="RE02024000000400"/>
            <filter val="RE02024000000402"/>
            <filter val="RE02024000000403"/>
            <filter val="RE02024000000404"/>
            <filter val="RE02024000000405"/>
            <filter val="RE02024000000406"/>
            <filter val="RE02024000000407"/>
            <filter val="RE02024000000408"/>
            <filter val="RE02024000000418"/>
            <filter val="RE02024000000428"/>
            <filter val="RE02024000000443"/>
            <filter val="RE02024000000444"/>
            <filter val="RE02024000000452"/>
            <filter val="RE02024000000453"/>
            <filter val="RE02024000000454"/>
          </filters>
        </filterColumn>
      </autoFilter>
    </customSheetView>
    <customSheetView guid="{94D2D6FF-EAA2-40FA-89DA-C0792B4DEC2F}" filter="1" showAutoFilter="1">
      <pageMargins left="0.7" right="0.7" top="0.75" bottom="0.75" header="0.3" footer="0.3"/>
      <autoFilter ref="A9:Z128" xr:uid="{DF06D7C5-CEDD-B343-839C-340811FAD054}">
        <filterColumn colId="20">
          <filters blank="1">
            <filter val="1,000.00 TL"/>
            <filter val="1,050.00 TL"/>
            <filter val="1,120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5.38 TL"/>
            <filter val="1,890.00 TL"/>
            <filter val="1,925.00 TL"/>
            <filter val="1,950.00 TL"/>
            <filter val="150.00 TL"/>
            <filter val="2,159.99 TL"/>
            <filter val="2,200.00 TL"/>
            <filter val="2,250.00 TL"/>
            <filter val="2,300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3,000.00 TL"/>
            <filter val="3,150.00 TL"/>
            <filter val="3,500.00 TL"/>
            <filter val="3,600.00 TL"/>
            <filter val="3,780.0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950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00.00 TL"/>
            <filter val="604.00 TL"/>
            <filter val="630.00 TL"/>
            <filter val="64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CEF88DD0-1604-4B95-9A0A-613F636F67B5}" filter="1" showAutoFilter="1">
      <pageMargins left="0.7" right="0.7" top="0.75" bottom="0.75" header="0.3" footer="0.3"/>
      <autoFilter ref="A9:Z164" xr:uid="{63D0E5E1-86D0-1940-949C-1ACB833FBB5F}">
        <filterColumn colId="20">
          <filters blank="1">
            <filter val="1,000.00 TL"/>
            <filter val="1,050.00 TL"/>
            <filter val="1,120.00 TL"/>
            <filter val="1,125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0.00 TL"/>
            <filter val="1,855.38 TL"/>
            <filter val="1,890.00 TL"/>
            <filter val="1,925.00 TL"/>
            <filter val="1,950.00 TL"/>
            <filter val="150.00 TL"/>
            <filter val="175.00 TL"/>
            <filter val="2,000.00 TL"/>
            <filter val="2,159.99 TL"/>
            <filter val="2,200.00 TL"/>
            <filter val="2,250.00 TL"/>
            <filter val="2,300.00 TL"/>
            <filter val="2,325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295.00 TL"/>
            <filter val="3,000.00 TL"/>
            <filter val="3,150.00 TL"/>
            <filter val="3,500.00 TL"/>
            <filter val="3,600.00 TL"/>
            <filter val="3,780.00 TL"/>
            <filter val="3,832.8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650.00 TL"/>
            <filter val="4,800.00 TL"/>
            <filter val="4,950.00 TL"/>
            <filter val="42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,800.00 TL"/>
            <filter val="600.00 TL"/>
            <filter val="604.00 TL"/>
            <filter val="630.00 TL"/>
            <filter val="640.00 TL"/>
            <filter val="65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1CBC6901-7D50-44EB-AA0D-4607E4ED539B}" filter="1" showAutoFilter="1">
      <pageMargins left="0.7" right="0.7" top="0.75" bottom="0.75" header="0.3" footer="0.3"/>
      <autoFilter ref="A9:Z164" xr:uid="{4F6AC426-C22F-9441-B57E-7FF10E8FD78A}">
        <filterColumn colId="20">
          <filters blank="1">
            <filter val="1,000.00 TL"/>
            <filter val="1,050.00 TL"/>
            <filter val="1,120.00 TL"/>
            <filter val="1,125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0.00 TL"/>
            <filter val="1,855.38 TL"/>
            <filter val="1,890.00 TL"/>
            <filter val="1,925.00 TL"/>
            <filter val="1,950.00 TL"/>
            <filter val="150.00 TL"/>
            <filter val="175.00 TL"/>
            <filter val="2,000.00 TL"/>
            <filter val="2,159.99 TL"/>
            <filter val="2,200.00 TL"/>
            <filter val="2,250.00 TL"/>
            <filter val="2,300.00 TL"/>
            <filter val="2,325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295.00 TL"/>
            <filter val="3,000.00 TL"/>
            <filter val="3,150.00 TL"/>
            <filter val="3,500.00 TL"/>
            <filter val="3,600.00 TL"/>
            <filter val="3,780.00 TL"/>
            <filter val="3,832.8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650.00 TL"/>
            <filter val="4,800.00 TL"/>
            <filter val="4,950.00 TL"/>
            <filter val="42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,800.00 TL"/>
            <filter val="600.00 TL"/>
            <filter val="604.00 TL"/>
            <filter val="630.00 TL"/>
            <filter val="640.00 TL"/>
            <filter val="65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87A433BC-F3FD-4BA7-BD7F-4194C598DDE6}" filter="1" showAutoFilter="1">
      <pageMargins left="0.7" right="0.7" top="0.75" bottom="0.75" header="0.3" footer="0.3"/>
      <autoFilter ref="A9:Z164" xr:uid="{23B0C095-DF58-4F40-84A1-537C793F59D3}">
        <filterColumn colId="19">
          <filters>
            <filter val="RE02024000000348"/>
            <filter val="RE02024000000349"/>
            <filter val="RE02024000000350"/>
            <filter val="RE02024000000351"/>
            <filter val="RE02024000000352"/>
            <filter val="RE02024000000353"/>
            <filter val="RE02024000000354"/>
            <filter val="RE02024000000355"/>
            <filter val="RE02024000000356"/>
            <filter val="RE02024000000357"/>
            <filter val="RE02024000000358"/>
            <filter val="RE02024000000359"/>
            <filter val="RE02024000000360"/>
            <filter val="RE02024000000361"/>
            <filter val="RE02024000000362"/>
            <filter val="RE02024000000363"/>
            <filter val="RE02024000000364"/>
            <filter val="RE02024000000365"/>
            <filter val="RE02024000000366"/>
            <filter val="RE02024000000367"/>
            <filter val="RE02024000000368"/>
            <filter val="RE02024000000369"/>
            <filter val="RE02024000000370"/>
            <filter val="RE02024000000371"/>
            <filter val="RE02024000000372"/>
            <filter val="RE02024000000373"/>
            <filter val="RE02024000000374"/>
            <filter val="RE02024000000374-RE02024000000421"/>
            <filter val="RE02024000000375"/>
            <filter val="RE02024000000376"/>
            <filter val="RE02024000000377"/>
            <filter val="RE02024000000378"/>
            <filter val="RE02024000000379"/>
            <filter val="RE02024000000380"/>
            <filter val="RE02024000000381"/>
            <filter val="RE02024000000382"/>
            <filter val="RE02024000000383"/>
            <filter val="RE02024000000389"/>
            <filter val="RE02024000000390"/>
            <filter val="RE02024000000391"/>
            <filter val="RE02024000000392"/>
            <filter val="RE02024000000393"/>
            <filter val="RE02024000000394"/>
            <filter val="RE02024000000395"/>
            <filter val="RE02024000000399"/>
            <filter val="RE02024000000400"/>
            <filter val="RE02024000000402"/>
            <filter val="RE02024000000403"/>
            <filter val="RE02024000000404"/>
            <filter val="RE02024000000405"/>
            <filter val="RE02024000000406"/>
            <filter val="RE02024000000407"/>
            <filter val="RE02024000000408"/>
            <filter val="RE02024000000418"/>
            <filter val="RE02024000000428"/>
            <filter val="RE02024000000443"/>
            <filter val="RE02024000000444"/>
            <filter val="RE02024000000452"/>
            <filter val="RE02024000000453"/>
            <filter val="RE02024000000454"/>
          </filters>
        </filterColumn>
      </autoFilter>
    </customSheetView>
    <customSheetView guid="{C13C60AA-B3BC-4446-AA19-480F740F36DD}" filter="1" showAutoFilter="1">
      <pageMargins left="0.7" right="0.7" top="0.75" bottom="0.75" header="0.3" footer="0.3"/>
      <autoFilter ref="A9:Z164" xr:uid="{46D754B2-1A9F-C44A-8AF5-88CB66CCF15A}">
        <filterColumn colId="19">
          <filters>
            <filter val="RE02024000000373"/>
            <filter val="RE02024000000374"/>
            <filter val="RE02024000000374-RE02024000000421"/>
            <filter val="RE02024000000375"/>
            <filter val="RE02024000000376"/>
            <filter val="RE02024000000377"/>
            <filter val="RE02024000000378"/>
            <filter val="RE02024000000379"/>
            <filter val="RE02024000000380"/>
            <filter val="RE02024000000381"/>
            <filter val="RE02024000000382"/>
            <filter val="RE02024000000383"/>
            <filter val="RE02024000000389"/>
            <filter val="RE02024000000390"/>
            <filter val="RE02024000000391"/>
            <filter val="RE02024000000392"/>
            <filter val="RE02024000000393"/>
            <filter val="RE02024000000394"/>
            <filter val="RE02024000000395"/>
            <filter val="RE02024000000399"/>
            <filter val="RE02024000000400"/>
            <filter val="RE02024000000402"/>
            <filter val="RE02024000000403"/>
            <filter val="RE02024000000404"/>
            <filter val="RE02024000000405"/>
            <filter val="RE02024000000406"/>
            <filter val="RE02024000000407"/>
            <filter val="RE02024000000408"/>
            <filter val="RE02024000000418"/>
            <filter val="RE02024000000428"/>
            <filter val="RE02024000000443"/>
            <filter val="RE02024000000444"/>
            <filter val="RE02024000000452"/>
            <filter val="RE02024000000453"/>
            <filter val="RE02024000000454"/>
          </filters>
        </filterColumn>
      </autoFilter>
    </customSheetView>
    <customSheetView guid="{9DA415C6-D16E-4ADE-8A63-89A6B22E7D22}" filter="1" showAutoFilter="1">
      <pageMargins left="0.7" right="0.7" top="0.75" bottom="0.75" header="0.3" footer="0.3"/>
      <autoFilter ref="A9:Z177" xr:uid="{7995A0E8-B168-F940-8862-B32E9C2CF8E3}">
        <filterColumn colId="20">
          <filters blank="1">
            <filter val="1,000.00 TL"/>
            <filter val="1,050.00 TL"/>
            <filter val="1,120.00 TL"/>
            <filter val="1,125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0.00 TL"/>
            <filter val="1,855.38 TL"/>
            <filter val="1,890.00 TL"/>
            <filter val="1,925.00 TL"/>
            <filter val="1,950.00 TL"/>
            <filter val="150.00 TL"/>
            <filter val="175.00 TL"/>
            <filter val="2,000.00 TL"/>
            <filter val="2,159.99 TL"/>
            <filter val="2,200.00 TL"/>
            <filter val="2,250.00 TL"/>
            <filter val="2,300.00 TL"/>
            <filter val="2,325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295.00 TL"/>
            <filter val="3,000.00 TL"/>
            <filter val="3,150.00 TL"/>
            <filter val="3,500.00 TL"/>
            <filter val="3,600.00 TL"/>
            <filter val="3,780.00 TL"/>
            <filter val="3,832.8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650.00 TL"/>
            <filter val="4,800.00 TL"/>
            <filter val="4,950.00 TL"/>
            <filter val="42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,800.00 TL"/>
            <filter val="600.00 TL"/>
            <filter val="604.00 TL"/>
            <filter val="630.00 TL"/>
            <filter val="640.00 TL"/>
            <filter val="65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3468AD09-8B5E-4744-B88A-12C4F47AC98C}" filter="1" showAutoFilter="1">
      <pageMargins left="0.7" right="0.7" top="0.75" bottom="0.75" header="0.3" footer="0.3"/>
      <autoFilter ref="A9:Z128" xr:uid="{9B56A9A8-A5B8-DA4B-A701-F354F9609B38}">
        <filterColumn colId="20">
          <filters blank="1">
            <filter val="1,000.00 TL"/>
            <filter val="1,050.00 TL"/>
            <filter val="1,120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5.38 TL"/>
            <filter val="1,890.00 TL"/>
            <filter val="1,925.00 TL"/>
            <filter val="1,950.00 TL"/>
            <filter val="150.00 TL"/>
            <filter val="2,159.99 TL"/>
            <filter val="2,200.00 TL"/>
            <filter val="2,250.00 TL"/>
            <filter val="2,300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3,000.00 TL"/>
            <filter val="3,150.00 TL"/>
            <filter val="3,500.00 TL"/>
            <filter val="3,600.00 TL"/>
            <filter val="3,780.0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950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00.00 TL"/>
            <filter val="604.00 TL"/>
            <filter val="630.00 TL"/>
            <filter val="64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1690381E-EDBA-489A-8E58-BB03EED6A56A}" filter="1" showAutoFilter="1">
      <pageMargins left="0.7" right="0.7" top="0.75" bottom="0.75" header="0.3" footer="0.3"/>
      <autoFilter ref="A9:Z164" xr:uid="{99F108EA-839D-EE40-BCCE-B54E2DFD3DAE}">
        <filterColumn colId="20">
          <filters blank="1">
            <filter val="1,000.00 TL"/>
            <filter val="1,050.00 TL"/>
            <filter val="1,120.00 TL"/>
            <filter val="1,125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0.00 TL"/>
            <filter val="1,855.38 TL"/>
            <filter val="1,890.00 TL"/>
            <filter val="1,925.00 TL"/>
            <filter val="1,950.00 TL"/>
            <filter val="150.00 TL"/>
            <filter val="175.00 TL"/>
            <filter val="2,000.00 TL"/>
            <filter val="2,159.99 TL"/>
            <filter val="2,200.00 TL"/>
            <filter val="2,250.00 TL"/>
            <filter val="2,300.00 TL"/>
            <filter val="2,325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295.00 TL"/>
            <filter val="3,000.00 TL"/>
            <filter val="3,150.00 TL"/>
            <filter val="3,500.00 TL"/>
            <filter val="3,600.00 TL"/>
            <filter val="3,780.00 TL"/>
            <filter val="3,832.8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650.00 TL"/>
            <filter val="4,800.00 TL"/>
            <filter val="4,950.00 TL"/>
            <filter val="42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,800.00 TL"/>
            <filter val="600.00 TL"/>
            <filter val="604.00 TL"/>
            <filter val="630.00 TL"/>
            <filter val="640.00 TL"/>
            <filter val="65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825CFE42-E38F-4327-A52B-EA014762B8A6}" filter="1" showAutoFilter="1">
      <pageMargins left="0.7" right="0.7" top="0.75" bottom="0.75" header="0.3" footer="0.3"/>
      <autoFilter ref="A9:Z164" xr:uid="{2A05C783-C740-DB45-B737-7019DEE8DB4A}">
        <filterColumn colId="20">
          <filters blank="1">
            <filter val="1,000.00 TL"/>
            <filter val="1,050.00 TL"/>
            <filter val="1,120.00 TL"/>
            <filter val="1,125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0.00 TL"/>
            <filter val="1,855.38 TL"/>
            <filter val="1,890.00 TL"/>
            <filter val="1,925.00 TL"/>
            <filter val="1,950.00 TL"/>
            <filter val="150.00 TL"/>
            <filter val="175.00 TL"/>
            <filter val="2,000.00 TL"/>
            <filter val="2,159.99 TL"/>
            <filter val="2,200.00 TL"/>
            <filter val="2,250.00 TL"/>
            <filter val="2,300.00 TL"/>
            <filter val="2,325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295.00 TL"/>
            <filter val="3,000.00 TL"/>
            <filter val="3,150.00 TL"/>
            <filter val="3,500.00 TL"/>
            <filter val="3,600.00 TL"/>
            <filter val="3,780.00 TL"/>
            <filter val="3,832.8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650.00 TL"/>
            <filter val="4,800.00 TL"/>
            <filter val="4,950.00 TL"/>
            <filter val="42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,800.00 TL"/>
            <filter val="600.00 TL"/>
            <filter val="604.00 TL"/>
            <filter val="630.00 TL"/>
            <filter val="640.00 TL"/>
            <filter val="65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2207CBB1-B653-4DCA-B373-BDA845BB1154}" filter="1" showAutoFilter="1">
      <pageMargins left="0.7" right="0.7" top="0.75" bottom="0.75" header="0.3" footer="0.3"/>
      <autoFilter ref="A9:Z177" xr:uid="{0DCAF982-BE90-F842-9B1B-18AEF719842A}">
        <filterColumn colId="20">
          <filters blank="1">
            <filter val="1,000.00 TL"/>
            <filter val="1,050.00 TL"/>
            <filter val="1,120.00 TL"/>
            <filter val="1,125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0.00 TL"/>
            <filter val="1,855.38 TL"/>
            <filter val="1,890.00 TL"/>
            <filter val="1,925.00 TL"/>
            <filter val="1,950.00 TL"/>
            <filter val="150.00 TL"/>
            <filter val="175.00 TL"/>
            <filter val="2,000.00 TL"/>
            <filter val="2,159.99 TL"/>
            <filter val="2,200.00 TL"/>
            <filter val="2,250.00 TL"/>
            <filter val="2,300.00 TL"/>
            <filter val="2,325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295.00 TL"/>
            <filter val="3,000.00 TL"/>
            <filter val="3,150.00 TL"/>
            <filter val="3,500.00 TL"/>
            <filter val="3,600.00 TL"/>
            <filter val="3,780.00 TL"/>
            <filter val="3,832.8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650.00 TL"/>
            <filter val="4,800.00 TL"/>
            <filter val="4,950.00 TL"/>
            <filter val="42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,800.00 TL"/>
            <filter val="600.00 TL"/>
            <filter val="604.00 TL"/>
            <filter val="630.00 TL"/>
            <filter val="640.00 TL"/>
            <filter val="65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7590A8FA-0E93-447D-94B9-753650E86DD0}" filter="1" showAutoFilter="1">
      <pageMargins left="0.7" right="0.7" top="0.75" bottom="0.75" header="0.3" footer="0.3"/>
      <autoFilter ref="A9:Z164" xr:uid="{992C9049-F58F-394E-A207-B400C95B5409}">
        <filterColumn colId="19">
          <filters>
            <filter val="RE02024000000348"/>
            <filter val="RE02024000000349"/>
            <filter val="RE02024000000350"/>
            <filter val="RE02024000000351"/>
            <filter val="RE02024000000352"/>
            <filter val="RE02024000000353"/>
            <filter val="RE02024000000354"/>
            <filter val="RE02024000000355"/>
            <filter val="RE02024000000356"/>
            <filter val="RE02024000000357"/>
            <filter val="RE02024000000358"/>
            <filter val="RE02024000000359"/>
            <filter val="RE02024000000360"/>
            <filter val="RE02024000000361"/>
            <filter val="RE02024000000362"/>
            <filter val="RE02024000000363"/>
            <filter val="RE02024000000364"/>
            <filter val="RE02024000000365"/>
            <filter val="RE02024000000366"/>
            <filter val="RE02024000000367"/>
            <filter val="RE02024000000368"/>
            <filter val="RE02024000000369"/>
            <filter val="RE02024000000370"/>
            <filter val="RE02024000000371"/>
            <filter val="RE02024000000372"/>
            <filter val="RE02024000000373"/>
            <filter val="RE02024000000374"/>
            <filter val="RE02024000000374-RE02024000000421"/>
            <filter val="RE02024000000375"/>
            <filter val="RE02024000000376"/>
            <filter val="RE02024000000377"/>
            <filter val="RE02024000000378"/>
            <filter val="RE02024000000379"/>
            <filter val="RE02024000000380"/>
            <filter val="RE02024000000381"/>
            <filter val="RE02024000000382"/>
            <filter val="RE02024000000383"/>
            <filter val="RE02024000000389"/>
            <filter val="RE02024000000390"/>
            <filter val="RE02024000000391"/>
            <filter val="RE02024000000392"/>
            <filter val="RE02024000000393"/>
            <filter val="RE02024000000394"/>
            <filter val="RE02024000000395"/>
            <filter val="RE02024000000399"/>
            <filter val="RE02024000000400"/>
            <filter val="RE02024000000402"/>
            <filter val="RE02024000000403"/>
            <filter val="RE02024000000404"/>
            <filter val="RE02024000000405"/>
            <filter val="RE02024000000406"/>
            <filter val="RE02024000000407"/>
            <filter val="RE02024000000408"/>
            <filter val="RE02024000000418"/>
            <filter val="RE02024000000428"/>
            <filter val="RE02024000000443"/>
            <filter val="RE02024000000444"/>
            <filter val="RE02024000000452"/>
            <filter val="RE02024000000453"/>
            <filter val="RE02024000000454"/>
          </filters>
        </filterColumn>
      </autoFilter>
    </customSheetView>
    <customSheetView guid="{65C673E0-AE30-4C3F-B678-27F9F5878965}" filter="1" showAutoFilter="1">
      <pageMargins left="0.7" right="0.7" top="0.75" bottom="0.75" header="0.3" footer="0.3"/>
      <autoFilter ref="A9:Z128" xr:uid="{693FBA8C-D0BD-9F4E-A1F8-7BE60F3A0029}">
        <filterColumn colId="20">
          <filters blank="1">
            <filter val="1,000.00 TL"/>
            <filter val="1,050.00 TL"/>
            <filter val="1,120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5.38 TL"/>
            <filter val="1,890.00 TL"/>
            <filter val="1,925.00 TL"/>
            <filter val="1,950.00 TL"/>
            <filter val="150.00 TL"/>
            <filter val="2,159.99 TL"/>
            <filter val="2,200.00 TL"/>
            <filter val="2,250.00 TL"/>
            <filter val="2,300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3,000.00 TL"/>
            <filter val="3,150.00 TL"/>
            <filter val="3,500.00 TL"/>
            <filter val="3,600.00 TL"/>
            <filter val="3,780.0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950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00.00 TL"/>
            <filter val="604.00 TL"/>
            <filter val="630.00 TL"/>
            <filter val="64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2A32A583-5FFF-4329-A9AB-FB460B8875F5}" filter="1" showAutoFilter="1">
      <pageMargins left="0.7" right="0.7" top="0.75" bottom="0.75" header="0.3" footer="0.3"/>
      <autoFilter ref="A9:Z128" xr:uid="{AF1ABECF-696F-F44C-851C-E62AC06CD6E0}">
        <filterColumn colId="20">
          <filters blank="1">
            <filter val="1,000.00 TL"/>
            <filter val="1,050.00 TL"/>
            <filter val="1,120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5.38 TL"/>
            <filter val="1,890.00 TL"/>
            <filter val="1,925.00 TL"/>
            <filter val="1,950.00 TL"/>
            <filter val="150.00 TL"/>
            <filter val="2,159.99 TL"/>
            <filter val="2,200.00 TL"/>
            <filter val="2,250.00 TL"/>
            <filter val="2,300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3,000.00 TL"/>
            <filter val="3,150.00 TL"/>
            <filter val="3,500.00 TL"/>
            <filter val="3,600.00 TL"/>
            <filter val="3,780.0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950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00.00 TL"/>
            <filter val="604.00 TL"/>
            <filter val="630.00 TL"/>
            <filter val="64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1B6A235E-C50E-41E4-AD09-55C78D2BFD3B}" filter="1" showAutoFilter="1">
      <pageMargins left="0.7" right="0.7" top="0.75" bottom="0.75" header="0.3" footer="0.3"/>
      <autoFilter ref="A9:Z147" xr:uid="{14BA9668-48E0-8240-B8F3-7BAD1A2226AD}">
        <filterColumn colId="20">
          <filters blank="1">
            <filter val="1,000.00 TL"/>
            <filter val="1,050.00 TL"/>
            <filter val="1,120.00 TL"/>
            <filter val="1,125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0.00 TL"/>
            <filter val="1,855.38 TL"/>
            <filter val="1,890.00 TL"/>
            <filter val="1,925.00 TL"/>
            <filter val="1,950.00 TL"/>
            <filter val="150.00 TL"/>
            <filter val="175.00 TL"/>
            <filter val="2,159.99 TL"/>
            <filter val="2,200.00 TL"/>
            <filter val="2,250.00 TL"/>
            <filter val="2,300.00 TL"/>
            <filter val="2,325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295.00 TL"/>
            <filter val="3,000.00 TL"/>
            <filter val="3,150.00 TL"/>
            <filter val="3,500.00 TL"/>
            <filter val="3,600.00 TL"/>
            <filter val="3,780.0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650.00 TL"/>
            <filter val="4,800.00 TL"/>
            <filter val="4,950.00 TL"/>
            <filter val="42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00.00 TL"/>
            <filter val="604.00 TL"/>
            <filter val="630.00 TL"/>
            <filter val="640.00 TL"/>
            <filter val="65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83452753-A2E5-4895-AC39-2857EB4185A4}" filter="1" showAutoFilter="1">
      <pageMargins left="0.7" right="0.7" top="0.75" bottom="0.75" header="0.3" footer="0.3"/>
      <autoFilter ref="A9:Z177" xr:uid="{830156B4-1951-8B44-AB7F-AC79ED968FB4}">
        <filterColumn colId="19">
          <filters blank="1">
            <filter val="RE02024000000443"/>
            <filter val="RE02024000000444"/>
            <filter val="RE02024000000452"/>
            <filter val="RE02024000000453"/>
            <filter val="RE02024000000454"/>
          </filters>
        </filterColumn>
      </autoFilter>
    </customSheetView>
    <customSheetView guid="{139BD26D-4FE1-4361-9793-2F125181BAFF}" filter="1" showAutoFilter="1">
      <pageMargins left="0.7" right="0.7" top="0.75" bottom="0.75" header="0.3" footer="0.3"/>
      <autoFilter ref="A9:Z147" xr:uid="{45A87C66-251A-B44E-9382-AA5A8BE33CF6}">
        <filterColumn colId="15">
          <filters>
            <filter val="TRUE"/>
          </filters>
        </filterColumn>
        <filterColumn colId="19">
          <filters>
            <filter val="RE02024000000342"/>
            <filter val="RE02024000000343"/>
            <filter val="RE02024000000344"/>
            <filter val="RE02024000000345"/>
            <filter val="RE02024000000346"/>
            <filter val="RE02024000000347"/>
            <filter val="RE02024000000348"/>
            <filter val="RE02024000000349"/>
            <filter val="RE02024000000350"/>
            <filter val="RE02024000000351"/>
            <filter val="RE02024000000352"/>
            <filter val="RE02024000000353"/>
            <filter val="RE02024000000354"/>
            <filter val="RE02024000000355"/>
            <filter val="RE02024000000356"/>
            <filter val="RE02024000000357"/>
            <filter val="RE02024000000358"/>
            <filter val="RE02024000000359"/>
            <filter val="RE02024000000360"/>
            <filter val="RE02024000000361"/>
            <filter val="RE02024000000362"/>
            <filter val="RE02024000000363"/>
            <filter val="RE02024000000364"/>
            <filter val="RE02024000000365"/>
            <filter val="RE02024000000366"/>
            <filter val="RE02024000000367"/>
            <filter val="RE02024000000368"/>
            <filter val="RE02024000000369"/>
            <filter val="RE02024000000370"/>
            <filter val="RE02024000000371"/>
            <filter val="RE02024000000372"/>
            <filter val="RE02024000000373"/>
            <filter val="RE02024000000374"/>
            <filter val="RE02024000000374-RE02024000000421"/>
            <filter val="RE02024000000375"/>
            <filter val="RE02024000000376"/>
            <filter val="RE02024000000377"/>
            <filter val="RE02024000000378"/>
            <filter val="RE02024000000379"/>
            <filter val="RE02024000000380"/>
            <filter val="RE02024000000381"/>
            <filter val="RE02024000000389"/>
            <filter val="RE02024000000390"/>
            <filter val="RE02024000000399"/>
            <filter val="RE02024000000400"/>
            <filter val="RE02024000000403"/>
            <filter val="RE02024000000406"/>
            <filter val="RE02024000000407"/>
            <filter val="RE02024000000418"/>
            <filter val="RE02024000000428"/>
            <filter val="RE02024000000443"/>
            <filter val="RE02024000000454"/>
          </filters>
        </filterColumn>
      </autoFilter>
    </customSheetView>
    <customSheetView guid="{4FB5B25D-07EC-4AD4-89DF-44489CD85001}" filter="1" showAutoFilter="1">
      <pageMargins left="0.7" right="0.7" top="0.75" bottom="0.75" header="0.3" footer="0.3"/>
      <autoFilter ref="A9:Z128" xr:uid="{C35E0398-759F-A348-BE2A-81EE78571CDB}">
        <filterColumn colId="15">
          <filters>
            <filter val="TRUE"/>
          </filters>
        </filterColumn>
        <filterColumn colId="19">
          <filters>
            <filter val="RE02024000000323"/>
            <filter val="RE02024000000324"/>
            <filter val="RE02024000000325"/>
            <filter val="RE02024000000326"/>
            <filter val="RE02024000000327"/>
            <filter val="RE02024000000328"/>
            <filter val="RE02024000000329"/>
            <filter val="RE02024000000330"/>
            <filter val="RE02024000000331"/>
            <filter val="RE02024000000332"/>
            <filter val="RE02024000000333"/>
            <filter val="RE02024000000334"/>
            <filter val="RE02024000000335"/>
            <filter val="RE02024000000336"/>
            <filter val="RE02024000000337"/>
            <filter val="RE02024000000338"/>
            <filter val="RE02024000000339"/>
            <filter val="RE02024000000340"/>
            <filter val="RE02024000000341"/>
            <filter val="RE02024000000342"/>
            <filter val="RE02024000000343"/>
            <filter val="RE02024000000344"/>
            <filter val="RE02024000000345"/>
            <filter val="RE02024000000346"/>
            <filter val="RE02024000000347"/>
            <filter val="RE02024000000348"/>
            <filter val="RE02024000000349"/>
            <filter val="RE02024000000350"/>
            <filter val="RE02024000000351"/>
            <filter val="RE02024000000352"/>
            <filter val="RE02024000000353"/>
            <filter val="RE02024000000354"/>
            <filter val="RE02024000000355"/>
            <filter val="RE02024000000356"/>
            <filter val="RE02024000000357"/>
            <filter val="RE02024000000358"/>
            <filter val="RE02024000000359"/>
            <filter val="RE02024000000360"/>
            <filter val="RE02024000000361"/>
            <filter val="RE02024000000362"/>
            <filter val="RE02024000000363"/>
            <filter val="RE02024000000364"/>
            <filter val="RE02024000000365"/>
            <filter val="RE02024000000366"/>
            <filter val="RE02024000000367"/>
            <filter val="RE02024000000368"/>
            <filter val="RE02024000000369"/>
            <filter val="RE02024000000370"/>
            <filter val="RE02024000000371"/>
            <filter val="RE02024000000376"/>
            <filter val="RE02024000000377"/>
            <filter val="RE02024000000389"/>
            <filter val="RE02024000000390"/>
            <filter val="RE02024000000399"/>
            <filter val="RE02024000000403"/>
            <filter val="RE02024000000406"/>
            <filter val="RE02024000000428"/>
            <filter val="RE02024000000443"/>
          </filters>
        </filterColumn>
      </autoFilter>
    </customSheetView>
    <customSheetView guid="{E1D3DF5B-EEE5-4541-9EE8-3CF33782D022}" filter="1" showAutoFilter="1">
      <pageMargins left="0.7" right="0.7" top="0.75" bottom="0.75" header="0.3" footer="0.3"/>
      <autoFilter ref="A9:Z164" xr:uid="{A4C488AF-2371-F54D-A788-889630CA6D3F}">
        <filterColumn colId="20">
          <filters blank="1">
            <filter val="1,000.00 TL"/>
            <filter val="1,050.00 TL"/>
            <filter val="1,120.00 TL"/>
            <filter val="1,125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0.00 TL"/>
            <filter val="1,855.38 TL"/>
            <filter val="1,890.00 TL"/>
            <filter val="1,925.00 TL"/>
            <filter val="1,950.00 TL"/>
            <filter val="150.00 TL"/>
            <filter val="175.00 TL"/>
            <filter val="2,000.00 TL"/>
            <filter val="2,159.99 TL"/>
            <filter val="2,200.00 TL"/>
            <filter val="2,250.00 TL"/>
            <filter val="2,300.00 TL"/>
            <filter val="2,325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295.00 TL"/>
            <filter val="3,000.00 TL"/>
            <filter val="3,150.00 TL"/>
            <filter val="3,500.00 TL"/>
            <filter val="3,600.00 TL"/>
            <filter val="3,780.00 TL"/>
            <filter val="3,832.8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650.00 TL"/>
            <filter val="4,800.00 TL"/>
            <filter val="4,950.00 TL"/>
            <filter val="42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,800.00 TL"/>
            <filter val="600.00 TL"/>
            <filter val="604.00 TL"/>
            <filter val="630.00 TL"/>
            <filter val="640.00 TL"/>
            <filter val="65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  <customSheetView guid="{27F7A4B9-CEF3-48FF-B387-0C81D33048BC}" filter="1" showAutoFilter="1">
      <pageMargins left="0.7" right="0.7" top="0.75" bottom="0.75" header="0.3" footer="0.3"/>
      <autoFilter ref="A9:Z164" xr:uid="{916507C4-85F3-F349-98C6-369139CF5FB2}">
        <filterColumn colId="20">
          <filters blank="1">
            <filter val="1,000.00 TL"/>
            <filter val="1,050.00 TL"/>
            <filter val="1,120.00 TL"/>
            <filter val="1,125.00 TL"/>
            <filter val="1,140.00 TL"/>
            <filter val="1,164.00 TL"/>
            <filter val="1,184.00 TL"/>
            <filter val="1,200.00 TL"/>
            <filter val="1,230.00 TL"/>
            <filter val="1,350.00 TL"/>
            <filter val="1,380.00 TL"/>
            <filter val="1,400.00 TL"/>
            <filter val="1,425.00 TL"/>
            <filter val="1,440.00 TL"/>
            <filter val="1,500.00 TL"/>
            <filter val="1,554.00 TL"/>
            <filter val="1,710.00 TL"/>
            <filter val="1,750.00 TL"/>
            <filter val="1,800.00 TL"/>
            <filter val="1,806.00 TL"/>
            <filter val="1,840.00 TL"/>
            <filter val="1,850.00 TL"/>
            <filter val="1,855.38 TL"/>
            <filter val="1,890.00 TL"/>
            <filter val="1,925.00 TL"/>
            <filter val="1,950.00 TL"/>
            <filter val="150.00 TL"/>
            <filter val="175.00 TL"/>
            <filter val="2,000.00 TL"/>
            <filter val="2,159.99 TL"/>
            <filter val="2,200.00 TL"/>
            <filter val="2,250.00 TL"/>
            <filter val="2,300.00 TL"/>
            <filter val="2,325.00 TL"/>
            <filter val="2,400.00 TL"/>
            <filter val="2,460.00 TL"/>
            <filter val="2,600.00 TL"/>
            <filter val="2,700.00 TL"/>
            <filter val="2,800.00 TL"/>
            <filter val="2,874.60 TL"/>
            <filter val="2,880.00 TL"/>
            <filter val="2,898.00 TL"/>
            <filter val="250.00 TL"/>
            <filter val="295.00 TL"/>
            <filter val="3,000.00 TL"/>
            <filter val="3,150.00 TL"/>
            <filter val="3,500.00 TL"/>
            <filter val="3,600.00 TL"/>
            <filter val="3,780.00 TL"/>
            <filter val="3,832.80 TL"/>
            <filter val="300.00 TL"/>
            <filter val="302.00 TL"/>
            <filter val="320.00 TL"/>
            <filter val="33.33 TL"/>
            <filter val="350.00 TL"/>
            <filter val="4,300.00 TL"/>
            <filter val="4,600.00 TL"/>
            <filter val="4,650.00 TL"/>
            <filter val="4,800.00 TL"/>
            <filter val="4,950.00 TL"/>
            <filter val="42.00 TL"/>
            <filter val="425.00 TL"/>
            <filter val="450.00 TL"/>
            <filter val="460.00 TL"/>
            <filter val="5,400.00 TL"/>
            <filter val="5,500.00 TL"/>
            <filter val="500.00 TL"/>
            <filter val="560.00 TL"/>
            <filter val="582.00 TL"/>
            <filter val="6,000.00 TL"/>
            <filter val="6,800.00 TL"/>
            <filter val="600.00 TL"/>
            <filter val="604.00 TL"/>
            <filter val="630.00 TL"/>
            <filter val="640.00 TL"/>
            <filter val="650.00 TL"/>
            <filter val="700.00 TL"/>
            <filter val="75.00 TL"/>
            <filter val="750.00 TL"/>
            <filter val="815.00 TL"/>
            <filter val="9,100.00 TL"/>
            <filter val="900.00 TL"/>
            <filter val="920.00 TL"/>
            <filter val="958.20 TL"/>
            <filter val="975.00 TL"/>
          </filters>
        </filterColumn>
      </autoFilter>
    </customSheetView>
  </customSheetViews>
  <mergeCells count="7">
    <mergeCell ref="U8:V8"/>
    <mergeCell ref="W8:X8"/>
    <mergeCell ref="A1:T1"/>
    <mergeCell ref="L8:M8"/>
    <mergeCell ref="N8:O8"/>
    <mergeCell ref="P8:Q8"/>
    <mergeCell ref="S8:T8"/>
  </mergeCells>
  <conditionalFormatting sqref="E2 E7:E8 B8:D8 F8 H8:I8 K8:W8">
    <cfRule type="notContainsBlanks" dxfId="20" priority="1">
      <formula>LEN(TRIM(E2))&gt;0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81"/>
  <sheetViews>
    <sheetView topLeftCell="A29" workbookViewId="0">
      <selection activeCell="C52" sqref="C52"/>
    </sheetView>
  </sheetViews>
  <sheetFormatPr baseColWidth="10" defaultColWidth="14.5" defaultRowHeight="15" customHeight="1"/>
  <cols>
    <col min="1" max="1" width="4.5" customWidth="1"/>
    <col min="2" max="2" width="11.83203125" hidden="1" customWidth="1"/>
    <col min="3" max="3" width="16" customWidth="1"/>
    <col min="4" max="4" width="16.5" customWidth="1"/>
    <col min="5" max="6" width="19.5" customWidth="1"/>
    <col min="7" max="7" width="75.6640625" customWidth="1"/>
    <col min="8" max="8" width="10.83203125" customWidth="1"/>
    <col min="9" max="9" width="7.5" customWidth="1"/>
    <col min="10" max="10" width="12.1640625" customWidth="1"/>
    <col min="11" max="11" width="11.5" customWidth="1"/>
    <col min="12" max="12" width="7" customWidth="1"/>
    <col min="13" max="13" width="12.5" customWidth="1"/>
    <col min="14" max="14" width="5.33203125" customWidth="1"/>
    <col min="15" max="15" width="4.6640625" customWidth="1"/>
    <col min="16" max="16" width="5.5" customWidth="1"/>
    <col min="17" max="17" width="22.33203125" customWidth="1"/>
    <col min="18" max="18" width="17.83203125" customWidth="1"/>
    <col min="19" max="19" width="5" customWidth="1"/>
    <col min="20" max="20" width="38.6640625" customWidth="1"/>
  </cols>
  <sheetData>
    <row r="1" spans="1:24" ht="75.75" customHeight="1">
      <c r="A1" s="534" t="s">
        <v>642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28"/>
      <c r="U1" s="1"/>
    </row>
    <row r="2" spans="1:24" ht="16">
      <c r="A2" s="1"/>
      <c r="B2" s="3"/>
      <c r="C2" s="93" t="s">
        <v>1</v>
      </c>
      <c r="D2" s="14">
        <v>550000</v>
      </c>
      <c r="E2" s="6">
        <f>D3/D2</f>
        <v>0.81316727272727274</v>
      </c>
      <c r="F2" s="148">
        <v>45444</v>
      </c>
      <c r="G2" s="7">
        <v>45322</v>
      </c>
      <c r="H2" s="1"/>
      <c r="I2" s="1"/>
      <c r="J2" s="8"/>
      <c r="K2" s="8"/>
      <c r="L2" s="1"/>
      <c r="M2" s="1"/>
      <c r="N2" s="9"/>
      <c r="O2" s="10"/>
      <c r="P2" s="1"/>
      <c r="Q2" s="126"/>
      <c r="R2" s="1"/>
      <c r="S2" s="1"/>
      <c r="T2" s="1"/>
      <c r="U2" s="1"/>
    </row>
    <row r="3" spans="1:24" ht="16">
      <c r="A3" s="1"/>
      <c r="B3" s="11"/>
      <c r="C3" s="94" t="s">
        <v>2</v>
      </c>
      <c r="D3" s="14">
        <f>SUM(K10:K136)</f>
        <v>447242</v>
      </c>
      <c r="E3" s="14" t="s">
        <v>3</v>
      </c>
      <c r="F3" s="14" t="s">
        <v>3</v>
      </c>
      <c r="G3" s="14" t="s">
        <v>3</v>
      </c>
      <c r="H3" s="1"/>
      <c r="I3" s="1"/>
      <c r="J3" s="8"/>
      <c r="K3" s="8"/>
      <c r="L3" s="1"/>
      <c r="M3" s="1"/>
      <c r="N3" s="9"/>
      <c r="O3" s="10"/>
      <c r="P3" s="1"/>
      <c r="Q3" s="126"/>
      <c r="R3" s="1"/>
      <c r="S3" s="1"/>
      <c r="T3" s="1"/>
      <c r="U3" s="1"/>
    </row>
    <row r="4" spans="1:24" ht="16">
      <c r="A4" s="1"/>
      <c r="B4" s="1"/>
      <c r="C4" s="95" t="s">
        <v>4</v>
      </c>
      <c r="D4" s="17">
        <f ca="1">(D5-TODAY())</f>
        <v>-583</v>
      </c>
      <c r="E4" s="17" t="s">
        <v>5</v>
      </c>
      <c r="F4" s="1"/>
      <c r="G4" s="18"/>
      <c r="H4" s="1"/>
      <c r="I4" s="1"/>
      <c r="J4" s="8"/>
      <c r="K4" s="8"/>
      <c r="L4" s="1"/>
      <c r="M4" s="1"/>
      <c r="N4" s="9"/>
      <c r="O4" s="10"/>
      <c r="P4" s="1"/>
      <c r="Q4" s="126"/>
      <c r="R4" s="1"/>
      <c r="S4" s="1"/>
      <c r="T4" s="1"/>
      <c r="U4" s="1"/>
    </row>
    <row r="5" spans="1:24" ht="16">
      <c r="A5" s="1"/>
      <c r="B5" s="1"/>
      <c r="C5" s="96" t="s">
        <v>6</v>
      </c>
      <c r="D5" s="97">
        <v>45443</v>
      </c>
      <c r="E5" s="21"/>
      <c r="F5" s="1"/>
      <c r="G5" s="18"/>
      <c r="H5" s="1"/>
      <c r="I5" s="1"/>
      <c r="J5" s="8"/>
      <c r="K5" s="8"/>
      <c r="L5" s="1"/>
      <c r="M5" s="1"/>
      <c r="N5" s="9"/>
      <c r="O5" s="10"/>
      <c r="P5" s="1"/>
      <c r="Q5" s="126"/>
      <c r="R5" s="1"/>
      <c r="S5" s="1"/>
      <c r="T5" s="1"/>
      <c r="U5" s="1"/>
    </row>
    <row r="6" spans="1:24" ht="22">
      <c r="A6" s="1"/>
      <c r="B6" s="22" t="s">
        <v>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  <c r="P6" s="23"/>
      <c r="Q6" s="127"/>
      <c r="R6" s="26"/>
      <c r="S6" s="26"/>
      <c r="T6" s="27"/>
      <c r="U6" s="1"/>
    </row>
    <row r="7" spans="1:24" ht="16">
      <c r="A7" s="1"/>
      <c r="B7" s="28"/>
      <c r="C7" s="29" t="s">
        <v>8</v>
      </c>
      <c r="D7" s="30">
        <v>6130636884</v>
      </c>
      <c r="E7" s="31"/>
      <c r="F7" s="1"/>
      <c r="G7" s="18"/>
      <c r="H7" s="1"/>
      <c r="I7" s="1"/>
      <c r="J7" s="8"/>
      <c r="K7" s="8"/>
      <c r="L7" s="1"/>
      <c r="M7" s="1"/>
      <c r="N7" s="9"/>
      <c r="O7" s="10"/>
      <c r="P7" s="1"/>
      <c r="Q7" s="126"/>
      <c r="R7" s="1"/>
      <c r="S7" s="1"/>
      <c r="T7" s="1"/>
      <c r="U7" s="1"/>
    </row>
    <row r="8" spans="1:24" ht="25.5" customHeight="1">
      <c r="A8" s="1"/>
      <c r="B8" s="32"/>
      <c r="C8" s="31"/>
      <c r="D8" s="33"/>
      <c r="E8" s="31" t="s">
        <v>9</v>
      </c>
      <c r="F8" s="31"/>
      <c r="G8" s="18"/>
      <c r="H8" s="31"/>
      <c r="I8" s="31"/>
      <c r="J8" s="34"/>
      <c r="K8" s="31"/>
      <c r="L8" s="531" t="s">
        <v>10</v>
      </c>
      <c r="M8" s="528"/>
      <c r="N8" s="532" t="s">
        <v>11</v>
      </c>
      <c r="O8" s="528"/>
      <c r="P8" s="533" t="s">
        <v>12</v>
      </c>
      <c r="Q8" s="528"/>
      <c r="R8" s="35" t="s">
        <v>13</v>
      </c>
      <c r="S8" s="527" t="s">
        <v>14</v>
      </c>
      <c r="T8" s="528"/>
      <c r="U8" s="527" t="s">
        <v>15</v>
      </c>
      <c r="V8" s="528"/>
      <c r="W8" s="527" t="s">
        <v>16</v>
      </c>
      <c r="X8" s="528"/>
    </row>
    <row r="9" spans="1:24" ht="15.75" customHeight="1">
      <c r="A9" s="98"/>
      <c r="B9" s="99"/>
      <c r="C9" s="38" t="s">
        <v>18</v>
      </c>
      <c r="D9" s="38" t="s">
        <v>19</v>
      </c>
      <c r="E9" s="38" t="s">
        <v>20</v>
      </c>
      <c r="F9" s="38" t="s">
        <v>21</v>
      </c>
      <c r="G9" s="38" t="s">
        <v>2018</v>
      </c>
      <c r="H9" s="38" t="s">
        <v>22</v>
      </c>
      <c r="I9" s="38"/>
      <c r="J9" s="40"/>
      <c r="K9" s="41" t="s">
        <v>23</v>
      </c>
      <c r="L9" s="42"/>
      <c r="M9" s="43"/>
      <c r="N9" s="43"/>
      <c r="O9" s="44"/>
      <c r="P9" s="45"/>
      <c r="Q9" s="128"/>
      <c r="R9" s="46"/>
      <c r="S9" s="47"/>
      <c r="T9" s="48"/>
      <c r="U9" s="100" t="s">
        <v>24</v>
      </c>
      <c r="V9" s="100" t="s">
        <v>25</v>
      </c>
      <c r="W9" s="49"/>
      <c r="X9" s="49"/>
    </row>
    <row r="10" spans="1:24" ht="15.75" customHeight="1">
      <c r="A10" s="1"/>
      <c r="B10" s="32"/>
      <c r="C10" s="82">
        <v>45444</v>
      </c>
      <c r="D10" s="53" t="s">
        <v>51</v>
      </c>
      <c r="E10" s="53" t="s">
        <v>61</v>
      </c>
      <c r="F10" s="53" t="s">
        <v>476</v>
      </c>
      <c r="G10" s="53" t="s">
        <v>1398</v>
      </c>
      <c r="H10" s="53" t="s">
        <v>30</v>
      </c>
      <c r="I10" s="53">
        <v>1</v>
      </c>
      <c r="J10" s="54">
        <v>2000</v>
      </c>
      <c r="K10" s="54">
        <f t="shared" ref="K10:K32" si="0">I10*J10</f>
        <v>2000</v>
      </c>
      <c r="L10" s="55" t="b">
        <v>1</v>
      </c>
      <c r="M10" s="56">
        <v>1062024</v>
      </c>
      <c r="N10" s="57" t="b">
        <v>1</v>
      </c>
      <c r="O10" s="58"/>
      <c r="P10" s="59" t="b">
        <v>1</v>
      </c>
      <c r="Q10" s="129"/>
      <c r="R10" s="60" t="s">
        <v>1399</v>
      </c>
      <c r="S10" s="47" t="b">
        <v>1</v>
      </c>
      <c r="T10" s="61" t="s">
        <v>1400</v>
      </c>
      <c r="U10" s="54"/>
      <c r="V10" s="54"/>
      <c r="W10" s="49"/>
      <c r="X10" s="49"/>
    </row>
    <row r="11" spans="1:24" ht="15.75" customHeight="1">
      <c r="A11" s="1"/>
      <c r="B11" s="32"/>
      <c r="C11" s="82">
        <v>45444</v>
      </c>
      <c r="D11" s="53" t="s">
        <v>26</v>
      </c>
      <c r="E11" s="53" t="s">
        <v>386</v>
      </c>
      <c r="F11" s="53" t="s">
        <v>502</v>
      </c>
      <c r="G11" s="53" t="s">
        <v>1401</v>
      </c>
      <c r="H11" s="53" t="s">
        <v>30</v>
      </c>
      <c r="I11" s="53">
        <v>1</v>
      </c>
      <c r="J11" s="54">
        <v>3500</v>
      </c>
      <c r="K11" s="54">
        <f t="shared" si="0"/>
        <v>3500</v>
      </c>
      <c r="L11" s="55" t="b">
        <v>1</v>
      </c>
      <c r="M11" s="56">
        <v>20620241951</v>
      </c>
      <c r="N11" s="57" t="b">
        <v>1</v>
      </c>
      <c r="O11" s="58"/>
      <c r="P11" s="59" t="b">
        <v>1</v>
      </c>
      <c r="Q11" s="129"/>
      <c r="R11" s="60"/>
      <c r="S11" s="47" t="b">
        <v>1</v>
      </c>
      <c r="T11" s="61" t="s">
        <v>1402</v>
      </c>
      <c r="U11" s="54">
        <v>2500</v>
      </c>
      <c r="V11" s="54">
        <f t="shared" ref="V11:V103" si="1">K11-U11</f>
        <v>1000</v>
      </c>
      <c r="W11" s="49"/>
      <c r="X11" s="49"/>
    </row>
    <row r="12" spans="1:24" ht="15.75" customHeight="1">
      <c r="A12" s="1"/>
      <c r="B12" s="32"/>
      <c r="C12" s="52">
        <v>45444</v>
      </c>
      <c r="D12" s="53" t="s">
        <v>51</v>
      </c>
      <c r="E12" s="53" t="s">
        <v>201</v>
      </c>
      <c r="F12" s="53" t="s">
        <v>202</v>
      </c>
      <c r="G12" s="53" t="s">
        <v>512</v>
      </c>
      <c r="H12" s="53" t="s">
        <v>30</v>
      </c>
      <c r="I12" s="53">
        <v>15</v>
      </c>
      <c r="J12" s="54">
        <v>525</v>
      </c>
      <c r="K12" s="54">
        <f t="shared" si="0"/>
        <v>7875</v>
      </c>
      <c r="L12" s="55" t="b">
        <v>1</v>
      </c>
      <c r="M12" s="56">
        <v>20620241953</v>
      </c>
      <c r="N12" s="57" t="b">
        <v>1</v>
      </c>
      <c r="O12" s="58" t="s">
        <v>1403</v>
      </c>
      <c r="P12" s="59" t="b">
        <v>1</v>
      </c>
      <c r="Q12" s="129"/>
      <c r="R12" s="60"/>
      <c r="S12" s="47" t="b">
        <v>1</v>
      </c>
      <c r="T12" s="61" t="s">
        <v>1404</v>
      </c>
      <c r="U12" s="54">
        <f>15*350</f>
        <v>5250</v>
      </c>
      <c r="V12" s="54">
        <f t="shared" si="1"/>
        <v>2625</v>
      </c>
      <c r="W12" s="49"/>
      <c r="X12" s="49"/>
    </row>
    <row r="13" spans="1:24" ht="15.75" customHeight="1">
      <c r="A13" s="1"/>
      <c r="B13" s="32"/>
      <c r="C13" s="52">
        <v>45444</v>
      </c>
      <c r="D13" s="53" t="s">
        <v>51</v>
      </c>
      <c r="E13" s="53" t="s">
        <v>201</v>
      </c>
      <c r="F13" s="53" t="s">
        <v>202</v>
      </c>
      <c r="G13" s="53" t="s">
        <v>236</v>
      </c>
      <c r="H13" s="53" t="s">
        <v>30</v>
      </c>
      <c r="I13" s="53">
        <v>24</v>
      </c>
      <c r="J13" s="54">
        <v>140</v>
      </c>
      <c r="K13" s="54">
        <f t="shared" si="0"/>
        <v>3360</v>
      </c>
      <c r="L13" s="55" t="b">
        <v>1</v>
      </c>
      <c r="M13" s="56">
        <v>20620241953</v>
      </c>
      <c r="N13" s="57" t="b">
        <v>1</v>
      </c>
      <c r="O13" s="58" t="s">
        <v>1403</v>
      </c>
      <c r="P13" s="59" t="b">
        <v>1</v>
      </c>
      <c r="Q13" s="129"/>
      <c r="R13" s="60"/>
      <c r="S13" s="47" t="b">
        <v>1</v>
      </c>
      <c r="T13" s="61" t="s">
        <v>1404</v>
      </c>
      <c r="U13" s="54">
        <f>24*105</f>
        <v>2520</v>
      </c>
      <c r="V13" s="54">
        <f t="shared" si="1"/>
        <v>840</v>
      </c>
      <c r="W13" s="49"/>
      <c r="X13" s="49"/>
    </row>
    <row r="14" spans="1:24" ht="15.75" customHeight="1">
      <c r="A14" s="1"/>
      <c r="B14" s="32"/>
      <c r="C14" s="82">
        <v>45445</v>
      </c>
      <c r="D14" s="53" t="s">
        <v>51</v>
      </c>
      <c r="E14" s="53" t="s">
        <v>475</v>
      </c>
      <c r="F14" s="53" t="s">
        <v>168</v>
      </c>
      <c r="G14" s="74" t="s">
        <v>1191</v>
      </c>
      <c r="H14" s="74" t="s">
        <v>30</v>
      </c>
      <c r="I14" s="74">
        <v>20</v>
      </c>
      <c r="J14" s="73">
        <v>150</v>
      </c>
      <c r="K14" s="54">
        <f t="shared" si="0"/>
        <v>3000</v>
      </c>
      <c r="L14" s="55" t="b">
        <v>1</v>
      </c>
      <c r="M14" s="56">
        <v>20620241954</v>
      </c>
      <c r="N14" s="57" t="b">
        <v>1</v>
      </c>
      <c r="O14" s="58"/>
      <c r="P14" s="59" t="b">
        <v>1</v>
      </c>
      <c r="Q14" s="129"/>
      <c r="R14" s="60"/>
      <c r="S14" s="47" t="b">
        <v>1</v>
      </c>
      <c r="T14" s="61" t="s">
        <v>1405</v>
      </c>
      <c r="U14" s="54">
        <f>20*60</f>
        <v>1200</v>
      </c>
      <c r="V14" s="54">
        <f t="shared" si="1"/>
        <v>1800</v>
      </c>
      <c r="W14" s="49"/>
      <c r="X14" s="49"/>
    </row>
    <row r="15" spans="1:24" ht="15.75" customHeight="1">
      <c r="A15" s="1"/>
      <c r="B15" s="32"/>
      <c r="C15" s="82">
        <v>45445</v>
      </c>
      <c r="D15" s="66" t="s">
        <v>463</v>
      </c>
      <c r="E15" s="67" t="s">
        <v>463</v>
      </c>
      <c r="F15" s="67" t="s">
        <v>1406</v>
      </c>
      <c r="G15" s="67" t="s">
        <v>1407</v>
      </c>
      <c r="H15" s="67" t="s">
        <v>30</v>
      </c>
      <c r="I15" s="67">
        <v>6</v>
      </c>
      <c r="J15" s="68">
        <v>7000</v>
      </c>
      <c r="K15" s="54">
        <f t="shared" si="0"/>
        <v>42000</v>
      </c>
      <c r="L15" s="55" t="b">
        <v>1</v>
      </c>
      <c r="M15" s="56">
        <v>20620241956</v>
      </c>
      <c r="N15" s="57" t="b">
        <v>1</v>
      </c>
      <c r="O15" s="58"/>
      <c r="P15" s="59" t="b">
        <v>1</v>
      </c>
      <c r="Q15" s="130" t="s">
        <v>1408</v>
      </c>
      <c r="R15" s="60"/>
      <c r="S15" s="47" t="b">
        <v>1</v>
      </c>
      <c r="T15" s="61" t="s">
        <v>1409</v>
      </c>
      <c r="U15" s="54">
        <f>6*2500</f>
        <v>15000</v>
      </c>
      <c r="V15" s="54">
        <f t="shared" si="1"/>
        <v>27000</v>
      </c>
      <c r="W15" s="49"/>
      <c r="X15" s="49"/>
    </row>
    <row r="16" spans="1:24" ht="15.75" customHeight="1">
      <c r="A16" s="1"/>
      <c r="B16" s="32"/>
      <c r="C16" s="82">
        <v>45446</v>
      </c>
      <c r="D16" s="66" t="s">
        <v>93</v>
      </c>
      <c r="E16" s="67" t="s">
        <v>137</v>
      </c>
      <c r="F16" s="67" t="s">
        <v>1410</v>
      </c>
      <c r="G16" s="67" t="s">
        <v>49</v>
      </c>
      <c r="H16" s="69" t="s">
        <v>30</v>
      </c>
      <c r="I16" s="69">
        <v>2</v>
      </c>
      <c r="J16" s="70">
        <v>695</v>
      </c>
      <c r="K16" s="54">
        <f t="shared" si="0"/>
        <v>1390</v>
      </c>
      <c r="L16" s="55" t="b">
        <v>1</v>
      </c>
      <c r="M16" s="56">
        <v>30620241111</v>
      </c>
      <c r="N16" s="57" t="b">
        <v>1</v>
      </c>
      <c r="O16" s="58" t="s">
        <v>39</v>
      </c>
      <c r="P16" s="59" t="b">
        <v>1</v>
      </c>
      <c r="Q16" s="129"/>
      <c r="R16" s="60"/>
      <c r="S16" s="47" t="b">
        <v>1</v>
      </c>
      <c r="T16" s="61" t="s">
        <v>1411</v>
      </c>
      <c r="U16" s="54">
        <f>2000*0.46</f>
        <v>920</v>
      </c>
      <c r="V16" s="54">
        <f t="shared" si="1"/>
        <v>470</v>
      </c>
      <c r="W16" s="49"/>
      <c r="X16" s="49"/>
    </row>
    <row r="17" spans="1:24" ht="15.75" customHeight="1">
      <c r="A17" s="1"/>
      <c r="B17" s="32"/>
      <c r="C17" s="82">
        <v>45446</v>
      </c>
      <c r="D17" s="66" t="s">
        <v>51</v>
      </c>
      <c r="E17" s="67" t="s">
        <v>89</v>
      </c>
      <c r="F17" s="67" t="s">
        <v>90</v>
      </c>
      <c r="G17" s="67" t="s">
        <v>1412</v>
      </c>
      <c r="H17" s="69" t="s">
        <v>30</v>
      </c>
      <c r="I17" s="69">
        <v>1</v>
      </c>
      <c r="J17" s="70">
        <v>1250</v>
      </c>
      <c r="K17" s="54">
        <f t="shared" si="0"/>
        <v>1250</v>
      </c>
      <c r="L17" s="55" t="b">
        <v>1</v>
      </c>
      <c r="M17" s="56">
        <v>30620241113</v>
      </c>
      <c r="N17" s="57" t="b">
        <v>1</v>
      </c>
      <c r="O17" s="58"/>
      <c r="P17" s="59" t="b">
        <v>1</v>
      </c>
      <c r="Q17" s="129"/>
      <c r="R17" s="60"/>
      <c r="S17" s="47" t="b">
        <v>1</v>
      </c>
      <c r="T17" s="61" t="s">
        <v>1413</v>
      </c>
      <c r="U17" s="54"/>
      <c r="V17" s="54">
        <f t="shared" si="1"/>
        <v>1250</v>
      </c>
      <c r="W17" s="49"/>
      <c r="X17" s="49"/>
    </row>
    <row r="18" spans="1:24" ht="15.75" customHeight="1">
      <c r="A18" s="1"/>
      <c r="B18" s="32"/>
      <c r="C18" s="82">
        <v>45446</v>
      </c>
      <c r="D18" s="53" t="s">
        <v>438</v>
      </c>
      <c r="E18" s="53" t="s">
        <v>439</v>
      </c>
      <c r="F18" s="53" t="s">
        <v>440</v>
      </c>
      <c r="G18" s="53" t="s">
        <v>1414</v>
      </c>
      <c r="H18" s="53" t="s">
        <v>30</v>
      </c>
      <c r="I18" s="53">
        <v>30</v>
      </c>
      <c r="J18" s="54">
        <v>75</v>
      </c>
      <c r="K18" s="54">
        <f t="shared" si="0"/>
        <v>2250</v>
      </c>
      <c r="L18" s="55" t="b">
        <v>1</v>
      </c>
      <c r="M18" s="56">
        <v>30620241556</v>
      </c>
      <c r="N18" s="57" t="b">
        <v>1</v>
      </c>
      <c r="O18" s="58"/>
      <c r="P18" s="59" t="b">
        <v>1</v>
      </c>
      <c r="Q18" s="129"/>
      <c r="R18" s="60"/>
      <c r="S18" s="47" t="b">
        <v>1</v>
      </c>
      <c r="T18" s="61" t="s">
        <v>1415</v>
      </c>
      <c r="U18" s="54">
        <f>30*45</f>
        <v>1350</v>
      </c>
      <c r="V18" s="54">
        <f t="shared" si="1"/>
        <v>900</v>
      </c>
      <c r="W18" s="49"/>
      <c r="X18" s="49"/>
    </row>
    <row r="19" spans="1:24" ht="15.75" customHeight="1">
      <c r="A19" s="1"/>
      <c r="B19" s="32"/>
      <c r="C19" s="82">
        <v>45446</v>
      </c>
      <c r="D19" s="53" t="s">
        <v>104</v>
      </c>
      <c r="E19" s="53" t="s">
        <v>292</v>
      </c>
      <c r="F19" s="53" t="s">
        <v>919</v>
      </c>
      <c r="G19" s="53" t="s">
        <v>304</v>
      </c>
      <c r="H19" s="53" t="s">
        <v>30</v>
      </c>
      <c r="I19" s="53">
        <v>48</v>
      </c>
      <c r="J19" s="54">
        <v>52</v>
      </c>
      <c r="K19" s="54">
        <f t="shared" si="0"/>
        <v>2496</v>
      </c>
      <c r="L19" s="55" t="b">
        <v>1</v>
      </c>
      <c r="M19" s="56">
        <v>30620241558</v>
      </c>
      <c r="N19" s="57" t="b">
        <v>1</v>
      </c>
      <c r="O19" s="58" t="s">
        <v>39</v>
      </c>
      <c r="P19" s="59" t="b">
        <v>1</v>
      </c>
      <c r="Q19" s="129"/>
      <c r="R19" s="60"/>
      <c r="S19" s="47" t="b">
        <v>1</v>
      </c>
      <c r="T19" s="61" t="s">
        <v>1416</v>
      </c>
      <c r="U19" s="54">
        <f>48*34</f>
        <v>1632</v>
      </c>
      <c r="V19" s="54">
        <f t="shared" si="1"/>
        <v>864</v>
      </c>
      <c r="W19" s="49"/>
      <c r="X19" s="49"/>
    </row>
    <row r="20" spans="1:24" ht="15.75" customHeight="1">
      <c r="A20" s="1"/>
      <c r="B20" s="32"/>
      <c r="C20" s="82">
        <v>45446</v>
      </c>
      <c r="D20" s="53" t="s">
        <v>26</v>
      </c>
      <c r="E20" s="53" t="s">
        <v>36</v>
      </c>
      <c r="F20" s="53" t="s">
        <v>715</v>
      </c>
      <c r="G20" s="53" t="s">
        <v>1417</v>
      </c>
      <c r="H20" s="53" t="s">
        <v>30</v>
      </c>
      <c r="I20" s="53">
        <v>1</v>
      </c>
      <c r="J20" s="54">
        <v>675</v>
      </c>
      <c r="K20" s="54">
        <f t="shared" si="0"/>
        <v>675</v>
      </c>
      <c r="L20" s="55" t="b">
        <v>1</v>
      </c>
      <c r="M20" s="56">
        <v>30620241601</v>
      </c>
      <c r="N20" s="57" t="b">
        <v>1</v>
      </c>
      <c r="O20" s="58" t="s">
        <v>39</v>
      </c>
      <c r="P20" s="59" t="b">
        <v>1</v>
      </c>
      <c r="Q20" s="129"/>
      <c r="R20" s="60"/>
      <c r="S20" s="47" t="b">
        <v>1</v>
      </c>
      <c r="T20" s="61" t="s">
        <v>1418</v>
      </c>
      <c r="U20" s="54">
        <v>302</v>
      </c>
      <c r="V20" s="54">
        <f t="shared" si="1"/>
        <v>373</v>
      </c>
      <c r="W20" s="49"/>
      <c r="X20" s="49"/>
    </row>
    <row r="21" spans="1:24" ht="15.75" customHeight="1">
      <c r="A21" s="1"/>
      <c r="B21" s="32"/>
      <c r="C21" s="82">
        <v>45446</v>
      </c>
      <c r="D21" s="53" t="s">
        <v>171</v>
      </c>
      <c r="E21" s="53" t="s">
        <v>137</v>
      </c>
      <c r="F21" s="53" t="s">
        <v>172</v>
      </c>
      <c r="G21" s="53" t="s">
        <v>1419</v>
      </c>
      <c r="H21" s="53" t="s">
        <v>30</v>
      </c>
      <c r="I21" s="53">
        <v>1</v>
      </c>
      <c r="J21" s="54">
        <v>21000</v>
      </c>
      <c r="K21" s="54">
        <f t="shared" si="0"/>
        <v>21000</v>
      </c>
      <c r="L21" s="55" t="b">
        <v>1</v>
      </c>
      <c r="M21" s="56">
        <v>30620241636</v>
      </c>
      <c r="N21" s="57" t="b">
        <v>1</v>
      </c>
      <c r="O21" s="58" t="s">
        <v>351</v>
      </c>
      <c r="P21" s="59" t="b">
        <v>1</v>
      </c>
      <c r="Q21" s="130" t="s">
        <v>1420</v>
      </c>
      <c r="R21" s="60"/>
      <c r="S21" s="47" t="b">
        <v>1</v>
      </c>
      <c r="T21" s="61" t="s">
        <v>1421</v>
      </c>
      <c r="U21" s="54">
        <v>10000</v>
      </c>
      <c r="V21" s="54">
        <f t="shared" si="1"/>
        <v>11000</v>
      </c>
      <c r="W21" s="49"/>
      <c r="X21" s="49"/>
    </row>
    <row r="22" spans="1:24" ht="15.75" customHeight="1">
      <c r="A22" s="1"/>
      <c r="B22" s="32"/>
      <c r="C22" s="82">
        <v>45446</v>
      </c>
      <c r="D22" s="53" t="s">
        <v>51</v>
      </c>
      <c r="E22" s="53" t="s">
        <v>66</v>
      </c>
      <c r="F22" s="53" t="s">
        <v>1422</v>
      </c>
      <c r="G22" s="53" t="s">
        <v>1423</v>
      </c>
      <c r="H22" s="53" t="s">
        <v>30</v>
      </c>
      <c r="I22" s="53">
        <v>1</v>
      </c>
      <c r="J22" s="54">
        <v>1800</v>
      </c>
      <c r="K22" s="54">
        <f t="shared" si="0"/>
        <v>1800</v>
      </c>
      <c r="L22" s="55" t="b">
        <v>1</v>
      </c>
      <c r="M22" s="56">
        <v>30620241729</v>
      </c>
      <c r="N22" s="57" t="b">
        <v>1</v>
      </c>
      <c r="O22" s="58" t="s">
        <v>351</v>
      </c>
      <c r="P22" s="59" t="b">
        <v>1</v>
      </c>
      <c r="Q22" s="129"/>
      <c r="R22" s="60"/>
      <c r="S22" s="47" t="b">
        <v>1</v>
      </c>
      <c r="T22" s="61" t="s">
        <v>1424</v>
      </c>
      <c r="U22" s="54"/>
      <c r="V22" s="54">
        <f t="shared" si="1"/>
        <v>1800</v>
      </c>
      <c r="W22" s="49"/>
      <c r="X22" s="49"/>
    </row>
    <row r="23" spans="1:24" ht="13.5" customHeight="1">
      <c r="A23" s="1"/>
      <c r="B23" s="32"/>
      <c r="C23" s="71" t="s">
        <v>1425</v>
      </c>
      <c r="D23" s="53" t="s">
        <v>51</v>
      </c>
      <c r="E23" s="53" t="s">
        <v>61</v>
      </c>
      <c r="F23" s="53" t="s">
        <v>548</v>
      </c>
      <c r="G23" s="53" t="s">
        <v>58</v>
      </c>
      <c r="H23" s="53" t="s">
        <v>30</v>
      </c>
      <c r="I23" s="53">
        <v>420</v>
      </c>
      <c r="J23" s="54">
        <v>30</v>
      </c>
      <c r="K23" s="54">
        <f t="shared" si="0"/>
        <v>12600</v>
      </c>
      <c r="L23" s="55" t="b">
        <v>1</v>
      </c>
      <c r="M23" s="56">
        <v>40620240906</v>
      </c>
      <c r="N23" s="57" t="b">
        <v>1</v>
      </c>
      <c r="O23" s="58"/>
      <c r="P23" s="59" t="b">
        <v>1</v>
      </c>
      <c r="Q23" s="129"/>
      <c r="R23" s="60"/>
      <c r="S23" s="47" t="b">
        <v>1</v>
      </c>
      <c r="T23" s="61" t="s">
        <v>1426</v>
      </c>
      <c r="U23" s="54">
        <f>420*21</f>
        <v>8820</v>
      </c>
      <c r="V23" s="54">
        <f t="shared" si="1"/>
        <v>3780</v>
      </c>
      <c r="W23" s="49"/>
      <c r="X23" s="49"/>
    </row>
    <row r="24" spans="1:24" ht="15.75" customHeight="1">
      <c r="A24" s="1"/>
      <c r="B24" s="32"/>
      <c r="C24" s="71" t="s">
        <v>1425</v>
      </c>
      <c r="D24" s="53" t="s">
        <v>438</v>
      </c>
      <c r="E24" s="53" t="s">
        <v>883</v>
      </c>
      <c r="F24" s="53" t="s">
        <v>440</v>
      </c>
      <c r="G24" s="53" t="s">
        <v>1427</v>
      </c>
      <c r="H24" s="53" t="s">
        <v>30</v>
      </c>
      <c r="I24" s="53">
        <v>10</v>
      </c>
      <c r="J24" s="54">
        <v>120</v>
      </c>
      <c r="K24" s="54">
        <f t="shared" si="0"/>
        <v>1200</v>
      </c>
      <c r="L24" s="55" t="b">
        <v>1</v>
      </c>
      <c r="M24" s="56">
        <v>40620240908</v>
      </c>
      <c r="N24" s="57" t="b">
        <v>1</v>
      </c>
      <c r="O24" s="58"/>
      <c r="P24" s="59" t="b">
        <v>1</v>
      </c>
      <c r="Q24" s="129"/>
      <c r="R24" s="60"/>
      <c r="S24" s="47" t="b">
        <v>1</v>
      </c>
      <c r="T24" s="61" t="s">
        <v>1415</v>
      </c>
      <c r="U24" s="54"/>
      <c r="V24" s="54">
        <f t="shared" si="1"/>
        <v>1200</v>
      </c>
      <c r="W24" s="49"/>
      <c r="X24" s="49"/>
    </row>
    <row r="25" spans="1:24" ht="15.75" customHeight="1">
      <c r="A25" s="1"/>
      <c r="B25" s="32"/>
      <c r="C25" s="71" t="s">
        <v>1428</v>
      </c>
      <c r="D25" s="53" t="s">
        <v>104</v>
      </c>
      <c r="E25" s="53" t="s">
        <v>486</v>
      </c>
      <c r="F25" s="53" t="s">
        <v>241</v>
      </c>
      <c r="G25" s="53" t="s">
        <v>1429</v>
      </c>
      <c r="H25" s="53" t="s">
        <v>30</v>
      </c>
      <c r="I25" s="53">
        <v>1</v>
      </c>
      <c r="J25" s="54">
        <v>950</v>
      </c>
      <c r="K25" s="54">
        <f t="shared" si="0"/>
        <v>950</v>
      </c>
      <c r="L25" s="55" t="b">
        <v>1</v>
      </c>
      <c r="M25" s="56">
        <v>50620240853</v>
      </c>
      <c r="N25" s="57" t="b">
        <v>1</v>
      </c>
      <c r="O25" s="58"/>
      <c r="P25" s="59" t="b">
        <v>1</v>
      </c>
      <c r="Q25" s="129"/>
      <c r="R25" s="60"/>
      <c r="S25" s="47" t="b">
        <v>1</v>
      </c>
      <c r="T25" s="61" t="s">
        <v>1430</v>
      </c>
      <c r="U25" s="54">
        <v>616</v>
      </c>
      <c r="V25" s="54">
        <f t="shared" si="1"/>
        <v>334</v>
      </c>
      <c r="W25" s="49"/>
      <c r="X25" s="49"/>
    </row>
    <row r="26" spans="1:24" ht="15.75" customHeight="1">
      <c r="A26" s="1"/>
      <c r="B26" s="32"/>
      <c r="C26" s="71" t="s">
        <v>1428</v>
      </c>
      <c r="D26" s="53" t="s">
        <v>104</v>
      </c>
      <c r="E26" s="53" t="s">
        <v>61</v>
      </c>
      <c r="F26" s="53" t="s">
        <v>181</v>
      </c>
      <c r="G26" s="53" t="s">
        <v>1367</v>
      </c>
      <c r="H26" s="53" t="s">
        <v>30</v>
      </c>
      <c r="I26" s="53">
        <v>8</v>
      </c>
      <c r="J26" s="54">
        <v>745</v>
      </c>
      <c r="K26" s="54">
        <f t="shared" si="0"/>
        <v>5960</v>
      </c>
      <c r="L26" s="55" t="b">
        <v>1</v>
      </c>
      <c r="M26" s="56">
        <v>50620241201</v>
      </c>
      <c r="N26" s="57" t="b">
        <v>1</v>
      </c>
      <c r="O26" s="58" t="s">
        <v>351</v>
      </c>
      <c r="P26" s="59" t="b">
        <v>1</v>
      </c>
      <c r="Q26" s="129"/>
      <c r="R26" s="60" t="s">
        <v>1093</v>
      </c>
      <c r="S26" s="47" t="b">
        <v>1</v>
      </c>
      <c r="T26" s="61" t="s">
        <v>1094</v>
      </c>
      <c r="U26" s="54">
        <f>8*455</f>
        <v>3640</v>
      </c>
      <c r="V26" s="54">
        <f t="shared" si="1"/>
        <v>2320</v>
      </c>
      <c r="W26" s="49"/>
      <c r="X26" s="49"/>
    </row>
    <row r="27" spans="1:24" ht="15.75" customHeight="1">
      <c r="A27" s="1"/>
      <c r="B27" s="32"/>
      <c r="C27" s="71" t="s">
        <v>1428</v>
      </c>
      <c r="D27" s="53" t="s">
        <v>104</v>
      </c>
      <c r="E27" s="53" t="s">
        <v>61</v>
      </c>
      <c r="F27" s="53" t="s">
        <v>181</v>
      </c>
      <c r="G27" s="53" t="s">
        <v>1367</v>
      </c>
      <c r="H27" s="53" t="s">
        <v>30</v>
      </c>
      <c r="I27" s="53">
        <v>4</v>
      </c>
      <c r="J27" s="54">
        <v>745</v>
      </c>
      <c r="K27" s="54">
        <f t="shared" si="0"/>
        <v>2980</v>
      </c>
      <c r="L27" s="55" t="b">
        <v>1</v>
      </c>
      <c r="M27" s="56">
        <v>50620241201</v>
      </c>
      <c r="N27" s="57" t="b">
        <v>1</v>
      </c>
      <c r="O27" s="58"/>
      <c r="P27" s="59" t="b">
        <v>1</v>
      </c>
      <c r="Q27" s="129"/>
      <c r="R27" s="60"/>
      <c r="S27" s="47" t="b">
        <v>1</v>
      </c>
      <c r="T27" s="61" t="s">
        <v>1431</v>
      </c>
      <c r="U27" s="54">
        <f>4*455</f>
        <v>1820</v>
      </c>
      <c r="V27" s="54">
        <f t="shared" si="1"/>
        <v>1160</v>
      </c>
      <c r="W27" s="49"/>
      <c r="X27" s="49"/>
    </row>
    <row r="28" spans="1:24" ht="15.75" customHeight="1">
      <c r="A28" s="1"/>
      <c r="B28" s="32"/>
      <c r="C28" s="71" t="s">
        <v>1428</v>
      </c>
      <c r="D28" s="53" t="s">
        <v>51</v>
      </c>
      <c r="E28" s="53" t="s">
        <v>201</v>
      </c>
      <c r="F28" s="53" t="s">
        <v>202</v>
      </c>
      <c r="G28" s="53" t="s">
        <v>1432</v>
      </c>
      <c r="H28" s="53" t="s">
        <v>30</v>
      </c>
      <c r="I28" s="53">
        <v>1</v>
      </c>
      <c r="J28" s="54">
        <v>6750</v>
      </c>
      <c r="K28" s="54">
        <f t="shared" si="0"/>
        <v>6750</v>
      </c>
      <c r="L28" s="55" t="b">
        <v>1</v>
      </c>
      <c r="M28" s="56">
        <v>50620241210</v>
      </c>
      <c r="N28" s="57" t="b">
        <v>1</v>
      </c>
      <c r="O28" s="58" t="s">
        <v>31</v>
      </c>
      <c r="P28" s="59" t="b">
        <v>1</v>
      </c>
      <c r="Q28" s="129"/>
      <c r="R28" s="60"/>
      <c r="S28" s="47" t="b">
        <v>1</v>
      </c>
      <c r="T28" s="61" t="s">
        <v>1433</v>
      </c>
      <c r="U28" s="54"/>
      <c r="V28" s="54">
        <f t="shared" si="1"/>
        <v>6750</v>
      </c>
      <c r="W28" s="49"/>
      <c r="X28" s="49"/>
    </row>
    <row r="29" spans="1:24" ht="15.75" customHeight="1">
      <c r="A29" s="1"/>
      <c r="B29" s="32"/>
      <c r="C29" s="71" t="s">
        <v>1428</v>
      </c>
      <c r="D29" s="53" t="s">
        <v>26</v>
      </c>
      <c r="E29" s="53" t="s">
        <v>540</v>
      </c>
      <c r="F29" s="66" t="s">
        <v>1434</v>
      </c>
      <c r="G29" s="69" t="s">
        <v>1435</v>
      </c>
      <c r="H29" s="69" t="s">
        <v>30</v>
      </c>
      <c r="I29" s="69">
        <v>8</v>
      </c>
      <c r="J29" s="70">
        <v>725</v>
      </c>
      <c r="K29" s="54">
        <f t="shared" si="0"/>
        <v>5800</v>
      </c>
      <c r="L29" s="55" t="b">
        <v>1</v>
      </c>
      <c r="M29" s="56">
        <v>50620241821</v>
      </c>
      <c r="N29" s="57" t="b">
        <v>1</v>
      </c>
      <c r="O29" s="58"/>
      <c r="P29" s="59" t="b">
        <v>1</v>
      </c>
      <c r="Q29" s="129"/>
      <c r="R29" s="60"/>
      <c r="S29" s="47" t="b">
        <v>1</v>
      </c>
      <c r="T29" s="61" t="s">
        <v>1436</v>
      </c>
      <c r="U29" s="54"/>
      <c r="V29" s="54">
        <f t="shared" si="1"/>
        <v>5800</v>
      </c>
      <c r="W29" s="49"/>
      <c r="X29" s="49"/>
    </row>
    <row r="30" spans="1:24" ht="15.75" customHeight="1">
      <c r="A30" s="1"/>
      <c r="B30" s="32"/>
      <c r="C30" s="71" t="s">
        <v>1437</v>
      </c>
      <c r="D30" s="53" t="s">
        <v>1133</v>
      </c>
      <c r="E30" s="53" t="s">
        <v>1438</v>
      </c>
      <c r="F30" s="66" t="s">
        <v>1439</v>
      </c>
      <c r="G30" s="69" t="s">
        <v>1440</v>
      </c>
      <c r="H30" s="69" t="s">
        <v>30</v>
      </c>
      <c r="I30" s="69">
        <v>3</v>
      </c>
      <c r="J30" s="70">
        <v>600</v>
      </c>
      <c r="K30" s="54">
        <f t="shared" si="0"/>
        <v>1800</v>
      </c>
      <c r="L30" s="55" t="b">
        <v>1</v>
      </c>
      <c r="M30" s="56">
        <v>50620241821</v>
      </c>
      <c r="N30" s="57" t="b">
        <v>1</v>
      </c>
      <c r="O30" s="58"/>
      <c r="P30" s="59" t="b">
        <v>1</v>
      </c>
      <c r="Q30" s="129"/>
      <c r="R30" s="60"/>
      <c r="S30" s="47" t="b">
        <v>1</v>
      </c>
      <c r="T30" s="61" t="s">
        <v>1441</v>
      </c>
      <c r="U30" s="54"/>
      <c r="V30" s="54">
        <f t="shared" si="1"/>
        <v>1800</v>
      </c>
      <c r="W30" s="49"/>
      <c r="X30" s="49"/>
    </row>
    <row r="31" spans="1:24" ht="15.75" customHeight="1">
      <c r="A31" s="1"/>
      <c r="B31" s="32"/>
      <c r="C31" s="71" t="s">
        <v>1437</v>
      </c>
      <c r="D31" s="53" t="s">
        <v>1133</v>
      </c>
      <c r="E31" s="53" t="s">
        <v>1438</v>
      </c>
      <c r="F31" s="66" t="s">
        <v>1439</v>
      </c>
      <c r="G31" s="69" t="s">
        <v>1442</v>
      </c>
      <c r="H31" s="69" t="s">
        <v>30</v>
      </c>
      <c r="I31" s="69">
        <v>10</v>
      </c>
      <c r="J31" s="70">
        <v>450</v>
      </c>
      <c r="K31" s="54">
        <f t="shared" si="0"/>
        <v>4500</v>
      </c>
      <c r="L31" s="55" t="b">
        <v>1</v>
      </c>
      <c r="M31" s="56">
        <v>50620241821</v>
      </c>
      <c r="N31" s="57" t="b">
        <v>1</v>
      </c>
      <c r="O31" s="58"/>
      <c r="P31" s="59" t="b">
        <v>1</v>
      </c>
      <c r="Q31" s="129"/>
      <c r="R31" s="60"/>
      <c r="S31" s="47" t="b">
        <v>1</v>
      </c>
      <c r="T31" s="61" t="s">
        <v>1441</v>
      </c>
      <c r="U31" s="54"/>
      <c r="V31" s="54">
        <f t="shared" si="1"/>
        <v>4500</v>
      </c>
      <c r="W31" s="49"/>
      <c r="X31" s="49"/>
    </row>
    <row r="32" spans="1:24" ht="15.75" customHeight="1">
      <c r="A32" s="1"/>
      <c r="B32" s="32"/>
      <c r="C32" s="71" t="s">
        <v>1437</v>
      </c>
      <c r="D32" s="53" t="s">
        <v>1133</v>
      </c>
      <c r="E32" s="53" t="s">
        <v>1438</v>
      </c>
      <c r="F32" s="66" t="s">
        <v>1439</v>
      </c>
      <c r="G32" s="69" t="s">
        <v>1443</v>
      </c>
      <c r="H32" s="69" t="s">
        <v>30</v>
      </c>
      <c r="I32" s="69">
        <v>5</v>
      </c>
      <c r="J32" s="70">
        <v>300</v>
      </c>
      <c r="K32" s="54">
        <f t="shared" si="0"/>
        <v>1500</v>
      </c>
      <c r="L32" s="55" t="b">
        <v>1</v>
      </c>
      <c r="M32" s="56">
        <v>50620241821</v>
      </c>
      <c r="N32" s="57" t="b">
        <v>1</v>
      </c>
      <c r="O32" s="58"/>
      <c r="P32" s="59" t="b">
        <v>1</v>
      </c>
      <c r="Q32" s="129"/>
      <c r="R32" s="60"/>
      <c r="S32" s="47" t="b">
        <v>1</v>
      </c>
      <c r="T32" s="61" t="s">
        <v>1441</v>
      </c>
      <c r="U32" s="54"/>
      <c r="V32" s="54">
        <f t="shared" si="1"/>
        <v>1500</v>
      </c>
      <c r="W32" s="49"/>
      <c r="X32" s="49"/>
    </row>
    <row r="33" spans="1:24" ht="15.75" customHeight="1">
      <c r="A33" s="1"/>
      <c r="B33" s="32"/>
      <c r="C33" s="71" t="s">
        <v>1437</v>
      </c>
      <c r="D33" s="80" t="s">
        <v>1133</v>
      </c>
      <c r="E33" s="80" t="s">
        <v>1438</v>
      </c>
      <c r="F33" s="158" t="s">
        <v>1439</v>
      </c>
      <c r="G33" s="159" t="s">
        <v>1444</v>
      </c>
      <c r="H33" s="159" t="s">
        <v>30</v>
      </c>
      <c r="I33" s="159">
        <v>10</v>
      </c>
      <c r="J33" s="160">
        <v>300</v>
      </c>
      <c r="K33" s="54">
        <v>3000</v>
      </c>
      <c r="L33" s="55" t="b">
        <v>1</v>
      </c>
      <c r="M33" s="56">
        <v>50620241821</v>
      </c>
      <c r="N33" s="57" t="b">
        <v>1</v>
      </c>
      <c r="O33" s="58" t="s">
        <v>529</v>
      </c>
      <c r="P33" s="59" t="b">
        <v>1</v>
      </c>
      <c r="Q33" s="129"/>
      <c r="R33" s="60"/>
      <c r="S33" s="47" t="b">
        <v>1</v>
      </c>
      <c r="T33" s="61" t="s">
        <v>1445</v>
      </c>
      <c r="U33" s="54"/>
      <c r="V33" s="54">
        <f t="shared" si="1"/>
        <v>3000</v>
      </c>
      <c r="W33" s="49"/>
      <c r="X33" s="49"/>
    </row>
    <row r="34" spans="1:24" ht="15.75" customHeight="1">
      <c r="A34" s="1"/>
      <c r="B34" s="32"/>
      <c r="C34" s="71" t="s">
        <v>1437</v>
      </c>
      <c r="D34" s="53" t="s">
        <v>212</v>
      </c>
      <c r="E34" s="53" t="s">
        <v>311</v>
      </c>
      <c r="F34" s="66" t="s">
        <v>312</v>
      </c>
      <c r="G34" s="69" t="s">
        <v>1446</v>
      </c>
      <c r="H34" s="69" t="s">
        <v>30</v>
      </c>
      <c r="I34" s="69">
        <v>1</v>
      </c>
      <c r="J34" s="70">
        <v>1550</v>
      </c>
      <c r="K34" s="54">
        <f t="shared" ref="K34:K103" si="2">I34*J34</f>
        <v>1550</v>
      </c>
      <c r="L34" s="55" t="b">
        <v>1</v>
      </c>
      <c r="M34" s="56">
        <v>50620241821</v>
      </c>
      <c r="N34" s="57" t="b">
        <v>1</v>
      </c>
      <c r="O34" s="58" t="s">
        <v>31</v>
      </c>
      <c r="P34" s="59" t="b">
        <v>1</v>
      </c>
      <c r="Q34" s="129"/>
      <c r="R34" s="60"/>
      <c r="S34" s="47" t="b">
        <v>1</v>
      </c>
      <c r="T34" s="61" t="s">
        <v>1447</v>
      </c>
      <c r="U34" s="54">
        <v>1060</v>
      </c>
      <c r="V34" s="54">
        <f t="shared" si="1"/>
        <v>490</v>
      </c>
      <c r="W34" s="49"/>
      <c r="X34" s="49"/>
    </row>
    <row r="35" spans="1:24" ht="15.75" customHeight="1">
      <c r="A35" s="1"/>
      <c r="B35" s="32"/>
      <c r="C35" s="71" t="s">
        <v>1437</v>
      </c>
      <c r="D35" s="53" t="s">
        <v>51</v>
      </c>
      <c r="E35" s="53" t="s">
        <v>137</v>
      </c>
      <c r="F35" s="66" t="s">
        <v>138</v>
      </c>
      <c r="G35" s="69" t="s">
        <v>1448</v>
      </c>
      <c r="H35" s="69" t="s">
        <v>30</v>
      </c>
      <c r="I35" s="69">
        <v>30</v>
      </c>
      <c r="J35" s="70">
        <v>180</v>
      </c>
      <c r="K35" s="54">
        <f t="shared" si="2"/>
        <v>5400</v>
      </c>
      <c r="L35" s="55" t="b">
        <v>1</v>
      </c>
      <c r="M35" s="56">
        <v>60620241137</v>
      </c>
      <c r="N35" s="57" t="b">
        <v>1</v>
      </c>
      <c r="O35" s="58" t="s">
        <v>31</v>
      </c>
      <c r="P35" s="59" t="b">
        <v>1</v>
      </c>
      <c r="Q35" s="129"/>
      <c r="R35" s="60"/>
      <c r="S35" s="47" t="b">
        <v>1</v>
      </c>
      <c r="T35" s="61" t="s">
        <v>1449</v>
      </c>
      <c r="U35" s="54">
        <f>30*120</f>
        <v>3600</v>
      </c>
      <c r="V35" s="54">
        <f t="shared" si="1"/>
        <v>1800</v>
      </c>
      <c r="W35" s="49"/>
      <c r="X35" s="49"/>
    </row>
    <row r="36" spans="1:24" ht="15.75" customHeight="1">
      <c r="A36" s="1"/>
      <c r="B36" s="32"/>
      <c r="C36" s="71" t="s">
        <v>1437</v>
      </c>
      <c r="D36" s="53" t="s">
        <v>1450</v>
      </c>
      <c r="E36" s="53" t="s">
        <v>213</v>
      </c>
      <c r="F36" s="66" t="s">
        <v>1451</v>
      </c>
      <c r="G36" s="69" t="s">
        <v>49</v>
      </c>
      <c r="H36" s="69" t="s">
        <v>30</v>
      </c>
      <c r="I36" s="69">
        <v>5</v>
      </c>
      <c r="J36" s="70">
        <v>695</v>
      </c>
      <c r="K36" s="54">
        <f t="shared" si="2"/>
        <v>3475</v>
      </c>
      <c r="L36" s="55" t="b">
        <v>1</v>
      </c>
      <c r="M36" s="56">
        <v>60620241222</v>
      </c>
      <c r="N36" s="57" t="b">
        <v>1</v>
      </c>
      <c r="O36" s="58" t="s">
        <v>31</v>
      </c>
      <c r="P36" s="59" t="b">
        <v>1</v>
      </c>
      <c r="Q36" s="149"/>
      <c r="R36" s="60"/>
      <c r="S36" s="47" t="b">
        <v>1</v>
      </c>
      <c r="T36" s="61" t="s">
        <v>1452</v>
      </c>
      <c r="U36" s="54">
        <f>5000*0.46</f>
        <v>2300</v>
      </c>
      <c r="V36" s="54">
        <f t="shared" si="1"/>
        <v>1175</v>
      </c>
      <c r="W36" s="49"/>
      <c r="X36" s="49"/>
    </row>
    <row r="37" spans="1:24" ht="15.75" customHeight="1">
      <c r="A37" s="1"/>
      <c r="B37" s="32"/>
      <c r="C37" s="71" t="s">
        <v>1437</v>
      </c>
      <c r="D37" s="53" t="s">
        <v>345</v>
      </c>
      <c r="E37" s="53" t="s">
        <v>342</v>
      </c>
      <c r="F37" s="66" t="s">
        <v>927</v>
      </c>
      <c r="G37" s="69" t="s">
        <v>1367</v>
      </c>
      <c r="H37" s="69" t="s">
        <v>30</v>
      </c>
      <c r="I37" s="69">
        <v>6</v>
      </c>
      <c r="J37" s="70">
        <v>745</v>
      </c>
      <c r="K37" s="54">
        <f t="shared" si="2"/>
        <v>4470</v>
      </c>
      <c r="L37" s="55" t="b">
        <v>1</v>
      </c>
      <c r="M37" s="56">
        <v>60620241640</v>
      </c>
      <c r="N37" s="57" t="b">
        <v>1</v>
      </c>
      <c r="O37" s="58"/>
      <c r="P37" s="59" t="b">
        <v>1</v>
      </c>
      <c r="Q37" s="129"/>
      <c r="R37" s="60" t="s">
        <v>1453</v>
      </c>
      <c r="S37" s="47" t="b">
        <v>1</v>
      </c>
      <c r="T37" s="61" t="s">
        <v>1454</v>
      </c>
      <c r="U37" s="54">
        <f>6*455</f>
        <v>2730</v>
      </c>
      <c r="V37" s="54">
        <f t="shared" si="1"/>
        <v>1740</v>
      </c>
      <c r="W37" s="49"/>
      <c r="X37" s="49"/>
    </row>
    <row r="38" spans="1:24" ht="15.75" customHeight="1">
      <c r="A38" s="1"/>
      <c r="B38" s="32"/>
      <c r="C38" s="71" t="s">
        <v>1437</v>
      </c>
      <c r="D38" s="53" t="s">
        <v>345</v>
      </c>
      <c r="E38" s="53" t="s">
        <v>342</v>
      </c>
      <c r="F38" s="66" t="s">
        <v>927</v>
      </c>
      <c r="G38" s="69" t="s">
        <v>1455</v>
      </c>
      <c r="H38" s="69" t="s">
        <v>30</v>
      </c>
      <c r="I38" s="69">
        <v>12</v>
      </c>
      <c r="J38" s="70">
        <v>675</v>
      </c>
      <c r="K38" s="54">
        <f t="shared" si="2"/>
        <v>8100</v>
      </c>
      <c r="L38" s="55" t="b">
        <v>1</v>
      </c>
      <c r="M38" s="56">
        <v>60620241640</v>
      </c>
      <c r="N38" s="57" t="b">
        <v>1</v>
      </c>
      <c r="O38" s="58"/>
      <c r="P38" s="59" t="b">
        <v>1</v>
      </c>
      <c r="Q38" s="129"/>
      <c r="R38" s="60"/>
      <c r="S38" s="47" t="b">
        <v>1</v>
      </c>
      <c r="T38" s="61" t="s">
        <v>1456</v>
      </c>
      <c r="U38" s="54">
        <f>12*300</f>
        <v>3600</v>
      </c>
      <c r="V38" s="54">
        <f t="shared" si="1"/>
        <v>4500</v>
      </c>
      <c r="W38" s="49"/>
      <c r="X38" s="49"/>
    </row>
    <row r="39" spans="1:24" ht="15.75" customHeight="1">
      <c r="A39" s="1"/>
      <c r="B39" s="32"/>
      <c r="C39" s="71" t="s">
        <v>1437</v>
      </c>
      <c r="D39" s="53" t="s">
        <v>345</v>
      </c>
      <c r="E39" s="53" t="s">
        <v>342</v>
      </c>
      <c r="F39" s="66" t="s">
        <v>927</v>
      </c>
      <c r="G39" s="69" t="s">
        <v>1457</v>
      </c>
      <c r="H39" s="69" t="s">
        <v>30</v>
      </c>
      <c r="I39" s="69">
        <v>1</v>
      </c>
      <c r="J39" s="70">
        <v>625</v>
      </c>
      <c r="K39" s="54">
        <f t="shared" si="2"/>
        <v>625</v>
      </c>
      <c r="L39" s="55" t="b">
        <v>1</v>
      </c>
      <c r="M39" s="56">
        <v>60620241640</v>
      </c>
      <c r="N39" s="57" t="b">
        <v>1</v>
      </c>
      <c r="O39" s="58"/>
      <c r="P39" s="59" t="b">
        <v>1</v>
      </c>
      <c r="Q39" s="129"/>
      <c r="R39" s="60"/>
      <c r="S39" s="47" t="b">
        <v>1</v>
      </c>
      <c r="T39" s="61" t="s">
        <v>1458</v>
      </c>
      <c r="U39" s="54"/>
      <c r="V39" s="54">
        <f t="shared" si="1"/>
        <v>625</v>
      </c>
      <c r="W39" s="49"/>
      <c r="X39" s="49"/>
    </row>
    <row r="40" spans="1:24" ht="15.75" customHeight="1">
      <c r="A40" s="1"/>
      <c r="B40" s="32"/>
      <c r="C40" s="71" t="s">
        <v>1437</v>
      </c>
      <c r="D40" s="53" t="s">
        <v>345</v>
      </c>
      <c r="E40" s="53" t="s">
        <v>342</v>
      </c>
      <c r="F40" s="66" t="s">
        <v>1459</v>
      </c>
      <c r="G40" s="69" t="s">
        <v>1460</v>
      </c>
      <c r="H40" s="69" t="s">
        <v>30</v>
      </c>
      <c r="I40" s="69">
        <v>4</v>
      </c>
      <c r="J40" s="70">
        <v>575</v>
      </c>
      <c r="K40" s="54">
        <f t="shared" si="2"/>
        <v>2300</v>
      </c>
      <c r="L40" s="55" t="b">
        <v>1</v>
      </c>
      <c r="M40" s="56">
        <v>60620241640</v>
      </c>
      <c r="N40" s="57" t="b">
        <v>1</v>
      </c>
      <c r="O40" s="58"/>
      <c r="P40" s="59" t="b">
        <v>1</v>
      </c>
      <c r="Q40" s="129"/>
      <c r="R40" s="60"/>
      <c r="S40" s="47" t="b">
        <v>1</v>
      </c>
      <c r="T40" s="61" t="s">
        <v>1458</v>
      </c>
      <c r="U40" s="54"/>
      <c r="V40" s="54">
        <f t="shared" si="1"/>
        <v>2300</v>
      </c>
      <c r="W40" s="49"/>
      <c r="X40" s="49"/>
    </row>
    <row r="41" spans="1:24" ht="15.75" customHeight="1">
      <c r="A41" s="1"/>
      <c r="B41" s="32"/>
      <c r="C41" s="132" t="s">
        <v>1461</v>
      </c>
      <c r="D41" s="67" t="s">
        <v>144</v>
      </c>
      <c r="E41" s="67" t="s">
        <v>980</v>
      </c>
      <c r="F41" s="67" t="s">
        <v>981</v>
      </c>
      <c r="G41" s="67" t="s">
        <v>668</v>
      </c>
      <c r="H41" s="67" t="s">
        <v>30</v>
      </c>
      <c r="I41" s="67">
        <v>1</v>
      </c>
      <c r="J41" s="68">
        <v>100</v>
      </c>
      <c r="K41" s="54">
        <f t="shared" si="2"/>
        <v>100</v>
      </c>
      <c r="L41" s="55" t="b">
        <v>1</v>
      </c>
      <c r="M41" s="56">
        <v>70620241329</v>
      </c>
      <c r="N41" s="57" t="b">
        <v>1</v>
      </c>
      <c r="O41" s="58"/>
      <c r="P41" s="59" t="b">
        <v>1</v>
      </c>
      <c r="Q41" s="129"/>
      <c r="R41" s="60"/>
      <c r="S41" s="47" t="b">
        <v>1</v>
      </c>
      <c r="T41" s="61" t="s">
        <v>1462</v>
      </c>
      <c r="U41" s="54">
        <v>50</v>
      </c>
      <c r="V41" s="54">
        <f t="shared" si="1"/>
        <v>50</v>
      </c>
      <c r="W41" s="49"/>
      <c r="X41" s="49"/>
    </row>
    <row r="42" spans="1:24" ht="15.75" customHeight="1">
      <c r="A42" s="1"/>
      <c r="B42" s="32"/>
      <c r="C42" s="133" t="s">
        <v>1461</v>
      </c>
      <c r="D42" s="69" t="s">
        <v>144</v>
      </c>
      <c r="E42" s="69" t="s">
        <v>980</v>
      </c>
      <c r="F42" s="67" t="s">
        <v>981</v>
      </c>
      <c r="G42" s="69" t="s">
        <v>1463</v>
      </c>
      <c r="H42" s="69" t="s">
        <v>30</v>
      </c>
      <c r="I42" s="69">
        <v>5</v>
      </c>
      <c r="J42" s="70">
        <v>675</v>
      </c>
      <c r="K42" s="54">
        <f t="shared" si="2"/>
        <v>3375</v>
      </c>
      <c r="L42" s="55" t="b">
        <v>1</v>
      </c>
      <c r="M42" s="56">
        <v>70620241330</v>
      </c>
      <c r="N42" s="57" t="b">
        <v>1</v>
      </c>
      <c r="O42" s="58"/>
      <c r="P42" s="59" t="b">
        <v>1</v>
      </c>
      <c r="Q42" s="129"/>
      <c r="R42" s="60"/>
      <c r="S42" s="47" t="b">
        <v>1</v>
      </c>
      <c r="T42" s="61" t="s">
        <v>1464</v>
      </c>
      <c r="U42" s="54">
        <f>250*3.5</f>
        <v>875</v>
      </c>
      <c r="V42" s="54">
        <f t="shared" si="1"/>
        <v>2500</v>
      </c>
      <c r="W42" s="49"/>
      <c r="X42" s="49"/>
    </row>
    <row r="43" spans="1:24" ht="15.75" customHeight="1">
      <c r="A43" s="1"/>
      <c r="B43" s="32"/>
      <c r="C43" s="71" t="s">
        <v>1465</v>
      </c>
      <c r="D43" s="53" t="s">
        <v>51</v>
      </c>
      <c r="E43" s="53" t="s">
        <v>66</v>
      </c>
      <c r="F43" s="66" t="s">
        <v>67</v>
      </c>
      <c r="G43" s="69" t="s">
        <v>374</v>
      </c>
      <c r="H43" s="69" t="s">
        <v>30</v>
      </c>
      <c r="I43" s="69">
        <v>100</v>
      </c>
      <c r="J43" s="70">
        <v>29</v>
      </c>
      <c r="K43" s="54">
        <f t="shared" si="2"/>
        <v>2900</v>
      </c>
      <c r="L43" s="55" t="b">
        <v>1</v>
      </c>
      <c r="M43" s="56">
        <v>80620241459</v>
      </c>
      <c r="N43" s="57" t="b">
        <v>1</v>
      </c>
      <c r="O43" s="58"/>
      <c r="P43" s="59" t="b">
        <v>1</v>
      </c>
      <c r="Q43" s="129"/>
      <c r="R43" s="60"/>
      <c r="S43" s="47" t="b">
        <v>1</v>
      </c>
      <c r="T43" s="61" t="s">
        <v>1466</v>
      </c>
      <c r="U43" s="54">
        <f>100*8</f>
        <v>800</v>
      </c>
      <c r="V43" s="54">
        <f t="shared" si="1"/>
        <v>2100</v>
      </c>
      <c r="W43" s="49"/>
      <c r="X43" s="49"/>
    </row>
    <row r="44" spans="1:24" ht="15.75" customHeight="1">
      <c r="A44" s="1"/>
      <c r="B44" s="32"/>
      <c r="C44" s="71" t="s">
        <v>1467</v>
      </c>
      <c r="D44" s="53" t="s">
        <v>104</v>
      </c>
      <c r="E44" s="53" t="s">
        <v>61</v>
      </c>
      <c r="F44" s="66" t="s">
        <v>333</v>
      </c>
      <c r="G44" s="69" t="s">
        <v>1448</v>
      </c>
      <c r="H44" s="69" t="s">
        <v>30</v>
      </c>
      <c r="I44" s="69">
        <v>75</v>
      </c>
      <c r="J44" s="70">
        <v>180</v>
      </c>
      <c r="K44" s="54">
        <f t="shared" si="2"/>
        <v>13500</v>
      </c>
      <c r="L44" s="55" t="b">
        <v>1</v>
      </c>
      <c r="M44" s="56">
        <v>100620240926</v>
      </c>
      <c r="N44" s="57" t="b">
        <v>1</v>
      </c>
      <c r="O44" s="58"/>
      <c r="P44" s="59" t="b">
        <v>1</v>
      </c>
      <c r="Q44" s="129"/>
      <c r="R44" s="60"/>
      <c r="S44" s="47" t="b">
        <v>1</v>
      </c>
      <c r="T44" s="61" t="s">
        <v>1468</v>
      </c>
      <c r="U44" s="54">
        <f>75*120</f>
        <v>9000</v>
      </c>
      <c r="V44" s="54">
        <f t="shared" si="1"/>
        <v>4500</v>
      </c>
      <c r="W44" s="49"/>
      <c r="X44" s="49"/>
    </row>
    <row r="45" spans="1:24" ht="15.75" customHeight="1">
      <c r="A45" s="1"/>
      <c r="B45" s="32"/>
      <c r="C45" s="71" t="s">
        <v>1469</v>
      </c>
      <c r="D45" s="53" t="s">
        <v>832</v>
      </c>
      <c r="E45" s="53" t="s">
        <v>833</v>
      </c>
      <c r="F45" s="66" t="s">
        <v>834</v>
      </c>
      <c r="G45" s="69" t="s">
        <v>1470</v>
      </c>
      <c r="H45" s="69" t="s">
        <v>30</v>
      </c>
      <c r="I45" s="69">
        <v>50</v>
      </c>
      <c r="J45" s="70">
        <v>80</v>
      </c>
      <c r="K45" s="54">
        <f t="shared" si="2"/>
        <v>4000</v>
      </c>
      <c r="L45" s="55" t="b">
        <v>1</v>
      </c>
      <c r="M45" s="56">
        <v>100620241700</v>
      </c>
      <c r="N45" s="57" t="b">
        <v>1</v>
      </c>
      <c r="O45" s="58"/>
      <c r="P45" s="59" t="b">
        <v>1</v>
      </c>
      <c r="Q45" s="129"/>
      <c r="R45" s="60"/>
      <c r="S45" s="47" t="b">
        <v>1</v>
      </c>
      <c r="T45" s="61" t="s">
        <v>1471</v>
      </c>
      <c r="U45" s="54">
        <f>50*45</f>
        <v>2250</v>
      </c>
      <c r="V45" s="54">
        <f t="shared" si="1"/>
        <v>1750</v>
      </c>
      <c r="W45" s="49"/>
      <c r="X45" s="49"/>
    </row>
    <row r="46" spans="1:24" ht="15.75" customHeight="1">
      <c r="A46" s="101"/>
      <c r="B46" s="102"/>
      <c r="C46" s="71" t="s">
        <v>1469</v>
      </c>
      <c r="D46" s="53" t="s">
        <v>832</v>
      </c>
      <c r="E46" s="53" t="s">
        <v>833</v>
      </c>
      <c r="F46" s="66" t="s">
        <v>834</v>
      </c>
      <c r="G46" s="69" t="s">
        <v>1472</v>
      </c>
      <c r="H46" s="69" t="s">
        <v>30</v>
      </c>
      <c r="I46" s="69">
        <v>1</v>
      </c>
      <c r="J46" s="70">
        <v>675</v>
      </c>
      <c r="K46" s="54">
        <f t="shared" si="2"/>
        <v>675</v>
      </c>
      <c r="L46" s="55" t="b">
        <v>1</v>
      </c>
      <c r="M46" s="56">
        <v>100620241700</v>
      </c>
      <c r="N46" s="57" t="b">
        <v>1</v>
      </c>
      <c r="O46" s="58" t="s">
        <v>39</v>
      </c>
      <c r="P46" s="59" t="b">
        <v>1</v>
      </c>
      <c r="Q46" s="129"/>
      <c r="R46" s="60"/>
      <c r="S46" s="47" t="b">
        <v>1</v>
      </c>
      <c r="T46" s="61" t="s">
        <v>1473</v>
      </c>
      <c r="U46" s="54">
        <v>302</v>
      </c>
      <c r="V46" s="54">
        <f t="shared" si="1"/>
        <v>373</v>
      </c>
      <c r="W46" s="49"/>
      <c r="X46" s="49"/>
    </row>
    <row r="47" spans="1:24" ht="15.75" customHeight="1">
      <c r="A47" s="101"/>
      <c r="B47" s="102"/>
      <c r="C47" s="71" t="s">
        <v>1469</v>
      </c>
      <c r="D47" s="53" t="s">
        <v>51</v>
      </c>
      <c r="E47" s="53" t="s">
        <v>52</v>
      </c>
      <c r="F47" s="66" t="s">
        <v>1474</v>
      </c>
      <c r="G47" s="69" t="s">
        <v>1475</v>
      </c>
      <c r="H47" s="69" t="s">
        <v>30</v>
      </c>
      <c r="I47" s="69">
        <v>5</v>
      </c>
      <c r="J47" s="70">
        <v>1350</v>
      </c>
      <c r="K47" s="54">
        <f t="shared" si="2"/>
        <v>6750</v>
      </c>
      <c r="L47" s="55" t="b">
        <v>1</v>
      </c>
      <c r="M47" s="56">
        <v>100620241700</v>
      </c>
      <c r="N47" s="57" t="b">
        <v>1</v>
      </c>
      <c r="O47" s="58"/>
      <c r="P47" s="59" t="b">
        <v>1</v>
      </c>
      <c r="Q47" s="129"/>
      <c r="R47" s="60"/>
      <c r="S47" s="47" t="b">
        <v>1</v>
      </c>
      <c r="T47" s="61" t="s">
        <v>1476</v>
      </c>
      <c r="U47" s="54">
        <f>5*904.7</f>
        <v>4523.5</v>
      </c>
      <c r="V47" s="54">
        <f t="shared" si="1"/>
        <v>2226.5</v>
      </c>
      <c r="W47" s="49"/>
      <c r="X47" s="49"/>
    </row>
    <row r="48" spans="1:24" ht="15.75" customHeight="1">
      <c r="A48" s="101"/>
      <c r="B48" s="32"/>
      <c r="C48" s="71" t="s">
        <v>1469</v>
      </c>
      <c r="D48" s="53" t="s">
        <v>51</v>
      </c>
      <c r="E48" s="53" t="s">
        <v>52</v>
      </c>
      <c r="F48" s="66" t="s">
        <v>1474</v>
      </c>
      <c r="G48" s="69" t="s">
        <v>1477</v>
      </c>
      <c r="H48" s="69" t="s">
        <v>30</v>
      </c>
      <c r="I48" s="69">
        <v>2</v>
      </c>
      <c r="J48" s="70">
        <v>1200</v>
      </c>
      <c r="K48" s="54">
        <f t="shared" si="2"/>
        <v>2400</v>
      </c>
      <c r="L48" s="55" t="b">
        <v>1</v>
      </c>
      <c r="M48" s="56">
        <v>100620241700</v>
      </c>
      <c r="N48" s="57" t="b">
        <v>1</v>
      </c>
      <c r="O48" s="58"/>
      <c r="P48" s="59" t="b">
        <v>1</v>
      </c>
      <c r="Q48" s="129"/>
      <c r="R48" s="60"/>
      <c r="S48" s="47" t="b">
        <v>1</v>
      </c>
      <c r="T48" s="61" t="s">
        <v>1476</v>
      </c>
      <c r="U48" s="54">
        <f>2*730.59</f>
        <v>1461.18</v>
      </c>
      <c r="V48" s="54">
        <f t="shared" si="1"/>
        <v>938.81999999999994</v>
      </c>
      <c r="W48" s="49"/>
      <c r="X48" s="49"/>
    </row>
    <row r="49" spans="1:24" ht="15.75" customHeight="1">
      <c r="A49" s="101"/>
      <c r="B49" s="32"/>
      <c r="C49" s="71" t="s">
        <v>1478</v>
      </c>
      <c r="D49" s="53" t="s">
        <v>104</v>
      </c>
      <c r="E49" s="53" t="s">
        <v>342</v>
      </c>
      <c r="F49" s="66" t="s">
        <v>561</v>
      </c>
      <c r="G49" s="69" t="s">
        <v>1479</v>
      </c>
      <c r="H49" s="69" t="s">
        <v>30</v>
      </c>
      <c r="I49" s="69">
        <v>2</v>
      </c>
      <c r="J49" s="70">
        <v>825</v>
      </c>
      <c r="K49" s="54">
        <f t="shared" si="2"/>
        <v>1650</v>
      </c>
      <c r="L49" s="55" t="b">
        <v>1</v>
      </c>
      <c r="M49" s="56">
        <v>110620241005</v>
      </c>
      <c r="N49" s="57" t="b">
        <v>1</v>
      </c>
      <c r="O49" s="58" t="s">
        <v>31</v>
      </c>
      <c r="P49" s="59" t="b">
        <v>1</v>
      </c>
      <c r="Q49" s="129"/>
      <c r="R49" s="60"/>
      <c r="S49" s="47" t="b">
        <v>1</v>
      </c>
      <c r="T49" s="61" t="s">
        <v>1480</v>
      </c>
      <c r="U49" s="54">
        <f>2000*0.15</f>
        <v>300</v>
      </c>
      <c r="V49" s="54">
        <f t="shared" si="1"/>
        <v>1350</v>
      </c>
      <c r="W49" s="49"/>
      <c r="X49" s="49"/>
    </row>
    <row r="50" spans="1:24" ht="15.75" customHeight="1">
      <c r="A50" s="101"/>
      <c r="B50" s="32"/>
      <c r="C50" s="71" t="s">
        <v>1478</v>
      </c>
      <c r="D50" s="53" t="s">
        <v>418</v>
      </c>
      <c r="E50" s="53" t="s">
        <v>42</v>
      </c>
      <c r="F50" s="66" t="s">
        <v>1481</v>
      </c>
      <c r="G50" s="69" t="s">
        <v>1482</v>
      </c>
      <c r="H50" s="69" t="s">
        <v>30</v>
      </c>
      <c r="I50" s="69">
        <v>1</v>
      </c>
      <c r="J50" s="70">
        <v>825</v>
      </c>
      <c r="K50" s="54">
        <f t="shared" si="2"/>
        <v>825</v>
      </c>
      <c r="L50" s="55" t="b">
        <v>1</v>
      </c>
      <c r="M50" s="56">
        <v>110620241105</v>
      </c>
      <c r="N50" s="57" t="b">
        <v>1</v>
      </c>
      <c r="O50" s="58"/>
      <c r="P50" s="59" t="b">
        <v>1</v>
      </c>
      <c r="Q50" s="129"/>
      <c r="R50" s="60"/>
      <c r="S50" s="47" t="b">
        <v>1</v>
      </c>
      <c r="T50" s="61" t="s">
        <v>1483</v>
      </c>
      <c r="U50" s="54"/>
      <c r="V50" s="54">
        <f t="shared" si="1"/>
        <v>825</v>
      </c>
      <c r="W50" s="49"/>
      <c r="X50" s="49"/>
    </row>
    <row r="51" spans="1:24" ht="15.75" customHeight="1">
      <c r="A51" s="101"/>
      <c r="B51" s="32"/>
      <c r="C51" s="71" t="s">
        <v>1478</v>
      </c>
      <c r="D51" s="53" t="s">
        <v>104</v>
      </c>
      <c r="E51" s="53" t="s">
        <v>61</v>
      </c>
      <c r="F51" s="66" t="s">
        <v>181</v>
      </c>
      <c r="G51" s="69" t="s">
        <v>142</v>
      </c>
      <c r="H51" s="69" t="s">
        <v>30</v>
      </c>
      <c r="I51" s="69">
        <v>1500</v>
      </c>
      <c r="J51" s="70">
        <v>1.1000000000000001</v>
      </c>
      <c r="K51" s="54">
        <f t="shared" si="2"/>
        <v>1650.0000000000002</v>
      </c>
      <c r="L51" s="55" t="b">
        <v>1</v>
      </c>
      <c r="M51" s="56">
        <v>110620241109</v>
      </c>
      <c r="N51" s="57" t="b">
        <v>1</v>
      </c>
      <c r="O51" s="58" t="s">
        <v>31</v>
      </c>
      <c r="P51" s="59" t="b">
        <v>1</v>
      </c>
      <c r="Q51" s="129"/>
      <c r="R51" s="60"/>
      <c r="S51" s="47" t="b">
        <v>1</v>
      </c>
      <c r="T51" s="61" t="s">
        <v>1484</v>
      </c>
      <c r="U51" s="54">
        <f>1500*0.8</f>
        <v>1200</v>
      </c>
      <c r="V51" s="54">
        <f t="shared" si="1"/>
        <v>450.00000000000023</v>
      </c>
      <c r="W51" s="49"/>
      <c r="X51" s="49"/>
    </row>
    <row r="52" spans="1:24" ht="15.75" customHeight="1">
      <c r="A52" s="101"/>
      <c r="B52" s="32"/>
      <c r="C52" s="71" t="s">
        <v>1478</v>
      </c>
      <c r="D52" s="53" t="s">
        <v>51</v>
      </c>
      <c r="E52" s="53" t="s">
        <v>52</v>
      </c>
      <c r="F52" s="66" t="s">
        <v>1485</v>
      </c>
      <c r="G52" s="69" t="s">
        <v>1486</v>
      </c>
      <c r="H52" s="69" t="s">
        <v>30</v>
      </c>
      <c r="I52" s="69">
        <v>1</v>
      </c>
      <c r="J52" s="70">
        <v>350</v>
      </c>
      <c r="K52" s="54">
        <f t="shared" si="2"/>
        <v>350</v>
      </c>
      <c r="L52" s="55" t="b">
        <v>1</v>
      </c>
      <c r="M52" s="56">
        <v>110620241346</v>
      </c>
      <c r="N52" s="57" t="b">
        <v>1</v>
      </c>
      <c r="O52" s="58"/>
      <c r="P52" s="59" t="b">
        <v>1</v>
      </c>
      <c r="Q52" s="129"/>
      <c r="R52" s="60"/>
      <c r="S52" s="47" t="b">
        <v>1</v>
      </c>
      <c r="T52" s="61" t="s">
        <v>1487</v>
      </c>
      <c r="U52" s="54">
        <v>175</v>
      </c>
      <c r="V52" s="54">
        <f t="shared" si="1"/>
        <v>175</v>
      </c>
      <c r="W52" s="49"/>
      <c r="X52" s="49"/>
    </row>
    <row r="53" spans="1:24" ht="15.75" customHeight="1">
      <c r="A53" s="101"/>
      <c r="B53" s="32"/>
      <c r="C53" s="71" t="s">
        <v>1478</v>
      </c>
      <c r="D53" s="53" t="s">
        <v>108</v>
      </c>
      <c r="E53" s="53" t="s">
        <v>109</v>
      </c>
      <c r="F53" s="66" t="s">
        <v>110</v>
      </c>
      <c r="G53" s="69" t="s">
        <v>49</v>
      </c>
      <c r="H53" s="69" t="s">
        <v>30</v>
      </c>
      <c r="I53" s="69">
        <v>15</v>
      </c>
      <c r="J53" s="70">
        <v>695</v>
      </c>
      <c r="K53" s="54">
        <f t="shared" si="2"/>
        <v>10425</v>
      </c>
      <c r="L53" s="55" t="b">
        <v>1</v>
      </c>
      <c r="M53" s="56">
        <v>110620241349</v>
      </c>
      <c r="N53" s="57" t="b">
        <v>1</v>
      </c>
      <c r="O53" s="58" t="s">
        <v>31</v>
      </c>
      <c r="P53" s="59" t="b">
        <v>1</v>
      </c>
      <c r="Q53" s="129"/>
      <c r="R53" s="60"/>
      <c r="S53" s="47" t="b">
        <v>1</v>
      </c>
      <c r="T53" s="61" t="s">
        <v>1488</v>
      </c>
      <c r="U53" s="54">
        <f>10000*0.46</f>
        <v>4600</v>
      </c>
      <c r="V53" s="54">
        <f t="shared" si="1"/>
        <v>5825</v>
      </c>
      <c r="W53" s="49"/>
      <c r="X53" s="49"/>
    </row>
    <row r="54" spans="1:24" ht="15.75" customHeight="1">
      <c r="A54" s="101"/>
      <c r="B54" s="32"/>
      <c r="C54" s="71" t="s">
        <v>1478</v>
      </c>
      <c r="D54" s="53" t="s">
        <v>108</v>
      </c>
      <c r="E54" s="53" t="s">
        <v>109</v>
      </c>
      <c r="F54" s="66" t="s">
        <v>110</v>
      </c>
      <c r="G54" s="69" t="s">
        <v>300</v>
      </c>
      <c r="H54" s="69" t="s">
        <v>30</v>
      </c>
      <c r="I54" s="69">
        <v>20</v>
      </c>
      <c r="J54" s="70">
        <v>100</v>
      </c>
      <c r="K54" s="54">
        <f t="shared" si="2"/>
        <v>2000</v>
      </c>
      <c r="L54" s="55" t="b">
        <v>1</v>
      </c>
      <c r="M54" s="56">
        <v>110620241349</v>
      </c>
      <c r="N54" s="57" t="b">
        <v>1</v>
      </c>
      <c r="O54" s="58" t="s">
        <v>31</v>
      </c>
      <c r="P54" s="59" t="b">
        <v>1</v>
      </c>
      <c r="Q54" s="129"/>
      <c r="R54" s="60"/>
      <c r="S54" s="47" t="b">
        <v>1</v>
      </c>
      <c r="T54" s="61" t="s">
        <v>1488</v>
      </c>
      <c r="U54" s="54">
        <f>20*35</f>
        <v>700</v>
      </c>
      <c r="V54" s="54">
        <f t="shared" si="1"/>
        <v>1300</v>
      </c>
      <c r="W54" s="49"/>
      <c r="X54" s="49"/>
    </row>
    <row r="55" spans="1:24" ht="15.75" customHeight="1">
      <c r="A55" s="101"/>
      <c r="B55" s="32"/>
      <c r="C55" s="71" t="s">
        <v>1489</v>
      </c>
      <c r="D55" s="53" t="s">
        <v>51</v>
      </c>
      <c r="E55" s="53" t="s">
        <v>201</v>
      </c>
      <c r="F55" s="53" t="s">
        <v>202</v>
      </c>
      <c r="G55" s="53" t="s">
        <v>1432</v>
      </c>
      <c r="H55" s="53" t="s">
        <v>30</v>
      </c>
      <c r="I55" s="53">
        <v>1</v>
      </c>
      <c r="J55" s="54">
        <v>6750</v>
      </c>
      <c r="K55" s="54">
        <f t="shared" si="2"/>
        <v>6750</v>
      </c>
      <c r="L55" s="55" t="b">
        <v>1</v>
      </c>
      <c r="M55" s="56">
        <v>110620241500</v>
      </c>
      <c r="N55" s="57" t="b">
        <v>1</v>
      </c>
      <c r="O55" s="58" t="s">
        <v>529</v>
      </c>
      <c r="P55" s="59" t="b">
        <v>1</v>
      </c>
      <c r="Q55" s="129"/>
      <c r="R55" s="60"/>
      <c r="S55" s="47" t="b">
        <v>1</v>
      </c>
      <c r="T55" s="61" t="s">
        <v>1490</v>
      </c>
      <c r="U55" s="54"/>
      <c r="V55" s="54">
        <f t="shared" si="1"/>
        <v>6750</v>
      </c>
      <c r="W55" s="49"/>
      <c r="X55" s="49"/>
    </row>
    <row r="56" spans="1:24" ht="15.75" customHeight="1">
      <c r="A56" s="101"/>
      <c r="B56" s="32"/>
      <c r="C56" s="71" t="s">
        <v>1478</v>
      </c>
      <c r="D56" s="53" t="s">
        <v>104</v>
      </c>
      <c r="E56" s="53" t="s">
        <v>486</v>
      </c>
      <c r="F56" s="66" t="s">
        <v>1491</v>
      </c>
      <c r="G56" s="69" t="s">
        <v>1492</v>
      </c>
      <c r="H56" s="69" t="s">
        <v>30</v>
      </c>
      <c r="I56" s="69">
        <v>1</v>
      </c>
      <c r="J56" s="70">
        <v>3875</v>
      </c>
      <c r="K56" s="54">
        <f t="shared" si="2"/>
        <v>3875</v>
      </c>
      <c r="L56" s="55" t="b">
        <v>1</v>
      </c>
      <c r="M56" s="56">
        <v>110620241516</v>
      </c>
      <c r="N56" s="57" t="b">
        <v>1</v>
      </c>
      <c r="O56" s="58"/>
      <c r="P56" s="59" t="b">
        <v>1</v>
      </c>
      <c r="Q56" s="129"/>
      <c r="R56" s="60"/>
      <c r="S56" s="47" t="b">
        <v>1</v>
      </c>
      <c r="T56" s="61" t="s">
        <v>1493</v>
      </c>
      <c r="U56" s="54">
        <f>1*2640</f>
        <v>2640</v>
      </c>
      <c r="V56" s="54">
        <f t="shared" si="1"/>
        <v>1235</v>
      </c>
      <c r="W56" s="49"/>
      <c r="X56" s="49"/>
    </row>
    <row r="57" spans="1:24" ht="15.75" customHeight="1">
      <c r="A57" s="101"/>
      <c r="B57" s="32"/>
      <c r="C57" s="71" t="s">
        <v>1478</v>
      </c>
      <c r="D57" s="53" t="s">
        <v>104</v>
      </c>
      <c r="E57" s="53" t="s">
        <v>486</v>
      </c>
      <c r="F57" s="66" t="s">
        <v>1491</v>
      </c>
      <c r="G57" s="69" t="s">
        <v>1494</v>
      </c>
      <c r="H57" s="69" t="s">
        <v>30</v>
      </c>
      <c r="I57" s="69">
        <v>2</v>
      </c>
      <c r="J57" s="70">
        <v>2250</v>
      </c>
      <c r="K57" s="54">
        <f t="shared" si="2"/>
        <v>4500</v>
      </c>
      <c r="L57" s="55" t="b">
        <v>1</v>
      </c>
      <c r="M57" s="56">
        <v>110620241517</v>
      </c>
      <c r="N57" s="57" t="b">
        <v>1</v>
      </c>
      <c r="O57" s="58"/>
      <c r="P57" s="59" t="b">
        <v>1</v>
      </c>
      <c r="Q57" s="129"/>
      <c r="R57" s="60"/>
      <c r="S57" s="47" t="b">
        <v>1</v>
      </c>
      <c r="T57" s="61" t="s">
        <v>1495</v>
      </c>
      <c r="U57" s="54">
        <f>2*900</f>
        <v>1800</v>
      </c>
      <c r="V57" s="54">
        <f t="shared" si="1"/>
        <v>2700</v>
      </c>
      <c r="W57" s="49"/>
      <c r="X57" s="49"/>
    </row>
    <row r="58" spans="1:24" ht="15.75" customHeight="1">
      <c r="A58" s="101"/>
      <c r="B58" s="32"/>
      <c r="C58" s="71" t="s">
        <v>1478</v>
      </c>
      <c r="D58" s="53" t="s">
        <v>418</v>
      </c>
      <c r="E58" s="53" t="s">
        <v>42</v>
      </c>
      <c r="F58" s="66" t="s">
        <v>209</v>
      </c>
      <c r="G58" s="69" t="s">
        <v>1470</v>
      </c>
      <c r="H58" s="69" t="s">
        <v>30</v>
      </c>
      <c r="I58" s="69">
        <v>10</v>
      </c>
      <c r="J58" s="70">
        <v>80</v>
      </c>
      <c r="K58" s="54">
        <f t="shared" si="2"/>
        <v>800</v>
      </c>
      <c r="L58" s="55" t="b">
        <v>1</v>
      </c>
      <c r="M58" s="56">
        <v>110620241533</v>
      </c>
      <c r="N58" s="57" t="b">
        <v>1</v>
      </c>
      <c r="O58" s="58" t="s">
        <v>31</v>
      </c>
      <c r="P58" s="59" t="b">
        <v>1</v>
      </c>
      <c r="Q58" s="129"/>
      <c r="R58" s="60"/>
      <c r="S58" s="47" t="b">
        <v>1</v>
      </c>
      <c r="T58" s="61" t="s">
        <v>1496</v>
      </c>
      <c r="U58" s="54">
        <f>10*45</f>
        <v>450</v>
      </c>
      <c r="V58" s="54">
        <f t="shared" si="1"/>
        <v>350</v>
      </c>
      <c r="W58" s="49"/>
      <c r="X58" s="49"/>
    </row>
    <row r="59" spans="1:24" ht="15.75" customHeight="1">
      <c r="A59" s="101"/>
      <c r="B59" s="32"/>
      <c r="C59" s="71" t="s">
        <v>1478</v>
      </c>
      <c r="D59" s="53" t="s">
        <v>418</v>
      </c>
      <c r="E59" s="53" t="s">
        <v>42</v>
      </c>
      <c r="F59" s="66" t="s">
        <v>209</v>
      </c>
      <c r="G59" s="69" t="s">
        <v>1497</v>
      </c>
      <c r="H59" s="69" t="s">
        <v>30</v>
      </c>
      <c r="I59" s="69">
        <v>10</v>
      </c>
      <c r="J59" s="70">
        <v>105</v>
      </c>
      <c r="K59" s="54">
        <f t="shared" si="2"/>
        <v>1050</v>
      </c>
      <c r="L59" s="55" t="b">
        <v>1</v>
      </c>
      <c r="M59" s="56">
        <v>110620241533</v>
      </c>
      <c r="N59" s="57" t="b">
        <v>1</v>
      </c>
      <c r="O59" s="58" t="s">
        <v>31</v>
      </c>
      <c r="P59" s="59" t="b">
        <v>1</v>
      </c>
      <c r="Q59" s="129"/>
      <c r="R59" s="60"/>
      <c r="S59" s="47" t="b">
        <v>1</v>
      </c>
      <c r="T59" s="61" t="s">
        <v>1498</v>
      </c>
      <c r="U59" s="54">
        <f>10*75</f>
        <v>750</v>
      </c>
      <c r="V59" s="54">
        <f t="shared" si="1"/>
        <v>300</v>
      </c>
      <c r="W59" s="49"/>
      <c r="X59" s="49"/>
    </row>
    <row r="60" spans="1:24" ht="16.5" customHeight="1">
      <c r="A60" s="101"/>
      <c r="B60" s="32"/>
      <c r="C60" s="71" t="s">
        <v>1499</v>
      </c>
      <c r="D60" s="53" t="s">
        <v>418</v>
      </c>
      <c r="E60" s="53" t="s">
        <v>1500</v>
      </c>
      <c r="F60" s="66" t="s">
        <v>85</v>
      </c>
      <c r="G60" s="69" t="s">
        <v>1501</v>
      </c>
      <c r="H60" s="69" t="s">
        <v>30</v>
      </c>
      <c r="I60" s="69">
        <v>4</v>
      </c>
      <c r="J60" s="70">
        <v>535</v>
      </c>
      <c r="K60" s="54">
        <f t="shared" si="2"/>
        <v>2140</v>
      </c>
      <c r="L60" s="55" t="b">
        <v>1</v>
      </c>
      <c r="M60" s="56">
        <v>120620240934</v>
      </c>
      <c r="N60" s="57" t="b">
        <v>1</v>
      </c>
      <c r="O60" s="58" t="s">
        <v>31</v>
      </c>
      <c r="P60" s="59" t="b">
        <v>1</v>
      </c>
      <c r="Q60" s="129"/>
      <c r="R60" s="60"/>
      <c r="S60" s="47" t="b">
        <v>1</v>
      </c>
      <c r="T60" s="61" t="s">
        <v>1502</v>
      </c>
      <c r="U60" s="54"/>
      <c r="V60" s="54">
        <f t="shared" si="1"/>
        <v>2140</v>
      </c>
      <c r="W60" s="49"/>
      <c r="X60" s="49"/>
    </row>
    <row r="61" spans="1:24" ht="16.5" customHeight="1">
      <c r="A61" s="101"/>
      <c r="B61" s="32"/>
      <c r="C61" s="71" t="s">
        <v>1499</v>
      </c>
      <c r="D61" s="53" t="s">
        <v>1503</v>
      </c>
      <c r="E61" s="53" t="s">
        <v>1503</v>
      </c>
      <c r="F61" s="66" t="s">
        <v>1504</v>
      </c>
      <c r="G61" s="69" t="s">
        <v>1455</v>
      </c>
      <c r="H61" s="69" t="s">
        <v>30</v>
      </c>
      <c r="I61" s="69">
        <v>6</v>
      </c>
      <c r="J61" s="70">
        <v>670</v>
      </c>
      <c r="K61" s="54">
        <f t="shared" si="2"/>
        <v>4020</v>
      </c>
      <c r="L61" s="55" t="b">
        <v>1</v>
      </c>
      <c r="M61" s="56">
        <v>120620240934</v>
      </c>
      <c r="N61" s="57" t="b">
        <v>1</v>
      </c>
      <c r="O61" s="58"/>
      <c r="P61" s="59" t="b">
        <v>1</v>
      </c>
      <c r="Q61" s="129"/>
      <c r="R61" s="60"/>
      <c r="S61" s="47" t="b">
        <v>1</v>
      </c>
      <c r="T61" s="61" t="s">
        <v>1505</v>
      </c>
      <c r="U61" s="54">
        <f>6*300</f>
        <v>1800</v>
      </c>
      <c r="V61" s="54">
        <f t="shared" si="1"/>
        <v>2220</v>
      </c>
      <c r="W61" s="49"/>
      <c r="X61" s="49"/>
    </row>
    <row r="62" spans="1:24" ht="16.5" customHeight="1">
      <c r="A62" s="101"/>
      <c r="B62" s="32"/>
      <c r="C62" s="71" t="s">
        <v>1499</v>
      </c>
      <c r="D62" s="53" t="s">
        <v>1503</v>
      </c>
      <c r="E62" s="53" t="s">
        <v>1503</v>
      </c>
      <c r="F62" s="66" t="s">
        <v>1504</v>
      </c>
      <c r="G62" s="69" t="s">
        <v>1506</v>
      </c>
      <c r="H62" s="69" t="s">
        <v>30</v>
      </c>
      <c r="I62" s="69">
        <v>6</v>
      </c>
      <c r="J62" s="70">
        <v>718</v>
      </c>
      <c r="K62" s="54">
        <f t="shared" si="2"/>
        <v>4308</v>
      </c>
      <c r="L62" s="55" t="b">
        <v>1</v>
      </c>
      <c r="M62" s="56">
        <v>120620240934</v>
      </c>
      <c r="N62" s="57" t="b">
        <v>1</v>
      </c>
      <c r="O62" s="58"/>
      <c r="P62" s="59" t="b">
        <v>1</v>
      </c>
      <c r="Q62" s="129"/>
      <c r="R62" s="60"/>
      <c r="S62" s="47" t="b">
        <v>1</v>
      </c>
      <c r="T62" s="61" t="s">
        <v>1505</v>
      </c>
      <c r="U62" s="54"/>
      <c r="V62" s="54">
        <f t="shared" si="1"/>
        <v>4308</v>
      </c>
      <c r="W62" s="49"/>
      <c r="X62" s="49"/>
    </row>
    <row r="63" spans="1:24" ht="15.75" customHeight="1">
      <c r="A63" s="101"/>
      <c r="B63" s="32"/>
      <c r="C63" s="71" t="s">
        <v>1499</v>
      </c>
      <c r="D63" s="53" t="s">
        <v>33</v>
      </c>
      <c r="E63" s="53" t="s">
        <v>36</v>
      </c>
      <c r="F63" s="66" t="s">
        <v>715</v>
      </c>
      <c r="G63" s="69" t="s">
        <v>1507</v>
      </c>
      <c r="H63" s="69" t="s">
        <v>30</v>
      </c>
      <c r="I63" s="69">
        <v>200</v>
      </c>
      <c r="J63" s="70">
        <v>8.25</v>
      </c>
      <c r="K63" s="54">
        <f t="shared" si="2"/>
        <v>1650</v>
      </c>
      <c r="L63" s="55" t="b">
        <v>1</v>
      </c>
      <c r="M63" s="56">
        <v>120620241012</v>
      </c>
      <c r="N63" s="57" t="b">
        <v>1</v>
      </c>
      <c r="O63" s="58" t="s">
        <v>351</v>
      </c>
      <c r="P63" s="59" t="b">
        <v>1</v>
      </c>
      <c r="Q63" s="129"/>
      <c r="R63" s="60"/>
      <c r="S63" s="47" t="b">
        <v>1</v>
      </c>
      <c r="T63" s="61" t="s">
        <v>1508</v>
      </c>
      <c r="U63" s="54">
        <f>200*1.25</f>
        <v>250</v>
      </c>
      <c r="V63" s="54">
        <f t="shared" si="1"/>
        <v>1400</v>
      </c>
      <c r="W63" s="49"/>
      <c r="X63" s="49"/>
    </row>
    <row r="64" spans="1:24" ht="15.75" customHeight="1">
      <c r="A64" s="101"/>
      <c r="B64" s="32"/>
      <c r="C64" s="71" t="s">
        <v>1499</v>
      </c>
      <c r="D64" s="53" t="s">
        <v>149</v>
      </c>
      <c r="E64" s="53" t="s">
        <v>130</v>
      </c>
      <c r="F64" s="66" t="s">
        <v>1344</v>
      </c>
      <c r="G64" s="69" t="s">
        <v>1509</v>
      </c>
      <c r="H64" s="69" t="s">
        <v>30</v>
      </c>
      <c r="I64" s="69">
        <v>6</v>
      </c>
      <c r="J64" s="70">
        <v>400</v>
      </c>
      <c r="K64" s="54">
        <f t="shared" si="2"/>
        <v>2400</v>
      </c>
      <c r="L64" s="55" t="b">
        <v>1</v>
      </c>
      <c r="M64" s="56">
        <v>120620241131</v>
      </c>
      <c r="N64" s="57" t="b">
        <v>1</v>
      </c>
      <c r="O64" s="58"/>
      <c r="P64" s="59" t="b">
        <v>1</v>
      </c>
      <c r="Q64" s="129"/>
      <c r="R64" s="60"/>
      <c r="S64" s="47" t="b">
        <v>1</v>
      </c>
      <c r="T64" s="61" t="s">
        <v>1510</v>
      </c>
      <c r="U64" s="54">
        <f>6*50</f>
        <v>300</v>
      </c>
      <c r="V64" s="54">
        <f t="shared" si="1"/>
        <v>2100</v>
      </c>
      <c r="W64" s="49"/>
      <c r="X64" s="49"/>
    </row>
    <row r="65" spans="1:24" ht="15.75" customHeight="1">
      <c r="A65" s="101"/>
      <c r="B65" s="32"/>
      <c r="C65" s="71" t="s">
        <v>1499</v>
      </c>
      <c r="D65" s="53" t="s">
        <v>93</v>
      </c>
      <c r="E65" s="53" t="s">
        <v>137</v>
      </c>
      <c r="F65" s="66" t="s">
        <v>268</v>
      </c>
      <c r="G65" s="66" t="s">
        <v>58</v>
      </c>
      <c r="H65" s="69" t="s">
        <v>30</v>
      </c>
      <c r="I65" s="69">
        <v>84</v>
      </c>
      <c r="J65" s="70">
        <v>35</v>
      </c>
      <c r="K65" s="54">
        <f t="shared" si="2"/>
        <v>2940</v>
      </c>
      <c r="L65" s="55" t="b">
        <v>1</v>
      </c>
      <c r="M65" s="56">
        <v>120620241338</v>
      </c>
      <c r="N65" s="57" t="b">
        <v>1</v>
      </c>
      <c r="O65" s="58" t="s">
        <v>31</v>
      </c>
      <c r="P65" s="59" t="b">
        <v>1</v>
      </c>
      <c r="Q65" s="129"/>
      <c r="R65" s="60"/>
      <c r="S65" s="47" t="b">
        <v>1</v>
      </c>
      <c r="T65" s="61" t="s">
        <v>1511</v>
      </c>
      <c r="U65" s="54">
        <f>84*25</f>
        <v>2100</v>
      </c>
      <c r="V65" s="54">
        <f t="shared" si="1"/>
        <v>840</v>
      </c>
      <c r="W65" s="49"/>
      <c r="X65" s="49"/>
    </row>
    <row r="66" spans="1:24" ht="15.75" customHeight="1">
      <c r="A66" s="101"/>
      <c r="B66" s="32"/>
      <c r="C66" s="71" t="s">
        <v>1499</v>
      </c>
      <c r="D66" s="53" t="s">
        <v>1133</v>
      </c>
      <c r="E66" s="53" t="s">
        <v>1234</v>
      </c>
      <c r="F66" s="66" t="s">
        <v>1512</v>
      </c>
      <c r="G66" s="69" t="s">
        <v>758</v>
      </c>
      <c r="H66" s="69" t="s">
        <v>30</v>
      </c>
      <c r="I66" s="69">
        <v>5</v>
      </c>
      <c r="J66" s="70">
        <v>300</v>
      </c>
      <c r="K66" s="54">
        <f t="shared" si="2"/>
        <v>1500</v>
      </c>
      <c r="L66" s="55" t="b">
        <v>1</v>
      </c>
      <c r="M66" s="56">
        <v>120620241900</v>
      </c>
      <c r="N66" s="57" t="b">
        <v>1</v>
      </c>
      <c r="O66" s="58" t="s">
        <v>31</v>
      </c>
      <c r="P66" s="59" t="b">
        <v>1</v>
      </c>
      <c r="Q66" s="129"/>
      <c r="R66" s="60"/>
      <c r="S66" s="47" t="b">
        <v>1</v>
      </c>
      <c r="T66" s="61" t="s">
        <v>1445</v>
      </c>
      <c r="U66" s="54">
        <f>5*140</f>
        <v>700</v>
      </c>
      <c r="V66" s="54">
        <f t="shared" si="1"/>
        <v>800</v>
      </c>
      <c r="W66" s="49"/>
      <c r="X66" s="49"/>
    </row>
    <row r="67" spans="1:24" ht="15.75" customHeight="1">
      <c r="A67" s="101"/>
      <c r="B67" s="32"/>
      <c r="C67" s="71" t="s">
        <v>1513</v>
      </c>
      <c r="D67" s="53" t="s">
        <v>55</v>
      </c>
      <c r="E67" s="53" t="s">
        <v>56</v>
      </c>
      <c r="F67" s="66" t="s">
        <v>57</v>
      </c>
      <c r="G67" s="69" t="s">
        <v>1514</v>
      </c>
      <c r="H67" s="69" t="s">
        <v>30</v>
      </c>
      <c r="I67" s="69">
        <v>24</v>
      </c>
      <c r="J67" s="70">
        <v>52</v>
      </c>
      <c r="K67" s="54">
        <f t="shared" si="2"/>
        <v>1248</v>
      </c>
      <c r="L67" s="55" t="b">
        <v>1</v>
      </c>
      <c r="M67" s="56">
        <v>140620241430</v>
      </c>
      <c r="N67" s="57" t="b">
        <v>1</v>
      </c>
      <c r="O67" s="58" t="s">
        <v>31</v>
      </c>
      <c r="P67" s="59" t="b">
        <v>1</v>
      </c>
      <c r="Q67" s="129"/>
      <c r="R67" s="60"/>
      <c r="S67" s="47" t="b">
        <v>1</v>
      </c>
      <c r="T67" s="61" t="s">
        <v>1515</v>
      </c>
      <c r="U67" s="54">
        <f>24*34</f>
        <v>816</v>
      </c>
      <c r="V67" s="54">
        <f t="shared" si="1"/>
        <v>432</v>
      </c>
      <c r="W67" s="49"/>
      <c r="X67" s="49"/>
    </row>
    <row r="68" spans="1:24" ht="15.75" customHeight="1">
      <c r="A68" s="101"/>
      <c r="B68" s="32"/>
      <c r="C68" s="71" t="s">
        <v>1513</v>
      </c>
      <c r="D68" s="53" t="s">
        <v>55</v>
      </c>
      <c r="E68" s="53" t="s">
        <v>56</v>
      </c>
      <c r="F68" s="66" t="s">
        <v>57</v>
      </c>
      <c r="G68" s="69" t="s">
        <v>49</v>
      </c>
      <c r="H68" s="69" t="s">
        <v>30</v>
      </c>
      <c r="I68" s="69">
        <v>10</v>
      </c>
      <c r="J68" s="70">
        <v>695</v>
      </c>
      <c r="K68" s="54">
        <f t="shared" si="2"/>
        <v>6950</v>
      </c>
      <c r="L68" s="55" t="b">
        <v>1</v>
      </c>
      <c r="M68" s="56">
        <v>140620241430</v>
      </c>
      <c r="N68" s="57" t="b">
        <v>1</v>
      </c>
      <c r="O68" s="58" t="s">
        <v>31</v>
      </c>
      <c r="P68" s="59" t="b">
        <v>1</v>
      </c>
      <c r="Q68" s="129"/>
      <c r="R68" s="60"/>
      <c r="S68" s="47" t="b">
        <v>1</v>
      </c>
      <c r="T68" s="61" t="s">
        <v>1516</v>
      </c>
      <c r="U68" s="54">
        <f>10000*0.46</f>
        <v>4600</v>
      </c>
      <c r="V68" s="54">
        <f t="shared" si="1"/>
        <v>2350</v>
      </c>
      <c r="W68" s="49"/>
      <c r="X68" s="49"/>
    </row>
    <row r="69" spans="1:24" ht="15.75" customHeight="1">
      <c r="A69" s="101"/>
      <c r="B69" s="32"/>
      <c r="C69" s="71" t="s">
        <v>1513</v>
      </c>
      <c r="D69" s="53" t="s">
        <v>51</v>
      </c>
      <c r="E69" s="53" t="s">
        <v>66</v>
      </c>
      <c r="F69" s="66" t="s">
        <v>1088</v>
      </c>
      <c r="G69" s="69" t="s">
        <v>1517</v>
      </c>
      <c r="H69" s="69" t="s">
        <v>30</v>
      </c>
      <c r="I69" s="69">
        <v>1</v>
      </c>
      <c r="J69" s="70">
        <v>38300</v>
      </c>
      <c r="K69" s="54">
        <f t="shared" si="2"/>
        <v>38300</v>
      </c>
      <c r="L69" s="55" t="b">
        <v>1</v>
      </c>
      <c r="M69" s="56">
        <v>140620241552</v>
      </c>
      <c r="N69" s="57" t="b">
        <v>1</v>
      </c>
      <c r="O69" s="58" t="s">
        <v>351</v>
      </c>
      <c r="P69" s="59" t="b">
        <v>1</v>
      </c>
      <c r="Q69" s="129"/>
      <c r="R69" s="60"/>
      <c r="S69" s="47" t="b">
        <v>1</v>
      </c>
      <c r="T69" s="61" t="s">
        <v>1518</v>
      </c>
      <c r="U69" s="54">
        <v>20000</v>
      </c>
      <c r="V69" s="54">
        <f t="shared" si="1"/>
        <v>18300</v>
      </c>
      <c r="W69" s="49"/>
      <c r="X69" s="49"/>
    </row>
    <row r="70" spans="1:24" ht="15.75" customHeight="1">
      <c r="A70" s="101"/>
      <c r="B70" s="32"/>
      <c r="C70" s="71" t="s">
        <v>1513</v>
      </c>
      <c r="D70" s="53" t="s">
        <v>51</v>
      </c>
      <c r="E70" s="53" t="s">
        <v>335</v>
      </c>
      <c r="F70" s="66" t="s">
        <v>339</v>
      </c>
      <c r="G70" s="161" t="s">
        <v>1519</v>
      </c>
      <c r="H70" s="69" t="s">
        <v>30</v>
      </c>
      <c r="I70" s="69">
        <v>1</v>
      </c>
      <c r="J70" s="70">
        <v>18500</v>
      </c>
      <c r="K70" s="54">
        <f t="shared" si="2"/>
        <v>18500</v>
      </c>
      <c r="L70" s="55" t="b">
        <v>1</v>
      </c>
      <c r="M70" s="56">
        <v>140620241552</v>
      </c>
      <c r="N70" s="57" t="b">
        <v>1</v>
      </c>
      <c r="O70" s="58" t="s">
        <v>39</v>
      </c>
      <c r="P70" s="59" t="b">
        <v>1</v>
      </c>
      <c r="Q70" s="129"/>
      <c r="R70" s="60"/>
      <c r="S70" s="47" t="b">
        <v>1</v>
      </c>
      <c r="T70" s="61" t="s">
        <v>1520</v>
      </c>
      <c r="U70" s="54">
        <v>11000</v>
      </c>
      <c r="V70" s="54">
        <f t="shared" si="1"/>
        <v>7500</v>
      </c>
      <c r="W70" s="49"/>
      <c r="X70" s="49"/>
    </row>
    <row r="71" spans="1:24" ht="15.75" customHeight="1">
      <c r="A71" s="101"/>
      <c r="B71" s="32"/>
      <c r="C71" s="71" t="s">
        <v>1521</v>
      </c>
      <c r="D71" s="53" t="s">
        <v>26</v>
      </c>
      <c r="E71" s="53" t="s">
        <v>386</v>
      </c>
      <c r="F71" s="66" t="s">
        <v>733</v>
      </c>
      <c r="G71" s="69" t="s">
        <v>321</v>
      </c>
      <c r="H71" s="69" t="s">
        <v>30</v>
      </c>
      <c r="I71" s="69">
        <v>84</v>
      </c>
      <c r="J71" s="70">
        <v>35</v>
      </c>
      <c r="K71" s="54">
        <f t="shared" si="2"/>
        <v>2940</v>
      </c>
      <c r="L71" s="55" t="b">
        <v>1</v>
      </c>
      <c r="M71" s="56">
        <v>200620241545</v>
      </c>
      <c r="N71" s="57" t="b">
        <v>1</v>
      </c>
      <c r="O71" s="58" t="s">
        <v>529</v>
      </c>
      <c r="P71" s="59" t="b">
        <v>1</v>
      </c>
      <c r="Q71" s="129"/>
      <c r="R71" s="60"/>
      <c r="S71" s="47" t="b">
        <v>1</v>
      </c>
      <c r="T71" s="61" t="s">
        <v>1522</v>
      </c>
      <c r="U71" s="54">
        <f>84*25</f>
        <v>2100</v>
      </c>
      <c r="V71" s="54">
        <f t="shared" si="1"/>
        <v>840</v>
      </c>
      <c r="W71" s="49"/>
      <c r="X71" s="49"/>
    </row>
    <row r="72" spans="1:24" ht="15.75" customHeight="1">
      <c r="A72" s="101"/>
      <c r="B72" s="32"/>
      <c r="C72" s="71" t="s">
        <v>1523</v>
      </c>
      <c r="D72" s="53" t="s">
        <v>51</v>
      </c>
      <c r="E72" s="53" t="s">
        <v>66</v>
      </c>
      <c r="F72" s="66" t="s">
        <v>67</v>
      </c>
      <c r="G72" s="69" t="s">
        <v>68</v>
      </c>
      <c r="H72" s="69" t="s">
        <v>30</v>
      </c>
      <c r="I72" s="69">
        <v>9000</v>
      </c>
      <c r="J72" s="70">
        <v>0.75</v>
      </c>
      <c r="K72" s="54">
        <f t="shared" si="2"/>
        <v>6750</v>
      </c>
      <c r="L72" s="55" t="b">
        <v>1</v>
      </c>
      <c r="M72" s="56">
        <v>240620240913</v>
      </c>
      <c r="N72" s="57" t="b">
        <v>1</v>
      </c>
      <c r="O72" s="58"/>
      <c r="P72" s="59" t="b">
        <v>1</v>
      </c>
      <c r="Q72" s="129"/>
      <c r="R72" s="60"/>
      <c r="S72" s="47" t="b">
        <v>1</v>
      </c>
      <c r="T72" s="61" t="s">
        <v>1524</v>
      </c>
      <c r="U72" s="54">
        <f>9000*0.3194</f>
        <v>2874.6000000000004</v>
      </c>
      <c r="V72" s="54">
        <f t="shared" si="1"/>
        <v>3875.3999999999996</v>
      </c>
      <c r="W72" s="49"/>
      <c r="X72" s="49"/>
    </row>
    <row r="73" spans="1:24" ht="15.75" customHeight="1">
      <c r="A73" s="101"/>
      <c r="B73" s="32"/>
      <c r="C73" s="71" t="s">
        <v>1523</v>
      </c>
      <c r="D73" s="53" t="s">
        <v>51</v>
      </c>
      <c r="E73" s="53" t="s">
        <v>89</v>
      </c>
      <c r="F73" s="66" t="s">
        <v>90</v>
      </c>
      <c r="G73" s="69" t="s">
        <v>758</v>
      </c>
      <c r="H73" s="69" t="s">
        <v>30</v>
      </c>
      <c r="I73" s="69">
        <v>20</v>
      </c>
      <c r="J73" s="70">
        <v>300</v>
      </c>
      <c r="K73" s="54">
        <f t="shared" si="2"/>
        <v>6000</v>
      </c>
      <c r="L73" s="55" t="b">
        <v>1</v>
      </c>
      <c r="M73" s="56">
        <v>240620240914</v>
      </c>
      <c r="N73" s="57" t="b">
        <v>1</v>
      </c>
      <c r="O73" s="58" t="s">
        <v>31</v>
      </c>
      <c r="P73" s="59" t="b">
        <v>1</v>
      </c>
      <c r="Q73" s="129"/>
      <c r="R73" s="60"/>
      <c r="S73" s="47" t="b">
        <v>1</v>
      </c>
      <c r="T73" s="61" t="s">
        <v>1525</v>
      </c>
      <c r="U73" s="54">
        <f>20*145</f>
        <v>2900</v>
      </c>
      <c r="V73" s="54">
        <f t="shared" si="1"/>
        <v>3100</v>
      </c>
      <c r="W73" s="49"/>
      <c r="X73" s="49"/>
    </row>
    <row r="74" spans="1:24" ht="15.75" customHeight="1">
      <c r="A74" s="101"/>
      <c r="B74" s="32"/>
      <c r="C74" s="71" t="s">
        <v>1523</v>
      </c>
      <c r="D74" s="53" t="s">
        <v>51</v>
      </c>
      <c r="E74" s="53" t="s">
        <v>89</v>
      </c>
      <c r="F74" s="66" t="s">
        <v>90</v>
      </c>
      <c r="G74" s="69" t="s">
        <v>760</v>
      </c>
      <c r="H74" s="69" t="s">
        <v>30</v>
      </c>
      <c r="I74" s="69">
        <v>20</v>
      </c>
      <c r="J74" s="70">
        <v>115</v>
      </c>
      <c r="K74" s="54">
        <f t="shared" si="2"/>
        <v>2300</v>
      </c>
      <c r="L74" s="55" t="b">
        <v>1</v>
      </c>
      <c r="M74" s="56">
        <v>240620240916</v>
      </c>
      <c r="N74" s="57" t="b">
        <v>1</v>
      </c>
      <c r="O74" s="58" t="s">
        <v>31</v>
      </c>
      <c r="P74" s="59" t="b">
        <v>1</v>
      </c>
      <c r="Q74" s="129"/>
      <c r="R74" s="60"/>
      <c r="S74" s="47" t="b">
        <v>1</v>
      </c>
      <c r="T74" s="61" t="s">
        <v>1525</v>
      </c>
      <c r="U74" s="54">
        <f>20*75</f>
        <v>1500</v>
      </c>
      <c r="V74" s="54">
        <f t="shared" si="1"/>
        <v>800</v>
      </c>
      <c r="W74" s="49"/>
      <c r="X74" s="49"/>
    </row>
    <row r="75" spans="1:24" ht="15.75" customHeight="1">
      <c r="A75" s="101"/>
      <c r="B75" s="32"/>
      <c r="C75" s="71" t="s">
        <v>1523</v>
      </c>
      <c r="D75" s="53" t="s">
        <v>108</v>
      </c>
      <c r="E75" s="53" t="s">
        <v>109</v>
      </c>
      <c r="F75" s="66" t="s">
        <v>110</v>
      </c>
      <c r="G75" s="69" t="s">
        <v>229</v>
      </c>
      <c r="H75" s="69" t="s">
        <v>30</v>
      </c>
      <c r="I75" s="69">
        <v>4</v>
      </c>
      <c r="J75" s="70">
        <v>535</v>
      </c>
      <c r="K75" s="54">
        <f t="shared" si="2"/>
        <v>2140</v>
      </c>
      <c r="L75" s="55" t="b">
        <v>1</v>
      </c>
      <c r="M75" s="56">
        <v>240620240924</v>
      </c>
      <c r="N75" s="57" t="b">
        <v>1</v>
      </c>
      <c r="O75" s="58" t="s">
        <v>31</v>
      </c>
      <c r="P75" s="59" t="b">
        <v>1</v>
      </c>
      <c r="Q75" s="129"/>
      <c r="R75" s="60"/>
      <c r="S75" s="47" t="b">
        <v>1</v>
      </c>
      <c r="T75" s="61" t="s">
        <v>1526</v>
      </c>
      <c r="U75" s="54"/>
      <c r="V75" s="54">
        <f t="shared" si="1"/>
        <v>2140</v>
      </c>
      <c r="W75" s="49"/>
      <c r="X75" s="49"/>
    </row>
    <row r="76" spans="1:24" ht="15.75" customHeight="1">
      <c r="A76" s="1"/>
      <c r="B76" s="32"/>
      <c r="C76" s="71" t="s">
        <v>1523</v>
      </c>
      <c r="D76" s="53" t="s">
        <v>418</v>
      </c>
      <c r="E76" s="53" t="s">
        <v>84</v>
      </c>
      <c r="F76" s="66" t="s">
        <v>85</v>
      </c>
      <c r="G76" s="69" t="s">
        <v>124</v>
      </c>
      <c r="H76" s="69" t="s">
        <v>30</v>
      </c>
      <c r="I76" s="69">
        <v>4</v>
      </c>
      <c r="J76" s="70">
        <v>585</v>
      </c>
      <c r="K76" s="54">
        <f t="shared" si="2"/>
        <v>2340</v>
      </c>
      <c r="L76" s="55" t="b">
        <v>1</v>
      </c>
      <c r="M76" s="56">
        <v>240620241004</v>
      </c>
      <c r="N76" s="57" t="b">
        <v>1</v>
      </c>
      <c r="O76" s="58" t="s">
        <v>31</v>
      </c>
      <c r="P76" s="59" t="b">
        <v>1</v>
      </c>
      <c r="Q76" s="129"/>
      <c r="R76" s="60"/>
      <c r="S76" s="47" t="b">
        <v>1</v>
      </c>
      <c r="T76" s="61" t="s">
        <v>1527</v>
      </c>
      <c r="U76" s="54"/>
      <c r="V76" s="54">
        <f t="shared" si="1"/>
        <v>2340</v>
      </c>
      <c r="W76" s="49"/>
      <c r="X76" s="49"/>
    </row>
    <row r="77" spans="1:24" ht="15.75" customHeight="1">
      <c r="A77" s="101"/>
      <c r="B77" s="32"/>
      <c r="C77" s="71" t="s">
        <v>1523</v>
      </c>
      <c r="D77" s="53" t="s">
        <v>51</v>
      </c>
      <c r="E77" s="53" t="s">
        <v>89</v>
      </c>
      <c r="F77" s="66" t="s">
        <v>90</v>
      </c>
      <c r="G77" s="69" t="s">
        <v>374</v>
      </c>
      <c r="H77" s="69" t="s">
        <v>30</v>
      </c>
      <c r="I77" s="69">
        <v>100</v>
      </c>
      <c r="J77" s="70">
        <v>30</v>
      </c>
      <c r="K77" s="54">
        <f t="shared" si="2"/>
        <v>3000</v>
      </c>
      <c r="L77" s="55" t="b">
        <v>1</v>
      </c>
      <c r="M77" s="56">
        <v>240620241030</v>
      </c>
      <c r="N77" s="57" t="b">
        <v>1</v>
      </c>
      <c r="O77" s="58"/>
      <c r="P77" s="59" t="b">
        <v>1</v>
      </c>
      <c r="Q77" s="129"/>
      <c r="R77" s="60"/>
      <c r="S77" s="47" t="b">
        <v>1</v>
      </c>
      <c r="T77" s="61" t="s">
        <v>1528</v>
      </c>
      <c r="U77" s="54">
        <f>100*8</f>
        <v>800</v>
      </c>
      <c r="V77" s="54">
        <f t="shared" si="1"/>
        <v>2200</v>
      </c>
      <c r="W77" s="49"/>
      <c r="X77" s="49"/>
    </row>
    <row r="78" spans="1:24" ht="15.75" customHeight="1">
      <c r="A78" s="101"/>
      <c r="B78" s="32"/>
      <c r="C78" s="71" t="s">
        <v>1523</v>
      </c>
      <c r="D78" s="53" t="s">
        <v>51</v>
      </c>
      <c r="E78" s="53" t="s">
        <v>201</v>
      </c>
      <c r="F78" s="66" t="s">
        <v>202</v>
      </c>
      <c r="G78" s="69" t="s">
        <v>512</v>
      </c>
      <c r="H78" s="69" t="s">
        <v>30</v>
      </c>
      <c r="I78" s="69">
        <v>15</v>
      </c>
      <c r="J78" s="70">
        <v>525</v>
      </c>
      <c r="K78" s="54">
        <f t="shared" si="2"/>
        <v>7875</v>
      </c>
      <c r="L78" s="55" t="b">
        <v>1</v>
      </c>
      <c r="M78" s="56">
        <v>240620241137</v>
      </c>
      <c r="N78" s="57" t="b">
        <v>1</v>
      </c>
      <c r="O78" s="58" t="s">
        <v>31</v>
      </c>
      <c r="P78" s="59" t="b">
        <v>1</v>
      </c>
      <c r="Q78" s="129"/>
      <c r="R78" s="60"/>
      <c r="S78" s="47" t="b">
        <v>1</v>
      </c>
      <c r="T78" s="61" t="s">
        <v>1529</v>
      </c>
      <c r="U78" s="54">
        <f>15*350</f>
        <v>5250</v>
      </c>
      <c r="V78" s="54">
        <f t="shared" si="1"/>
        <v>2625</v>
      </c>
      <c r="W78" s="49"/>
      <c r="X78" s="49"/>
    </row>
    <row r="79" spans="1:24" ht="15.75" customHeight="1">
      <c r="A79" s="101"/>
      <c r="B79" s="32"/>
      <c r="C79" s="71" t="s">
        <v>1523</v>
      </c>
      <c r="D79" s="53" t="s">
        <v>51</v>
      </c>
      <c r="E79" s="53" t="s">
        <v>201</v>
      </c>
      <c r="F79" s="66" t="s">
        <v>202</v>
      </c>
      <c r="G79" s="69" t="s">
        <v>236</v>
      </c>
      <c r="H79" s="69" t="s">
        <v>30</v>
      </c>
      <c r="I79" s="69">
        <v>24</v>
      </c>
      <c r="J79" s="70">
        <v>140</v>
      </c>
      <c r="K79" s="54">
        <f t="shared" si="2"/>
        <v>3360</v>
      </c>
      <c r="L79" s="55" t="b">
        <v>1</v>
      </c>
      <c r="M79" s="56">
        <v>240620241137</v>
      </c>
      <c r="N79" s="57" t="b">
        <v>1</v>
      </c>
      <c r="O79" s="58" t="s">
        <v>31</v>
      </c>
      <c r="P79" s="59" t="b">
        <v>1</v>
      </c>
      <c r="Q79" s="129"/>
      <c r="R79" s="60"/>
      <c r="S79" s="47" t="b">
        <v>1</v>
      </c>
      <c r="T79" s="61" t="s">
        <v>1529</v>
      </c>
      <c r="U79" s="54">
        <f>24*105</f>
        <v>2520</v>
      </c>
      <c r="V79" s="54">
        <f t="shared" si="1"/>
        <v>840</v>
      </c>
      <c r="W79" s="49"/>
      <c r="X79" s="49"/>
    </row>
    <row r="80" spans="1:24" ht="15.75" customHeight="1">
      <c r="A80" s="101"/>
      <c r="B80" s="32"/>
      <c r="C80" s="71" t="s">
        <v>1530</v>
      </c>
      <c r="D80" s="53" t="s">
        <v>750</v>
      </c>
      <c r="E80" s="53" t="s">
        <v>706</v>
      </c>
      <c r="F80" s="66" t="s">
        <v>707</v>
      </c>
      <c r="G80" s="69" t="s">
        <v>49</v>
      </c>
      <c r="H80" s="69" t="s">
        <v>30</v>
      </c>
      <c r="I80" s="69">
        <v>5</v>
      </c>
      <c r="J80" s="70">
        <v>695</v>
      </c>
      <c r="K80" s="54">
        <f t="shared" si="2"/>
        <v>3475</v>
      </c>
      <c r="L80" s="55" t="b">
        <v>1</v>
      </c>
      <c r="M80" s="56">
        <v>250620241202</v>
      </c>
      <c r="N80" s="57" t="b">
        <v>1</v>
      </c>
      <c r="O80" s="58" t="s">
        <v>31</v>
      </c>
      <c r="P80" s="59" t="b">
        <v>1</v>
      </c>
      <c r="Q80" s="129"/>
      <c r="R80" s="60"/>
      <c r="S80" s="47" t="b">
        <v>1</v>
      </c>
      <c r="T80" s="61" t="s">
        <v>1531</v>
      </c>
      <c r="U80" s="54">
        <f>5000*0.46</f>
        <v>2300</v>
      </c>
      <c r="V80" s="54">
        <f t="shared" si="1"/>
        <v>1175</v>
      </c>
      <c r="W80" s="49"/>
      <c r="X80" s="49"/>
    </row>
    <row r="81" spans="1:24" ht="15.75" customHeight="1">
      <c r="A81" s="101"/>
      <c r="B81" s="32"/>
      <c r="C81" s="71" t="s">
        <v>1530</v>
      </c>
      <c r="D81" s="53" t="s">
        <v>46</v>
      </c>
      <c r="E81" s="53" t="s">
        <v>47</v>
      </c>
      <c r="F81" s="66" t="s">
        <v>48</v>
      </c>
      <c r="G81" s="69" t="s">
        <v>49</v>
      </c>
      <c r="H81" s="69" t="s">
        <v>30</v>
      </c>
      <c r="I81" s="69">
        <v>10</v>
      </c>
      <c r="J81" s="70">
        <v>695</v>
      </c>
      <c r="K81" s="54">
        <f t="shared" si="2"/>
        <v>6950</v>
      </c>
      <c r="L81" s="55" t="b">
        <v>1</v>
      </c>
      <c r="M81" s="56">
        <v>250620241309</v>
      </c>
      <c r="N81" s="57" t="b">
        <v>1</v>
      </c>
      <c r="O81" s="58" t="s">
        <v>31</v>
      </c>
      <c r="P81" s="59" t="b">
        <v>1</v>
      </c>
      <c r="Q81" s="129"/>
      <c r="R81" s="60"/>
      <c r="S81" s="47" t="b">
        <v>1</v>
      </c>
      <c r="T81" s="61" t="s">
        <v>1532</v>
      </c>
      <c r="U81" s="54">
        <f>10000*0.46</f>
        <v>4600</v>
      </c>
      <c r="V81" s="54">
        <f t="shared" si="1"/>
        <v>2350</v>
      </c>
      <c r="W81" s="49"/>
      <c r="X81" s="49"/>
    </row>
    <row r="82" spans="1:24" ht="15.75" customHeight="1">
      <c r="A82" s="101"/>
      <c r="B82" s="32"/>
      <c r="C82" s="71" t="s">
        <v>1530</v>
      </c>
      <c r="D82" s="53" t="s">
        <v>51</v>
      </c>
      <c r="E82" s="53" t="s">
        <v>66</v>
      </c>
      <c r="F82" s="66" t="s">
        <v>67</v>
      </c>
      <c r="G82" s="69" t="s">
        <v>1533</v>
      </c>
      <c r="H82" s="69" t="s">
        <v>30</v>
      </c>
      <c r="I82" s="69">
        <v>5</v>
      </c>
      <c r="J82" s="70">
        <v>745</v>
      </c>
      <c r="K82" s="54">
        <f t="shared" si="2"/>
        <v>3725</v>
      </c>
      <c r="L82" s="55" t="b">
        <v>1</v>
      </c>
      <c r="M82" s="56">
        <v>250620241503</v>
      </c>
      <c r="N82" s="57" t="b">
        <v>1</v>
      </c>
      <c r="O82" s="58"/>
      <c r="P82" s="59" t="b">
        <v>1</v>
      </c>
      <c r="Q82" s="149"/>
      <c r="R82" s="60"/>
      <c r="S82" s="47" t="b">
        <v>1</v>
      </c>
      <c r="T82" s="61" t="s">
        <v>1534</v>
      </c>
      <c r="U82" s="54">
        <f>5*455</f>
        <v>2275</v>
      </c>
      <c r="V82" s="54">
        <f t="shared" si="1"/>
        <v>1450</v>
      </c>
      <c r="W82" s="49"/>
      <c r="X82" s="49"/>
    </row>
    <row r="83" spans="1:24" ht="15.75" customHeight="1">
      <c r="A83" s="101"/>
      <c r="B83" s="32"/>
      <c r="C83" s="71" t="s">
        <v>1530</v>
      </c>
      <c r="D83" s="53" t="s">
        <v>51</v>
      </c>
      <c r="E83" s="53" t="s">
        <v>66</v>
      </c>
      <c r="F83" s="66" t="s">
        <v>67</v>
      </c>
      <c r="G83" s="69" t="s">
        <v>1535</v>
      </c>
      <c r="H83" s="69" t="s">
        <v>30</v>
      </c>
      <c r="I83" s="69">
        <v>3</v>
      </c>
      <c r="J83" s="70">
        <v>1200</v>
      </c>
      <c r="K83" s="54">
        <f t="shared" si="2"/>
        <v>3600</v>
      </c>
      <c r="L83" s="55" t="b">
        <v>1</v>
      </c>
      <c r="M83" s="56">
        <v>250620241505</v>
      </c>
      <c r="N83" s="57" t="b">
        <v>1</v>
      </c>
      <c r="O83" s="58" t="s">
        <v>351</v>
      </c>
      <c r="P83" s="59" t="b">
        <v>1</v>
      </c>
      <c r="Q83" s="129"/>
      <c r="R83" s="60"/>
      <c r="S83" s="47" t="b">
        <v>1</v>
      </c>
      <c r="T83" s="61" t="s">
        <v>1536</v>
      </c>
      <c r="U83" s="54">
        <f>3*730.7391</f>
        <v>2192.2173000000003</v>
      </c>
      <c r="V83" s="54">
        <f t="shared" si="1"/>
        <v>1407.7826999999997</v>
      </c>
      <c r="W83" s="49"/>
      <c r="X83" s="49"/>
    </row>
    <row r="84" spans="1:24" ht="15.75" customHeight="1">
      <c r="A84" s="101"/>
      <c r="B84" s="32"/>
      <c r="C84" s="71" t="s">
        <v>1530</v>
      </c>
      <c r="D84" s="53" t="s">
        <v>104</v>
      </c>
      <c r="E84" s="53" t="s">
        <v>486</v>
      </c>
      <c r="F84" s="66" t="s">
        <v>241</v>
      </c>
      <c r="G84" s="69" t="s">
        <v>1537</v>
      </c>
      <c r="H84" s="69" t="s">
        <v>30</v>
      </c>
      <c r="I84" s="69">
        <v>3000</v>
      </c>
      <c r="J84" s="70">
        <v>0.75</v>
      </c>
      <c r="K84" s="54">
        <f t="shared" si="2"/>
        <v>2250</v>
      </c>
      <c r="L84" s="55" t="b">
        <v>1</v>
      </c>
      <c r="M84" s="56">
        <v>250620241715</v>
      </c>
      <c r="N84" s="57" t="b">
        <v>1</v>
      </c>
      <c r="O84" s="58" t="s">
        <v>31</v>
      </c>
      <c r="P84" s="59" t="b">
        <v>1</v>
      </c>
      <c r="Q84" s="129"/>
      <c r="R84" s="60"/>
      <c r="S84" s="47" t="b">
        <v>1</v>
      </c>
      <c r="T84" s="61" t="s">
        <v>1538</v>
      </c>
      <c r="U84" s="54">
        <f>3000*0.3194</f>
        <v>958.2</v>
      </c>
      <c r="V84" s="54">
        <f t="shared" si="1"/>
        <v>1291.8</v>
      </c>
      <c r="W84" s="49"/>
      <c r="X84" s="49"/>
    </row>
    <row r="85" spans="1:24" ht="15.75" customHeight="1">
      <c r="A85" s="101"/>
      <c r="B85" s="32"/>
      <c r="C85" s="71" t="s">
        <v>1530</v>
      </c>
      <c r="D85" s="53" t="s">
        <v>104</v>
      </c>
      <c r="E85" s="53" t="s">
        <v>486</v>
      </c>
      <c r="F85" s="66" t="s">
        <v>241</v>
      </c>
      <c r="G85" s="69" t="s">
        <v>1539</v>
      </c>
      <c r="H85" s="69" t="s">
        <v>30</v>
      </c>
      <c r="I85" s="69">
        <v>10</v>
      </c>
      <c r="J85" s="70">
        <v>295</v>
      </c>
      <c r="K85" s="54">
        <f t="shared" si="2"/>
        <v>2950</v>
      </c>
      <c r="L85" s="55" t="b">
        <v>1</v>
      </c>
      <c r="M85" s="56">
        <v>250620241715</v>
      </c>
      <c r="N85" s="57" t="b">
        <v>1</v>
      </c>
      <c r="O85" s="58" t="s">
        <v>31</v>
      </c>
      <c r="P85" s="59" t="b">
        <v>1</v>
      </c>
      <c r="Q85" s="129"/>
      <c r="R85" s="60"/>
      <c r="S85" s="47" t="b">
        <v>1</v>
      </c>
      <c r="T85" s="61" t="s">
        <v>1538</v>
      </c>
      <c r="U85" s="54"/>
      <c r="V85" s="54">
        <f t="shared" si="1"/>
        <v>2950</v>
      </c>
      <c r="W85" s="49"/>
      <c r="X85" s="49"/>
    </row>
    <row r="86" spans="1:24" ht="15.75" customHeight="1">
      <c r="A86" s="101"/>
      <c r="B86" s="32"/>
      <c r="C86" s="71" t="s">
        <v>1530</v>
      </c>
      <c r="D86" s="53" t="s">
        <v>108</v>
      </c>
      <c r="E86" s="53" t="s">
        <v>109</v>
      </c>
      <c r="F86" s="66" t="s">
        <v>110</v>
      </c>
      <c r="G86" s="69" t="s">
        <v>124</v>
      </c>
      <c r="H86" s="69" t="s">
        <v>30</v>
      </c>
      <c r="I86" s="69">
        <v>2</v>
      </c>
      <c r="J86" s="70">
        <v>585</v>
      </c>
      <c r="K86" s="54">
        <f t="shared" si="2"/>
        <v>1170</v>
      </c>
      <c r="L86" s="55" t="b">
        <v>1</v>
      </c>
      <c r="M86" s="56">
        <v>250620241832</v>
      </c>
      <c r="N86" s="57" t="b">
        <v>1</v>
      </c>
      <c r="O86" s="58"/>
      <c r="P86" s="59" t="b">
        <v>1</v>
      </c>
      <c r="Q86" s="129"/>
      <c r="R86" s="60"/>
      <c r="S86" s="47" t="b">
        <v>1</v>
      </c>
      <c r="T86" s="61" t="s">
        <v>1540</v>
      </c>
      <c r="U86" s="54"/>
      <c r="V86" s="54">
        <f t="shared" si="1"/>
        <v>1170</v>
      </c>
      <c r="W86" s="49"/>
      <c r="X86" s="49"/>
    </row>
    <row r="87" spans="1:24" ht="15.75" customHeight="1">
      <c r="A87" s="101"/>
      <c r="B87" s="32"/>
      <c r="C87" s="71" t="s">
        <v>1530</v>
      </c>
      <c r="D87" s="53" t="s">
        <v>144</v>
      </c>
      <c r="E87" s="53" t="s">
        <v>1541</v>
      </c>
      <c r="F87" s="66" t="s">
        <v>1542</v>
      </c>
      <c r="G87" s="69" t="s">
        <v>1543</v>
      </c>
      <c r="H87" s="69" t="s">
        <v>30</v>
      </c>
      <c r="I87" s="69">
        <v>5</v>
      </c>
      <c r="J87" s="70">
        <v>1100</v>
      </c>
      <c r="K87" s="54">
        <f t="shared" si="2"/>
        <v>5500</v>
      </c>
      <c r="L87" s="55" t="b">
        <v>1</v>
      </c>
      <c r="M87" s="56">
        <v>250620242032</v>
      </c>
      <c r="N87" s="57" t="b">
        <v>1</v>
      </c>
      <c r="O87" s="58" t="s">
        <v>31</v>
      </c>
      <c r="P87" s="59" t="b">
        <v>1</v>
      </c>
      <c r="Q87" s="129"/>
      <c r="R87" s="60"/>
      <c r="S87" s="47" t="b">
        <v>1</v>
      </c>
      <c r="T87" s="61" t="s">
        <v>1544</v>
      </c>
      <c r="U87" s="54"/>
      <c r="V87" s="54">
        <f t="shared" si="1"/>
        <v>5500</v>
      </c>
      <c r="W87" s="49"/>
      <c r="X87" s="49"/>
    </row>
    <row r="88" spans="1:24" ht="15.75" customHeight="1">
      <c r="A88" s="101"/>
      <c r="B88" s="32"/>
      <c r="C88" s="71" t="s">
        <v>1530</v>
      </c>
      <c r="D88" s="53" t="s">
        <v>171</v>
      </c>
      <c r="E88" s="53" t="s">
        <v>137</v>
      </c>
      <c r="F88" s="66" t="s">
        <v>1545</v>
      </c>
      <c r="G88" s="69" t="s">
        <v>1546</v>
      </c>
      <c r="H88" s="69" t="s">
        <v>30</v>
      </c>
      <c r="I88" s="69">
        <v>3</v>
      </c>
      <c r="J88" s="70">
        <v>100</v>
      </c>
      <c r="K88" s="54">
        <f t="shared" si="2"/>
        <v>300</v>
      </c>
      <c r="L88" s="55" t="b">
        <v>1</v>
      </c>
      <c r="M88" s="56">
        <v>250620242032</v>
      </c>
      <c r="N88" s="57" t="b">
        <v>1</v>
      </c>
      <c r="O88" s="58" t="s">
        <v>31</v>
      </c>
      <c r="P88" s="59" t="b">
        <v>1</v>
      </c>
      <c r="Q88" s="129"/>
      <c r="R88" s="60"/>
      <c r="S88" s="47" t="b">
        <v>1</v>
      </c>
      <c r="T88" s="61" t="s">
        <v>1547</v>
      </c>
      <c r="U88" s="54">
        <f>3*40</f>
        <v>120</v>
      </c>
      <c r="V88" s="54">
        <f t="shared" si="1"/>
        <v>180</v>
      </c>
      <c r="W88" s="49"/>
      <c r="X88" s="49"/>
    </row>
    <row r="89" spans="1:24" ht="15.75" customHeight="1">
      <c r="A89" s="101"/>
      <c r="B89" s="32"/>
      <c r="C89" s="71" t="s">
        <v>1530</v>
      </c>
      <c r="D89" s="53" t="s">
        <v>438</v>
      </c>
      <c r="E89" s="53" t="s">
        <v>439</v>
      </c>
      <c r="F89" s="66" t="s">
        <v>440</v>
      </c>
      <c r="G89" s="69" t="s">
        <v>49</v>
      </c>
      <c r="H89" s="69" t="s">
        <v>30</v>
      </c>
      <c r="I89" s="69">
        <v>10</v>
      </c>
      <c r="J89" s="70">
        <v>695</v>
      </c>
      <c r="K89" s="54">
        <f t="shared" si="2"/>
        <v>6950</v>
      </c>
      <c r="L89" s="55" t="b">
        <v>1</v>
      </c>
      <c r="M89" s="56">
        <v>250620242035</v>
      </c>
      <c r="N89" s="57" t="b">
        <v>1</v>
      </c>
      <c r="O89" s="58" t="s">
        <v>31</v>
      </c>
      <c r="P89" s="59" t="b">
        <v>1</v>
      </c>
      <c r="Q89" s="129"/>
      <c r="R89" s="60"/>
      <c r="S89" s="47" t="b">
        <v>1</v>
      </c>
      <c r="T89" s="61" t="s">
        <v>1548</v>
      </c>
      <c r="U89" s="54">
        <f>10000*0.46</f>
        <v>4600</v>
      </c>
      <c r="V89" s="54">
        <f t="shared" si="1"/>
        <v>2350</v>
      </c>
      <c r="W89" s="49"/>
      <c r="X89" s="49"/>
    </row>
    <row r="90" spans="1:24" ht="15.75" customHeight="1">
      <c r="A90" s="101"/>
      <c r="B90" s="32"/>
      <c r="C90" s="71" t="s">
        <v>846</v>
      </c>
      <c r="D90" s="53" t="s">
        <v>418</v>
      </c>
      <c r="E90" s="53" t="s">
        <v>1549</v>
      </c>
      <c r="F90" s="151" t="s">
        <v>1550</v>
      </c>
      <c r="G90" s="69" t="s">
        <v>101</v>
      </c>
      <c r="H90" s="69" t="s">
        <v>30</v>
      </c>
      <c r="I90" s="69">
        <v>10</v>
      </c>
      <c r="J90" s="70">
        <v>685</v>
      </c>
      <c r="K90" s="54">
        <f t="shared" si="2"/>
        <v>6850</v>
      </c>
      <c r="L90" s="55" t="b">
        <v>1</v>
      </c>
      <c r="M90" s="56">
        <v>260620241757</v>
      </c>
      <c r="N90" s="57" t="b">
        <v>1</v>
      </c>
      <c r="O90" s="58" t="s">
        <v>31</v>
      </c>
      <c r="P90" s="59" t="b">
        <v>1</v>
      </c>
      <c r="Q90" s="129"/>
      <c r="R90" s="60"/>
      <c r="S90" s="47" t="b">
        <v>1</v>
      </c>
      <c r="T90" s="61" t="s">
        <v>1551</v>
      </c>
      <c r="U90" s="54"/>
      <c r="V90" s="54">
        <f t="shared" si="1"/>
        <v>6850</v>
      </c>
      <c r="W90" s="49"/>
      <c r="X90" s="49"/>
    </row>
    <row r="91" spans="1:24" ht="15.75" customHeight="1">
      <c r="A91" s="101"/>
      <c r="B91" s="32"/>
      <c r="C91" s="71" t="s">
        <v>846</v>
      </c>
      <c r="D91" s="53" t="s">
        <v>55</v>
      </c>
      <c r="E91" s="53">
        <v>41</v>
      </c>
      <c r="F91" s="151" t="s">
        <v>1552</v>
      </c>
      <c r="G91" s="69" t="s">
        <v>236</v>
      </c>
      <c r="H91" s="69" t="s">
        <v>30</v>
      </c>
      <c r="I91" s="69">
        <v>18</v>
      </c>
      <c r="J91" s="70">
        <v>145</v>
      </c>
      <c r="K91" s="54">
        <f t="shared" si="2"/>
        <v>2610</v>
      </c>
      <c r="L91" s="55" t="b">
        <v>1</v>
      </c>
      <c r="M91" s="56">
        <v>260620241800</v>
      </c>
      <c r="N91" s="57" t="b">
        <v>1</v>
      </c>
      <c r="O91" s="58" t="s">
        <v>31</v>
      </c>
      <c r="P91" s="59" t="b">
        <v>1</v>
      </c>
      <c r="Q91" s="129"/>
      <c r="R91" s="60"/>
      <c r="S91" s="47" t="b">
        <v>1</v>
      </c>
      <c r="T91" s="61" t="s">
        <v>1553</v>
      </c>
      <c r="U91" s="54">
        <f>18*105</f>
        <v>1890</v>
      </c>
      <c r="V91" s="54">
        <f t="shared" si="1"/>
        <v>720</v>
      </c>
      <c r="W91" s="49"/>
      <c r="X91" s="49"/>
    </row>
    <row r="92" spans="1:24" ht="15.75" customHeight="1">
      <c r="A92" s="101"/>
      <c r="B92" s="32"/>
      <c r="C92" s="71" t="s">
        <v>846</v>
      </c>
      <c r="D92" s="53" t="s">
        <v>55</v>
      </c>
      <c r="E92" s="53">
        <v>41</v>
      </c>
      <c r="F92" s="151" t="s">
        <v>1552</v>
      </c>
      <c r="G92" s="69" t="s">
        <v>58</v>
      </c>
      <c r="H92" s="69" t="s">
        <v>30</v>
      </c>
      <c r="I92" s="69">
        <v>84</v>
      </c>
      <c r="J92" s="70">
        <v>35</v>
      </c>
      <c r="K92" s="54">
        <f t="shared" si="2"/>
        <v>2940</v>
      </c>
      <c r="L92" s="55" t="b">
        <v>1</v>
      </c>
      <c r="M92" s="56">
        <v>260620241800</v>
      </c>
      <c r="N92" s="57" t="b">
        <v>1</v>
      </c>
      <c r="O92" s="58"/>
      <c r="P92" s="59" t="b">
        <v>1</v>
      </c>
      <c r="Q92" s="129"/>
      <c r="R92" s="60"/>
      <c r="S92" s="47" t="b">
        <v>1</v>
      </c>
      <c r="T92" s="61" t="s">
        <v>1554</v>
      </c>
      <c r="U92" s="54">
        <f>84*25</f>
        <v>2100</v>
      </c>
      <c r="V92" s="54">
        <f t="shared" si="1"/>
        <v>840</v>
      </c>
      <c r="W92" s="49"/>
      <c r="X92" s="49"/>
    </row>
    <row r="93" spans="1:24" ht="15.75" customHeight="1">
      <c r="A93" s="101"/>
      <c r="B93" s="32"/>
      <c r="C93" s="71" t="s">
        <v>846</v>
      </c>
      <c r="D93" s="53" t="s">
        <v>55</v>
      </c>
      <c r="E93" s="53">
        <v>41</v>
      </c>
      <c r="F93" s="151" t="s">
        <v>1552</v>
      </c>
      <c r="G93" s="69" t="s">
        <v>142</v>
      </c>
      <c r="H93" s="69" t="s">
        <v>30</v>
      </c>
      <c r="I93" s="69">
        <v>3000</v>
      </c>
      <c r="J93" s="70">
        <v>1</v>
      </c>
      <c r="K93" s="54">
        <f t="shared" si="2"/>
        <v>3000</v>
      </c>
      <c r="L93" s="55" t="b">
        <v>1</v>
      </c>
      <c r="M93" s="56">
        <v>260620241800</v>
      </c>
      <c r="N93" s="57" t="b">
        <v>1</v>
      </c>
      <c r="O93" s="58" t="s">
        <v>31</v>
      </c>
      <c r="P93" s="59" t="b">
        <v>1</v>
      </c>
      <c r="Q93" s="129"/>
      <c r="R93" s="60"/>
      <c r="S93" s="47" t="b">
        <v>1</v>
      </c>
      <c r="T93" s="61" t="s">
        <v>1555</v>
      </c>
      <c r="U93" s="54">
        <f>3000*0.82</f>
        <v>2460</v>
      </c>
      <c r="V93" s="54">
        <f t="shared" si="1"/>
        <v>540</v>
      </c>
      <c r="W93" s="49"/>
      <c r="X93" s="49"/>
    </row>
    <row r="94" spans="1:24" ht="15.75" customHeight="1">
      <c r="A94" s="101"/>
      <c r="B94" s="32"/>
      <c r="C94" s="71" t="s">
        <v>846</v>
      </c>
      <c r="D94" s="53" t="s">
        <v>55</v>
      </c>
      <c r="E94" s="53">
        <v>41</v>
      </c>
      <c r="F94" s="151" t="s">
        <v>1552</v>
      </c>
      <c r="G94" s="69" t="s">
        <v>760</v>
      </c>
      <c r="H94" s="69" t="s">
        <v>30</v>
      </c>
      <c r="I94" s="69">
        <v>30</v>
      </c>
      <c r="J94" s="70">
        <v>115</v>
      </c>
      <c r="K94" s="54">
        <f t="shared" si="2"/>
        <v>3450</v>
      </c>
      <c r="L94" s="55" t="b">
        <v>1</v>
      </c>
      <c r="M94" s="56">
        <v>260620241800</v>
      </c>
      <c r="N94" s="57" t="b">
        <v>1</v>
      </c>
      <c r="O94" s="58" t="s">
        <v>31</v>
      </c>
      <c r="P94" s="59" t="b">
        <v>1</v>
      </c>
      <c r="Q94" s="129"/>
      <c r="R94" s="60"/>
      <c r="S94" s="47" t="b">
        <v>1</v>
      </c>
      <c r="T94" s="61" t="s">
        <v>1556</v>
      </c>
      <c r="U94" s="54">
        <f>30*75</f>
        <v>2250</v>
      </c>
      <c r="V94" s="54">
        <f t="shared" si="1"/>
        <v>1200</v>
      </c>
      <c r="W94" s="49"/>
      <c r="X94" s="49"/>
    </row>
    <row r="95" spans="1:24" ht="15.75" customHeight="1">
      <c r="A95" s="101"/>
      <c r="B95" s="32"/>
      <c r="C95" s="71" t="s">
        <v>846</v>
      </c>
      <c r="D95" s="53" t="s">
        <v>55</v>
      </c>
      <c r="E95" s="53">
        <v>41</v>
      </c>
      <c r="F95" s="151" t="s">
        <v>1552</v>
      </c>
      <c r="G95" s="69" t="s">
        <v>758</v>
      </c>
      <c r="H95" s="69" t="s">
        <v>30</v>
      </c>
      <c r="I95" s="69">
        <v>20</v>
      </c>
      <c r="J95" s="70">
        <v>300</v>
      </c>
      <c r="K95" s="54">
        <f t="shared" si="2"/>
        <v>6000</v>
      </c>
      <c r="L95" s="55" t="b">
        <v>1</v>
      </c>
      <c r="M95" s="56">
        <v>260620241800</v>
      </c>
      <c r="N95" s="57" t="b">
        <v>1</v>
      </c>
      <c r="O95" s="58" t="s">
        <v>31</v>
      </c>
      <c r="P95" s="59" t="b">
        <v>1</v>
      </c>
      <c r="Q95" s="129"/>
      <c r="R95" s="60"/>
      <c r="S95" s="47" t="b">
        <v>1</v>
      </c>
      <c r="T95" s="61" t="s">
        <v>1556</v>
      </c>
      <c r="U95" s="54">
        <f>20*145</f>
        <v>2900</v>
      </c>
      <c r="V95" s="54">
        <f t="shared" si="1"/>
        <v>3100</v>
      </c>
      <c r="W95" s="49"/>
      <c r="X95" s="49"/>
    </row>
    <row r="96" spans="1:24" ht="15.75" customHeight="1">
      <c r="A96" s="101"/>
      <c r="B96" s="32"/>
      <c r="C96" s="71" t="s">
        <v>1557</v>
      </c>
      <c r="D96" s="53" t="s">
        <v>108</v>
      </c>
      <c r="E96" s="53" t="s">
        <v>109</v>
      </c>
      <c r="F96" s="66" t="s">
        <v>110</v>
      </c>
      <c r="G96" s="69" t="s">
        <v>1367</v>
      </c>
      <c r="H96" s="69" t="s">
        <v>30</v>
      </c>
      <c r="I96" s="69">
        <v>3</v>
      </c>
      <c r="J96" s="70">
        <v>745</v>
      </c>
      <c r="K96" s="54">
        <f t="shared" si="2"/>
        <v>2235</v>
      </c>
      <c r="L96" s="55" t="b">
        <v>1</v>
      </c>
      <c r="M96" s="56">
        <v>260620241810</v>
      </c>
      <c r="N96" s="57" t="b">
        <v>1</v>
      </c>
      <c r="O96" s="58"/>
      <c r="P96" s="59" t="b">
        <v>1</v>
      </c>
      <c r="Q96" s="129"/>
      <c r="R96" s="60"/>
      <c r="S96" s="47" t="b">
        <v>1</v>
      </c>
      <c r="T96" s="61" t="s">
        <v>1540</v>
      </c>
      <c r="U96" s="54">
        <f>3*455</f>
        <v>1365</v>
      </c>
      <c r="V96" s="54">
        <f t="shared" si="1"/>
        <v>870</v>
      </c>
      <c r="W96" s="49"/>
      <c r="X96" s="49"/>
    </row>
    <row r="97" spans="1:26" ht="15.75" customHeight="1">
      <c r="A97" s="101"/>
      <c r="B97" s="32"/>
      <c r="C97" s="71" t="s">
        <v>1558</v>
      </c>
      <c r="D97" s="53" t="s">
        <v>98</v>
      </c>
      <c r="E97" s="53" t="s">
        <v>99</v>
      </c>
      <c r="F97" s="66" t="s">
        <v>444</v>
      </c>
      <c r="G97" s="69" t="s">
        <v>238</v>
      </c>
      <c r="H97" s="69" t="s">
        <v>30</v>
      </c>
      <c r="I97" s="69">
        <v>48</v>
      </c>
      <c r="J97" s="70">
        <v>215</v>
      </c>
      <c r="K97" s="54">
        <f t="shared" si="2"/>
        <v>10320</v>
      </c>
      <c r="L97" s="55" t="b">
        <v>1</v>
      </c>
      <c r="M97" s="56">
        <v>270620241126</v>
      </c>
      <c r="N97" s="57" t="b">
        <v>1</v>
      </c>
      <c r="O97" s="58" t="s">
        <v>31</v>
      </c>
      <c r="P97" s="59" t="b">
        <v>1</v>
      </c>
      <c r="Q97" s="129"/>
      <c r="R97" s="60"/>
      <c r="S97" s="47" t="b">
        <v>1</v>
      </c>
      <c r="T97" s="61" t="s">
        <v>1559</v>
      </c>
      <c r="U97" s="54">
        <f>48*145</f>
        <v>6960</v>
      </c>
      <c r="V97" s="54">
        <f t="shared" si="1"/>
        <v>3360</v>
      </c>
      <c r="W97" s="49"/>
      <c r="X97" s="49"/>
    </row>
    <row r="98" spans="1:26" ht="15.75" customHeight="1">
      <c r="A98" s="101"/>
      <c r="B98" s="32"/>
      <c r="C98" s="71" t="s">
        <v>1560</v>
      </c>
      <c r="D98" s="53" t="s">
        <v>55</v>
      </c>
      <c r="E98" s="53" t="s">
        <v>56</v>
      </c>
      <c r="F98" s="66" t="s">
        <v>57</v>
      </c>
      <c r="G98" s="69" t="s">
        <v>236</v>
      </c>
      <c r="H98" s="69" t="s">
        <v>30</v>
      </c>
      <c r="I98" s="69">
        <v>6</v>
      </c>
      <c r="J98" s="70">
        <v>145</v>
      </c>
      <c r="K98" s="54">
        <f t="shared" si="2"/>
        <v>870</v>
      </c>
      <c r="L98" s="55" t="b">
        <v>1</v>
      </c>
      <c r="M98" s="56">
        <v>280620241332</v>
      </c>
      <c r="N98" s="57" t="b">
        <v>1</v>
      </c>
      <c r="O98" s="58" t="s">
        <v>31</v>
      </c>
      <c r="P98" s="59" t="b">
        <v>1</v>
      </c>
      <c r="Q98" s="129"/>
      <c r="R98" s="60"/>
      <c r="S98" s="47" t="b">
        <v>1</v>
      </c>
      <c r="T98" s="61" t="s">
        <v>1561</v>
      </c>
      <c r="U98" s="54">
        <f>6*105</f>
        <v>630</v>
      </c>
      <c r="V98" s="54">
        <f t="shared" si="1"/>
        <v>240</v>
      </c>
      <c r="W98" s="49"/>
      <c r="X98" s="49"/>
    </row>
    <row r="99" spans="1:26" ht="15.75" customHeight="1">
      <c r="A99" s="162"/>
      <c r="B99" s="163"/>
      <c r="C99" s="132" t="s">
        <v>1560</v>
      </c>
      <c r="D99" s="66" t="s">
        <v>51</v>
      </c>
      <c r="E99" s="66" t="s">
        <v>201</v>
      </c>
      <c r="F99" s="66" t="s">
        <v>1562</v>
      </c>
      <c r="G99" s="69" t="s">
        <v>1563</v>
      </c>
      <c r="H99" s="69" t="s">
        <v>30</v>
      </c>
      <c r="I99" s="69">
        <v>1</v>
      </c>
      <c r="J99" s="70">
        <v>675</v>
      </c>
      <c r="K99" s="75">
        <f t="shared" si="2"/>
        <v>675</v>
      </c>
      <c r="L99" s="55" t="b">
        <v>1</v>
      </c>
      <c r="M99" s="154">
        <v>280620241650</v>
      </c>
      <c r="N99" s="57" t="b">
        <v>1</v>
      </c>
      <c r="O99" s="58" t="s">
        <v>39</v>
      </c>
      <c r="P99" s="59" t="b">
        <v>1</v>
      </c>
      <c r="Q99" s="164"/>
      <c r="R99" s="57"/>
      <c r="S99" s="47" t="b">
        <v>1</v>
      </c>
      <c r="T99" s="165" t="s">
        <v>1564</v>
      </c>
      <c r="U99" s="75">
        <v>302</v>
      </c>
      <c r="V99" s="75">
        <f t="shared" si="1"/>
        <v>373</v>
      </c>
      <c r="W99" s="166"/>
      <c r="X99" s="166"/>
      <c r="Y99" s="167"/>
      <c r="Z99" s="167"/>
    </row>
    <row r="100" spans="1:26" ht="15.75" customHeight="1">
      <c r="A100" s="101"/>
      <c r="B100" s="32"/>
      <c r="C100" s="71" t="s">
        <v>1560</v>
      </c>
      <c r="D100" s="53" t="s">
        <v>51</v>
      </c>
      <c r="E100" s="53" t="s">
        <v>335</v>
      </c>
      <c r="F100" s="66" t="s">
        <v>944</v>
      </c>
      <c r="G100" s="159" t="s">
        <v>1565</v>
      </c>
      <c r="H100" s="69" t="s">
        <v>30</v>
      </c>
      <c r="I100" s="69">
        <v>4</v>
      </c>
      <c r="J100" s="70">
        <v>1250</v>
      </c>
      <c r="K100" s="54">
        <f t="shared" si="2"/>
        <v>5000</v>
      </c>
      <c r="L100" s="55" t="b">
        <v>1</v>
      </c>
      <c r="M100" s="56">
        <v>280620241809</v>
      </c>
      <c r="N100" s="57" t="b">
        <v>1</v>
      </c>
      <c r="O100" s="58" t="s">
        <v>31</v>
      </c>
      <c r="P100" s="59" t="b">
        <v>1</v>
      </c>
      <c r="Q100" s="129"/>
      <c r="R100" s="60"/>
      <c r="S100" s="47" t="b">
        <v>1</v>
      </c>
      <c r="T100" s="61" t="s">
        <v>1566</v>
      </c>
      <c r="U100" s="54"/>
      <c r="V100" s="54">
        <f t="shared" si="1"/>
        <v>5000</v>
      </c>
      <c r="W100" s="49"/>
      <c r="X100" s="49"/>
    </row>
    <row r="101" spans="1:26" ht="15.75" customHeight="1">
      <c r="A101" s="162"/>
      <c r="B101" s="163"/>
      <c r="C101" s="132" t="s">
        <v>1560</v>
      </c>
      <c r="D101" s="66" t="s">
        <v>832</v>
      </c>
      <c r="E101" s="66" t="s">
        <v>833</v>
      </c>
      <c r="F101" s="66" t="s">
        <v>834</v>
      </c>
      <c r="G101" s="69" t="s">
        <v>1567</v>
      </c>
      <c r="H101" s="69" t="s">
        <v>30</v>
      </c>
      <c r="I101" s="69">
        <v>1</v>
      </c>
      <c r="J101" s="70">
        <v>675</v>
      </c>
      <c r="K101" s="75">
        <f t="shared" si="2"/>
        <v>675</v>
      </c>
      <c r="L101" s="55" t="b">
        <v>1</v>
      </c>
      <c r="M101" s="154">
        <v>280620241820</v>
      </c>
      <c r="N101" s="57" t="b">
        <v>1</v>
      </c>
      <c r="O101" s="58" t="s">
        <v>39</v>
      </c>
      <c r="P101" s="59" t="b">
        <v>1</v>
      </c>
      <c r="Q101" s="164"/>
      <c r="R101" s="57"/>
      <c r="S101" s="47" t="b">
        <v>1</v>
      </c>
      <c r="T101" s="165" t="s">
        <v>1568</v>
      </c>
      <c r="U101" s="75">
        <v>302</v>
      </c>
      <c r="V101" s="75">
        <f t="shared" si="1"/>
        <v>373</v>
      </c>
      <c r="W101" s="166"/>
      <c r="X101" s="166"/>
      <c r="Y101" s="167"/>
      <c r="Z101" s="167"/>
    </row>
    <row r="102" spans="1:26" ht="15.75" customHeight="1">
      <c r="A102" s="101"/>
      <c r="B102" s="32"/>
      <c r="C102" s="71" t="s">
        <v>1569</v>
      </c>
      <c r="D102" s="53" t="s">
        <v>51</v>
      </c>
      <c r="E102" s="53" t="s">
        <v>335</v>
      </c>
      <c r="F102" s="66" t="s">
        <v>944</v>
      </c>
      <c r="G102" s="69" t="s">
        <v>1570</v>
      </c>
      <c r="H102" s="69" t="s">
        <v>30</v>
      </c>
      <c r="I102" s="69">
        <v>1</v>
      </c>
      <c r="J102" s="70">
        <v>875</v>
      </c>
      <c r="K102" s="54">
        <f t="shared" si="2"/>
        <v>875</v>
      </c>
      <c r="L102" s="55" t="b">
        <v>1</v>
      </c>
      <c r="M102" s="56">
        <v>290620241323</v>
      </c>
      <c r="N102" s="57" t="b">
        <v>1</v>
      </c>
      <c r="O102" s="58" t="s">
        <v>31</v>
      </c>
      <c r="P102" s="59" t="b">
        <v>1</v>
      </c>
      <c r="Q102" s="129"/>
      <c r="R102" s="60"/>
      <c r="S102" s="47" t="b">
        <v>1</v>
      </c>
      <c r="T102" s="61" t="s">
        <v>1566</v>
      </c>
      <c r="U102" s="54"/>
      <c r="V102" s="54">
        <f t="shared" si="1"/>
        <v>875</v>
      </c>
      <c r="W102" s="49"/>
      <c r="X102" s="49"/>
    </row>
    <row r="103" spans="1:26" ht="15.75" customHeight="1">
      <c r="A103" s="101"/>
      <c r="B103" s="32"/>
      <c r="C103" s="71" t="s">
        <v>1569</v>
      </c>
      <c r="D103" s="53" t="s">
        <v>104</v>
      </c>
      <c r="E103" s="53" t="s">
        <v>486</v>
      </c>
      <c r="F103" s="66" t="s">
        <v>207</v>
      </c>
      <c r="G103" s="69" t="s">
        <v>1571</v>
      </c>
      <c r="H103" s="69" t="s">
        <v>30</v>
      </c>
      <c r="I103" s="69">
        <v>1</v>
      </c>
      <c r="J103" s="70">
        <v>1950</v>
      </c>
      <c r="K103" s="54">
        <f t="shared" si="2"/>
        <v>1950</v>
      </c>
      <c r="L103" s="55" t="b">
        <v>1</v>
      </c>
      <c r="M103" s="56">
        <v>290620241325</v>
      </c>
      <c r="N103" s="57" t="b">
        <v>1</v>
      </c>
      <c r="O103" s="58" t="s">
        <v>31</v>
      </c>
      <c r="P103" s="59" t="b">
        <v>1</v>
      </c>
      <c r="Q103" s="129"/>
      <c r="R103" s="60"/>
      <c r="S103" s="47" t="b">
        <v>1</v>
      </c>
      <c r="T103" s="61" t="s">
        <v>1572</v>
      </c>
      <c r="U103" s="54"/>
      <c r="V103" s="54">
        <f t="shared" si="1"/>
        <v>1950</v>
      </c>
      <c r="W103" s="49"/>
      <c r="X103" s="49"/>
    </row>
    <row r="104" spans="1:26" ht="15.75" customHeight="1">
      <c r="A104" s="101"/>
      <c r="B104" s="32"/>
      <c r="C104" s="71" t="s">
        <v>1569</v>
      </c>
      <c r="D104" s="53" t="s">
        <v>104</v>
      </c>
      <c r="E104" s="53" t="s">
        <v>486</v>
      </c>
      <c r="F104" s="66" t="s">
        <v>207</v>
      </c>
      <c r="G104" s="69" t="s">
        <v>1573</v>
      </c>
      <c r="H104" s="69" t="s">
        <v>30</v>
      </c>
      <c r="I104" s="69">
        <v>1</v>
      </c>
      <c r="J104" s="70">
        <v>355</v>
      </c>
      <c r="K104" s="54">
        <v>355</v>
      </c>
      <c r="L104" s="55" t="b">
        <v>1</v>
      </c>
      <c r="M104" s="56">
        <v>290620241325</v>
      </c>
      <c r="N104" s="57" t="b">
        <v>1</v>
      </c>
      <c r="O104" s="58" t="s">
        <v>31</v>
      </c>
      <c r="P104" s="59" t="b">
        <v>1</v>
      </c>
      <c r="Q104" s="129"/>
      <c r="R104" s="60"/>
      <c r="S104" s="47" t="b">
        <v>1</v>
      </c>
      <c r="T104" s="61" t="s">
        <v>1572</v>
      </c>
      <c r="U104" s="54"/>
      <c r="V104" s="54"/>
      <c r="W104" s="49"/>
      <c r="X104" s="49"/>
    </row>
    <row r="105" spans="1:26" ht="15.75" customHeight="1">
      <c r="A105" s="101"/>
      <c r="B105" s="32"/>
      <c r="C105" s="71" t="s">
        <v>1574</v>
      </c>
      <c r="D105" s="53" t="s">
        <v>104</v>
      </c>
      <c r="E105" s="53" t="s">
        <v>61</v>
      </c>
      <c r="F105" s="66" t="s">
        <v>181</v>
      </c>
      <c r="G105" s="69" t="s">
        <v>1455</v>
      </c>
      <c r="H105" s="69" t="s">
        <v>30</v>
      </c>
      <c r="I105" s="69">
        <v>13</v>
      </c>
      <c r="J105" s="70">
        <v>675</v>
      </c>
      <c r="K105" s="54">
        <f t="shared" ref="K105:K167" si="3">I105*J105</f>
        <v>8775</v>
      </c>
      <c r="L105" s="55" t="b">
        <v>1</v>
      </c>
      <c r="M105" s="56">
        <v>290620241343</v>
      </c>
      <c r="N105" s="57" t="b">
        <v>1</v>
      </c>
      <c r="O105" s="58" t="s">
        <v>31</v>
      </c>
      <c r="P105" s="59" t="b">
        <v>1</v>
      </c>
      <c r="Q105" s="129"/>
      <c r="R105" s="60"/>
      <c r="S105" s="47" t="b">
        <v>1</v>
      </c>
      <c r="T105" s="61" t="s">
        <v>1575</v>
      </c>
      <c r="U105" s="54"/>
      <c r="V105" s="54">
        <f t="shared" ref="V105:V167" si="4">K105-U105</f>
        <v>8775</v>
      </c>
      <c r="W105" s="49"/>
      <c r="X105" s="49"/>
    </row>
    <row r="106" spans="1:26" ht="15.75" customHeight="1">
      <c r="A106" s="101"/>
      <c r="B106" s="124"/>
      <c r="C106" s="71"/>
      <c r="D106" s="53"/>
      <c r="E106" s="53"/>
      <c r="F106" s="66"/>
      <c r="G106" s="66"/>
      <c r="H106" s="69"/>
      <c r="I106" s="69"/>
      <c r="J106" s="70"/>
      <c r="K106" s="54">
        <f t="shared" si="3"/>
        <v>0</v>
      </c>
      <c r="L106" s="55" t="b">
        <v>0</v>
      </c>
      <c r="M106" s="56"/>
      <c r="N106" s="57" t="b">
        <v>0</v>
      </c>
      <c r="O106" s="58"/>
      <c r="P106" s="59" t="b">
        <v>0</v>
      </c>
      <c r="Q106" s="129"/>
      <c r="R106" s="60"/>
      <c r="S106" s="47" t="b">
        <v>0</v>
      </c>
      <c r="T106" s="61"/>
      <c r="U106" s="54"/>
      <c r="V106" s="54">
        <f t="shared" si="4"/>
        <v>0</v>
      </c>
      <c r="W106" s="49"/>
      <c r="X106" s="49"/>
    </row>
    <row r="107" spans="1:26" ht="15.75" customHeight="1">
      <c r="A107" s="101"/>
      <c r="B107" s="124"/>
      <c r="C107" s="71"/>
      <c r="D107" s="53"/>
      <c r="E107" s="53"/>
      <c r="F107" s="66"/>
      <c r="G107" s="69"/>
      <c r="H107" s="69"/>
      <c r="I107" s="69"/>
      <c r="J107" s="70"/>
      <c r="K107" s="54">
        <f t="shared" si="3"/>
        <v>0</v>
      </c>
      <c r="L107" s="55" t="b">
        <v>0</v>
      </c>
      <c r="M107" s="56"/>
      <c r="N107" s="57" t="b">
        <v>0</v>
      </c>
      <c r="O107" s="58"/>
      <c r="P107" s="59" t="b">
        <v>0</v>
      </c>
      <c r="Q107" s="129"/>
      <c r="R107" s="60"/>
      <c r="S107" s="47" t="b">
        <v>0</v>
      </c>
      <c r="T107" s="61"/>
      <c r="U107" s="54"/>
      <c r="V107" s="54">
        <f t="shared" si="4"/>
        <v>0</v>
      </c>
      <c r="W107" s="49"/>
      <c r="X107" s="49"/>
    </row>
    <row r="108" spans="1:26" ht="15.75" customHeight="1">
      <c r="A108" s="101"/>
      <c r="B108" s="124"/>
      <c r="C108" s="71"/>
      <c r="D108" s="53"/>
      <c r="E108" s="53"/>
      <c r="F108" s="66"/>
      <c r="G108" s="69"/>
      <c r="H108" s="69"/>
      <c r="I108" s="69"/>
      <c r="J108" s="70"/>
      <c r="K108" s="54">
        <f t="shared" si="3"/>
        <v>0</v>
      </c>
      <c r="L108" s="55" t="b">
        <v>0</v>
      </c>
      <c r="M108" s="56"/>
      <c r="N108" s="57" t="b">
        <v>0</v>
      </c>
      <c r="O108" s="58"/>
      <c r="P108" s="59" t="b">
        <v>0</v>
      </c>
      <c r="Q108" s="129"/>
      <c r="R108" s="60"/>
      <c r="S108" s="47" t="b">
        <v>0</v>
      </c>
      <c r="T108" s="61"/>
      <c r="U108" s="54"/>
      <c r="V108" s="54">
        <f t="shared" si="4"/>
        <v>0</v>
      </c>
      <c r="W108" s="49"/>
      <c r="X108" s="49"/>
    </row>
    <row r="109" spans="1:26" ht="15.75" customHeight="1">
      <c r="A109" s="101"/>
      <c r="B109" s="124"/>
      <c r="C109" s="71"/>
      <c r="D109" s="53"/>
      <c r="E109" s="53"/>
      <c r="F109" s="66"/>
      <c r="G109" s="69"/>
      <c r="H109" s="69"/>
      <c r="I109" s="69"/>
      <c r="J109" s="70"/>
      <c r="K109" s="54">
        <f t="shared" si="3"/>
        <v>0</v>
      </c>
      <c r="L109" s="55" t="b">
        <v>0</v>
      </c>
      <c r="M109" s="56"/>
      <c r="N109" s="57" t="b">
        <v>0</v>
      </c>
      <c r="O109" s="58"/>
      <c r="P109" s="59" t="b">
        <v>0</v>
      </c>
      <c r="Q109" s="129"/>
      <c r="R109" s="60"/>
      <c r="S109" s="47" t="b">
        <v>0</v>
      </c>
      <c r="T109" s="61"/>
      <c r="U109" s="54"/>
      <c r="V109" s="54">
        <f t="shared" si="4"/>
        <v>0</v>
      </c>
      <c r="W109" s="49"/>
      <c r="X109" s="49"/>
    </row>
    <row r="110" spans="1:26" ht="16.5" customHeight="1">
      <c r="A110" s="101"/>
      <c r="B110" s="124"/>
      <c r="C110" s="71"/>
      <c r="D110" s="53"/>
      <c r="E110" s="53"/>
      <c r="F110" s="66"/>
      <c r="G110" s="69"/>
      <c r="H110" s="69"/>
      <c r="I110" s="69"/>
      <c r="J110" s="70"/>
      <c r="K110" s="54">
        <f t="shared" si="3"/>
        <v>0</v>
      </c>
      <c r="L110" s="55" t="b">
        <v>0</v>
      </c>
      <c r="M110" s="56"/>
      <c r="N110" s="57" t="b">
        <v>0</v>
      </c>
      <c r="O110" s="58"/>
      <c r="P110" s="59" t="b">
        <v>0</v>
      </c>
      <c r="Q110" s="129"/>
      <c r="R110" s="60"/>
      <c r="S110" s="47" t="b">
        <v>0</v>
      </c>
      <c r="T110" s="61"/>
      <c r="U110" s="54"/>
      <c r="V110" s="54">
        <f t="shared" si="4"/>
        <v>0</v>
      </c>
      <c r="W110" s="49"/>
      <c r="X110" s="49"/>
    </row>
    <row r="111" spans="1:26" ht="15.75" customHeight="1">
      <c r="A111" s="101"/>
      <c r="B111" s="124"/>
      <c r="C111" s="71"/>
      <c r="D111" s="53"/>
      <c r="E111" s="53"/>
      <c r="F111" s="66"/>
      <c r="G111" s="69"/>
      <c r="H111" s="69"/>
      <c r="I111" s="69"/>
      <c r="J111" s="70"/>
      <c r="K111" s="54">
        <f t="shared" si="3"/>
        <v>0</v>
      </c>
      <c r="L111" s="55" t="b">
        <v>0</v>
      </c>
      <c r="M111" s="56"/>
      <c r="N111" s="57" t="b">
        <v>0</v>
      </c>
      <c r="O111" s="58"/>
      <c r="P111" s="59" t="b">
        <v>0</v>
      </c>
      <c r="Q111" s="129"/>
      <c r="R111" s="60"/>
      <c r="S111" s="47" t="b">
        <v>0</v>
      </c>
      <c r="T111" s="61"/>
      <c r="U111" s="54"/>
      <c r="V111" s="54">
        <f t="shared" si="4"/>
        <v>0</v>
      </c>
      <c r="W111" s="49"/>
      <c r="X111" s="49"/>
    </row>
    <row r="112" spans="1:26" ht="15.75" customHeight="1">
      <c r="A112" s="101"/>
      <c r="B112" s="32"/>
      <c r="C112" s="71"/>
      <c r="D112" s="53"/>
      <c r="E112" s="53"/>
      <c r="F112" s="66"/>
      <c r="G112" s="69"/>
      <c r="H112" s="69"/>
      <c r="I112" s="69"/>
      <c r="J112" s="70"/>
      <c r="K112" s="54">
        <f t="shared" si="3"/>
        <v>0</v>
      </c>
      <c r="L112" s="55" t="b">
        <v>0</v>
      </c>
      <c r="M112" s="56"/>
      <c r="N112" s="57" t="b">
        <v>0</v>
      </c>
      <c r="O112" s="58"/>
      <c r="P112" s="59" t="b">
        <v>0</v>
      </c>
      <c r="Q112" s="129"/>
      <c r="R112" s="60"/>
      <c r="S112" s="47" t="b">
        <v>0</v>
      </c>
      <c r="T112" s="61"/>
      <c r="U112" s="54"/>
      <c r="V112" s="54">
        <f t="shared" si="4"/>
        <v>0</v>
      </c>
      <c r="W112" s="49"/>
      <c r="X112" s="49"/>
    </row>
    <row r="113" spans="1:24" ht="15.75" customHeight="1">
      <c r="A113" s="101"/>
      <c r="B113" s="32"/>
      <c r="C113" s="71"/>
      <c r="D113" s="53"/>
      <c r="E113" s="53"/>
      <c r="F113" s="66"/>
      <c r="G113" s="69"/>
      <c r="H113" s="69"/>
      <c r="I113" s="69"/>
      <c r="J113" s="70"/>
      <c r="K113" s="54">
        <f t="shared" si="3"/>
        <v>0</v>
      </c>
      <c r="L113" s="55" t="b">
        <v>0</v>
      </c>
      <c r="M113" s="56"/>
      <c r="N113" s="57" t="b">
        <v>0</v>
      </c>
      <c r="O113" s="58"/>
      <c r="P113" s="59" t="b">
        <v>0</v>
      </c>
      <c r="Q113" s="129"/>
      <c r="R113" s="60"/>
      <c r="S113" s="47" t="b">
        <v>0</v>
      </c>
      <c r="T113" s="61"/>
      <c r="U113" s="54"/>
      <c r="V113" s="54">
        <f t="shared" si="4"/>
        <v>0</v>
      </c>
      <c r="W113" s="49"/>
      <c r="X113" s="49"/>
    </row>
    <row r="114" spans="1:24" ht="15.75" customHeight="1">
      <c r="A114" s="101"/>
      <c r="B114" s="32"/>
      <c r="C114" s="71"/>
      <c r="D114" s="53"/>
      <c r="E114" s="53"/>
      <c r="F114" s="66"/>
      <c r="G114" s="69"/>
      <c r="H114" s="69"/>
      <c r="I114" s="69"/>
      <c r="J114" s="70"/>
      <c r="K114" s="54">
        <f t="shared" si="3"/>
        <v>0</v>
      </c>
      <c r="L114" s="55" t="b">
        <v>0</v>
      </c>
      <c r="M114" s="56"/>
      <c r="N114" s="57" t="b">
        <v>0</v>
      </c>
      <c r="O114" s="58"/>
      <c r="P114" s="59" t="b">
        <v>0</v>
      </c>
      <c r="Q114" s="129"/>
      <c r="R114" s="60"/>
      <c r="S114" s="47" t="b">
        <v>0</v>
      </c>
      <c r="T114" s="61"/>
      <c r="U114" s="54"/>
      <c r="V114" s="54">
        <f t="shared" si="4"/>
        <v>0</v>
      </c>
      <c r="W114" s="49"/>
      <c r="X114" s="49"/>
    </row>
    <row r="115" spans="1:24" ht="15.75" customHeight="1">
      <c r="A115" s="101"/>
      <c r="B115" s="32"/>
      <c r="C115" s="71"/>
      <c r="D115" s="53"/>
      <c r="E115" s="53"/>
      <c r="F115" s="66"/>
      <c r="G115" s="69"/>
      <c r="H115" s="69"/>
      <c r="I115" s="69"/>
      <c r="J115" s="70"/>
      <c r="K115" s="54">
        <f t="shared" si="3"/>
        <v>0</v>
      </c>
      <c r="L115" s="55" t="b">
        <v>0</v>
      </c>
      <c r="M115" s="56"/>
      <c r="N115" s="57" t="b">
        <v>0</v>
      </c>
      <c r="O115" s="58"/>
      <c r="P115" s="59" t="b">
        <v>0</v>
      </c>
      <c r="Q115" s="129"/>
      <c r="R115" s="60"/>
      <c r="S115" s="47" t="b">
        <v>0</v>
      </c>
      <c r="T115" s="61"/>
      <c r="U115" s="54"/>
      <c r="V115" s="54">
        <f t="shared" si="4"/>
        <v>0</v>
      </c>
      <c r="W115" s="49"/>
      <c r="X115" s="49"/>
    </row>
    <row r="116" spans="1:24" ht="15.75" customHeight="1">
      <c r="A116" s="101"/>
      <c r="B116" s="32"/>
      <c r="C116" s="71"/>
      <c r="D116" s="53"/>
      <c r="E116" s="53"/>
      <c r="F116" s="66"/>
      <c r="G116" s="69"/>
      <c r="H116" s="69"/>
      <c r="I116" s="69"/>
      <c r="J116" s="70"/>
      <c r="K116" s="54">
        <f t="shared" si="3"/>
        <v>0</v>
      </c>
      <c r="L116" s="55" t="b">
        <v>0</v>
      </c>
      <c r="M116" s="56"/>
      <c r="N116" s="57" t="b">
        <v>0</v>
      </c>
      <c r="O116" s="58"/>
      <c r="P116" s="59" t="b">
        <v>0</v>
      </c>
      <c r="Q116" s="129"/>
      <c r="R116" s="60"/>
      <c r="S116" s="47" t="b">
        <v>0</v>
      </c>
      <c r="T116" s="61"/>
      <c r="U116" s="54"/>
      <c r="V116" s="54">
        <f t="shared" si="4"/>
        <v>0</v>
      </c>
      <c r="W116" s="49"/>
      <c r="X116" s="49"/>
    </row>
    <row r="117" spans="1:24" ht="15.75" customHeight="1">
      <c r="A117" s="101"/>
      <c r="B117" s="32"/>
      <c r="C117" s="71"/>
      <c r="D117" s="53"/>
      <c r="E117" s="53"/>
      <c r="F117" s="66"/>
      <c r="G117" s="69"/>
      <c r="H117" s="69"/>
      <c r="I117" s="69"/>
      <c r="J117" s="70"/>
      <c r="K117" s="54">
        <f t="shared" si="3"/>
        <v>0</v>
      </c>
      <c r="L117" s="55" t="b">
        <v>0</v>
      </c>
      <c r="M117" s="56"/>
      <c r="N117" s="57" t="b">
        <v>0</v>
      </c>
      <c r="O117" s="58"/>
      <c r="P117" s="59" t="b">
        <v>0</v>
      </c>
      <c r="Q117" s="129"/>
      <c r="R117" s="60"/>
      <c r="S117" s="47" t="b">
        <v>0</v>
      </c>
      <c r="T117" s="61"/>
      <c r="U117" s="54"/>
      <c r="V117" s="54">
        <f t="shared" si="4"/>
        <v>0</v>
      </c>
      <c r="W117" s="49"/>
      <c r="X117" s="49"/>
    </row>
    <row r="118" spans="1:24" ht="15.75" customHeight="1">
      <c r="A118" s="101"/>
      <c r="B118" s="32"/>
      <c r="C118" s="71"/>
      <c r="D118" s="53"/>
      <c r="E118" s="53"/>
      <c r="F118" s="66"/>
      <c r="G118" s="69"/>
      <c r="H118" s="69"/>
      <c r="I118" s="69"/>
      <c r="J118" s="70"/>
      <c r="K118" s="54">
        <f t="shared" si="3"/>
        <v>0</v>
      </c>
      <c r="L118" s="55" t="b">
        <v>0</v>
      </c>
      <c r="M118" s="56"/>
      <c r="N118" s="57" t="b">
        <v>0</v>
      </c>
      <c r="O118" s="58"/>
      <c r="P118" s="59" t="b">
        <v>0</v>
      </c>
      <c r="Q118" s="129"/>
      <c r="R118" s="60"/>
      <c r="S118" s="47" t="b">
        <v>0</v>
      </c>
      <c r="T118" s="61"/>
      <c r="U118" s="54"/>
      <c r="V118" s="54">
        <f t="shared" si="4"/>
        <v>0</v>
      </c>
      <c r="W118" s="49"/>
      <c r="X118" s="49"/>
    </row>
    <row r="119" spans="1:24" ht="15.75" customHeight="1">
      <c r="A119" s="101"/>
      <c r="B119" s="32"/>
      <c r="C119" s="71"/>
      <c r="D119" s="53"/>
      <c r="E119" s="53"/>
      <c r="F119" s="66"/>
      <c r="G119" s="69"/>
      <c r="H119" s="69"/>
      <c r="I119" s="69"/>
      <c r="J119" s="70"/>
      <c r="K119" s="54">
        <f t="shared" si="3"/>
        <v>0</v>
      </c>
      <c r="L119" s="55" t="b">
        <v>0</v>
      </c>
      <c r="M119" s="56"/>
      <c r="N119" s="57" t="b">
        <v>0</v>
      </c>
      <c r="O119" s="58"/>
      <c r="P119" s="59" t="b">
        <v>0</v>
      </c>
      <c r="Q119" s="129"/>
      <c r="R119" s="60"/>
      <c r="S119" s="47" t="b">
        <v>0</v>
      </c>
      <c r="T119" s="61"/>
      <c r="U119" s="54"/>
      <c r="V119" s="54">
        <f t="shared" si="4"/>
        <v>0</v>
      </c>
      <c r="W119" s="49"/>
      <c r="X119" s="49"/>
    </row>
    <row r="120" spans="1:24" ht="15.75" customHeight="1">
      <c r="A120" s="101"/>
      <c r="B120" s="32"/>
      <c r="C120" s="71"/>
      <c r="D120" s="53"/>
      <c r="E120" s="53"/>
      <c r="F120" s="66"/>
      <c r="G120" s="69"/>
      <c r="H120" s="69"/>
      <c r="I120" s="69"/>
      <c r="J120" s="70"/>
      <c r="K120" s="54">
        <f t="shared" si="3"/>
        <v>0</v>
      </c>
      <c r="L120" s="55" t="b">
        <v>0</v>
      </c>
      <c r="M120" s="56"/>
      <c r="N120" s="57" t="b">
        <v>0</v>
      </c>
      <c r="O120" s="58"/>
      <c r="P120" s="59" t="b">
        <v>0</v>
      </c>
      <c r="Q120" s="129"/>
      <c r="R120" s="60"/>
      <c r="S120" s="47" t="b">
        <v>0</v>
      </c>
      <c r="T120" s="61"/>
      <c r="U120" s="54"/>
      <c r="V120" s="54">
        <f t="shared" si="4"/>
        <v>0</v>
      </c>
      <c r="W120" s="49"/>
      <c r="X120" s="49"/>
    </row>
    <row r="121" spans="1:24" ht="15.75" customHeight="1">
      <c r="A121" s="101"/>
      <c r="B121" s="32"/>
      <c r="C121" s="71"/>
      <c r="D121" s="53"/>
      <c r="E121" s="53"/>
      <c r="F121" s="66"/>
      <c r="G121" s="69"/>
      <c r="H121" s="69"/>
      <c r="I121" s="69"/>
      <c r="J121" s="70"/>
      <c r="K121" s="54">
        <f t="shared" si="3"/>
        <v>0</v>
      </c>
      <c r="L121" s="55" t="b">
        <v>0</v>
      </c>
      <c r="M121" s="56"/>
      <c r="N121" s="57" t="b">
        <v>0</v>
      </c>
      <c r="O121" s="58"/>
      <c r="P121" s="59" t="b">
        <v>0</v>
      </c>
      <c r="Q121" s="129"/>
      <c r="R121" s="60"/>
      <c r="S121" s="47" t="b">
        <v>0</v>
      </c>
      <c r="T121" s="61"/>
      <c r="U121" s="54"/>
      <c r="V121" s="54">
        <f t="shared" si="4"/>
        <v>0</v>
      </c>
      <c r="W121" s="49"/>
      <c r="X121" s="49"/>
    </row>
    <row r="122" spans="1:24" ht="15.75" customHeight="1">
      <c r="A122" s="101"/>
      <c r="B122" s="32"/>
      <c r="C122" s="71"/>
      <c r="D122" s="53"/>
      <c r="E122" s="53"/>
      <c r="F122" s="66"/>
      <c r="G122" s="69"/>
      <c r="H122" s="69"/>
      <c r="I122" s="69"/>
      <c r="J122" s="70"/>
      <c r="K122" s="54">
        <f t="shared" si="3"/>
        <v>0</v>
      </c>
      <c r="L122" s="55" t="b">
        <v>0</v>
      </c>
      <c r="M122" s="56"/>
      <c r="N122" s="57" t="b">
        <v>0</v>
      </c>
      <c r="O122" s="58"/>
      <c r="P122" s="59" t="b">
        <v>0</v>
      </c>
      <c r="Q122" s="129"/>
      <c r="R122" s="60"/>
      <c r="S122" s="47" t="b">
        <v>0</v>
      </c>
      <c r="T122" s="61"/>
      <c r="U122" s="54"/>
      <c r="V122" s="54">
        <f t="shared" si="4"/>
        <v>0</v>
      </c>
      <c r="W122" s="49"/>
      <c r="X122" s="49"/>
    </row>
    <row r="123" spans="1:24" ht="15.75" customHeight="1">
      <c r="A123" s="101"/>
      <c r="B123" s="32"/>
      <c r="C123" s="71"/>
      <c r="D123" s="53"/>
      <c r="E123" s="53"/>
      <c r="F123" s="66"/>
      <c r="G123" s="69"/>
      <c r="H123" s="69"/>
      <c r="I123" s="69"/>
      <c r="J123" s="70"/>
      <c r="K123" s="54">
        <f t="shared" si="3"/>
        <v>0</v>
      </c>
      <c r="L123" s="55" t="b">
        <v>0</v>
      </c>
      <c r="M123" s="56"/>
      <c r="N123" s="57" t="b">
        <v>0</v>
      </c>
      <c r="O123" s="58"/>
      <c r="P123" s="59" t="b">
        <v>0</v>
      </c>
      <c r="Q123" s="129"/>
      <c r="R123" s="60"/>
      <c r="S123" s="47" t="b">
        <v>0</v>
      </c>
      <c r="T123" s="61"/>
      <c r="U123" s="54"/>
      <c r="V123" s="54">
        <f t="shared" si="4"/>
        <v>0</v>
      </c>
      <c r="W123" s="49"/>
      <c r="X123" s="49"/>
    </row>
    <row r="124" spans="1:24" ht="15.75" customHeight="1">
      <c r="A124" s="1"/>
      <c r="B124" s="1"/>
      <c r="C124" s="71"/>
      <c r="D124" s="53"/>
      <c r="E124" s="53"/>
      <c r="F124" s="66"/>
      <c r="G124" s="69"/>
      <c r="H124" s="69"/>
      <c r="I124" s="69"/>
      <c r="J124" s="70"/>
      <c r="K124" s="54">
        <f t="shared" si="3"/>
        <v>0</v>
      </c>
      <c r="L124" s="55" t="b">
        <v>0</v>
      </c>
      <c r="M124" s="56"/>
      <c r="N124" s="57" t="b">
        <v>0</v>
      </c>
      <c r="O124" s="58"/>
      <c r="P124" s="59" t="b">
        <v>0</v>
      </c>
      <c r="Q124" s="129"/>
      <c r="R124" s="60"/>
      <c r="S124" s="47" t="b">
        <v>0</v>
      </c>
      <c r="T124" s="61"/>
      <c r="U124" s="54"/>
      <c r="V124" s="54">
        <f t="shared" si="4"/>
        <v>0</v>
      </c>
      <c r="W124" s="49"/>
      <c r="X124" s="49"/>
    </row>
    <row r="125" spans="1:24" ht="15.75" customHeight="1">
      <c r="A125" s="1"/>
      <c r="B125" s="1"/>
      <c r="C125" s="71"/>
      <c r="D125" s="53"/>
      <c r="E125" s="53"/>
      <c r="F125" s="66"/>
      <c r="G125" s="69"/>
      <c r="H125" s="69"/>
      <c r="I125" s="69"/>
      <c r="J125" s="70"/>
      <c r="K125" s="54">
        <f t="shared" si="3"/>
        <v>0</v>
      </c>
      <c r="L125" s="55" t="b">
        <v>0</v>
      </c>
      <c r="M125" s="56"/>
      <c r="N125" s="57" t="b">
        <v>0</v>
      </c>
      <c r="O125" s="58"/>
      <c r="P125" s="59" t="b">
        <v>0</v>
      </c>
      <c r="Q125" s="129"/>
      <c r="R125" s="60"/>
      <c r="S125" s="47" t="b">
        <v>0</v>
      </c>
      <c r="T125" s="61"/>
      <c r="U125" s="54"/>
      <c r="V125" s="54">
        <f t="shared" si="4"/>
        <v>0</v>
      </c>
      <c r="W125" s="49"/>
      <c r="X125" s="49"/>
    </row>
    <row r="126" spans="1:24" ht="15.75" customHeight="1">
      <c r="A126" s="1"/>
      <c r="B126" s="1"/>
      <c r="C126" s="71"/>
      <c r="D126" s="53"/>
      <c r="E126" s="53"/>
      <c r="F126" s="66"/>
      <c r="G126" s="69"/>
      <c r="H126" s="69"/>
      <c r="I126" s="69"/>
      <c r="J126" s="70"/>
      <c r="K126" s="54">
        <f t="shared" si="3"/>
        <v>0</v>
      </c>
      <c r="L126" s="55" t="b">
        <v>0</v>
      </c>
      <c r="M126" s="56"/>
      <c r="N126" s="57" t="b">
        <v>0</v>
      </c>
      <c r="O126" s="58"/>
      <c r="P126" s="59" t="b">
        <v>0</v>
      </c>
      <c r="R126" s="60"/>
      <c r="S126" s="47" t="b">
        <v>0</v>
      </c>
      <c r="T126" s="61"/>
      <c r="U126" s="54"/>
      <c r="V126" s="54">
        <f t="shared" si="4"/>
        <v>0</v>
      </c>
      <c r="W126" s="49"/>
      <c r="X126" s="49"/>
    </row>
    <row r="127" spans="1:24" ht="15.75" customHeight="1">
      <c r="A127" s="1"/>
      <c r="B127" s="1"/>
      <c r="C127" s="71"/>
      <c r="D127" s="53"/>
      <c r="E127" s="53"/>
      <c r="F127" s="66"/>
      <c r="H127" s="69"/>
      <c r="I127" s="69"/>
      <c r="J127" s="70"/>
      <c r="K127" s="54">
        <f t="shared" si="3"/>
        <v>0</v>
      </c>
      <c r="L127" s="55" t="b">
        <v>0</v>
      </c>
      <c r="M127" s="154"/>
      <c r="N127" s="57" t="b">
        <v>0</v>
      </c>
      <c r="O127" s="58"/>
      <c r="P127" s="59" t="b">
        <v>0</v>
      </c>
      <c r="R127" s="60"/>
      <c r="S127" s="47" t="b">
        <v>0</v>
      </c>
      <c r="T127" s="61"/>
      <c r="U127" s="54"/>
      <c r="V127" s="54">
        <f t="shared" si="4"/>
        <v>0</v>
      </c>
      <c r="W127" s="49"/>
      <c r="X127" s="49"/>
    </row>
    <row r="128" spans="1:24" ht="15.75" customHeight="1">
      <c r="A128" s="1"/>
      <c r="B128" s="1"/>
      <c r="C128" s="71"/>
      <c r="D128" s="53"/>
      <c r="E128" s="53"/>
      <c r="F128" s="66"/>
      <c r="G128" s="69"/>
      <c r="H128" s="69"/>
      <c r="I128" s="69"/>
      <c r="J128" s="70"/>
      <c r="K128" s="54">
        <f t="shared" si="3"/>
        <v>0</v>
      </c>
      <c r="L128" s="55" t="b">
        <v>0</v>
      </c>
      <c r="M128" s="56"/>
      <c r="N128" s="57" t="b">
        <v>0</v>
      </c>
      <c r="O128" s="58"/>
      <c r="P128" s="59" t="b">
        <v>0</v>
      </c>
      <c r="Q128" s="129"/>
      <c r="R128" s="60"/>
      <c r="S128" s="47" t="b">
        <v>0</v>
      </c>
      <c r="T128" s="61"/>
      <c r="U128" s="54"/>
      <c r="V128" s="54">
        <f t="shared" si="4"/>
        <v>0</v>
      </c>
      <c r="W128" s="49"/>
      <c r="X128" s="49"/>
    </row>
    <row r="129" spans="1:24" ht="15.75" customHeight="1">
      <c r="A129" s="1"/>
      <c r="B129" s="1"/>
      <c r="C129" s="71"/>
      <c r="D129" s="53"/>
      <c r="E129" s="53"/>
      <c r="F129" s="66"/>
      <c r="G129" s="69"/>
      <c r="H129" s="69"/>
      <c r="I129" s="69"/>
      <c r="J129" s="70"/>
      <c r="K129" s="54">
        <f t="shared" si="3"/>
        <v>0</v>
      </c>
      <c r="L129" s="55" t="b">
        <v>0</v>
      </c>
      <c r="M129" s="56"/>
      <c r="N129" s="57" t="b">
        <v>0</v>
      </c>
      <c r="O129" s="58"/>
      <c r="P129" s="59" t="b">
        <v>0</v>
      </c>
      <c r="Q129" s="129"/>
      <c r="R129" s="60"/>
      <c r="S129" s="47" t="b">
        <v>0</v>
      </c>
      <c r="T129" s="61"/>
      <c r="U129" s="54"/>
      <c r="V129" s="54">
        <f t="shared" si="4"/>
        <v>0</v>
      </c>
      <c r="W129" s="49"/>
      <c r="X129" s="49"/>
    </row>
    <row r="130" spans="1:24" ht="15.75" customHeight="1">
      <c r="A130" s="1"/>
      <c r="B130" s="1"/>
      <c r="C130" s="71"/>
      <c r="D130" s="53"/>
      <c r="E130" s="53"/>
      <c r="F130" s="66"/>
      <c r="G130" s="69"/>
      <c r="H130" s="69"/>
      <c r="I130" s="69"/>
      <c r="J130" s="70"/>
      <c r="K130" s="54">
        <f t="shared" si="3"/>
        <v>0</v>
      </c>
      <c r="L130" s="55" t="b">
        <v>0</v>
      </c>
      <c r="M130" s="56"/>
      <c r="N130" s="57" t="b">
        <v>0</v>
      </c>
      <c r="O130" s="58"/>
      <c r="P130" s="59" t="b">
        <v>0</v>
      </c>
      <c r="Q130" s="129"/>
      <c r="R130" s="60"/>
      <c r="S130" s="47" t="b">
        <v>0</v>
      </c>
      <c r="T130" s="61"/>
      <c r="U130" s="54"/>
      <c r="V130" s="54">
        <f t="shared" si="4"/>
        <v>0</v>
      </c>
      <c r="W130" s="49"/>
      <c r="X130" s="49"/>
    </row>
    <row r="131" spans="1:24" ht="15.75" customHeight="1">
      <c r="A131" s="1"/>
      <c r="B131" s="1"/>
      <c r="C131" s="71"/>
      <c r="D131" s="53"/>
      <c r="E131" s="53"/>
      <c r="F131" s="66"/>
      <c r="G131" s="69"/>
      <c r="H131" s="69"/>
      <c r="I131" s="69"/>
      <c r="J131" s="70"/>
      <c r="K131" s="54">
        <f t="shared" si="3"/>
        <v>0</v>
      </c>
      <c r="L131" s="55" t="b">
        <v>0</v>
      </c>
      <c r="M131" s="56"/>
      <c r="N131" s="57" t="b">
        <v>0</v>
      </c>
      <c r="O131" s="58"/>
      <c r="P131" s="59" t="b">
        <v>0</v>
      </c>
      <c r="Q131" s="129"/>
      <c r="R131" s="60"/>
      <c r="S131" s="47" t="b">
        <v>0</v>
      </c>
      <c r="T131" s="61"/>
      <c r="U131" s="54"/>
      <c r="V131" s="54">
        <f t="shared" si="4"/>
        <v>0</v>
      </c>
      <c r="W131" s="49"/>
      <c r="X131" s="49"/>
    </row>
    <row r="132" spans="1:24" ht="15.75" customHeight="1">
      <c r="A132" s="1"/>
      <c r="B132" s="1"/>
      <c r="C132" s="71"/>
      <c r="D132" s="53"/>
      <c r="E132" s="53"/>
      <c r="F132" s="66"/>
      <c r="G132" s="69"/>
      <c r="H132" s="69"/>
      <c r="I132" s="69"/>
      <c r="J132" s="70"/>
      <c r="K132" s="54">
        <f t="shared" si="3"/>
        <v>0</v>
      </c>
      <c r="L132" s="55" t="b">
        <v>0</v>
      </c>
      <c r="M132" s="56"/>
      <c r="N132" s="57" t="b">
        <v>0</v>
      </c>
      <c r="O132" s="58"/>
      <c r="P132" s="59" t="b">
        <v>0</v>
      </c>
      <c r="Q132" s="129"/>
      <c r="R132" s="60"/>
      <c r="S132" s="47" t="b">
        <v>0</v>
      </c>
      <c r="T132" s="61"/>
      <c r="U132" s="54"/>
      <c r="V132" s="54">
        <f t="shared" si="4"/>
        <v>0</v>
      </c>
      <c r="W132" s="49"/>
      <c r="X132" s="49"/>
    </row>
    <row r="133" spans="1:24" ht="15.75" customHeight="1">
      <c r="A133" s="1"/>
      <c r="B133" s="1"/>
      <c r="C133" s="71"/>
      <c r="D133" s="53"/>
      <c r="E133" s="53"/>
      <c r="F133" s="66"/>
      <c r="G133" s="69"/>
      <c r="H133" s="69"/>
      <c r="I133" s="69"/>
      <c r="J133" s="70"/>
      <c r="K133" s="54">
        <f t="shared" si="3"/>
        <v>0</v>
      </c>
      <c r="L133" s="55" t="b">
        <v>0</v>
      </c>
      <c r="M133" s="56"/>
      <c r="N133" s="57" t="b">
        <v>0</v>
      </c>
      <c r="O133" s="58"/>
      <c r="P133" s="59" t="b">
        <v>0</v>
      </c>
      <c r="Q133" s="129"/>
      <c r="R133" s="60"/>
      <c r="S133" s="47" t="b">
        <v>0</v>
      </c>
      <c r="T133" s="61"/>
      <c r="U133" s="54"/>
      <c r="V133" s="54">
        <f t="shared" si="4"/>
        <v>0</v>
      </c>
      <c r="W133" s="49"/>
      <c r="X133" s="49"/>
    </row>
    <row r="134" spans="1:24" ht="15.75" customHeight="1">
      <c r="A134" s="1"/>
      <c r="B134" s="1"/>
      <c r="C134" s="71"/>
      <c r="D134" s="53"/>
      <c r="E134" s="53"/>
      <c r="F134" s="66"/>
      <c r="G134" s="69"/>
      <c r="H134" s="69"/>
      <c r="I134" s="69"/>
      <c r="J134" s="70"/>
      <c r="K134" s="54">
        <f t="shared" si="3"/>
        <v>0</v>
      </c>
      <c r="L134" s="55" t="b">
        <v>0</v>
      </c>
      <c r="M134" s="56"/>
      <c r="N134" s="57" t="b">
        <v>0</v>
      </c>
      <c r="O134" s="58"/>
      <c r="P134" s="59" t="b">
        <v>0</v>
      </c>
      <c r="Q134" s="129"/>
      <c r="R134" s="60"/>
      <c r="S134" s="47" t="b">
        <v>0</v>
      </c>
      <c r="T134" s="61"/>
      <c r="U134" s="54"/>
      <c r="V134" s="54">
        <f t="shared" si="4"/>
        <v>0</v>
      </c>
      <c r="W134" s="49"/>
      <c r="X134" s="49"/>
    </row>
    <row r="135" spans="1:24" ht="15.75" customHeight="1">
      <c r="A135" s="1"/>
      <c r="B135" s="1"/>
      <c r="C135" s="71"/>
      <c r="D135" s="53"/>
      <c r="E135" s="53"/>
      <c r="F135" s="66"/>
      <c r="G135" s="69"/>
      <c r="H135" s="69"/>
      <c r="I135" s="69"/>
      <c r="J135" s="70"/>
      <c r="K135" s="54">
        <f t="shared" si="3"/>
        <v>0</v>
      </c>
      <c r="L135" s="55" t="b">
        <v>0</v>
      </c>
      <c r="M135" s="56"/>
      <c r="N135" s="57" t="b">
        <v>0</v>
      </c>
      <c r="O135" s="58"/>
      <c r="P135" s="59" t="b">
        <v>0</v>
      </c>
      <c r="Q135" s="129"/>
      <c r="R135" s="60"/>
      <c r="S135" s="47" t="b">
        <v>0</v>
      </c>
      <c r="T135" s="61"/>
      <c r="U135" s="54"/>
      <c r="V135" s="54">
        <f t="shared" si="4"/>
        <v>0</v>
      </c>
      <c r="W135" s="49"/>
      <c r="X135" s="49"/>
    </row>
    <row r="136" spans="1:24" ht="15.75" customHeight="1">
      <c r="A136" s="1"/>
      <c r="B136" s="1"/>
      <c r="C136" s="71"/>
      <c r="D136" s="53"/>
      <c r="E136" s="53"/>
      <c r="F136" s="66"/>
      <c r="G136" s="69"/>
      <c r="H136" s="69"/>
      <c r="I136" s="69"/>
      <c r="J136" s="70"/>
      <c r="K136" s="54">
        <f t="shared" si="3"/>
        <v>0</v>
      </c>
      <c r="L136" s="55" t="b">
        <v>0</v>
      </c>
      <c r="M136" s="56"/>
      <c r="N136" s="57" t="b">
        <v>0</v>
      </c>
      <c r="O136" s="58"/>
      <c r="P136" s="59" t="b">
        <v>0</v>
      </c>
      <c r="Q136" s="129"/>
      <c r="R136" s="60"/>
      <c r="S136" s="47" t="b">
        <v>0</v>
      </c>
      <c r="T136" s="61"/>
      <c r="U136" s="54"/>
      <c r="V136" s="54">
        <f t="shared" si="4"/>
        <v>0</v>
      </c>
      <c r="W136" s="49"/>
      <c r="X136" s="49"/>
    </row>
    <row r="137" spans="1:24" ht="15.75" customHeight="1">
      <c r="A137" s="1"/>
      <c r="B137" s="1"/>
      <c r="C137" s="71"/>
      <c r="D137" s="53"/>
      <c r="E137" s="53"/>
      <c r="F137" s="66"/>
      <c r="G137" s="69"/>
      <c r="H137" s="69"/>
      <c r="I137" s="69"/>
      <c r="J137" s="70"/>
      <c r="K137" s="54">
        <f t="shared" si="3"/>
        <v>0</v>
      </c>
      <c r="L137" s="55" t="b">
        <v>0</v>
      </c>
      <c r="M137" s="56"/>
      <c r="N137" s="57" t="b">
        <v>0</v>
      </c>
      <c r="O137" s="58"/>
      <c r="P137" s="59" t="b">
        <v>0</v>
      </c>
      <c r="Q137" s="129"/>
      <c r="R137" s="60"/>
      <c r="S137" s="47" t="b">
        <v>0</v>
      </c>
      <c r="T137" s="61"/>
      <c r="U137" s="54"/>
      <c r="V137" s="54">
        <f t="shared" si="4"/>
        <v>0</v>
      </c>
      <c r="W137" s="49"/>
      <c r="X137" s="49"/>
    </row>
    <row r="138" spans="1:24" ht="15.75" customHeight="1">
      <c r="A138" s="1"/>
      <c r="B138" s="1"/>
      <c r="C138" s="71"/>
      <c r="D138" s="53"/>
      <c r="E138" s="53"/>
      <c r="F138" s="66"/>
      <c r="G138" s="69"/>
      <c r="H138" s="69"/>
      <c r="I138" s="69"/>
      <c r="J138" s="70"/>
      <c r="K138" s="54">
        <f t="shared" si="3"/>
        <v>0</v>
      </c>
      <c r="L138" s="55" t="b">
        <v>0</v>
      </c>
      <c r="M138" s="56"/>
      <c r="N138" s="57" t="b">
        <v>0</v>
      </c>
      <c r="O138" s="58"/>
      <c r="P138" s="59" t="b">
        <v>0</v>
      </c>
      <c r="Q138" s="129"/>
      <c r="R138" s="60"/>
      <c r="S138" s="47" t="b">
        <v>0</v>
      </c>
      <c r="T138" s="61"/>
      <c r="U138" s="54"/>
      <c r="V138" s="54">
        <f t="shared" si="4"/>
        <v>0</v>
      </c>
      <c r="W138" s="49"/>
      <c r="X138" s="49"/>
    </row>
    <row r="139" spans="1:24" ht="15.75" customHeight="1">
      <c r="A139" s="1"/>
      <c r="B139" s="1"/>
      <c r="C139" s="71"/>
      <c r="D139" s="53"/>
      <c r="E139" s="53"/>
      <c r="F139" s="66"/>
      <c r="G139" s="69"/>
      <c r="H139" s="69"/>
      <c r="I139" s="69"/>
      <c r="J139" s="70"/>
      <c r="K139" s="54">
        <f t="shared" si="3"/>
        <v>0</v>
      </c>
      <c r="L139" s="55" t="b">
        <v>0</v>
      </c>
      <c r="M139" s="56"/>
      <c r="N139" s="57" t="b">
        <v>0</v>
      </c>
      <c r="O139" s="58"/>
      <c r="P139" s="59" t="b">
        <v>0</v>
      </c>
      <c r="Q139" s="129"/>
      <c r="R139" s="60"/>
      <c r="S139" s="47" t="b">
        <v>0</v>
      </c>
      <c r="T139" s="61"/>
      <c r="U139" s="54"/>
      <c r="V139" s="54">
        <f t="shared" si="4"/>
        <v>0</v>
      </c>
      <c r="W139" s="49"/>
      <c r="X139" s="49"/>
    </row>
    <row r="140" spans="1:24" ht="15.75" customHeight="1">
      <c r="A140" s="1"/>
      <c r="B140" s="1"/>
      <c r="C140" s="71"/>
      <c r="D140" s="53"/>
      <c r="E140" s="53"/>
      <c r="F140" s="66"/>
      <c r="G140" s="69"/>
      <c r="H140" s="69"/>
      <c r="I140" s="69"/>
      <c r="J140" s="70"/>
      <c r="K140" s="54">
        <f t="shared" si="3"/>
        <v>0</v>
      </c>
      <c r="L140" s="55" t="b">
        <v>0</v>
      </c>
      <c r="M140" s="56"/>
      <c r="N140" s="57" t="b">
        <v>0</v>
      </c>
      <c r="O140" s="58"/>
      <c r="P140" s="59" t="b">
        <v>0</v>
      </c>
      <c r="Q140" s="129"/>
      <c r="R140" s="60"/>
      <c r="S140" s="47" t="b">
        <v>0</v>
      </c>
      <c r="T140" s="61"/>
      <c r="U140" s="54"/>
      <c r="V140" s="54">
        <f t="shared" si="4"/>
        <v>0</v>
      </c>
      <c r="W140" s="49"/>
      <c r="X140" s="49"/>
    </row>
    <row r="141" spans="1:24" ht="15.75" customHeight="1">
      <c r="A141" s="1"/>
      <c r="B141" s="1"/>
      <c r="C141" s="71"/>
      <c r="D141" s="53"/>
      <c r="E141" s="53"/>
      <c r="F141" s="66"/>
      <c r="G141" s="69"/>
      <c r="H141" s="69"/>
      <c r="I141" s="69"/>
      <c r="J141" s="70"/>
      <c r="K141" s="54">
        <f t="shared" si="3"/>
        <v>0</v>
      </c>
      <c r="L141" s="55" t="b">
        <v>0</v>
      </c>
      <c r="M141" s="56"/>
      <c r="N141" s="57" t="b">
        <v>0</v>
      </c>
      <c r="O141" s="58"/>
      <c r="P141" s="59" t="b">
        <v>0</v>
      </c>
      <c r="Q141" s="129"/>
      <c r="R141" s="60"/>
      <c r="S141" s="47" t="b">
        <v>0</v>
      </c>
      <c r="T141" s="61"/>
      <c r="U141" s="54"/>
      <c r="V141" s="54">
        <f t="shared" si="4"/>
        <v>0</v>
      </c>
      <c r="W141" s="49"/>
      <c r="X141" s="49"/>
    </row>
    <row r="142" spans="1:24" ht="15.75" customHeight="1">
      <c r="A142" s="1"/>
      <c r="B142" s="1"/>
      <c r="C142" s="71"/>
      <c r="D142" s="53"/>
      <c r="E142" s="53"/>
      <c r="F142" s="66"/>
      <c r="G142" s="69"/>
      <c r="H142" s="69"/>
      <c r="I142" s="69"/>
      <c r="J142" s="70"/>
      <c r="K142" s="54">
        <f t="shared" si="3"/>
        <v>0</v>
      </c>
      <c r="L142" s="55" t="b">
        <v>0</v>
      </c>
      <c r="M142" s="56"/>
      <c r="N142" s="57" t="b">
        <v>0</v>
      </c>
      <c r="O142" s="58"/>
      <c r="P142" s="59" t="b">
        <v>0</v>
      </c>
      <c r="Q142" s="129"/>
      <c r="R142" s="60"/>
      <c r="S142" s="47" t="b">
        <v>0</v>
      </c>
      <c r="T142" s="61"/>
      <c r="U142" s="54"/>
      <c r="V142" s="54">
        <f t="shared" si="4"/>
        <v>0</v>
      </c>
      <c r="W142" s="49"/>
      <c r="X142" s="49"/>
    </row>
    <row r="143" spans="1:24" ht="15.75" customHeight="1">
      <c r="A143" s="1"/>
      <c r="B143" s="1"/>
      <c r="C143" s="71"/>
      <c r="D143" s="53"/>
      <c r="E143" s="53"/>
      <c r="F143" s="66"/>
      <c r="G143" s="69"/>
      <c r="H143" s="69"/>
      <c r="I143" s="69"/>
      <c r="J143" s="70"/>
      <c r="K143" s="54">
        <f t="shared" si="3"/>
        <v>0</v>
      </c>
      <c r="L143" s="55" t="b">
        <v>0</v>
      </c>
      <c r="M143" s="56"/>
      <c r="N143" s="57" t="b">
        <v>0</v>
      </c>
      <c r="O143" s="58"/>
      <c r="P143" s="59" t="b">
        <v>0</v>
      </c>
      <c r="Q143" s="129"/>
      <c r="R143" s="60"/>
      <c r="S143" s="47" t="b">
        <v>0</v>
      </c>
      <c r="T143" s="61"/>
      <c r="U143" s="54"/>
      <c r="V143" s="54">
        <f t="shared" si="4"/>
        <v>0</v>
      </c>
      <c r="W143" s="49"/>
      <c r="X143" s="49"/>
    </row>
    <row r="144" spans="1:24" ht="15.75" customHeight="1">
      <c r="A144" s="1"/>
      <c r="B144" s="1"/>
      <c r="C144" s="71"/>
      <c r="D144" s="53"/>
      <c r="E144" s="53"/>
      <c r="F144" s="66"/>
      <c r="G144" s="69"/>
      <c r="H144" s="69"/>
      <c r="I144" s="69"/>
      <c r="J144" s="70"/>
      <c r="K144" s="54">
        <f t="shared" si="3"/>
        <v>0</v>
      </c>
      <c r="L144" s="55" t="b">
        <v>0</v>
      </c>
      <c r="M144" s="56"/>
      <c r="N144" s="57" t="b">
        <v>0</v>
      </c>
      <c r="O144" s="58"/>
      <c r="P144" s="59" t="b">
        <v>0</v>
      </c>
      <c r="Q144" s="129"/>
      <c r="R144" s="60"/>
      <c r="S144" s="47" t="b">
        <v>0</v>
      </c>
      <c r="T144" s="61"/>
      <c r="U144" s="54"/>
      <c r="V144" s="54">
        <f t="shared" si="4"/>
        <v>0</v>
      </c>
      <c r="W144" s="49"/>
      <c r="X144" s="49"/>
    </row>
    <row r="145" spans="1:24" ht="15.75" customHeight="1">
      <c r="A145" s="1"/>
      <c r="B145" s="1"/>
      <c r="C145" s="71"/>
      <c r="D145" s="53"/>
      <c r="E145" s="53"/>
      <c r="F145" s="66"/>
      <c r="G145" s="69"/>
      <c r="H145" s="69"/>
      <c r="I145" s="69"/>
      <c r="J145" s="70"/>
      <c r="K145" s="54">
        <f t="shared" si="3"/>
        <v>0</v>
      </c>
      <c r="L145" s="55" t="b">
        <v>0</v>
      </c>
      <c r="M145" s="56"/>
      <c r="N145" s="57" t="b">
        <v>0</v>
      </c>
      <c r="O145" s="58"/>
      <c r="P145" s="59" t="b">
        <v>0</v>
      </c>
      <c r="Q145" s="129"/>
      <c r="R145" s="60"/>
      <c r="S145" s="47" t="b">
        <v>0</v>
      </c>
      <c r="T145" s="61"/>
      <c r="U145" s="54"/>
      <c r="V145" s="54">
        <f t="shared" si="4"/>
        <v>0</v>
      </c>
      <c r="W145" s="49"/>
      <c r="X145" s="49"/>
    </row>
    <row r="146" spans="1:24" ht="15.75" customHeight="1">
      <c r="A146" s="1"/>
      <c r="B146" s="1"/>
      <c r="C146" s="71"/>
      <c r="D146" s="53"/>
      <c r="E146" s="53"/>
      <c r="F146" s="66"/>
      <c r="G146" s="69"/>
      <c r="H146" s="69"/>
      <c r="I146" s="69"/>
      <c r="J146" s="70"/>
      <c r="K146" s="54">
        <f t="shared" si="3"/>
        <v>0</v>
      </c>
      <c r="L146" s="55" t="b">
        <v>0</v>
      </c>
      <c r="M146" s="56"/>
      <c r="N146" s="57" t="b">
        <v>0</v>
      </c>
      <c r="O146" s="58"/>
      <c r="P146" s="59" t="b">
        <v>0</v>
      </c>
      <c r="Q146" s="129"/>
      <c r="R146" s="60"/>
      <c r="S146" s="47" t="b">
        <v>0</v>
      </c>
      <c r="T146" s="61"/>
      <c r="U146" s="54"/>
      <c r="V146" s="54">
        <f t="shared" si="4"/>
        <v>0</v>
      </c>
      <c r="W146" s="49"/>
      <c r="X146" s="49"/>
    </row>
    <row r="147" spans="1:24" ht="15.75" customHeight="1">
      <c r="A147" s="1"/>
      <c r="B147" s="1"/>
      <c r="C147" s="71"/>
      <c r="D147" s="53"/>
      <c r="E147" s="53"/>
      <c r="F147" s="66"/>
      <c r="G147" s="69"/>
      <c r="H147" s="69"/>
      <c r="I147" s="69"/>
      <c r="J147" s="70"/>
      <c r="K147" s="54">
        <f t="shared" si="3"/>
        <v>0</v>
      </c>
      <c r="L147" s="55" t="b">
        <v>0</v>
      </c>
      <c r="M147" s="56"/>
      <c r="N147" s="57" t="b">
        <v>0</v>
      </c>
      <c r="O147" s="58"/>
      <c r="P147" s="59" t="b">
        <v>0</v>
      </c>
      <c r="Q147" s="129"/>
      <c r="R147" s="60"/>
      <c r="S147" s="47" t="b">
        <v>0</v>
      </c>
      <c r="T147" s="61"/>
      <c r="U147" s="54"/>
      <c r="V147" s="54">
        <f t="shared" si="4"/>
        <v>0</v>
      </c>
      <c r="W147" s="49"/>
      <c r="X147" s="49"/>
    </row>
    <row r="148" spans="1:24" ht="15.75" customHeight="1">
      <c r="A148" s="1"/>
      <c r="B148" s="1"/>
      <c r="C148" s="71"/>
      <c r="D148" s="53"/>
      <c r="E148" s="53"/>
      <c r="F148" s="66"/>
      <c r="G148" s="69"/>
      <c r="H148" s="69"/>
      <c r="I148" s="69"/>
      <c r="J148" s="70"/>
      <c r="K148" s="54">
        <f t="shared" si="3"/>
        <v>0</v>
      </c>
      <c r="L148" s="55" t="b">
        <v>0</v>
      </c>
      <c r="M148" s="56"/>
      <c r="N148" s="57" t="b">
        <v>0</v>
      </c>
      <c r="O148" s="58"/>
      <c r="P148" s="59" t="b">
        <v>0</v>
      </c>
      <c r="Q148" s="129"/>
      <c r="R148" s="60"/>
      <c r="S148" s="47" t="b">
        <v>0</v>
      </c>
      <c r="T148" s="61"/>
      <c r="U148" s="54"/>
      <c r="V148" s="54">
        <f t="shared" si="4"/>
        <v>0</v>
      </c>
      <c r="W148" s="49"/>
      <c r="X148" s="49"/>
    </row>
    <row r="149" spans="1:24" ht="15.75" customHeight="1">
      <c r="A149" s="1"/>
      <c r="B149" s="1"/>
      <c r="C149" s="71"/>
      <c r="D149" s="53"/>
      <c r="E149" s="53"/>
      <c r="F149" s="66"/>
      <c r="G149" s="69"/>
      <c r="H149" s="69"/>
      <c r="I149" s="69"/>
      <c r="J149" s="70"/>
      <c r="K149" s="54">
        <f t="shared" si="3"/>
        <v>0</v>
      </c>
      <c r="L149" s="55" t="b">
        <v>0</v>
      </c>
      <c r="M149" s="56"/>
      <c r="N149" s="57" t="b">
        <v>0</v>
      </c>
      <c r="O149" s="58"/>
      <c r="P149" s="59" t="b">
        <v>0</v>
      </c>
      <c r="Q149" s="129"/>
      <c r="R149" s="60"/>
      <c r="S149" s="47" t="b">
        <v>0</v>
      </c>
      <c r="T149" s="61"/>
      <c r="U149" s="54"/>
      <c r="V149" s="54">
        <f t="shared" si="4"/>
        <v>0</v>
      </c>
      <c r="W149" s="49"/>
      <c r="X149" s="49"/>
    </row>
    <row r="150" spans="1:24" ht="15.75" customHeight="1">
      <c r="A150" s="1"/>
      <c r="B150" s="1"/>
      <c r="C150" s="71"/>
      <c r="D150" s="53"/>
      <c r="E150" s="53"/>
      <c r="F150" s="66"/>
      <c r="G150" s="69"/>
      <c r="H150" s="69"/>
      <c r="I150" s="69"/>
      <c r="J150" s="70"/>
      <c r="K150" s="54">
        <f t="shared" si="3"/>
        <v>0</v>
      </c>
      <c r="L150" s="55" t="b">
        <v>0</v>
      </c>
      <c r="M150" s="56"/>
      <c r="N150" s="57" t="b">
        <v>0</v>
      </c>
      <c r="O150" s="58"/>
      <c r="P150" s="59" t="b">
        <v>0</v>
      </c>
      <c r="Q150" s="129"/>
      <c r="R150" s="60"/>
      <c r="S150" s="47" t="b">
        <v>0</v>
      </c>
      <c r="T150" s="61"/>
      <c r="U150" s="54"/>
      <c r="V150" s="54">
        <f t="shared" si="4"/>
        <v>0</v>
      </c>
      <c r="W150" s="49"/>
      <c r="X150" s="49"/>
    </row>
    <row r="151" spans="1:24" ht="15.75" customHeight="1">
      <c r="A151" s="1"/>
      <c r="B151" s="1"/>
      <c r="C151" s="71"/>
      <c r="D151" s="53"/>
      <c r="E151" s="53"/>
      <c r="F151" s="66"/>
      <c r="G151" s="69"/>
      <c r="H151" s="69"/>
      <c r="I151" s="69"/>
      <c r="J151" s="70"/>
      <c r="K151" s="54">
        <f t="shared" si="3"/>
        <v>0</v>
      </c>
      <c r="L151" s="55" t="b">
        <v>0</v>
      </c>
      <c r="M151" s="56"/>
      <c r="N151" s="57" t="b">
        <v>0</v>
      </c>
      <c r="O151" s="58"/>
      <c r="P151" s="59" t="b">
        <v>0</v>
      </c>
      <c r="Q151" s="129"/>
      <c r="R151" s="60"/>
      <c r="S151" s="47" t="b">
        <v>0</v>
      </c>
      <c r="T151" s="61"/>
      <c r="U151" s="54"/>
      <c r="V151" s="54">
        <f t="shared" si="4"/>
        <v>0</v>
      </c>
      <c r="W151" s="49"/>
      <c r="X151" s="49"/>
    </row>
    <row r="152" spans="1:24" ht="15.75" customHeight="1">
      <c r="A152" s="1"/>
      <c r="B152" s="1"/>
      <c r="C152" s="71"/>
      <c r="D152" s="53"/>
      <c r="E152" s="53"/>
      <c r="F152" s="66"/>
      <c r="G152" s="69"/>
      <c r="H152" s="69"/>
      <c r="I152" s="69"/>
      <c r="J152" s="70"/>
      <c r="K152" s="54">
        <f t="shared" si="3"/>
        <v>0</v>
      </c>
      <c r="L152" s="55" t="b">
        <v>0</v>
      </c>
      <c r="M152" s="56"/>
      <c r="N152" s="57" t="b">
        <v>0</v>
      </c>
      <c r="O152" s="58"/>
      <c r="P152" s="59" t="b">
        <v>0</v>
      </c>
      <c r="Q152" s="129"/>
      <c r="R152" s="60"/>
      <c r="S152" s="47" t="b">
        <v>0</v>
      </c>
      <c r="T152" s="61"/>
      <c r="U152" s="54"/>
      <c r="V152" s="54">
        <f t="shared" si="4"/>
        <v>0</v>
      </c>
      <c r="W152" s="49"/>
      <c r="X152" s="49"/>
    </row>
    <row r="153" spans="1:24" ht="15.75" customHeight="1">
      <c r="A153" s="1"/>
      <c r="B153" s="1"/>
      <c r="C153" s="71"/>
      <c r="D153" s="53"/>
      <c r="E153" s="53"/>
      <c r="F153" s="66"/>
      <c r="G153" s="69"/>
      <c r="H153" s="69"/>
      <c r="I153" s="69"/>
      <c r="J153" s="70"/>
      <c r="K153" s="54">
        <f t="shared" si="3"/>
        <v>0</v>
      </c>
      <c r="L153" s="55" t="b">
        <v>0</v>
      </c>
      <c r="M153" s="56"/>
      <c r="N153" s="57" t="b">
        <v>0</v>
      </c>
      <c r="O153" s="58"/>
      <c r="P153" s="59" t="b">
        <v>0</v>
      </c>
      <c r="Q153" s="129"/>
      <c r="R153" s="60"/>
      <c r="S153" s="47" t="b">
        <v>0</v>
      </c>
      <c r="T153" s="61"/>
      <c r="U153" s="54"/>
      <c r="V153" s="54">
        <f t="shared" si="4"/>
        <v>0</v>
      </c>
      <c r="W153" s="49"/>
      <c r="X153" s="49"/>
    </row>
    <row r="154" spans="1:24" ht="15.75" customHeight="1">
      <c r="A154" s="1"/>
      <c r="B154" s="1"/>
      <c r="C154" s="71"/>
      <c r="D154" s="53"/>
      <c r="E154" s="53"/>
      <c r="F154" s="66"/>
      <c r="G154" s="69"/>
      <c r="H154" s="69"/>
      <c r="I154" s="69"/>
      <c r="J154" s="70"/>
      <c r="K154" s="54">
        <f t="shared" si="3"/>
        <v>0</v>
      </c>
      <c r="L154" s="55" t="b">
        <v>0</v>
      </c>
      <c r="M154" s="56"/>
      <c r="N154" s="57" t="b">
        <v>0</v>
      </c>
      <c r="O154" s="58"/>
      <c r="P154" s="59" t="b">
        <v>0</v>
      </c>
      <c r="Q154" s="129"/>
      <c r="R154" s="60"/>
      <c r="S154" s="47" t="b">
        <v>0</v>
      </c>
      <c r="T154" s="61"/>
      <c r="U154" s="54"/>
      <c r="V154" s="54">
        <f t="shared" si="4"/>
        <v>0</v>
      </c>
      <c r="W154" s="49"/>
      <c r="X154" s="49"/>
    </row>
    <row r="155" spans="1:24" ht="15.75" customHeight="1">
      <c r="A155" s="1"/>
      <c r="B155" s="1"/>
      <c r="C155" s="71"/>
      <c r="D155" s="53"/>
      <c r="E155" s="53"/>
      <c r="F155" s="66"/>
      <c r="G155" s="69"/>
      <c r="H155" s="69"/>
      <c r="I155" s="69"/>
      <c r="J155" s="70"/>
      <c r="K155" s="54">
        <f t="shared" si="3"/>
        <v>0</v>
      </c>
      <c r="L155" s="55" t="b">
        <v>0</v>
      </c>
      <c r="M155" s="56"/>
      <c r="N155" s="57" t="b">
        <v>0</v>
      </c>
      <c r="O155" s="58"/>
      <c r="P155" s="59" t="b">
        <v>0</v>
      </c>
      <c r="Q155" s="129"/>
      <c r="R155" s="60"/>
      <c r="S155" s="47" t="b">
        <v>0</v>
      </c>
      <c r="T155" s="61"/>
      <c r="U155" s="54"/>
      <c r="V155" s="54">
        <f t="shared" si="4"/>
        <v>0</v>
      </c>
      <c r="W155" s="49"/>
      <c r="X155" s="49"/>
    </row>
    <row r="156" spans="1:24" ht="15.75" customHeight="1">
      <c r="A156" s="1"/>
      <c r="B156" s="1"/>
      <c r="C156" s="71"/>
      <c r="D156" s="53"/>
      <c r="E156" s="53"/>
      <c r="F156" s="66"/>
      <c r="G156" s="69"/>
      <c r="H156" s="69"/>
      <c r="I156" s="69"/>
      <c r="J156" s="70"/>
      <c r="K156" s="54">
        <f t="shared" si="3"/>
        <v>0</v>
      </c>
      <c r="L156" s="55" t="b">
        <v>0</v>
      </c>
      <c r="M156" s="56"/>
      <c r="N156" s="57" t="b">
        <v>0</v>
      </c>
      <c r="O156" s="58"/>
      <c r="P156" s="59" t="b">
        <v>0</v>
      </c>
      <c r="Q156" s="129"/>
      <c r="R156" s="60"/>
      <c r="S156" s="47" t="b">
        <v>0</v>
      </c>
      <c r="T156" s="61"/>
      <c r="U156" s="54"/>
      <c r="V156" s="54">
        <f t="shared" si="4"/>
        <v>0</v>
      </c>
      <c r="W156" s="49"/>
      <c r="X156" s="49"/>
    </row>
    <row r="157" spans="1:24" ht="15.75" customHeight="1">
      <c r="A157" s="1"/>
      <c r="B157" s="1"/>
      <c r="C157" s="71"/>
      <c r="D157" s="53"/>
      <c r="E157" s="53"/>
      <c r="F157" s="66"/>
      <c r="G157" s="69"/>
      <c r="H157" s="69"/>
      <c r="I157" s="69"/>
      <c r="J157" s="70"/>
      <c r="K157" s="54">
        <f t="shared" si="3"/>
        <v>0</v>
      </c>
      <c r="L157" s="55" t="b">
        <v>0</v>
      </c>
      <c r="M157" s="56"/>
      <c r="N157" s="57" t="b">
        <v>0</v>
      </c>
      <c r="O157" s="58"/>
      <c r="P157" s="59" t="b">
        <v>0</v>
      </c>
      <c r="Q157" s="129"/>
      <c r="R157" s="60"/>
      <c r="S157" s="47" t="b">
        <v>0</v>
      </c>
      <c r="T157" s="61"/>
      <c r="U157" s="54"/>
      <c r="V157" s="54">
        <f t="shared" si="4"/>
        <v>0</v>
      </c>
      <c r="W157" s="49"/>
      <c r="X157" s="49"/>
    </row>
    <row r="158" spans="1:24" ht="15.75" customHeight="1">
      <c r="A158" s="1"/>
      <c r="B158" s="1"/>
      <c r="C158" s="71"/>
      <c r="D158" s="53"/>
      <c r="E158" s="53"/>
      <c r="F158" s="66"/>
      <c r="G158" s="69"/>
      <c r="H158" s="69"/>
      <c r="I158" s="69"/>
      <c r="J158" s="70"/>
      <c r="K158" s="54">
        <f t="shared" si="3"/>
        <v>0</v>
      </c>
      <c r="L158" s="55" t="b">
        <v>0</v>
      </c>
      <c r="M158" s="56"/>
      <c r="N158" s="57" t="b">
        <v>0</v>
      </c>
      <c r="O158" s="58"/>
      <c r="P158" s="59" t="b">
        <v>0</v>
      </c>
      <c r="Q158" s="129"/>
      <c r="R158" s="60"/>
      <c r="S158" s="47" t="b">
        <v>0</v>
      </c>
      <c r="T158" s="61"/>
      <c r="U158" s="54"/>
      <c r="V158" s="54">
        <f t="shared" si="4"/>
        <v>0</v>
      </c>
      <c r="W158" s="49"/>
      <c r="X158" s="49"/>
    </row>
    <row r="159" spans="1:24" ht="15.75" customHeight="1">
      <c r="A159" s="1"/>
      <c r="B159" s="1"/>
      <c r="C159" s="71"/>
      <c r="D159" s="53"/>
      <c r="E159" s="53"/>
      <c r="F159" s="66"/>
      <c r="G159" s="69"/>
      <c r="H159" s="69"/>
      <c r="I159" s="69"/>
      <c r="J159" s="70"/>
      <c r="K159" s="54">
        <f t="shared" si="3"/>
        <v>0</v>
      </c>
      <c r="L159" s="55" t="b">
        <v>0</v>
      </c>
      <c r="M159" s="56"/>
      <c r="N159" s="57" t="b">
        <v>0</v>
      </c>
      <c r="O159" s="58"/>
      <c r="P159" s="59" t="b">
        <v>0</v>
      </c>
      <c r="Q159" s="129"/>
      <c r="R159" s="60"/>
      <c r="S159" s="47" t="b">
        <v>0</v>
      </c>
      <c r="T159" s="61"/>
      <c r="U159" s="54"/>
      <c r="V159" s="54">
        <f t="shared" si="4"/>
        <v>0</v>
      </c>
      <c r="W159" s="49"/>
      <c r="X159" s="49"/>
    </row>
    <row r="160" spans="1:24" ht="15.75" customHeight="1">
      <c r="A160" s="1"/>
      <c r="B160" s="1"/>
      <c r="C160" s="71"/>
      <c r="D160" s="53"/>
      <c r="E160" s="53"/>
      <c r="F160" s="66"/>
      <c r="G160" s="69"/>
      <c r="H160" s="69"/>
      <c r="I160" s="69"/>
      <c r="J160" s="70"/>
      <c r="K160" s="54">
        <f t="shared" si="3"/>
        <v>0</v>
      </c>
      <c r="L160" s="55" t="b">
        <v>0</v>
      </c>
      <c r="M160" s="56"/>
      <c r="N160" s="57" t="b">
        <v>0</v>
      </c>
      <c r="O160" s="58"/>
      <c r="P160" s="59" t="b">
        <v>0</v>
      </c>
      <c r="Q160" s="129"/>
      <c r="R160" s="60"/>
      <c r="S160" s="47" t="b">
        <v>0</v>
      </c>
      <c r="T160" s="61"/>
      <c r="U160" s="54"/>
      <c r="V160" s="54">
        <f t="shared" si="4"/>
        <v>0</v>
      </c>
      <c r="W160" s="49"/>
      <c r="X160" s="49"/>
    </row>
    <row r="161" spans="1:24" ht="15.75" customHeight="1">
      <c r="A161" s="1"/>
      <c r="B161" s="1"/>
      <c r="C161" s="71"/>
      <c r="D161" s="53"/>
      <c r="E161" s="53"/>
      <c r="F161" s="66"/>
      <c r="G161" s="69"/>
      <c r="H161" s="69"/>
      <c r="I161" s="69"/>
      <c r="J161" s="70"/>
      <c r="K161" s="54">
        <f t="shared" si="3"/>
        <v>0</v>
      </c>
      <c r="L161" s="55" t="b">
        <v>0</v>
      </c>
      <c r="M161" s="56"/>
      <c r="N161" s="57" t="b">
        <v>0</v>
      </c>
      <c r="O161" s="58"/>
      <c r="P161" s="59" t="b">
        <v>0</v>
      </c>
      <c r="Q161" s="129"/>
      <c r="R161" s="60"/>
      <c r="S161" s="47" t="b">
        <v>0</v>
      </c>
      <c r="T161" s="61"/>
      <c r="U161" s="54"/>
      <c r="V161" s="54">
        <f t="shared" si="4"/>
        <v>0</v>
      </c>
      <c r="W161" s="49"/>
      <c r="X161" s="49"/>
    </row>
    <row r="162" spans="1:24" ht="15.75" customHeight="1">
      <c r="A162" s="1"/>
      <c r="B162" s="1"/>
      <c r="C162" s="71"/>
      <c r="D162" s="53"/>
      <c r="E162" s="53"/>
      <c r="F162" s="66"/>
      <c r="G162" s="69"/>
      <c r="H162" s="69"/>
      <c r="I162" s="69"/>
      <c r="J162" s="70"/>
      <c r="K162" s="54">
        <f t="shared" si="3"/>
        <v>0</v>
      </c>
      <c r="L162" s="55" t="b">
        <v>0</v>
      </c>
      <c r="M162" s="56"/>
      <c r="N162" s="57" t="b">
        <v>0</v>
      </c>
      <c r="O162" s="58"/>
      <c r="P162" s="59" t="b">
        <v>0</v>
      </c>
      <c r="Q162" s="129"/>
      <c r="R162" s="60"/>
      <c r="S162" s="47" t="b">
        <v>0</v>
      </c>
      <c r="T162" s="61"/>
      <c r="U162" s="54"/>
      <c r="V162" s="54">
        <f t="shared" si="4"/>
        <v>0</v>
      </c>
      <c r="W162" s="49"/>
      <c r="X162" s="49"/>
    </row>
    <row r="163" spans="1:24" ht="15.75" customHeight="1">
      <c r="A163" s="1"/>
      <c r="B163" s="1"/>
      <c r="C163" s="71"/>
      <c r="D163" s="53"/>
      <c r="E163" s="53"/>
      <c r="F163" s="66"/>
      <c r="G163" s="69"/>
      <c r="H163" s="69"/>
      <c r="I163" s="69"/>
      <c r="J163" s="70"/>
      <c r="K163" s="54">
        <f t="shared" si="3"/>
        <v>0</v>
      </c>
      <c r="L163" s="55" t="b">
        <v>0</v>
      </c>
      <c r="M163" s="56"/>
      <c r="N163" s="57" t="b">
        <v>0</v>
      </c>
      <c r="O163" s="58"/>
      <c r="P163" s="59" t="b">
        <v>0</v>
      </c>
      <c r="Q163" s="129"/>
      <c r="R163" s="60"/>
      <c r="S163" s="47" t="b">
        <v>0</v>
      </c>
      <c r="T163" s="61"/>
      <c r="U163" s="54"/>
      <c r="V163" s="54">
        <f t="shared" si="4"/>
        <v>0</v>
      </c>
      <c r="W163" s="49"/>
      <c r="X163" s="49"/>
    </row>
    <row r="164" spans="1:24" ht="15.75" customHeight="1">
      <c r="A164" s="1"/>
      <c r="B164" s="1"/>
      <c r="C164" s="71"/>
      <c r="D164" s="53"/>
      <c r="E164" s="53"/>
      <c r="F164" s="66"/>
      <c r="G164" s="69"/>
      <c r="H164" s="69"/>
      <c r="I164" s="69"/>
      <c r="J164" s="70"/>
      <c r="K164" s="54">
        <f t="shared" si="3"/>
        <v>0</v>
      </c>
      <c r="L164" s="55" t="b">
        <v>0</v>
      </c>
      <c r="M164" s="56"/>
      <c r="N164" s="57" t="b">
        <v>0</v>
      </c>
      <c r="O164" s="58"/>
      <c r="P164" s="59" t="b">
        <v>0</v>
      </c>
      <c r="Q164" s="129"/>
      <c r="R164" s="60"/>
      <c r="S164" s="47" t="b">
        <v>0</v>
      </c>
      <c r="T164" s="61"/>
      <c r="U164" s="54"/>
      <c r="V164" s="54">
        <f t="shared" si="4"/>
        <v>0</v>
      </c>
      <c r="W164" s="49"/>
      <c r="X164" s="49"/>
    </row>
    <row r="165" spans="1:24" ht="15.75" customHeight="1">
      <c r="A165" s="1"/>
      <c r="B165" s="1"/>
      <c r="C165" s="71"/>
      <c r="D165" s="53"/>
      <c r="E165" s="53"/>
      <c r="F165" s="66"/>
      <c r="G165" s="69"/>
      <c r="H165" s="69"/>
      <c r="I165" s="69"/>
      <c r="J165" s="70"/>
      <c r="K165" s="54">
        <f t="shared" si="3"/>
        <v>0</v>
      </c>
      <c r="L165" s="55" t="b">
        <v>0</v>
      </c>
      <c r="M165" s="56"/>
      <c r="N165" s="57" t="b">
        <v>0</v>
      </c>
      <c r="O165" s="58"/>
      <c r="P165" s="59" t="b">
        <v>0</v>
      </c>
      <c r="Q165" s="129"/>
      <c r="R165" s="60"/>
      <c r="S165" s="47" t="b">
        <v>0</v>
      </c>
      <c r="T165" s="61"/>
      <c r="U165" s="54"/>
      <c r="V165" s="54">
        <f t="shared" si="4"/>
        <v>0</v>
      </c>
      <c r="W165" s="49"/>
      <c r="X165" s="49"/>
    </row>
    <row r="166" spans="1:24" ht="15.75" customHeight="1">
      <c r="A166" s="1"/>
      <c r="B166" s="1"/>
      <c r="C166" s="71"/>
      <c r="D166" s="53"/>
      <c r="E166" s="53"/>
      <c r="F166" s="66"/>
      <c r="G166" s="69"/>
      <c r="H166" s="69"/>
      <c r="I166" s="69"/>
      <c r="J166" s="70"/>
      <c r="K166" s="54">
        <f t="shared" si="3"/>
        <v>0</v>
      </c>
      <c r="L166" s="55" t="b">
        <v>0</v>
      </c>
      <c r="M166" s="56"/>
      <c r="N166" s="57" t="b">
        <v>0</v>
      </c>
      <c r="O166" s="58"/>
      <c r="P166" s="59" t="b">
        <v>0</v>
      </c>
      <c r="Q166" s="129"/>
      <c r="R166" s="60"/>
      <c r="S166" s="47" t="b">
        <v>0</v>
      </c>
      <c r="T166" s="61"/>
      <c r="U166" s="54"/>
      <c r="V166" s="54">
        <f t="shared" si="4"/>
        <v>0</v>
      </c>
      <c r="W166" s="49"/>
      <c r="X166" s="49"/>
    </row>
    <row r="167" spans="1:24" ht="15.75" customHeight="1">
      <c r="A167" s="1"/>
      <c r="B167" s="1"/>
      <c r="C167" s="71"/>
      <c r="D167" s="53"/>
      <c r="E167" s="53"/>
      <c r="F167" s="66"/>
      <c r="G167" s="69"/>
      <c r="H167" s="69"/>
      <c r="I167" s="69"/>
      <c r="J167" s="70"/>
      <c r="K167" s="54">
        <f t="shared" si="3"/>
        <v>0</v>
      </c>
      <c r="L167" s="55" t="b">
        <v>0</v>
      </c>
      <c r="M167" s="56"/>
      <c r="N167" s="57" t="b">
        <v>0</v>
      </c>
      <c r="O167" s="58"/>
      <c r="P167" s="59" t="b">
        <v>0</v>
      </c>
      <c r="Q167" s="129"/>
      <c r="R167" s="60"/>
      <c r="S167" s="47" t="b">
        <v>0</v>
      </c>
      <c r="T167" s="61"/>
      <c r="U167" s="54"/>
      <c r="V167" s="54">
        <f t="shared" si="4"/>
        <v>0</v>
      </c>
      <c r="W167" s="49"/>
      <c r="X167" s="49"/>
    </row>
    <row r="168" spans="1:24" ht="15.75" customHeight="1">
      <c r="A168" s="1"/>
      <c r="B168" s="1"/>
      <c r="C168" s="71"/>
      <c r="D168" s="53"/>
      <c r="E168" s="53"/>
      <c r="F168" s="66"/>
      <c r="G168" s="69"/>
      <c r="H168" s="69"/>
      <c r="I168" s="69"/>
      <c r="J168" s="70"/>
      <c r="K168" s="54"/>
      <c r="L168" s="55"/>
      <c r="M168" s="56"/>
      <c r="N168" s="57"/>
      <c r="O168" s="58"/>
      <c r="P168" s="59"/>
      <c r="Q168" s="129"/>
      <c r="R168" s="60"/>
      <c r="S168" s="47"/>
      <c r="T168" s="61"/>
      <c r="U168" s="54"/>
      <c r="V168" s="54"/>
      <c r="W168" s="49"/>
      <c r="X168" s="49"/>
    </row>
    <row r="169" spans="1:24" ht="15.75" customHeight="1">
      <c r="A169" s="1"/>
      <c r="B169" s="1"/>
      <c r="C169" s="71"/>
      <c r="D169" s="53"/>
      <c r="E169" s="53"/>
      <c r="F169" s="66"/>
      <c r="G169" s="69"/>
      <c r="H169" s="69"/>
      <c r="I169" s="69"/>
      <c r="J169" s="70"/>
      <c r="K169" s="54"/>
      <c r="L169" s="55"/>
      <c r="M169" s="56"/>
      <c r="N169" s="57"/>
      <c r="O169" s="58"/>
      <c r="P169" s="59"/>
      <c r="Q169" s="129"/>
      <c r="R169" s="60"/>
      <c r="S169" s="47"/>
      <c r="T169" s="61"/>
      <c r="U169" s="54"/>
      <c r="V169" s="54"/>
      <c r="W169" s="49"/>
      <c r="X169" s="49"/>
    </row>
    <row r="170" spans="1:24" ht="15.75" customHeight="1">
      <c r="A170" s="1"/>
      <c r="B170" s="1"/>
      <c r="C170" s="71"/>
      <c r="D170" s="53"/>
      <c r="E170" s="53"/>
      <c r="F170" s="66"/>
      <c r="G170" s="69"/>
      <c r="H170" s="69"/>
      <c r="I170" s="69"/>
      <c r="J170" s="70"/>
      <c r="K170" s="54"/>
      <c r="L170" s="55"/>
      <c r="M170" s="56"/>
      <c r="N170" s="57"/>
      <c r="O170" s="58"/>
      <c r="P170" s="59"/>
      <c r="Q170" s="129"/>
      <c r="R170" s="60"/>
      <c r="S170" s="47"/>
      <c r="T170" s="61"/>
      <c r="U170" s="54"/>
      <c r="V170" s="54"/>
      <c r="W170" s="49"/>
      <c r="X170" s="49"/>
    </row>
    <row r="171" spans="1:24" ht="15.75" customHeight="1">
      <c r="A171" s="1"/>
      <c r="B171" s="1"/>
      <c r="C171" s="71"/>
      <c r="D171" s="53"/>
      <c r="E171" s="53"/>
      <c r="F171" s="66"/>
      <c r="G171" s="69"/>
      <c r="H171" s="69"/>
      <c r="I171" s="69"/>
      <c r="J171" s="70"/>
      <c r="K171" s="54"/>
      <c r="L171" s="55"/>
      <c r="M171" s="56"/>
      <c r="N171" s="57"/>
      <c r="O171" s="58"/>
      <c r="P171" s="59"/>
      <c r="Q171" s="129"/>
      <c r="R171" s="60"/>
      <c r="S171" s="47"/>
      <c r="T171" s="61"/>
      <c r="U171" s="54"/>
      <c r="V171" s="54"/>
      <c r="W171" s="49"/>
      <c r="X171" s="49"/>
    </row>
    <row r="172" spans="1:24" ht="15.75" customHeight="1">
      <c r="A172" s="1"/>
      <c r="B172" s="1"/>
      <c r="C172" s="71"/>
      <c r="D172" s="53"/>
      <c r="E172" s="53"/>
      <c r="F172" s="66"/>
      <c r="G172" s="69"/>
      <c r="H172" s="69"/>
      <c r="I172" s="69"/>
      <c r="J172" s="70"/>
      <c r="K172" s="54"/>
      <c r="L172" s="55"/>
      <c r="M172" s="56"/>
      <c r="N172" s="57"/>
      <c r="O172" s="58"/>
      <c r="P172" s="59"/>
      <c r="Q172" s="129"/>
      <c r="R172" s="60"/>
      <c r="S172" s="47"/>
      <c r="T172" s="61"/>
      <c r="U172" s="54"/>
      <c r="V172" s="54"/>
      <c r="W172" s="49"/>
      <c r="X172" s="49"/>
    </row>
    <row r="173" spans="1:24" ht="15.75" customHeight="1">
      <c r="A173" s="1"/>
      <c r="B173" s="1"/>
      <c r="C173" s="71"/>
      <c r="D173" s="53"/>
      <c r="E173" s="53"/>
      <c r="F173" s="66"/>
      <c r="G173" s="69"/>
      <c r="H173" s="69"/>
      <c r="I173" s="69"/>
      <c r="J173" s="70"/>
      <c r="K173" s="54"/>
      <c r="L173" s="55"/>
      <c r="M173" s="56"/>
      <c r="N173" s="57"/>
      <c r="O173" s="58"/>
      <c r="P173" s="59"/>
      <c r="Q173" s="129"/>
      <c r="R173" s="60"/>
      <c r="S173" s="47"/>
      <c r="T173" s="61"/>
      <c r="U173" s="54"/>
      <c r="V173" s="54"/>
      <c r="W173" s="49"/>
      <c r="X173" s="49"/>
    </row>
    <row r="174" spans="1:24" ht="15.75" customHeight="1">
      <c r="A174" s="1"/>
      <c r="B174" s="1"/>
      <c r="C174" s="71"/>
      <c r="D174" s="53"/>
      <c r="E174" s="53"/>
      <c r="F174" s="66"/>
      <c r="G174" s="69"/>
      <c r="H174" s="69"/>
      <c r="I174" s="69"/>
      <c r="J174" s="70"/>
      <c r="K174" s="54"/>
      <c r="L174" s="55"/>
      <c r="M174" s="56"/>
      <c r="N174" s="57"/>
      <c r="O174" s="58"/>
      <c r="P174" s="59"/>
      <c r="Q174" s="129"/>
      <c r="R174" s="60"/>
      <c r="S174" s="47"/>
      <c r="T174" s="61"/>
      <c r="U174" s="54"/>
      <c r="V174" s="54"/>
      <c r="W174" s="49"/>
      <c r="X174" s="49"/>
    </row>
    <row r="175" spans="1:24" ht="15.75" customHeight="1">
      <c r="A175" s="1"/>
      <c r="B175" s="1"/>
      <c r="C175" s="1"/>
      <c r="D175" s="1"/>
      <c r="E175" s="1"/>
      <c r="F175" s="1"/>
      <c r="G175" s="18"/>
      <c r="H175" s="1"/>
      <c r="I175" s="1"/>
      <c r="J175" s="8"/>
      <c r="K175" s="8"/>
      <c r="L175" s="1"/>
      <c r="M175" s="1"/>
      <c r="N175" s="9"/>
      <c r="O175" s="10"/>
      <c r="P175" s="1"/>
      <c r="Q175" s="126"/>
      <c r="R175" s="1"/>
      <c r="S175" s="1"/>
      <c r="T175" s="1"/>
      <c r="U175" s="1"/>
    </row>
    <row r="176" spans="1:24" ht="15.75" customHeight="1">
      <c r="A176" s="1"/>
      <c r="B176" s="1"/>
      <c r="C176" s="1"/>
      <c r="D176" s="1"/>
      <c r="E176" s="1"/>
      <c r="F176" s="1"/>
      <c r="G176" s="18"/>
      <c r="H176" s="1"/>
      <c r="I176" s="1"/>
      <c r="J176" s="8"/>
      <c r="K176" s="8"/>
      <c r="L176" s="1"/>
      <c r="M176" s="1"/>
      <c r="N176" s="9"/>
      <c r="O176" s="10"/>
      <c r="P176" s="1"/>
      <c r="Q176" s="126"/>
      <c r="R176" s="1"/>
      <c r="S176" s="1"/>
      <c r="T176" s="1"/>
      <c r="U176" s="1"/>
    </row>
    <row r="177" spans="1:21" ht="15.75" customHeight="1">
      <c r="A177" s="1"/>
      <c r="B177" s="1"/>
      <c r="C177" s="1"/>
      <c r="D177" s="1"/>
      <c r="E177" s="1"/>
      <c r="F177" s="1"/>
      <c r="G177" s="18"/>
      <c r="H177" s="1"/>
      <c r="I177" s="1"/>
      <c r="J177" s="8"/>
      <c r="K177" s="8"/>
      <c r="L177" s="1"/>
      <c r="M177" s="1"/>
      <c r="N177" s="9"/>
      <c r="O177" s="10"/>
      <c r="P177" s="1"/>
      <c r="Q177" s="126"/>
      <c r="R177" s="1"/>
      <c r="S177" s="1"/>
      <c r="T177" s="1"/>
      <c r="U177" s="1"/>
    </row>
    <row r="178" spans="1:21" ht="15.75" customHeight="1">
      <c r="A178" s="1"/>
      <c r="B178" s="1"/>
      <c r="C178" s="1"/>
      <c r="D178" s="1"/>
      <c r="E178" s="1"/>
      <c r="F178" s="1"/>
      <c r="G178" s="18"/>
      <c r="H178" s="1"/>
      <c r="I178" s="1"/>
      <c r="J178" s="8"/>
      <c r="K178" s="8"/>
      <c r="L178" s="1"/>
      <c r="M178" s="1"/>
      <c r="N178" s="9"/>
      <c r="O178" s="10"/>
      <c r="P178" s="1"/>
      <c r="Q178" s="126"/>
      <c r="R178" s="1"/>
      <c r="S178" s="1"/>
      <c r="T178" s="1"/>
      <c r="U178" s="1"/>
    </row>
    <row r="179" spans="1:21" ht="15.75" customHeight="1">
      <c r="A179" s="1"/>
      <c r="B179" s="1"/>
      <c r="C179" s="1"/>
      <c r="D179" s="1"/>
      <c r="E179" s="1"/>
      <c r="F179" s="1"/>
      <c r="G179" s="18"/>
      <c r="H179" s="1"/>
      <c r="I179" s="1"/>
      <c r="J179" s="8"/>
      <c r="K179" s="8"/>
      <c r="L179" s="1"/>
      <c r="M179" s="1"/>
      <c r="N179" s="9"/>
      <c r="O179" s="10"/>
      <c r="P179" s="1"/>
      <c r="Q179" s="126"/>
      <c r="R179" s="1"/>
      <c r="S179" s="1"/>
      <c r="T179" s="1"/>
      <c r="U179" s="1"/>
    </row>
    <row r="180" spans="1:21" ht="15.75" customHeight="1">
      <c r="A180" s="1"/>
      <c r="B180" s="1"/>
      <c r="C180" s="1"/>
      <c r="D180" s="1"/>
      <c r="E180" s="1"/>
      <c r="F180" s="1"/>
      <c r="G180" s="18"/>
      <c r="H180" s="1"/>
      <c r="I180" s="1"/>
      <c r="J180" s="8"/>
      <c r="K180" s="8"/>
      <c r="L180" s="1"/>
      <c r="M180" s="1"/>
      <c r="N180" s="9"/>
      <c r="O180" s="10"/>
      <c r="P180" s="1"/>
      <c r="Q180" s="126"/>
      <c r="R180" s="1"/>
      <c r="S180" s="1"/>
      <c r="T180" s="1"/>
      <c r="U180" s="1"/>
    </row>
    <row r="181" spans="1:21" ht="15.75" customHeight="1">
      <c r="A181" s="1"/>
      <c r="B181" s="1"/>
      <c r="C181" s="1"/>
      <c r="D181" s="1"/>
      <c r="E181" s="1"/>
      <c r="F181" s="1"/>
      <c r="G181" s="18"/>
      <c r="H181" s="1"/>
      <c r="I181" s="1"/>
      <c r="J181" s="8"/>
      <c r="K181" s="8"/>
      <c r="L181" s="1"/>
      <c r="M181" s="1"/>
      <c r="N181" s="9"/>
      <c r="O181" s="10"/>
      <c r="P181" s="1"/>
      <c r="Q181" s="126"/>
      <c r="R181" s="1"/>
      <c r="S181" s="1"/>
      <c r="T181" s="1"/>
      <c r="U181" s="1"/>
    </row>
    <row r="182" spans="1:21" ht="15.75" customHeight="1">
      <c r="A182" s="1"/>
      <c r="B182" s="1"/>
      <c r="C182" s="1"/>
      <c r="D182" s="1"/>
      <c r="E182" s="1"/>
      <c r="F182" s="1"/>
      <c r="G182" s="18"/>
      <c r="H182" s="1"/>
      <c r="I182" s="1"/>
      <c r="J182" s="8"/>
      <c r="K182" s="8"/>
      <c r="L182" s="1"/>
      <c r="M182" s="1"/>
      <c r="N182" s="9"/>
      <c r="O182" s="10"/>
      <c r="P182" s="1"/>
      <c r="Q182" s="126"/>
      <c r="R182" s="1"/>
      <c r="S182" s="1"/>
      <c r="T182" s="1"/>
      <c r="U182" s="1"/>
    </row>
    <row r="183" spans="1:21" ht="15.75" customHeight="1">
      <c r="A183" s="1"/>
      <c r="B183" s="1"/>
      <c r="C183" s="1"/>
      <c r="D183" s="1"/>
      <c r="E183" s="1"/>
      <c r="F183" s="1"/>
      <c r="G183" s="18"/>
      <c r="H183" s="1"/>
      <c r="I183" s="1"/>
      <c r="J183" s="8"/>
      <c r="K183" s="8"/>
      <c r="L183" s="1"/>
      <c r="M183" s="1"/>
      <c r="N183" s="9"/>
      <c r="O183" s="10"/>
      <c r="P183" s="1"/>
      <c r="Q183" s="126"/>
      <c r="R183" s="1"/>
      <c r="S183" s="1"/>
      <c r="T183" s="1"/>
      <c r="U183" s="1"/>
    </row>
    <row r="184" spans="1:21" ht="15.75" customHeight="1">
      <c r="A184" s="1"/>
      <c r="B184" s="1"/>
      <c r="C184" s="1"/>
      <c r="D184" s="1"/>
      <c r="E184" s="1"/>
      <c r="F184" s="1"/>
      <c r="G184" s="18"/>
      <c r="H184" s="1"/>
      <c r="I184" s="1"/>
      <c r="J184" s="8"/>
      <c r="K184" s="8"/>
      <c r="L184" s="1"/>
      <c r="M184" s="1"/>
      <c r="N184" s="9"/>
      <c r="O184" s="10"/>
      <c r="P184" s="1"/>
      <c r="Q184" s="126"/>
      <c r="R184" s="1"/>
      <c r="S184" s="1"/>
      <c r="T184" s="1"/>
      <c r="U184" s="1"/>
    </row>
    <row r="185" spans="1:21" ht="15.75" customHeight="1">
      <c r="A185" s="1"/>
      <c r="B185" s="1"/>
      <c r="C185" s="1"/>
      <c r="D185" s="1"/>
      <c r="E185" s="1"/>
      <c r="F185" s="1"/>
      <c r="G185" s="18"/>
      <c r="H185" s="1"/>
      <c r="I185" s="1"/>
      <c r="J185" s="8"/>
      <c r="K185" s="8"/>
      <c r="L185" s="1"/>
      <c r="M185" s="1"/>
      <c r="N185" s="9"/>
      <c r="O185" s="10"/>
      <c r="P185" s="1"/>
      <c r="Q185" s="126"/>
      <c r="R185" s="1"/>
      <c r="S185" s="1"/>
      <c r="T185" s="1"/>
      <c r="U185" s="1"/>
    </row>
    <row r="186" spans="1:21" ht="15.75" customHeight="1">
      <c r="A186" s="1"/>
      <c r="B186" s="1"/>
      <c r="C186" s="1"/>
      <c r="D186" s="1"/>
      <c r="E186" s="1"/>
      <c r="F186" s="1"/>
      <c r="G186" s="18"/>
      <c r="H186" s="1"/>
      <c r="I186" s="1"/>
      <c r="J186" s="8"/>
      <c r="K186" s="8"/>
      <c r="L186" s="1"/>
      <c r="M186" s="1"/>
      <c r="N186" s="9"/>
      <c r="O186" s="10"/>
      <c r="P186" s="1"/>
      <c r="Q186" s="126"/>
      <c r="R186" s="1"/>
      <c r="S186" s="1"/>
      <c r="T186" s="1"/>
      <c r="U186" s="1"/>
    </row>
    <row r="187" spans="1:21" ht="15.75" customHeight="1">
      <c r="A187" s="1"/>
      <c r="B187" s="1"/>
      <c r="C187" s="1"/>
      <c r="D187" s="1"/>
      <c r="E187" s="1"/>
      <c r="F187" s="1"/>
      <c r="G187" s="18"/>
      <c r="H187" s="1"/>
      <c r="I187" s="1"/>
      <c r="J187" s="8"/>
      <c r="K187" s="8"/>
      <c r="L187" s="1"/>
      <c r="M187" s="1"/>
      <c r="N187" s="9"/>
      <c r="O187" s="10"/>
      <c r="P187" s="1"/>
      <c r="Q187" s="126"/>
      <c r="R187" s="1"/>
      <c r="S187" s="1"/>
      <c r="T187" s="1"/>
      <c r="U187" s="1"/>
    </row>
    <row r="188" spans="1:21" ht="15.75" customHeight="1">
      <c r="A188" s="1"/>
      <c r="B188" s="1"/>
      <c r="C188" s="1"/>
      <c r="D188" s="1"/>
      <c r="E188" s="1"/>
      <c r="F188" s="1"/>
      <c r="G188" s="18"/>
      <c r="H188" s="1"/>
      <c r="I188" s="1"/>
      <c r="J188" s="8"/>
      <c r="K188" s="8"/>
      <c r="L188" s="1"/>
      <c r="M188" s="1"/>
      <c r="N188" s="9"/>
      <c r="O188" s="10"/>
      <c r="P188" s="1"/>
      <c r="Q188" s="126"/>
      <c r="R188" s="1"/>
      <c r="S188" s="1"/>
      <c r="T188" s="1"/>
      <c r="U188" s="1"/>
    </row>
    <row r="189" spans="1:21" ht="15.75" customHeight="1">
      <c r="A189" s="1"/>
      <c r="B189" s="1"/>
      <c r="C189" s="1"/>
      <c r="D189" s="1"/>
      <c r="E189" s="1"/>
      <c r="F189" s="1"/>
      <c r="G189" s="18"/>
      <c r="H189" s="1"/>
      <c r="I189" s="1"/>
      <c r="J189" s="8"/>
      <c r="K189" s="8"/>
      <c r="L189" s="1"/>
      <c r="M189" s="1"/>
      <c r="N189" s="9"/>
      <c r="O189" s="10"/>
      <c r="P189" s="1"/>
      <c r="Q189" s="126"/>
      <c r="R189" s="1"/>
      <c r="S189" s="1"/>
      <c r="T189" s="1"/>
      <c r="U189" s="1"/>
    </row>
    <row r="190" spans="1:21" ht="15.75" customHeight="1">
      <c r="A190" s="1"/>
      <c r="B190" s="1"/>
      <c r="C190" s="1"/>
      <c r="D190" s="1"/>
      <c r="E190" s="1"/>
      <c r="F190" s="1"/>
      <c r="G190" s="18"/>
      <c r="H190" s="1"/>
      <c r="I190" s="1"/>
      <c r="J190" s="8"/>
      <c r="K190" s="8"/>
      <c r="L190" s="1"/>
      <c r="M190" s="1"/>
      <c r="N190" s="9"/>
      <c r="O190" s="10"/>
      <c r="P190" s="1"/>
      <c r="Q190" s="126"/>
      <c r="R190" s="1"/>
      <c r="S190" s="1"/>
      <c r="T190" s="1"/>
      <c r="U190" s="1"/>
    </row>
    <row r="191" spans="1:21" ht="15.75" customHeight="1">
      <c r="A191" s="1"/>
      <c r="B191" s="1"/>
      <c r="C191" s="1"/>
      <c r="D191" s="1"/>
      <c r="E191" s="1"/>
      <c r="F191" s="1"/>
      <c r="G191" s="18"/>
      <c r="H191" s="1"/>
      <c r="I191" s="1"/>
      <c r="J191" s="8"/>
      <c r="K191" s="8"/>
      <c r="L191" s="1"/>
      <c r="M191" s="1"/>
      <c r="N191" s="9"/>
      <c r="O191" s="10"/>
      <c r="P191" s="1"/>
      <c r="Q191" s="126"/>
      <c r="R191" s="1"/>
      <c r="S191" s="1"/>
      <c r="T191" s="1"/>
      <c r="U191" s="1"/>
    </row>
    <row r="192" spans="1:21" ht="15.75" customHeight="1">
      <c r="A192" s="1"/>
      <c r="B192" s="1"/>
      <c r="C192" s="1"/>
      <c r="D192" s="1"/>
      <c r="E192" s="1"/>
      <c r="F192" s="1"/>
      <c r="G192" s="18"/>
      <c r="H192" s="1"/>
      <c r="I192" s="1"/>
      <c r="J192" s="8"/>
      <c r="K192" s="8"/>
      <c r="L192" s="1"/>
      <c r="M192" s="1"/>
      <c r="N192" s="9"/>
      <c r="O192" s="10"/>
      <c r="P192" s="1"/>
      <c r="Q192" s="126"/>
      <c r="R192" s="1"/>
      <c r="S192" s="1"/>
      <c r="T192" s="1"/>
      <c r="U192" s="1"/>
    </row>
    <row r="193" spans="1:21" ht="15.75" customHeight="1">
      <c r="A193" s="1"/>
      <c r="B193" s="1"/>
      <c r="C193" s="1"/>
      <c r="D193" s="1"/>
      <c r="E193" s="1"/>
      <c r="F193" s="1"/>
      <c r="G193" s="18"/>
      <c r="H193" s="1"/>
      <c r="I193" s="1"/>
      <c r="J193" s="8"/>
      <c r="K193" s="8"/>
      <c r="L193" s="1"/>
      <c r="M193" s="1"/>
      <c r="N193" s="9"/>
      <c r="O193" s="10"/>
      <c r="P193" s="1"/>
      <c r="Q193" s="126"/>
      <c r="R193" s="1"/>
      <c r="S193" s="1"/>
      <c r="T193" s="1"/>
      <c r="U193" s="1"/>
    </row>
    <row r="194" spans="1:21" ht="15.75" customHeight="1">
      <c r="A194" s="1"/>
      <c r="B194" s="1"/>
      <c r="C194" s="1"/>
      <c r="D194" s="1"/>
      <c r="E194" s="1"/>
      <c r="F194" s="1"/>
      <c r="G194" s="18"/>
      <c r="H194" s="1"/>
      <c r="I194" s="1"/>
      <c r="J194" s="8"/>
      <c r="K194" s="8"/>
      <c r="L194" s="1"/>
      <c r="M194" s="1"/>
      <c r="N194" s="9"/>
      <c r="O194" s="10"/>
      <c r="P194" s="1"/>
      <c r="Q194" s="126"/>
      <c r="R194" s="1"/>
      <c r="S194" s="1"/>
      <c r="T194" s="1"/>
      <c r="U194" s="1"/>
    </row>
    <row r="195" spans="1:21" ht="15.75" customHeight="1">
      <c r="A195" s="1"/>
      <c r="B195" s="1"/>
      <c r="C195" s="1"/>
      <c r="D195" s="1"/>
      <c r="E195" s="1"/>
      <c r="F195" s="1"/>
      <c r="G195" s="18"/>
      <c r="H195" s="1"/>
      <c r="I195" s="1"/>
      <c r="J195" s="8"/>
      <c r="K195" s="8"/>
      <c r="L195" s="1"/>
      <c r="M195" s="1"/>
      <c r="N195" s="9"/>
      <c r="O195" s="10"/>
      <c r="P195" s="1"/>
      <c r="Q195" s="126"/>
      <c r="R195" s="1"/>
      <c r="S195" s="1"/>
      <c r="T195" s="1"/>
      <c r="U195" s="1"/>
    </row>
    <row r="196" spans="1:21" ht="15.75" customHeight="1">
      <c r="A196" s="1"/>
      <c r="B196" s="1"/>
      <c r="C196" s="1"/>
      <c r="D196" s="1"/>
      <c r="E196" s="1"/>
      <c r="F196" s="1"/>
      <c r="G196" s="18"/>
      <c r="H196" s="1"/>
      <c r="I196" s="1"/>
      <c r="J196" s="8"/>
      <c r="K196" s="8"/>
      <c r="L196" s="1"/>
      <c r="M196" s="1"/>
      <c r="N196" s="9"/>
      <c r="O196" s="10"/>
      <c r="P196" s="1"/>
      <c r="Q196" s="126"/>
      <c r="R196" s="1"/>
      <c r="S196" s="1"/>
      <c r="T196" s="1"/>
      <c r="U196" s="1"/>
    </row>
    <row r="197" spans="1:21" ht="15.75" customHeight="1">
      <c r="A197" s="1"/>
      <c r="B197" s="1"/>
      <c r="C197" s="1"/>
      <c r="D197" s="1"/>
      <c r="E197" s="1"/>
      <c r="F197" s="1"/>
      <c r="G197" s="18"/>
      <c r="H197" s="1"/>
      <c r="I197" s="1"/>
      <c r="J197" s="8"/>
      <c r="K197" s="8"/>
      <c r="L197" s="1"/>
      <c r="M197" s="1"/>
      <c r="N197" s="9"/>
      <c r="O197" s="10"/>
      <c r="P197" s="1"/>
      <c r="Q197" s="126"/>
      <c r="R197" s="1"/>
      <c r="S197" s="1"/>
      <c r="T197" s="1"/>
      <c r="U197" s="1"/>
    </row>
    <row r="198" spans="1:21" ht="15.75" customHeight="1">
      <c r="A198" s="1"/>
      <c r="B198" s="1"/>
      <c r="C198" s="1"/>
      <c r="D198" s="1"/>
      <c r="E198" s="1"/>
      <c r="F198" s="1"/>
      <c r="G198" s="18"/>
      <c r="H198" s="1"/>
      <c r="I198" s="1"/>
      <c r="J198" s="8"/>
      <c r="K198" s="8"/>
      <c r="L198" s="1"/>
      <c r="M198" s="1"/>
      <c r="N198" s="9"/>
      <c r="O198" s="10"/>
      <c r="P198" s="1"/>
      <c r="Q198" s="126"/>
      <c r="R198" s="1"/>
      <c r="S198" s="1"/>
      <c r="T198" s="1"/>
      <c r="U198" s="1"/>
    </row>
    <row r="199" spans="1:21" ht="15.75" customHeight="1">
      <c r="A199" s="1"/>
      <c r="B199" s="1"/>
      <c r="C199" s="1"/>
      <c r="D199" s="1"/>
      <c r="E199" s="1"/>
      <c r="F199" s="1"/>
      <c r="G199" s="18"/>
      <c r="H199" s="1"/>
      <c r="I199" s="1"/>
      <c r="J199" s="8"/>
      <c r="K199" s="8"/>
      <c r="L199" s="1"/>
      <c r="M199" s="1"/>
      <c r="N199" s="9"/>
      <c r="O199" s="10"/>
      <c r="P199" s="1"/>
      <c r="Q199" s="126"/>
      <c r="R199" s="1"/>
      <c r="S199" s="1"/>
      <c r="T199" s="1"/>
      <c r="U199" s="1"/>
    </row>
    <row r="200" spans="1:21" ht="15.75" customHeight="1">
      <c r="A200" s="1"/>
      <c r="B200" s="1"/>
      <c r="C200" s="1"/>
      <c r="D200" s="1"/>
      <c r="E200" s="1"/>
      <c r="F200" s="1"/>
      <c r="G200" s="18"/>
      <c r="H200" s="1"/>
      <c r="I200" s="1"/>
      <c r="J200" s="8"/>
      <c r="K200" s="8"/>
      <c r="L200" s="1"/>
      <c r="M200" s="1"/>
      <c r="N200" s="9"/>
      <c r="O200" s="10"/>
      <c r="P200" s="1"/>
      <c r="Q200" s="126"/>
      <c r="R200" s="1"/>
      <c r="S200" s="1"/>
      <c r="T200" s="1"/>
      <c r="U200" s="1"/>
    </row>
    <row r="201" spans="1:21" ht="15.75" customHeight="1">
      <c r="A201" s="1"/>
      <c r="B201" s="1"/>
      <c r="C201" s="1"/>
      <c r="D201" s="1"/>
      <c r="E201" s="1"/>
      <c r="F201" s="1"/>
      <c r="G201" s="18"/>
      <c r="H201" s="1"/>
      <c r="I201" s="1"/>
      <c r="J201" s="8"/>
      <c r="K201" s="8"/>
      <c r="L201" s="1"/>
      <c r="M201" s="1"/>
      <c r="N201" s="9"/>
      <c r="O201" s="10"/>
      <c r="P201" s="1"/>
      <c r="Q201" s="126"/>
      <c r="R201" s="1"/>
      <c r="S201" s="1"/>
      <c r="T201" s="1"/>
      <c r="U201" s="1"/>
    </row>
    <row r="202" spans="1:21" ht="15.75" customHeight="1">
      <c r="A202" s="1"/>
      <c r="B202" s="1"/>
      <c r="C202" s="1"/>
      <c r="D202" s="1"/>
      <c r="E202" s="1"/>
      <c r="F202" s="1"/>
      <c r="G202" s="18"/>
      <c r="H202" s="1"/>
      <c r="I202" s="1"/>
      <c r="J202" s="8"/>
      <c r="K202" s="8"/>
      <c r="L202" s="1"/>
      <c r="M202" s="1"/>
      <c r="N202" s="9"/>
      <c r="O202" s="10"/>
      <c r="P202" s="1"/>
      <c r="Q202" s="126"/>
      <c r="R202" s="1"/>
      <c r="S202" s="1"/>
      <c r="T202" s="1"/>
      <c r="U202" s="1"/>
    </row>
    <row r="203" spans="1:21" ht="15.75" customHeight="1">
      <c r="A203" s="1"/>
      <c r="B203" s="1"/>
      <c r="C203" s="1"/>
      <c r="D203" s="1"/>
      <c r="E203" s="1"/>
      <c r="F203" s="1"/>
      <c r="G203" s="18"/>
      <c r="H203" s="1"/>
      <c r="I203" s="1"/>
      <c r="J203" s="8"/>
      <c r="K203" s="8"/>
      <c r="L203" s="1"/>
      <c r="M203" s="1"/>
      <c r="N203" s="9"/>
      <c r="O203" s="10"/>
      <c r="P203" s="1"/>
      <c r="Q203" s="126"/>
      <c r="R203" s="1"/>
      <c r="S203" s="1"/>
      <c r="T203" s="1"/>
      <c r="U203" s="1"/>
    </row>
    <row r="204" spans="1:21" ht="15.75" customHeight="1">
      <c r="A204" s="1"/>
      <c r="B204" s="1"/>
      <c r="C204" s="1"/>
      <c r="D204" s="1"/>
      <c r="E204" s="1"/>
      <c r="F204" s="1"/>
      <c r="G204" s="18"/>
      <c r="H204" s="1"/>
      <c r="I204" s="1"/>
      <c r="J204" s="8"/>
      <c r="K204" s="8"/>
      <c r="L204" s="1"/>
      <c r="M204" s="1"/>
      <c r="N204" s="9"/>
      <c r="O204" s="10"/>
      <c r="P204" s="1"/>
      <c r="Q204" s="126"/>
      <c r="R204" s="1"/>
      <c r="S204" s="1"/>
      <c r="T204" s="1"/>
      <c r="U204" s="1"/>
    </row>
    <row r="205" spans="1:21" ht="15.75" customHeight="1">
      <c r="A205" s="1"/>
      <c r="B205" s="1"/>
      <c r="C205" s="1"/>
      <c r="D205" s="1"/>
      <c r="E205" s="1"/>
      <c r="F205" s="1"/>
      <c r="G205" s="18"/>
      <c r="H205" s="1"/>
      <c r="I205" s="1"/>
      <c r="J205" s="8"/>
      <c r="K205" s="8"/>
      <c r="L205" s="1"/>
      <c r="M205" s="1"/>
      <c r="N205" s="9"/>
      <c r="O205" s="10"/>
      <c r="P205" s="1"/>
      <c r="Q205" s="126"/>
      <c r="R205" s="1"/>
      <c r="S205" s="1"/>
      <c r="T205" s="1"/>
      <c r="U205" s="1"/>
    </row>
    <row r="206" spans="1:21" ht="15.75" customHeight="1">
      <c r="A206" s="1"/>
      <c r="B206" s="1"/>
      <c r="C206" s="1"/>
      <c r="D206" s="1"/>
      <c r="E206" s="1"/>
      <c r="F206" s="1"/>
      <c r="G206" s="18"/>
      <c r="H206" s="1"/>
      <c r="I206" s="1"/>
      <c r="J206" s="8"/>
      <c r="K206" s="8"/>
      <c r="L206" s="1"/>
      <c r="M206" s="1"/>
      <c r="N206" s="9"/>
      <c r="O206" s="10"/>
      <c r="P206" s="1"/>
      <c r="Q206" s="126"/>
      <c r="R206" s="1"/>
      <c r="S206" s="1"/>
      <c r="T206" s="1"/>
      <c r="U206" s="1"/>
    </row>
    <row r="207" spans="1:21" ht="15.75" customHeight="1">
      <c r="A207" s="1"/>
      <c r="B207" s="1"/>
      <c r="C207" s="1"/>
      <c r="D207" s="1"/>
      <c r="E207" s="1"/>
      <c r="F207" s="1"/>
      <c r="G207" s="18"/>
      <c r="H207" s="1"/>
      <c r="I207" s="1"/>
      <c r="J207" s="8"/>
      <c r="K207" s="8"/>
      <c r="L207" s="1"/>
      <c r="M207" s="1"/>
      <c r="N207" s="9"/>
      <c r="O207" s="10"/>
      <c r="P207" s="1"/>
      <c r="Q207" s="126"/>
      <c r="R207" s="1"/>
      <c r="S207" s="1"/>
      <c r="T207" s="1"/>
      <c r="U207" s="1"/>
    </row>
    <row r="208" spans="1:21" ht="15.75" customHeight="1">
      <c r="A208" s="1"/>
      <c r="B208" s="1"/>
      <c r="C208" s="1"/>
      <c r="D208" s="1"/>
      <c r="E208" s="1"/>
      <c r="F208" s="1"/>
      <c r="G208" s="18"/>
      <c r="H208" s="1"/>
      <c r="I208" s="1"/>
      <c r="J208" s="8"/>
      <c r="K208" s="8"/>
      <c r="L208" s="1"/>
      <c r="M208" s="1"/>
      <c r="N208" s="9"/>
      <c r="O208" s="10"/>
      <c r="P208" s="1"/>
      <c r="Q208" s="126"/>
      <c r="R208" s="1"/>
      <c r="S208" s="1"/>
      <c r="T208" s="1"/>
      <c r="U208" s="1"/>
    </row>
    <row r="209" spans="1:21" ht="15.75" customHeight="1">
      <c r="A209" s="1"/>
      <c r="B209" s="1"/>
      <c r="C209" s="1"/>
      <c r="D209" s="1"/>
      <c r="E209" s="1"/>
      <c r="F209" s="1"/>
      <c r="G209" s="18"/>
      <c r="H209" s="1"/>
      <c r="I209" s="1"/>
      <c r="J209" s="8"/>
      <c r="K209" s="8"/>
      <c r="L209" s="1"/>
      <c r="M209" s="1"/>
      <c r="N209" s="9"/>
      <c r="O209" s="10"/>
      <c r="P209" s="1"/>
      <c r="Q209" s="126"/>
      <c r="R209" s="1"/>
      <c r="S209" s="1"/>
      <c r="T209" s="1"/>
      <c r="U209" s="1"/>
    </row>
    <row r="210" spans="1:21" ht="15.75" customHeight="1">
      <c r="A210" s="1"/>
      <c r="B210" s="1"/>
      <c r="C210" s="1"/>
      <c r="D210" s="1"/>
      <c r="E210" s="1"/>
      <c r="F210" s="1"/>
      <c r="G210" s="18"/>
      <c r="H210" s="1"/>
      <c r="I210" s="1"/>
      <c r="J210" s="8"/>
      <c r="K210" s="8"/>
      <c r="L210" s="1"/>
      <c r="M210" s="1"/>
      <c r="N210" s="9"/>
      <c r="O210" s="10"/>
      <c r="P210" s="1"/>
      <c r="Q210" s="126"/>
      <c r="R210" s="1"/>
      <c r="S210" s="1"/>
      <c r="T210" s="1"/>
      <c r="U210" s="1"/>
    </row>
    <row r="211" spans="1:21" ht="15.75" customHeight="1">
      <c r="A211" s="1"/>
      <c r="B211" s="1"/>
      <c r="C211" s="1"/>
      <c r="D211" s="1"/>
      <c r="E211" s="1"/>
      <c r="F211" s="1"/>
      <c r="G211" s="18"/>
      <c r="H211" s="1"/>
      <c r="I211" s="1"/>
      <c r="J211" s="8"/>
      <c r="K211" s="8"/>
      <c r="L211" s="1"/>
      <c r="M211" s="1"/>
      <c r="N211" s="9"/>
      <c r="O211" s="10"/>
      <c r="P211" s="1"/>
      <c r="Q211" s="126"/>
      <c r="R211" s="1"/>
      <c r="S211" s="1"/>
      <c r="T211" s="1"/>
      <c r="U211" s="1"/>
    </row>
    <row r="212" spans="1:21" ht="15.75" customHeight="1">
      <c r="A212" s="1"/>
      <c r="B212" s="1"/>
      <c r="C212" s="1"/>
      <c r="D212" s="1"/>
      <c r="E212" s="1"/>
      <c r="F212" s="1"/>
      <c r="G212" s="18"/>
      <c r="H212" s="1"/>
      <c r="I212" s="1"/>
      <c r="J212" s="8"/>
      <c r="K212" s="8"/>
      <c r="L212" s="1"/>
      <c r="M212" s="1"/>
      <c r="N212" s="9"/>
      <c r="O212" s="10"/>
      <c r="P212" s="1"/>
      <c r="Q212" s="126"/>
      <c r="R212" s="1"/>
      <c r="S212" s="1"/>
      <c r="T212" s="1"/>
      <c r="U212" s="1"/>
    </row>
    <row r="213" spans="1:21" ht="15.75" customHeight="1">
      <c r="A213" s="1"/>
      <c r="B213" s="1"/>
      <c r="C213" s="1"/>
      <c r="D213" s="1"/>
      <c r="E213" s="1"/>
      <c r="F213" s="1"/>
      <c r="G213" s="18"/>
      <c r="H213" s="1"/>
      <c r="I213" s="1"/>
      <c r="J213" s="8"/>
      <c r="K213" s="8"/>
      <c r="L213" s="1"/>
      <c r="M213" s="1"/>
      <c r="N213" s="9"/>
      <c r="O213" s="10"/>
      <c r="P213" s="1"/>
      <c r="Q213" s="126"/>
      <c r="R213" s="1"/>
      <c r="S213" s="1"/>
      <c r="T213" s="1"/>
      <c r="U213" s="1"/>
    </row>
    <row r="214" spans="1:21" ht="15.75" customHeight="1">
      <c r="A214" s="1"/>
      <c r="B214" s="1"/>
      <c r="C214" s="1"/>
      <c r="D214" s="1"/>
      <c r="E214" s="1"/>
      <c r="F214" s="1"/>
      <c r="G214" s="18"/>
      <c r="H214" s="1"/>
      <c r="I214" s="1"/>
      <c r="J214" s="8"/>
      <c r="K214" s="8"/>
      <c r="L214" s="1"/>
      <c r="M214" s="1"/>
      <c r="N214" s="9"/>
      <c r="O214" s="10"/>
      <c r="P214" s="1"/>
      <c r="Q214" s="126"/>
      <c r="R214" s="1"/>
      <c r="S214" s="1"/>
      <c r="T214" s="1"/>
      <c r="U214" s="1"/>
    </row>
    <row r="215" spans="1:21" ht="15.75" customHeight="1">
      <c r="A215" s="1"/>
      <c r="B215" s="1"/>
      <c r="C215" s="1"/>
      <c r="D215" s="1"/>
      <c r="E215" s="1"/>
      <c r="F215" s="1"/>
      <c r="G215" s="18"/>
      <c r="H215" s="1"/>
      <c r="I215" s="1"/>
      <c r="J215" s="8"/>
      <c r="K215" s="8"/>
      <c r="L215" s="1"/>
      <c r="M215" s="1"/>
      <c r="N215" s="9"/>
      <c r="O215" s="10"/>
      <c r="P215" s="1"/>
      <c r="Q215" s="126"/>
      <c r="R215" s="1"/>
      <c r="S215" s="1"/>
      <c r="T215" s="1"/>
      <c r="U215" s="1"/>
    </row>
    <row r="216" spans="1:21" ht="15.75" customHeight="1">
      <c r="A216" s="1"/>
      <c r="B216" s="1"/>
      <c r="C216" s="1"/>
      <c r="D216" s="1"/>
      <c r="E216" s="1"/>
      <c r="F216" s="1"/>
      <c r="G216" s="18"/>
      <c r="H216" s="1"/>
      <c r="I216" s="1"/>
      <c r="J216" s="8"/>
      <c r="K216" s="8"/>
      <c r="L216" s="1"/>
      <c r="M216" s="1"/>
      <c r="N216" s="9"/>
      <c r="O216" s="10"/>
      <c r="P216" s="1"/>
      <c r="Q216" s="126"/>
      <c r="R216" s="1"/>
      <c r="S216" s="1"/>
      <c r="T216" s="1"/>
      <c r="U216" s="1"/>
    </row>
    <row r="217" spans="1:21" ht="15.75" customHeight="1">
      <c r="A217" s="1"/>
      <c r="B217" s="1"/>
      <c r="C217" s="1"/>
      <c r="D217" s="1"/>
      <c r="E217" s="1"/>
      <c r="F217" s="1"/>
      <c r="G217" s="18"/>
      <c r="H217" s="1"/>
      <c r="I217" s="1"/>
      <c r="J217" s="8"/>
      <c r="K217" s="8"/>
      <c r="L217" s="1"/>
      <c r="M217" s="1"/>
      <c r="N217" s="9"/>
      <c r="O217" s="10"/>
      <c r="P217" s="1"/>
      <c r="Q217" s="126"/>
      <c r="R217" s="1"/>
      <c r="S217" s="1"/>
      <c r="T217" s="1"/>
      <c r="U217" s="1"/>
    </row>
    <row r="218" spans="1:21" ht="15.75" customHeight="1">
      <c r="A218" s="1"/>
      <c r="B218" s="1"/>
      <c r="C218" s="1"/>
      <c r="D218" s="1"/>
      <c r="E218" s="1"/>
      <c r="F218" s="1"/>
      <c r="G218" s="18"/>
      <c r="H218" s="1"/>
      <c r="I218" s="1"/>
      <c r="J218" s="8"/>
      <c r="K218" s="8"/>
      <c r="L218" s="1"/>
      <c r="M218" s="1"/>
      <c r="N218" s="9"/>
      <c r="O218" s="10"/>
      <c r="P218" s="1"/>
      <c r="Q218" s="126"/>
      <c r="R218" s="1"/>
      <c r="S218" s="1"/>
      <c r="T218" s="1"/>
      <c r="U218" s="1"/>
    </row>
    <row r="219" spans="1:21" ht="15.75" customHeight="1">
      <c r="A219" s="1"/>
      <c r="B219" s="1"/>
      <c r="C219" s="1"/>
      <c r="D219" s="1"/>
      <c r="E219" s="1"/>
      <c r="F219" s="1"/>
      <c r="G219" s="18"/>
      <c r="H219" s="1"/>
      <c r="I219" s="1"/>
      <c r="J219" s="8"/>
      <c r="K219" s="8"/>
      <c r="L219" s="1"/>
      <c r="M219" s="1"/>
      <c r="N219" s="9"/>
      <c r="O219" s="10"/>
      <c r="P219" s="1"/>
      <c r="Q219" s="126"/>
      <c r="R219" s="1"/>
      <c r="S219" s="1"/>
      <c r="T219" s="1"/>
      <c r="U219" s="1"/>
    </row>
    <row r="220" spans="1:21" ht="15.75" customHeight="1">
      <c r="A220" s="1"/>
      <c r="B220" s="1"/>
      <c r="C220" s="1"/>
      <c r="D220" s="1"/>
      <c r="E220" s="1"/>
      <c r="F220" s="1"/>
      <c r="G220" s="18"/>
      <c r="H220" s="1"/>
      <c r="I220" s="1"/>
      <c r="J220" s="8"/>
      <c r="K220" s="8"/>
      <c r="L220" s="1"/>
      <c r="M220" s="1"/>
      <c r="N220" s="9"/>
      <c r="O220" s="10"/>
      <c r="P220" s="1"/>
      <c r="Q220" s="126"/>
      <c r="R220" s="1"/>
      <c r="S220" s="1"/>
      <c r="T220" s="1"/>
      <c r="U220" s="1"/>
    </row>
    <row r="221" spans="1:21" ht="15.75" customHeight="1">
      <c r="A221" s="1"/>
      <c r="B221" s="1"/>
      <c r="C221" s="1"/>
      <c r="D221" s="1"/>
      <c r="E221" s="1"/>
      <c r="F221" s="1"/>
      <c r="G221" s="18"/>
      <c r="H221" s="1"/>
      <c r="I221" s="1"/>
      <c r="J221" s="8"/>
      <c r="K221" s="8"/>
      <c r="L221" s="1"/>
      <c r="M221" s="1"/>
      <c r="N221" s="9"/>
      <c r="O221" s="10"/>
      <c r="P221" s="1"/>
      <c r="Q221" s="126"/>
      <c r="R221" s="1"/>
      <c r="S221" s="1"/>
      <c r="T221" s="1"/>
      <c r="U221" s="1"/>
    </row>
    <row r="222" spans="1:21" ht="15.75" customHeight="1">
      <c r="A222" s="1"/>
      <c r="B222" s="1"/>
      <c r="C222" s="1"/>
      <c r="D222" s="1"/>
      <c r="E222" s="1"/>
      <c r="F222" s="1"/>
      <c r="G222" s="18"/>
      <c r="H222" s="1"/>
      <c r="I222" s="1"/>
      <c r="J222" s="8"/>
      <c r="K222" s="8"/>
      <c r="L222" s="1"/>
      <c r="M222" s="1"/>
      <c r="N222" s="9"/>
      <c r="O222" s="10"/>
      <c r="P222" s="1"/>
      <c r="Q222" s="126"/>
      <c r="R222" s="1"/>
      <c r="S222" s="1"/>
      <c r="T222" s="1"/>
      <c r="U222" s="1"/>
    </row>
    <row r="223" spans="1:21" ht="15.75" customHeight="1">
      <c r="A223" s="1"/>
      <c r="B223" s="1"/>
      <c r="C223" s="1"/>
      <c r="D223" s="1"/>
      <c r="E223" s="1"/>
      <c r="F223" s="1"/>
      <c r="G223" s="18"/>
      <c r="H223" s="1"/>
      <c r="I223" s="1"/>
      <c r="J223" s="8"/>
      <c r="K223" s="8"/>
      <c r="L223" s="1"/>
      <c r="M223" s="1"/>
      <c r="N223" s="9"/>
      <c r="O223" s="10"/>
      <c r="P223" s="1"/>
      <c r="Q223" s="126"/>
      <c r="R223" s="1"/>
      <c r="S223" s="1"/>
      <c r="T223" s="1"/>
      <c r="U223" s="1"/>
    </row>
    <row r="224" spans="1:21" ht="15.75" customHeight="1">
      <c r="A224" s="1"/>
      <c r="B224" s="1"/>
      <c r="C224" s="1"/>
      <c r="D224" s="1"/>
      <c r="E224" s="1"/>
      <c r="F224" s="1"/>
      <c r="G224" s="18"/>
      <c r="H224" s="1"/>
      <c r="I224" s="1"/>
      <c r="J224" s="8"/>
      <c r="K224" s="8"/>
      <c r="L224" s="1"/>
      <c r="M224" s="1"/>
      <c r="N224" s="9"/>
      <c r="O224" s="10"/>
      <c r="P224" s="1"/>
      <c r="Q224" s="126"/>
      <c r="R224" s="1"/>
      <c r="S224" s="1"/>
      <c r="T224" s="1"/>
      <c r="U224" s="1"/>
    </row>
    <row r="225" spans="1:21" ht="15.75" customHeight="1">
      <c r="A225" s="1"/>
      <c r="B225" s="1"/>
      <c r="C225" s="1"/>
      <c r="D225" s="1"/>
      <c r="E225" s="1"/>
      <c r="F225" s="1"/>
      <c r="G225" s="18"/>
      <c r="H225" s="1"/>
      <c r="I225" s="1"/>
      <c r="J225" s="8"/>
      <c r="K225" s="8"/>
      <c r="L225" s="1"/>
      <c r="M225" s="1"/>
      <c r="N225" s="9"/>
      <c r="O225" s="10"/>
      <c r="P225" s="1"/>
      <c r="Q225" s="126"/>
      <c r="R225" s="1"/>
      <c r="S225" s="1"/>
      <c r="T225" s="1"/>
      <c r="U225" s="1"/>
    </row>
    <row r="226" spans="1:21" ht="15.75" customHeight="1">
      <c r="A226" s="1"/>
      <c r="B226" s="1"/>
      <c r="C226" s="1"/>
      <c r="D226" s="1"/>
      <c r="E226" s="1"/>
      <c r="F226" s="1"/>
      <c r="G226" s="18"/>
      <c r="H226" s="1"/>
      <c r="I226" s="1"/>
      <c r="J226" s="8"/>
      <c r="K226" s="8"/>
      <c r="L226" s="1"/>
      <c r="M226" s="1"/>
      <c r="N226" s="9"/>
      <c r="O226" s="10"/>
      <c r="P226" s="1"/>
      <c r="Q226" s="126"/>
      <c r="R226" s="1"/>
      <c r="S226" s="1"/>
      <c r="T226" s="1"/>
      <c r="U226" s="1"/>
    </row>
    <row r="227" spans="1:21" ht="15.75" customHeight="1">
      <c r="A227" s="1"/>
      <c r="B227" s="1"/>
      <c r="C227" s="1"/>
      <c r="D227" s="1"/>
      <c r="E227" s="1"/>
      <c r="F227" s="1"/>
      <c r="G227" s="18"/>
      <c r="H227" s="1"/>
      <c r="I227" s="1"/>
      <c r="J227" s="8"/>
      <c r="K227" s="8"/>
      <c r="L227" s="1"/>
      <c r="M227" s="1"/>
      <c r="N227" s="9"/>
      <c r="O227" s="10"/>
      <c r="P227" s="1"/>
      <c r="Q227" s="126"/>
      <c r="R227" s="1"/>
      <c r="S227" s="1"/>
      <c r="T227" s="1"/>
      <c r="U227" s="1"/>
    </row>
    <row r="228" spans="1:21" ht="15.75" customHeight="1">
      <c r="A228" s="1"/>
      <c r="B228" s="1"/>
      <c r="C228" s="1"/>
      <c r="D228" s="1"/>
      <c r="E228" s="1"/>
      <c r="F228" s="1"/>
      <c r="G228" s="18"/>
      <c r="H228" s="1"/>
      <c r="I228" s="1"/>
      <c r="J228" s="8"/>
      <c r="K228" s="8"/>
      <c r="L228" s="1"/>
      <c r="M228" s="1"/>
      <c r="N228" s="9"/>
      <c r="O228" s="10"/>
      <c r="P228" s="1"/>
      <c r="Q228" s="126"/>
      <c r="R228" s="1"/>
      <c r="S228" s="1"/>
      <c r="T228" s="1"/>
      <c r="U228" s="1"/>
    </row>
    <row r="229" spans="1:21" ht="15.75" customHeight="1">
      <c r="A229" s="1"/>
      <c r="B229" s="1"/>
      <c r="C229" s="1"/>
      <c r="D229" s="1"/>
      <c r="E229" s="1"/>
      <c r="F229" s="1"/>
      <c r="G229" s="18"/>
      <c r="H229" s="1"/>
      <c r="I229" s="1"/>
      <c r="J229" s="8"/>
      <c r="K229" s="8"/>
      <c r="L229" s="1"/>
      <c r="M229" s="1"/>
      <c r="N229" s="9"/>
      <c r="O229" s="10"/>
      <c r="P229" s="1"/>
      <c r="Q229" s="126"/>
      <c r="R229" s="1"/>
      <c r="S229" s="1"/>
      <c r="T229" s="1"/>
      <c r="U229" s="1"/>
    </row>
    <row r="230" spans="1:21" ht="15.75" customHeight="1">
      <c r="A230" s="1"/>
      <c r="B230" s="1"/>
      <c r="C230" s="1"/>
      <c r="D230" s="1"/>
      <c r="E230" s="1"/>
      <c r="F230" s="1"/>
      <c r="G230" s="18"/>
      <c r="H230" s="1"/>
      <c r="I230" s="1"/>
      <c r="J230" s="8"/>
      <c r="K230" s="8"/>
      <c r="L230" s="1"/>
      <c r="M230" s="1"/>
      <c r="N230" s="9"/>
      <c r="O230" s="10"/>
      <c r="P230" s="1"/>
      <c r="Q230" s="126"/>
      <c r="R230" s="1"/>
      <c r="S230" s="1"/>
      <c r="T230" s="1"/>
      <c r="U230" s="1"/>
    </row>
    <row r="231" spans="1:21" ht="15.75" customHeight="1">
      <c r="A231" s="1"/>
      <c r="B231" s="1"/>
      <c r="C231" s="1"/>
      <c r="D231" s="1"/>
      <c r="E231" s="1"/>
      <c r="F231" s="1"/>
      <c r="G231" s="18"/>
      <c r="H231" s="1"/>
      <c r="I231" s="1"/>
      <c r="J231" s="8"/>
      <c r="K231" s="8"/>
      <c r="L231" s="1"/>
      <c r="M231" s="1"/>
      <c r="N231" s="9"/>
      <c r="O231" s="10"/>
      <c r="P231" s="1"/>
      <c r="Q231" s="126"/>
      <c r="R231" s="1"/>
      <c r="S231" s="1"/>
      <c r="T231" s="1"/>
      <c r="U231" s="1"/>
    </row>
    <row r="232" spans="1:21" ht="15.75" customHeight="1">
      <c r="A232" s="1"/>
      <c r="B232" s="1"/>
      <c r="C232" s="1"/>
      <c r="D232" s="1"/>
      <c r="E232" s="1"/>
      <c r="F232" s="1"/>
      <c r="G232" s="18"/>
      <c r="H232" s="1"/>
      <c r="I232" s="1"/>
      <c r="J232" s="8"/>
      <c r="K232" s="8"/>
      <c r="L232" s="1"/>
      <c r="M232" s="1"/>
      <c r="N232" s="9"/>
      <c r="O232" s="10"/>
      <c r="P232" s="1"/>
      <c r="Q232" s="126"/>
      <c r="R232" s="1"/>
      <c r="S232" s="1"/>
      <c r="T232" s="1"/>
      <c r="U232" s="1"/>
    </row>
    <row r="233" spans="1:21" ht="15.75" customHeight="1">
      <c r="A233" s="1"/>
      <c r="B233" s="1"/>
      <c r="C233" s="1"/>
      <c r="D233" s="1"/>
      <c r="E233" s="1"/>
      <c r="F233" s="1"/>
      <c r="G233" s="18"/>
      <c r="H233" s="1"/>
      <c r="I233" s="1"/>
      <c r="J233" s="8"/>
      <c r="K233" s="8"/>
      <c r="L233" s="1"/>
      <c r="M233" s="1"/>
      <c r="N233" s="9"/>
      <c r="O233" s="10"/>
      <c r="P233" s="1"/>
      <c r="Q233" s="126"/>
      <c r="R233" s="1"/>
      <c r="S233" s="1"/>
      <c r="T233" s="1"/>
      <c r="U233" s="1"/>
    </row>
    <row r="234" spans="1:21" ht="15.75" customHeight="1">
      <c r="A234" s="1"/>
      <c r="B234" s="1"/>
      <c r="C234" s="1"/>
      <c r="D234" s="1"/>
      <c r="E234" s="1"/>
      <c r="F234" s="1"/>
      <c r="G234" s="18"/>
      <c r="H234" s="1"/>
      <c r="I234" s="1"/>
      <c r="J234" s="8"/>
      <c r="K234" s="8"/>
      <c r="L234" s="1"/>
      <c r="M234" s="1"/>
      <c r="N234" s="9"/>
      <c r="O234" s="10"/>
      <c r="P234" s="1"/>
      <c r="Q234" s="126"/>
      <c r="R234" s="1"/>
      <c r="S234" s="1"/>
      <c r="T234" s="1"/>
      <c r="U234" s="1"/>
    </row>
    <row r="235" spans="1:21" ht="15.75" customHeight="1">
      <c r="A235" s="1"/>
      <c r="B235" s="1"/>
      <c r="C235" s="1"/>
      <c r="D235" s="1"/>
      <c r="E235" s="1"/>
      <c r="F235" s="1"/>
      <c r="G235" s="18"/>
      <c r="H235" s="1"/>
      <c r="I235" s="1"/>
      <c r="J235" s="8"/>
      <c r="K235" s="8"/>
      <c r="L235" s="1"/>
      <c r="M235" s="1"/>
      <c r="N235" s="9"/>
      <c r="O235" s="10"/>
      <c r="P235" s="1"/>
      <c r="Q235" s="126"/>
      <c r="R235" s="1"/>
      <c r="S235" s="1"/>
      <c r="T235" s="1"/>
      <c r="U235" s="1"/>
    </row>
    <row r="236" spans="1:21" ht="15.75" customHeight="1">
      <c r="A236" s="1"/>
      <c r="B236" s="1"/>
      <c r="C236" s="1"/>
      <c r="D236" s="1"/>
      <c r="E236" s="1"/>
      <c r="F236" s="1"/>
      <c r="G236" s="18"/>
      <c r="H236" s="1"/>
      <c r="I236" s="1"/>
      <c r="J236" s="8"/>
      <c r="K236" s="8"/>
      <c r="L236" s="1"/>
      <c r="M236" s="1"/>
      <c r="N236" s="9"/>
      <c r="O236" s="10"/>
      <c r="P236" s="1"/>
      <c r="Q236" s="126"/>
      <c r="R236" s="1"/>
      <c r="S236" s="1"/>
      <c r="T236" s="1"/>
      <c r="U236" s="1"/>
    </row>
    <row r="237" spans="1:21" ht="15.75" customHeight="1">
      <c r="A237" s="1"/>
      <c r="B237" s="1"/>
      <c r="C237" s="1"/>
      <c r="D237" s="1"/>
      <c r="E237" s="1"/>
      <c r="F237" s="1"/>
      <c r="G237" s="18"/>
      <c r="H237" s="1"/>
      <c r="I237" s="1"/>
      <c r="J237" s="8"/>
      <c r="K237" s="8"/>
      <c r="L237" s="1"/>
      <c r="M237" s="1"/>
      <c r="N237" s="9"/>
      <c r="O237" s="10"/>
      <c r="P237" s="1"/>
      <c r="Q237" s="126"/>
      <c r="R237" s="1"/>
      <c r="S237" s="1"/>
      <c r="T237" s="1"/>
      <c r="U237" s="1"/>
    </row>
    <row r="238" spans="1:21" ht="15.75" customHeight="1">
      <c r="A238" s="1"/>
      <c r="B238" s="1"/>
      <c r="C238" s="1"/>
      <c r="D238" s="1"/>
      <c r="E238" s="1"/>
      <c r="F238" s="1"/>
      <c r="G238" s="18"/>
      <c r="H238" s="1"/>
      <c r="I238" s="1"/>
      <c r="J238" s="8"/>
      <c r="K238" s="8"/>
      <c r="L238" s="1"/>
      <c r="M238" s="1"/>
      <c r="N238" s="9"/>
      <c r="O238" s="10"/>
      <c r="P238" s="1"/>
      <c r="Q238" s="126"/>
      <c r="R238" s="1"/>
      <c r="S238" s="1"/>
      <c r="T238" s="1"/>
      <c r="U238" s="1"/>
    </row>
    <row r="239" spans="1:21" ht="15.75" customHeight="1">
      <c r="A239" s="1"/>
      <c r="B239" s="1"/>
      <c r="C239" s="1"/>
      <c r="D239" s="1"/>
      <c r="E239" s="1"/>
      <c r="F239" s="1"/>
      <c r="G239" s="18"/>
      <c r="H239" s="1"/>
      <c r="I239" s="1"/>
      <c r="J239" s="8"/>
      <c r="K239" s="8"/>
      <c r="L239" s="1"/>
      <c r="M239" s="1"/>
      <c r="N239" s="9"/>
      <c r="O239" s="10"/>
      <c r="P239" s="1"/>
      <c r="Q239" s="126"/>
      <c r="R239" s="1"/>
      <c r="S239" s="1"/>
      <c r="T239" s="1"/>
      <c r="U239" s="1"/>
    </row>
    <row r="240" spans="1:21" ht="15.75" customHeight="1">
      <c r="A240" s="1"/>
      <c r="B240" s="1"/>
      <c r="C240" s="1"/>
      <c r="D240" s="1"/>
      <c r="E240" s="1"/>
      <c r="F240" s="1"/>
      <c r="G240" s="18"/>
      <c r="H240" s="1"/>
      <c r="I240" s="1"/>
      <c r="J240" s="8"/>
      <c r="K240" s="8"/>
      <c r="L240" s="1"/>
      <c r="M240" s="1"/>
      <c r="N240" s="9"/>
      <c r="O240" s="10"/>
      <c r="P240" s="1"/>
      <c r="Q240" s="126"/>
      <c r="R240" s="1"/>
      <c r="S240" s="1"/>
      <c r="T240" s="1"/>
      <c r="U240" s="1"/>
    </row>
    <row r="241" spans="1:21" ht="15.75" customHeight="1">
      <c r="A241" s="1"/>
      <c r="B241" s="1"/>
      <c r="C241" s="1"/>
      <c r="D241" s="1"/>
      <c r="E241" s="1"/>
      <c r="F241" s="1"/>
      <c r="G241" s="18"/>
      <c r="H241" s="1"/>
      <c r="I241" s="1"/>
      <c r="J241" s="8"/>
      <c r="K241" s="8"/>
      <c r="L241" s="1"/>
      <c r="M241" s="1"/>
      <c r="N241" s="9"/>
      <c r="O241" s="10"/>
      <c r="P241" s="1"/>
      <c r="Q241" s="126"/>
      <c r="R241" s="1"/>
      <c r="S241" s="1"/>
      <c r="T241" s="1"/>
      <c r="U241" s="1"/>
    </row>
    <row r="242" spans="1:21" ht="15.75" customHeight="1">
      <c r="A242" s="1"/>
      <c r="B242" s="1"/>
      <c r="C242" s="1"/>
      <c r="D242" s="1"/>
      <c r="E242" s="1"/>
      <c r="F242" s="1"/>
      <c r="G242" s="18"/>
      <c r="H242" s="1"/>
      <c r="I242" s="1"/>
      <c r="J242" s="8"/>
      <c r="K242" s="8"/>
      <c r="L242" s="1"/>
      <c r="M242" s="1"/>
      <c r="N242" s="9"/>
      <c r="O242" s="10"/>
      <c r="P242" s="1"/>
      <c r="Q242" s="126"/>
      <c r="R242" s="1"/>
      <c r="S242" s="1"/>
      <c r="T242" s="1"/>
      <c r="U242" s="1"/>
    </row>
    <row r="243" spans="1:21" ht="15.75" customHeight="1">
      <c r="A243" s="1"/>
      <c r="B243" s="1"/>
      <c r="C243" s="1"/>
      <c r="D243" s="1"/>
      <c r="E243" s="1"/>
      <c r="F243" s="1"/>
      <c r="G243" s="18"/>
      <c r="H243" s="1"/>
      <c r="I243" s="1"/>
      <c r="J243" s="8"/>
      <c r="K243" s="8"/>
      <c r="L243" s="1"/>
      <c r="M243" s="1"/>
      <c r="N243" s="9"/>
      <c r="O243" s="10"/>
      <c r="P243" s="1"/>
      <c r="Q243" s="126"/>
      <c r="R243" s="1"/>
      <c r="S243" s="1"/>
      <c r="T243" s="1"/>
      <c r="U243" s="1"/>
    </row>
    <row r="244" spans="1:21" ht="15.75" customHeight="1">
      <c r="A244" s="1"/>
      <c r="B244" s="1"/>
      <c r="C244" s="1"/>
      <c r="D244" s="1"/>
      <c r="E244" s="1"/>
      <c r="F244" s="1"/>
      <c r="G244" s="18"/>
      <c r="H244" s="1"/>
      <c r="I244" s="1"/>
      <c r="J244" s="8"/>
      <c r="K244" s="8"/>
      <c r="L244" s="1"/>
      <c r="M244" s="1"/>
      <c r="N244" s="9"/>
      <c r="O244" s="10"/>
      <c r="P244" s="1"/>
      <c r="Q244" s="126"/>
      <c r="R244" s="1"/>
      <c r="S244" s="1"/>
      <c r="T244" s="1"/>
      <c r="U244" s="1"/>
    </row>
    <row r="245" spans="1:21" ht="15.75" customHeight="1">
      <c r="A245" s="1"/>
      <c r="B245" s="1"/>
      <c r="C245" s="1"/>
      <c r="D245" s="1"/>
      <c r="E245" s="1"/>
      <c r="F245" s="1"/>
      <c r="G245" s="18"/>
      <c r="H245" s="1"/>
      <c r="I245" s="1"/>
      <c r="J245" s="8"/>
      <c r="K245" s="8"/>
      <c r="L245" s="1"/>
      <c r="M245" s="1"/>
      <c r="N245" s="9"/>
      <c r="O245" s="10"/>
      <c r="P245" s="1"/>
      <c r="Q245" s="126"/>
      <c r="R245" s="1"/>
      <c r="S245" s="1"/>
      <c r="T245" s="1"/>
      <c r="U245" s="1"/>
    </row>
    <row r="246" spans="1:21" ht="15.75" customHeight="1">
      <c r="A246" s="1"/>
      <c r="B246" s="1"/>
      <c r="C246" s="1"/>
      <c r="D246" s="1"/>
      <c r="E246" s="1"/>
      <c r="F246" s="1"/>
      <c r="G246" s="18"/>
      <c r="H246" s="1"/>
      <c r="I246" s="1"/>
      <c r="J246" s="8"/>
      <c r="K246" s="8"/>
      <c r="L246" s="1"/>
      <c r="M246" s="1"/>
      <c r="N246" s="9"/>
      <c r="O246" s="10"/>
      <c r="P246" s="1"/>
      <c r="Q246" s="126"/>
      <c r="R246" s="1"/>
      <c r="S246" s="1"/>
      <c r="T246" s="1"/>
      <c r="U246" s="1"/>
    </row>
    <row r="247" spans="1:21" ht="15.75" customHeight="1">
      <c r="A247" s="1"/>
      <c r="B247" s="1"/>
      <c r="C247" s="1"/>
      <c r="D247" s="1"/>
      <c r="E247" s="1"/>
      <c r="F247" s="1"/>
      <c r="G247" s="18"/>
      <c r="H247" s="1"/>
      <c r="I247" s="1"/>
      <c r="J247" s="8"/>
      <c r="K247" s="8"/>
      <c r="L247" s="1"/>
      <c r="M247" s="1"/>
      <c r="N247" s="9"/>
      <c r="O247" s="10"/>
      <c r="P247" s="1"/>
      <c r="Q247" s="126"/>
      <c r="R247" s="1"/>
      <c r="S247" s="1"/>
      <c r="T247" s="1"/>
      <c r="U247" s="1"/>
    </row>
    <row r="248" spans="1:21" ht="15.75" customHeight="1">
      <c r="A248" s="1"/>
      <c r="B248" s="1"/>
      <c r="C248" s="1"/>
      <c r="D248" s="1"/>
      <c r="E248" s="1"/>
      <c r="F248" s="1"/>
      <c r="G248" s="18"/>
      <c r="H248" s="1"/>
      <c r="I248" s="1"/>
      <c r="J248" s="8"/>
      <c r="K248" s="8"/>
      <c r="L248" s="1"/>
      <c r="M248" s="1"/>
      <c r="N248" s="9"/>
      <c r="O248" s="10"/>
      <c r="P248" s="1"/>
      <c r="Q248" s="126"/>
      <c r="R248" s="1"/>
      <c r="S248" s="1"/>
      <c r="T248" s="1"/>
      <c r="U248" s="1"/>
    </row>
    <row r="249" spans="1:21" ht="15.75" customHeight="1">
      <c r="A249" s="1"/>
      <c r="B249" s="1"/>
      <c r="C249" s="1"/>
      <c r="D249" s="1"/>
      <c r="E249" s="1"/>
      <c r="F249" s="1"/>
      <c r="G249" s="18"/>
      <c r="H249" s="1"/>
      <c r="I249" s="1"/>
      <c r="J249" s="8"/>
      <c r="K249" s="8"/>
      <c r="L249" s="1"/>
      <c r="M249" s="1"/>
      <c r="N249" s="9"/>
      <c r="O249" s="10"/>
      <c r="P249" s="1"/>
      <c r="Q249" s="126"/>
      <c r="R249" s="1"/>
      <c r="S249" s="1"/>
      <c r="T249" s="1"/>
      <c r="U249" s="1"/>
    </row>
    <row r="250" spans="1:21" ht="15.75" customHeight="1">
      <c r="A250" s="1"/>
      <c r="B250" s="1"/>
      <c r="C250" s="1"/>
      <c r="D250" s="1"/>
      <c r="E250" s="1"/>
      <c r="F250" s="1"/>
      <c r="G250" s="18"/>
      <c r="H250" s="1"/>
      <c r="I250" s="1"/>
      <c r="J250" s="8"/>
      <c r="K250" s="8"/>
      <c r="L250" s="1"/>
      <c r="M250" s="1"/>
      <c r="N250" s="9"/>
      <c r="O250" s="10"/>
      <c r="P250" s="1"/>
      <c r="Q250" s="126"/>
      <c r="R250" s="1"/>
      <c r="S250" s="1"/>
      <c r="T250" s="1"/>
      <c r="U250" s="1"/>
    </row>
    <row r="251" spans="1:21" ht="15.75" customHeight="1">
      <c r="A251" s="1"/>
      <c r="B251" s="1"/>
      <c r="C251" s="1"/>
      <c r="D251" s="1"/>
      <c r="E251" s="1"/>
      <c r="F251" s="1"/>
      <c r="G251" s="18"/>
      <c r="H251" s="1"/>
      <c r="I251" s="1"/>
      <c r="J251" s="8"/>
      <c r="K251" s="8"/>
      <c r="L251" s="1"/>
      <c r="M251" s="1"/>
      <c r="N251" s="9"/>
      <c r="O251" s="10"/>
      <c r="P251" s="1"/>
      <c r="Q251" s="126"/>
      <c r="R251" s="1"/>
      <c r="S251" s="1"/>
      <c r="T251" s="1"/>
      <c r="U251" s="1"/>
    </row>
    <row r="252" spans="1:21" ht="15.75" customHeight="1">
      <c r="A252" s="1"/>
      <c r="B252" s="1"/>
      <c r="C252" s="1"/>
      <c r="D252" s="1"/>
      <c r="E252" s="1"/>
      <c r="F252" s="1"/>
      <c r="G252" s="18"/>
      <c r="H252" s="1"/>
      <c r="I252" s="1"/>
      <c r="J252" s="8"/>
      <c r="K252" s="8"/>
      <c r="L252" s="1"/>
      <c r="M252" s="1"/>
      <c r="N252" s="9"/>
      <c r="O252" s="10"/>
      <c r="P252" s="1"/>
      <c r="Q252" s="126"/>
      <c r="R252" s="1"/>
      <c r="S252" s="1"/>
      <c r="T252" s="1"/>
      <c r="U252" s="1"/>
    </row>
    <row r="253" spans="1:21" ht="15.75" customHeight="1">
      <c r="A253" s="1"/>
      <c r="B253" s="1"/>
      <c r="C253" s="1"/>
      <c r="D253" s="1"/>
      <c r="E253" s="1"/>
      <c r="F253" s="1"/>
      <c r="G253" s="18"/>
      <c r="H253" s="1"/>
      <c r="I253" s="1"/>
      <c r="J253" s="8"/>
      <c r="K253" s="8"/>
      <c r="L253" s="1"/>
      <c r="M253" s="1"/>
      <c r="N253" s="9"/>
      <c r="O253" s="10"/>
      <c r="P253" s="1"/>
      <c r="Q253" s="126"/>
      <c r="R253" s="1"/>
      <c r="S253" s="1"/>
      <c r="T253" s="1"/>
      <c r="U253" s="1"/>
    </row>
    <row r="254" spans="1:21" ht="15.75" customHeight="1">
      <c r="A254" s="1"/>
      <c r="B254" s="1"/>
      <c r="C254" s="1"/>
      <c r="D254" s="1"/>
      <c r="E254" s="1"/>
      <c r="F254" s="1"/>
      <c r="G254" s="18"/>
      <c r="H254" s="1"/>
      <c r="I254" s="1"/>
      <c r="J254" s="8"/>
      <c r="K254" s="8"/>
      <c r="L254" s="1"/>
      <c r="M254" s="1"/>
      <c r="N254" s="9"/>
      <c r="O254" s="10"/>
      <c r="P254" s="1"/>
      <c r="Q254" s="126"/>
      <c r="R254" s="1"/>
      <c r="S254" s="1"/>
      <c r="T254" s="1"/>
      <c r="U254" s="1"/>
    </row>
    <row r="255" spans="1:21" ht="15.75" customHeight="1">
      <c r="A255" s="1"/>
      <c r="B255" s="1"/>
      <c r="C255" s="1"/>
      <c r="D255" s="1"/>
      <c r="E255" s="1"/>
      <c r="F255" s="1"/>
      <c r="G255" s="18"/>
      <c r="H255" s="1"/>
      <c r="I255" s="1"/>
      <c r="J255" s="8"/>
      <c r="K255" s="8"/>
      <c r="L255" s="1"/>
      <c r="M255" s="1"/>
      <c r="N255" s="9"/>
      <c r="O255" s="10"/>
      <c r="P255" s="1"/>
      <c r="Q255" s="126"/>
      <c r="R255" s="1"/>
      <c r="S255" s="1"/>
      <c r="T255" s="1"/>
      <c r="U255" s="1"/>
    </row>
    <row r="256" spans="1:21" ht="15.75" customHeight="1">
      <c r="A256" s="1"/>
      <c r="B256" s="1"/>
      <c r="C256" s="1"/>
      <c r="D256" s="1"/>
      <c r="E256" s="1"/>
      <c r="F256" s="1"/>
      <c r="G256" s="18"/>
      <c r="H256" s="1"/>
      <c r="I256" s="1"/>
      <c r="J256" s="8"/>
      <c r="K256" s="8"/>
      <c r="L256" s="1"/>
      <c r="M256" s="1"/>
      <c r="N256" s="9"/>
      <c r="O256" s="10"/>
      <c r="P256" s="1"/>
      <c r="Q256" s="126"/>
      <c r="R256" s="1"/>
      <c r="S256" s="1"/>
      <c r="T256" s="1"/>
      <c r="U256" s="1"/>
    </row>
    <row r="257" spans="1:21" ht="15.75" customHeight="1">
      <c r="A257" s="1"/>
      <c r="B257" s="1"/>
      <c r="C257" s="1"/>
      <c r="D257" s="1"/>
      <c r="E257" s="1"/>
      <c r="F257" s="1"/>
      <c r="G257" s="18"/>
      <c r="H257" s="1"/>
      <c r="I257" s="1"/>
      <c r="J257" s="8"/>
      <c r="K257" s="8"/>
      <c r="L257" s="1"/>
      <c r="M257" s="1"/>
      <c r="N257" s="9"/>
      <c r="O257" s="10"/>
      <c r="P257" s="1"/>
      <c r="Q257" s="126"/>
      <c r="R257" s="1"/>
      <c r="S257" s="1"/>
      <c r="T257" s="1"/>
      <c r="U257" s="1"/>
    </row>
    <row r="258" spans="1:21" ht="15.75" customHeight="1">
      <c r="A258" s="1"/>
      <c r="B258" s="1"/>
      <c r="C258" s="1"/>
      <c r="D258" s="1"/>
      <c r="E258" s="1"/>
      <c r="F258" s="1"/>
      <c r="G258" s="18"/>
      <c r="H258" s="1"/>
      <c r="I258" s="1"/>
      <c r="J258" s="8"/>
      <c r="K258" s="8"/>
      <c r="L258" s="1"/>
      <c r="M258" s="1"/>
      <c r="N258" s="9"/>
      <c r="O258" s="10"/>
      <c r="P258" s="1"/>
      <c r="Q258" s="126"/>
      <c r="R258" s="1"/>
      <c r="S258" s="1"/>
      <c r="T258" s="1"/>
      <c r="U258" s="1"/>
    </row>
    <row r="259" spans="1:21" ht="15.75" customHeight="1">
      <c r="A259" s="1"/>
      <c r="B259" s="1"/>
      <c r="C259" s="1"/>
      <c r="D259" s="1"/>
      <c r="E259" s="1"/>
      <c r="F259" s="1"/>
      <c r="G259" s="18"/>
      <c r="H259" s="1"/>
      <c r="I259" s="1"/>
      <c r="J259" s="8"/>
      <c r="K259" s="8"/>
      <c r="L259" s="1"/>
      <c r="M259" s="1"/>
      <c r="N259" s="9"/>
      <c r="O259" s="10"/>
      <c r="P259" s="1"/>
      <c r="Q259" s="126"/>
      <c r="R259" s="1"/>
      <c r="S259" s="1"/>
      <c r="T259" s="1"/>
      <c r="U259" s="1"/>
    </row>
    <row r="260" spans="1:21" ht="15.75" customHeight="1">
      <c r="A260" s="1"/>
      <c r="B260" s="1"/>
      <c r="C260" s="1"/>
      <c r="D260" s="1"/>
      <c r="E260" s="1"/>
      <c r="F260" s="1"/>
      <c r="G260" s="18"/>
      <c r="H260" s="1"/>
      <c r="I260" s="1"/>
      <c r="J260" s="8"/>
      <c r="K260" s="8"/>
      <c r="L260" s="1"/>
      <c r="M260" s="1"/>
      <c r="N260" s="9"/>
      <c r="O260" s="10"/>
      <c r="P260" s="1"/>
      <c r="Q260" s="126"/>
      <c r="R260" s="1"/>
      <c r="S260" s="1"/>
      <c r="T260" s="1"/>
      <c r="U260" s="1"/>
    </row>
    <row r="261" spans="1:21" ht="15.75" customHeight="1">
      <c r="A261" s="1"/>
      <c r="B261" s="1"/>
      <c r="C261" s="1"/>
      <c r="D261" s="1"/>
      <c r="E261" s="1"/>
      <c r="F261" s="1"/>
      <c r="G261" s="18"/>
      <c r="H261" s="1"/>
      <c r="I261" s="1"/>
      <c r="J261" s="8"/>
      <c r="K261" s="8"/>
      <c r="L261" s="1"/>
      <c r="M261" s="1"/>
      <c r="N261" s="9"/>
      <c r="O261" s="10"/>
      <c r="P261" s="1"/>
      <c r="Q261" s="126"/>
      <c r="R261" s="1"/>
      <c r="S261" s="1"/>
      <c r="T261" s="1"/>
      <c r="U261" s="1"/>
    </row>
    <row r="262" spans="1:21" ht="15.75" customHeight="1">
      <c r="A262" s="1"/>
      <c r="B262" s="1"/>
      <c r="C262" s="1"/>
      <c r="D262" s="1"/>
      <c r="E262" s="1"/>
      <c r="F262" s="1"/>
      <c r="G262" s="18"/>
      <c r="H262" s="1"/>
      <c r="I262" s="1"/>
      <c r="J262" s="8"/>
      <c r="K262" s="8"/>
      <c r="L262" s="1"/>
      <c r="M262" s="1"/>
      <c r="N262" s="9"/>
      <c r="O262" s="10"/>
      <c r="P262" s="1"/>
      <c r="Q262" s="126"/>
      <c r="R262" s="1"/>
      <c r="S262" s="1"/>
      <c r="T262" s="1"/>
      <c r="U262" s="1"/>
    </row>
    <row r="263" spans="1:21" ht="15.75" customHeight="1">
      <c r="A263" s="1"/>
      <c r="B263" s="1"/>
      <c r="C263" s="1"/>
      <c r="D263" s="1"/>
      <c r="E263" s="1"/>
      <c r="F263" s="1"/>
      <c r="G263" s="18"/>
      <c r="H263" s="1"/>
      <c r="I263" s="1"/>
      <c r="J263" s="8"/>
      <c r="K263" s="8"/>
      <c r="L263" s="1"/>
      <c r="M263" s="1"/>
      <c r="N263" s="9"/>
      <c r="O263" s="10"/>
      <c r="P263" s="1"/>
      <c r="Q263" s="126"/>
      <c r="R263" s="1"/>
      <c r="S263" s="1"/>
      <c r="T263" s="1"/>
      <c r="U263" s="1"/>
    </row>
    <row r="264" spans="1:21" ht="15.75" customHeight="1">
      <c r="A264" s="1"/>
      <c r="B264" s="1"/>
      <c r="C264" s="1"/>
      <c r="D264" s="1"/>
      <c r="E264" s="1"/>
      <c r="F264" s="1"/>
      <c r="G264" s="18"/>
      <c r="H264" s="1"/>
      <c r="I264" s="1"/>
      <c r="J264" s="8"/>
      <c r="K264" s="8"/>
      <c r="L264" s="1"/>
      <c r="M264" s="1"/>
      <c r="N264" s="9"/>
      <c r="O264" s="10"/>
      <c r="P264" s="1"/>
      <c r="Q264" s="126"/>
      <c r="R264" s="1"/>
      <c r="S264" s="1"/>
      <c r="T264" s="1"/>
      <c r="U264" s="1"/>
    </row>
    <row r="265" spans="1:21" ht="15.75" customHeight="1">
      <c r="A265" s="1"/>
      <c r="B265" s="1"/>
      <c r="C265" s="1"/>
      <c r="D265" s="1"/>
      <c r="E265" s="1"/>
      <c r="F265" s="1"/>
      <c r="G265" s="18"/>
      <c r="H265" s="1"/>
      <c r="I265" s="1"/>
      <c r="J265" s="8"/>
      <c r="K265" s="8"/>
      <c r="L265" s="1"/>
      <c r="M265" s="1"/>
      <c r="N265" s="9"/>
      <c r="O265" s="10"/>
      <c r="P265" s="1"/>
      <c r="Q265" s="126"/>
      <c r="R265" s="1"/>
      <c r="S265" s="1"/>
      <c r="T265" s="1"/>
      <c r="U265" s="1"/>
    </row>
    <row r="266" spans="1:21" ht="15.75" customHeight="1">
      <c r="A266" s="1"/>
      <c r="B266" s="1"/>
      <c r="C266" s="1"/>
      <c r="D266" s="1"/>
      <c r="E266" s="1"/>
      <c r="F266" s="1"/>
      <c r="G266" s="18"/>
      <c r="H266" s="1"/>
      <c r="I266" s="1"/>
      <c r="J266" s="8"/>
      <c r="K266" s="8"/>
      <c r="L266" s="1"/>
      <c r="M266" s="1"/>
      <c r="N266" s="9"/>
      <c r="O266" s="10"/>
      <c r="P266" s="1"/>
      <c r="Q266" s="126"/>
      <c r="R266" s="1"/>
      <c r="S266" s="1"/>
      <c r="T266" s="1"/>
      <c r="U266" s="1"/>
    </row>
    <row r="267" spans="1:21" ht="15.75" customHeight="1">
      <c r="A267" s="1"/>
      <c r="B267" s="1"/>
      <c r="C267" s="1"/>
      <c r="D267" s="1"/>
      <c r="E267" s="1"/>
      <c r="F267" s="1"/>
      <c r="G267" s="18"/>
      <c r="H267" s="1"/>
      <c r="I267" s="1"/>
      <c r="J267" s="8"/>
      <c r="K267" s="8"/>
      <c r="L267" s="1"/>
      <c r="M267" s="1"/>
      <c r="N267" s="9"/>
      <c r="O267" s="10"/>
      <c r="P267" s="1"/>
      <c r="Q267" s="126"/>
      <c r="R267" s="1"/>
      <c r="S267" s="1"/>
      <c r="T267" s="1"/>
      <c r="U267" s="1"/>
    </row>
    <row r="268" spans="1:21" ht="15.75" customHeight="1">
      <c r="A268" s="1"/>
      <c r="B268" s="1"/>
      <c r="C268" s="1"/>
      <c r="D268" s="1"/>
      <c r="E268" s="1"/>
      <c r="F268" s="1"/>
      <c r="G268" s="18"/>
      <c r="H268" s="1"/>
      <c r="I268" s="1"/>
      <c r="J268" s="8"/>
      <c r="K268" s="8"/>
      <c r="L268" s="1"/>
      <c r="M268" s="1"/>
      <c r="N268" s="9"/>
      <c r="O268" s="10"/>
      <c r="P268" s="1"/>
      <c r="Q268" s="126"/>
      <c r="R268" s="1"/>
      <c r="S268" s="1"/>
      <c r="T268" s="1"/>
      <c r="U268" s="1"/>
    </row>
    <row r="269" spans="1:21" ht="15.75" customHeight="1">
      <c r="A269" s="1"/>
      <c r="B269" s="1"/>
      <c r="C269" s="1"/>
      <c r="D269" s="1"/>
      <c r="E269" s="1"/>
      <c r="F269" s="1"/>
      <c r="G269" s="18"/>
      <c r="H269" s="1"/>
      <c r="I269" s="1"/>
      <c r="J269" s="8"/>
      <c r="K269" s="8"/>
      <c r="L269" s="1"/>
      <c r="M269" s="1"/>
      <c r="N269" s="9"/>
      <c r="O269" s="10"/>
      <c r="P269" s="1"/>
      <c r="Q269" s="126"/>
      <c r="R269" s="1"/>
      <c r="S269" s="1"/>
      <c r="T269" s="1"/>
      <c r="U269" s="1"/>
    </row>
    <row r="270" spans="1:21" ht="15.75" customHeight="1">
      <c r="A270" s="1"/>
      <c r="B270" s="1"/>
      <c r="C270" s="1"/>
      <c r="D270" s="1"/>
      <c r="E270" s="1"/>
      <c r="F270" s="1"/>
      <c r="G270" s="18"/>
      <c r="H270" s="1"/>
      <c r="I270" s="1"/>
      <c r="J270" s="8"/>
      <c r="K270" s="8"/>
      <c r="L270" s="1"/>
      <c r="M270" s="1"/>
      <c r="N270" s="9"/>
      <c r="O270" s="10"/>
      <c r="P270" s="1"/>
      <c r="Q270" s="126"/>
      <c r="R270" s="1"/>
      <c r="S270" s="1"/>
      <c r="T270" s="1"/>
      <c r="U270" s="1"/>
    </row>
    <row r="271" spans="1:21" ht="15.75" customHeight="1">
      <c r="A271" s="1"/>
      <c r="B271" s="1"/>
      <c r="C271" s="1"/>
      <c r="D271" s="1"/>
      <c r="E271" s="1"/>
      <c r="F271" s="1"/>
      <c r="G271" s="18"/>
      <c r="H271" s="1"/>
      <c r="I271" s="1"/>
      <c r="J271" s="8"/>
      <c r="K271" s="8"/>
      <c r="L271" s="1"/>
      <c r="M271" s="1"/>
      <c r="N271" s="9"/>
      <c r="O271" s="10"/>
      <c r="P271" s="1"/>
      <c r="Q271" s="126"/>
      <c r="R271" s="1"/>
      <c r="S271" s="1"/>
      <c r="T271" s="1"/>
      <c r="U271" s="1"/>
    </row>
    <row r="272" spans="1:21" ht="15.75" customHeight="1">
      <c r="A272" s="1"/>
      <c r="B272" s="1"/>
      <c r="C272" s="1"/>
      <c r="D272" s="1"/>
      <c r="E272" s="1"/>
      <c r="F272" s="1"/>
      <c r="G272" s="18"/>
      <c r="H272" s="1"/>
      <c r="I272" s="1"/>
      <c r="J272" s="8"/>
      <c r="K272" s="8"/>
      <c r="L272" s="1"/>
      <c r="M272" s="1"/>
      <c r="N272" s="9"/>
      <c r="O272" s="10"/>
      <c r="P272" s="1"/>
      <c r="Q272" s="126"/>
      <c r="R272" s="1"/>
      <c r="S272" s="1"/>
      <c r="T272" s="1"/>
      <c r="U272" s="1"/>
    </row>
    <row r="273" spans="1:21" ht="15.75" customHeight="1">
      <c r="A273" s="1"/>
      <c r="B273" s="1"/>
      <c r="C273" s="1"/>
      <c r="D273" s="1"/>
      <c r="E273" s="1"/>
      <c r="F273" s="1"/>
      <c r="G273" s="18"/>
      <c r="H273" s="1"/>
      <c r="I273" s="1"/>
      <c r="J273" s="8"/>
      <c r="K273" s="8"/>
      <c r="L273" s="1"/>
      <c r="M273" s="1"/>
      <c r="N273" s="9"/>
      <c r="O273" s="10"/>
      <c r="P273" s="1"/>
      <c r="Q273" s="126"/>
      <c r="R273" s="1"/>
      <c r="S273" s="1"/>
      <c r="T273" s="1"/>
      <c r="U273" s="1"/>
    </row>
    <row r="274" spans="1:21" ht="15.75" customHeight="1">
      <c r="A274" s="1"/>
      <c r="B274" s="1"/>
      <c r="C274" s="1"/>
      <c r="D274" s="1"/>
      <c r="E274" s="1"/>
      <c r="F274" s="1"/>
      <c r="G274" s="18"/>
      <c r="H274" s="1"/>
      <c r="I274" s="1"/>
      <c r="J274" s="8"/>
      <c r="K274" s="8"/>
      <c r="L274" s="1"/>
      <c r="M274" s="1"/>
      <c r="N274" s="9"/>
      <c r="O274" s="10"/>
      <c r="P274" s="1"/>
      <c r="Q274" s="126"/>
      <c r="R274" s="1"/>
      <c r="S274" s="1"/>
      <c r="T274" s="1"/>
      <c r="U274" s="1"/>
    </row>
    <row r="275" spans="1:21" ht="15.75" customHeight="1">
      <c r="A275" s="1"/>
      <c r="B275" s="1"/>
      <c r="C275" s="1"/>
      <c r="D275" s="1"/>
      <c r="E275" s="1"/>
      <c r="F275" s="1"/>
      <c r="G275" s="18"/>
      <c r="H275" s="1"/>
      <c r="I275" s="1"/>
      <c r="J275" s="8"/>
      <c r="K275" s="8"/>
      <c r="L275" s="1"/>
      <c r="M275" s="1"/>
      <c r="N275" s="9"/>
      <c r="O275" s="10"/>
      <c r="P275" s="1"/>
      <c r="Q275" s="126"/>
      <c r="R275" s="1"/>
      <c r="S275" s="1"/>
      <c r="T275" s="1"/>
      <c r="U275" s="1"/>
    </row>
    <row r="276" spans="1:21" ht="15.75" customHeight="1">
      <c r="A276" s="1"/>
      <c r="B276" s="1"/>
      <c r="C276" s="1"/>
      <c r="D276" s="1"/>
      <c r="E276" s="1"/>
      <c r="F276" s="1"/>
      <c r="G276" s="18"/>
      <c r="H276" s="1"/>
      <c r="I276" s="1"/>
      <c r="J276" s="8"/>
      <c r="K276" s="8"/>
      <c r="L276" s="1"/>
      <c r="M276" s="1"/>
      <c r="N276" s="9"/>
      <c r="O276" s="10"/>
      <c r="P276" s="1"/>
      <c r="Q276" s="126"/>
      <c r="R276" s="1"/>
      <c r="S276" s="1"/>
      <c r="T276" s="1"/>
      <c r="U276" s="1"/>
    </row>
    <row r="277" spans="1:21" ht="15.75" customHeight="1">
      <c r="A277" s="1"/>
      <c r="B277" s="1"/>
      <c r="C277" s="1"/>
      <c r="D277" s="1"/>
      <c r="E277" s="1"/>
      <c r="F277" s="1"/>
      <c r="G277" s="18"/>
      <c r="H277" s="1"/>
      <c r="I277" s="1"/>
      <c r="J277" s="8"/>
      <c r="K277" s="8"/>
      <c r="L277" s="1"/>
      <c r="M277" s="1"/>
      <c r="N277" s="9"/>
      <c r="O277" s="10"/>
      <c r="P277" s="1"/>
      <c r="Q277" s="126"/>
      <c r="R277" s="1"/>
      <c r="S277" s="1"/>
      <c r="T277" s="1"/>
      <c r="U277" s="1"/>
    </row>
    <row r="278" spans="1:21" ht="15.75" customHeight="1">
      <c r="A278" s="1"/>
      <c r="B278" s="1"/>
      <c r="C278" s="1"/>
      <c r="D278" s="1"/>
      <c r="E278" s="1"/>
      <c r="F278" s="1"/>
      <c r="G278" s="18"/>
      <c r="H278" s="1"/>
      <c r="I278" s="1"/>
      <c r="J278" s="8"/>
      <c r="K278" s="8"/>
      <c r="L278" s="1"/>
      <c r="M278" s="1"/>
      <c r="N278" s="9"/>
      <c r="O278" s="10"/>
      <c r="P278" s="1"/>
      <c r="Q278" s="126"/>
      <c r="R278" s="1"/>
      <c r="S278" s="1"/>
      <c r="T278" s="1"/>
      <c r="U278" s="1"/>
    </row>
    <row r="279" spans="1:21" ht="15.75" customHeight="1">
      <c r="A279" s="1"/>
      <c r="B279" s="1"/>
      <c r="C279" s="1"/>
      <c r="D279" s="1"/>
      <c r="E279" s="1"/>
      <c r="F279" s="1"/>
      <c r="G279" s="18"/>
      <c r="H279" s="1"/>
      <c r="I279" s="1"/>
      <c r="J279" s="8"/>
      <c r="K279" s="8"/>
      <c r="L279" s="1"/>
      <c r="M279" s="1"/>
      <c r="N279" s="9"/>
      <c r="O279" s="10"/>
      <c r="P279" s="1"/>
      <c r="Q279" s="126"/>
      <c r="R279" s="1"/>
      <c r="S279" s="1"/>
      <c r="T279" s="1"/>
      <c r="U279" s="1"/>
    </row>
    <row r="280" spans="1:21" ht="15.75" customHeight="1">
      <c r="A280" s="1"/>
      <c r="B280" s="1"/>
      <c r="C280" s="1"/>
      <c r="D280" s="1"/>
      <c r="E280" s="1"/>
      <c r="F280" s="1"/>
      <c r="G280" s="18"/>
      <c r="H280" s="1"/>
      <c r="I280" s="1"/>
      <c r="J280" s="8"/>
      <c r="K280" s="8"/>
      <c r="L280" s="1"/>
      <c r="M280" s="1"/>
      <c r="N280" s="9"/>
      <c r="O280" s="10"/>
      <c r="P280" s="1"/>
      <c r="Q280" s="126"/>
      <c r="R280" s="1"/>
      <c r="S280" s="1"/>
      <c r="T280" s="1"/>
      <c r="U280" s="1"/>
    </row>
    <row r="281" spans="1:21" ht="15.75" customHeight="1">
      <c r="A281" s="1"/>
      <c r="B281" s="1"/>
      <c r="C281" s="1"/>
      <c r="D281" s="1"/>
      <c r="E281" s="1"/>
      <c r="F281" s="1"/>
      <c r="G281" s="18"/>
      <c r="H281" s="1"/>
      <c r="I281" s="1"/>
      <c r="J281" s="8"/>
      <c r="K281" s="8"/>
      <c r="L281" s="1"/>
      <c r="M281" s="1"/>
      <c r="N281" s="9"/>
      <c r="O281" s="10"/>
      <c r="P281" s="1"/>
      <c r="Q281" s="126"/>
      <c r="R281" s="1"/>
      <c r="S281" s="1"/>
      <c r="T281" s="1"/>
      <c r="U281" s="1"/>
    </row>
    <row r="282" spans="1:21" ht="15.75" customHeight="1">
      <c r="A282" s="1"/>
      <c r="B282" s="1"/>
      <c r="C282" s="1"/>
      <c r="D282" s="1"/>
      <c r="E282" s="1"/>
      <c r="F282" s="1"/>
      <c r="G282" s="18"/>
      <c r="H282" s="1"/>
      <c r="I282" s="1"/>
      <c r="J282" s="8"/>
      <c r="K282" s="8"/>
      <c r="L282" s="1"/>
      <c r="M282" s="1"/>
      <c r="N282" s="9"/>
      <c r="O282" s="10"/>
      <c r="P282" s="1"/>
      <c r="Q282" s="126"/>
      <c r="R282" s="1"/>
      <c r="S282" s="1"/>
      <c r="T282" s="1"/>
      <c r="U282" s="1"/>
    </row>
    <row r="283" spans="1:21" ht="15.75" customHeight="1">
      <c r="A283" s="1"/>
      <c r="B283" s="1"/>
      <c r="C283" s="1"/>
      <c r="D283" s="1"/>
      <c r="E283" s="1"/>
      <c r="F283" s="1"/>
      <c r="G283" s="18"/>
      <c r="H283" s="1"/>
      <c r="I283" s="1"/>
      <c r="J283" s="8"/>
      <c r="K283" s="8"/>
      <c r="L283" s="1"/>
      <c r="M283" s="1"/>
      <c r="N283" s="9"/>
      <c r="O283" s="10"/>
      <c r="P283" s="1"/>
      <c r="Q283" s="126"/>
      <c r="R283" s="1"/>
      <c r="S283" s="1"/>
      <c r="T283" s="1"/>
      <c r="U283" s="1"/>
    </row>
    <row r="284" spans="1:21" ht="15.75" customHeight="1">
      <c r="A284" s="1"/>
      <c r="B284" s="1"/>
      <c r="C284" s="1"/>
      <c r="D284" s="1"/>
      <c r="E284" s="1"/>
      <c r="F284" s="1"/>
      <c r="G284" s="18"/>
      <c r="H284" s="1"/>
      <c r="I284" s="1"/>
      <c r="J284" s="8"/>
      <c r="K284" s="8"/>
      <c r="L284" s="1"/>
      <c r="M284" s="1"/>
      <c r="N284" s="9"/>
      <c r="O284" s="10"/>
      <c r="P284" s="1"/>
      <c r="Q284" s="126"/>
      <c r="R284" s="1"/>
      <c r="S284" s="1"/>
      <c r="T284" s="1"/>
      <c r="U284" s="1"/>
    </row>
    <row r="285" spans="1:21" ht="15.75" customHeight="1">
      <c r="A285" s="1"/>
      <c r="B285" s="1"/>
      <c r="C285" s="1"/>
      <c r="D285" s="1"/>
      <c r="E285" s="1"/>
      <c r="F285" s="1"/>
      <c r="G285" s="18"/>
      <c r="H285" s="1"/>
      <c r="I285" s="1"/>
      <c r="J285" s="8"/>
      <c r="K285" s="8"/>
      <c r="L285" s="1"/>
      <c r="M285" s="1"/>
      <c r="N285" s="9"/>
      <c r="O285" s="10"/>
      <c r="P285" s="1"/>
      <c r="Q285" s="126"/>
      <c r="R285" s="1"/>
      <c r="S285" s="1"/>
      <c r="T285" s="1"/>
      <c r="U285" s="1"/>
    </row>
    <row r="286" spans="1:21" ht="15.75" customHeight="1">
      <c r="A286" s="1"/>
      <c r="B286" s="1"/>
      <c r="C286" s="1"/>
      <c r="D286" s="1"/>
      <c r="E286" s="1"/>
      <c r="F286" s="1"/>
      <c r="G286" s="18"/>
      <c r="H286" s="1"/>
      <c r="I286" s="1"/>
      <c r="J286" s="8"/>
      <c r="K286" s="8"/>
      <c r="L286" s="1"/>
      <c r="M286" s="1"/>
      <c r="N286" s="9"/>
      <c r="O286" s="10"/>
      <c r="P286" s="1"/>
      <c r="Q286" s="126"/>
      <c r="R286" s="1"/>
      <c r="S286" s="1"/>
      <c r="T286" s="1"/>
      <c r="U286" s="1"/>
    </row>
    <row r="287" spans="1:21" ht="15.75" customHeight="1">
      <c r="A287" s="1"/>
      <c r="B287" s="1"/>
      <c r="C287" s="1"/>
      <c r="D287" s="1"/>
      <c r="E287" s="1"/>
      <c r="F287" s="1"/>
      <c r="G287" s="18"/>
      <c r="H287" s="1"/>
      <c r="I287" s="1"/>
      <c r="J287" s="8"/>
      <c r="K287" s="8"/>
      <c r="L287" s="1"/>
      <c r="M287" s="1"/>
      <c r="N287" s="9"/>
      <c r="O287" s="10"/>
      <c r="P287" s="1"/>
      <c r="Q287" s="126"/>
      <c r="R287" s="1"/>
      <c r="S287" s="1"/>
      <c r="T287" s="1"/>
      <c r="U287" s="1"/>
    </row>
    <row r="288" spans="1:21" ht="15.75" customHeight="1">
      <c r="A288" s="1"/>
      <c r="B288" s="1"/>
      <c r="C288" s="1"/>
      <c r="D288" s="1"/>
      <c r="E288" s="1"/>
      <c r="F288" s="1"/>
      <c r="G288" s="18"/>
      <c r="H288" s="1"/>
      <c r="I288" s="1"/>
      <c r="J288" s="8"/>
      <c r="K288" s="8"/>
      <c r="L288" s="1"/>
      <c r="M288" s="1"/>
      <c r="N288" s="9"/>
      <c r="O288" s="10"/>
      <c r="P288" s="1"/>
      <c r="Q288" s="126"/>
      <c r="R288" s="1"/>
      <c r="S288" s="1"/>
      <c r="T288" s="1"/>
      <c r="U288" s="1"/>
    </row>
    <row r="289" spans="1:21" ht="15.75" customHeight="1">
      <c r="A289" s="1"/>
      <c r="B289" s="1"/>
      <c r="C289" s="1"/>
      <c r="D289" s="1"/>
      <c r="E289" s="1"/>
      <c r="F289" s="1"/>
      <c r="G289" s="18"/>
      <c r="H289" s="1"/>
      <c r="I289" s="1"/>
      <c r="J289" s="8"/>
      <c r="K289" s="8"/>
      <c r="L289" s="1"/>
      <c r="M289" s="1"/>
      <c r="N289" s="9"/>
      <c r="O289" s="10"/>
      <c r="P289" s="1"/>
      <c r="Q289" s="126"/>
      <c r="R289" s="1"/>
      <c r="S289" s="1"/>
      <c r="T289" s="1"/>
      <c r="U289" s="1"/>
    </row>
    <row r="290" spans="1:21" ht="15.75" customHeight="1">
      <c r="A290" s="1"/>
      <c r="B290" s="1"/>
      <c r="C290" s="1"/>
      <c r="D290" s="1"/>
      <c r="E290" s="1"/>
      <c r="F290" s="1"/>
      <c r="G290" s="18"/>
      <c r="H290" s="1"/>
      <c r="I290" s="1"/>
      <c r="J290" s="8"/>
      <c r="K290" s="8"/>
      <c r="L290" s="1"/>
      <c r="M290" s="1"/>
      <c r="N290" s="9"/>
      <c r="O290" s="10"/>
      <c r="P290" s="1"/>
      <c r="Q290" s="126"/>
      <c r="R290" s="1"/>
      <c r="S290" s="1"/>
      <c r="T290" s="1"/>
      <c r="U290" s="1"/>
    </row>
    <row r="291" spans="1:21" ht="15.75" customHeight="1">
      <c r="A291" s="1"/>
      <c r="B291" s="1"/>
      <c r="C291" s="1"/>
      <c r="D291" s="1"/>
      <c r="E291" s="1"/>
      <c r="F291" s="1"/>
      <c r="G291" s="18"/>
      <c r="H291" s="1"/>
      <c r="I291" s="1"/>
      <c r="J291" s="8"/>
      <c r="K291" s="8"/>
      <c r="L291" s="1"/>
      <c r="M291" s="1"/>
      <c r="N291" s="9"/>
      <c r="O291" s="10"/>
      <c r="P291" s="1"/>
      <c r="Q291" s="126"/>
      <c r="R291" s="1"/>
      <c r="S291" s="1"/>
      <c r="T291" s="1"/>
      <c r="U291" s="1"/>
    </row>
    <row r="292" spans="1:21" ht="15.75" customHeight="1">
      <c r="A292" s="1"/>
      <c r="B292" s="1"/>
      <c r="C292" s="1"/>
      <c r="D292" s="1"/>
      <c r="E292" s="1"/>
      <c r="F292" s="1"/>
      <c r="G292" s="18"/>
      <c r="H292" s="1"/>
      <c r="I292" s="1"/>
      <c r="J292" s="8"/>
      <c r="K292" s="8"/>
      <c r="L292" s="1"/>
      <c r="M292" s="1"/>
      <c r="N292" s="9"/>
      <c r="O292" s="10"/>
      <c r="P292" s="1"/>
      <c r="Q292" s="126"/>
      <c r="R292" s="1"/>
      <c r="S292" s="1"/>
      <c r="T292" s="1"/>
      <c r="U292" s="1"/>
    </row>
    <row r="293" spans="1:21" ht="15.75" customHeight="1">
      <c r="A293" s="1"/>
      <c r="B293" s="1"/>
      <c r="C293" s="1"/>
      <c r="D293" s="1"/>
      <c r="E293" s="1"/>
      <c r="F293" s="1"/>
      <c r="G293" s="18"/>
      <c r="H293" s="1"/>
      <c r="I293" s="1"/>
      <c r="J293" s="8"/>
      <c r="K293" s="8"/>
      <c r="L293" s="1"/>
      <c r="M293" s="1"/>
      <c r="N293" s="9"/>
      <c r="O293" s="10"/>
      <c r="P293" s="1"/>
      <c r="Q293" s="126"/>
      <c r="R293" s="1"/>
      <c r="S293" s="1"/>
      <c r="T293" s="1"/>
      <c r="U293" s="1"/>
    </row>
    <row r="294" spans="1:21" ht="15.75" customHeight="1">
      <c r="A294" s="1"/>
      <c r="B294" s="1"/>
      <c r="C294" s="1"/>
      <c r="D294" s="1"/>
      <c r="E294" s="1"/>
      <c r="F294" s="1"/>
      <c r="G294" s="18"/>
      <c r="H294" s="1"/>
      <c r="I294" s="1"/>
      <c r="J294" s="8"/>
      <c r="K294" s="8"/>
      <c r="L294" s="1"/>
      <c r="M294" s="1"/>
      <c r="N294" s="9"/>
      <c r="O294" s="10"/>
      <c r="P294" s="1"/>
      <c r="Q294" s="126"/>
      <c r="R294" s="1"/>
      <c r="S294" s="1"/>
      <c r="T294" s="1"/>
      <c r="U294" s="1"/>
    </row>
    <row r="295" spans="1:21" ht="15.75" customHeight="1">
      <c r="A295" s="1"/>
      <c r="B295" s="1"/>
      <c r="C295" s="1"/>
      <c r="D295" s="1"/>
      <c r="E295" s="1"/>
      <c r="F295" s="1"/>
      <c r="G295" s="18"/>
      <c r="H295" s="1"/>
      <c r="I295" s="1"/>
      <c r="J295" s="8"/>
      <c r="K295" s="8"/>
      <c r="L295" s="1"/>
      <c r="M295" s="1"/>
      <c r="N295" s="9"/>
      <c r="O295" s="10"/>
      <c r="P295" s="1"/>
      <c r="Q295" s="126"/>
      <c r="R295" s="1"/>
      <c r="S295" s="1"/>
      <c r="T295" s="1"/>
      <c r="U295" s="1"/>
    </row>
    <row r="296" spans="1:21" ht="15.75" customHeight="1">
      <c r="A296" s="1"/>
      <c r="B296" s="1"/>
      <c r="C296" s="1"/>
      <c r="D296" s="1"/>
      <c r="E296" s="1"/>
      <c r="F296" s="1"/>
      <c r="G296" s="18"/>
      <c r="H296" s="1"/>
      <c r="I296" s="1"/>
      <c r="J296" s="8"/>
      <c r="K296" s="8"/>
      <c r="L296" s="1"/>
      <c r="M296" s="1"/>
      <c r="N296" s="9"/>
      <c r="O296" s="10"/>
      <c r="P296" s="1"/>
      <c r="Q296" s="126"/>
      <c r="R296" s="1"/>
      <c r="S296" s="1"/>
      <c r="T296" s="1"/>
      <c r="U296" s="1"/>
    </row>
    <row r="297" spans="1:21" ht="15.75" customHeight="1">
      <c r="A297" s="1"/>
      <c r="B297" s="1"/>
      <c r="C297" s="1"/>
      <c r="D297" s="1"/>
      <c r="E297" s="1"/>
      <c r="F297" s="1"/>
      <c r="G297" s="18"/>
      <c r="H297" s="1"/>
      <c r="I297" s="1"/>
      <c r="J297" s="8"/>
      <c r="K297" s="8"/>
      <c r="L297" s="1"/>
      <c r="M297" s="1"/>
      <c r="N297" s="9"/>
      <c r="O297" s="10"/>
      <c r="P297" s="1"/>
      <c r="Q297" s="126"/>
      <c r="R297" s="1"/>
      <c r="S297" s="1"/>
      <c r="T297" s="1"/>
      <c r="U297" s="1"/>
    </row>
    <row r="298" spans="1:21" ht="15.75" customHeight="1">
      <c r="A298" s="1"/>
      <c r="B298" s="1"/>
      <c r="C298" s="1"/>
      <c r="D298" s="1"/>
      <c r="E298" s="1"/>
      <c r="F298" s="1"/>
      <c r="G298" s="18"/>
      <c r="H298" s="1"/>
      <c r="I298" s="1"/>
      <c r="J298" s="8"/>
      <c r="K298" s="8"/>
      <c r="L298" s="1"/>
      <c r="M298" s="1"/>
      <c r="N298" s="9"/>
      <c r="O298" s="10"/>
      <c r="P298" s="1"/>
      <c r="Q298" s="126"/>
      <c r="R298" s="1"/>
      <c r="S298" s="1"/>
      <c r="T298" s="1"/>
      <c r="U298" s="1"/>
    </row>
    <row r="299" spans="1:21" ht="15.75" customHeight="1">
      <c r="A299" s="1"/>
      <c r="B299" s="1"/>
      <c r="C299" s="1"/>
      <c r="D299" s="1"/>
      <c r="E299" s="1"/>
      <c r="F299" s="1"/>
      <c r="G299" s="18"/>
      <c r="H299" s="1"/>
      <c r="I299" s="1"/>
      <c r="J299" s="8"/>
      <c r="K299" s="8"/>
      <c r="L299" s="1"/>
      <c r="M299" s="1"/>
      <c r="N299" s="9"/>
      <c r="O299" s="10"/>
      <c r="P299" s="1"/>
      <c r="Q299" s="126"/>
      <c r="R299" s="1"/>
      <c r="S299" s="1"/>
      <c r="T299" s="1"/>
      <c r="U299" s="1"/>
    </row>
    <row r="300" spans="1:21" ht="15.75" customHeight="1">
      <c r="A300" s="1"/>
      <c r="B300" s="1"/>
      <c r="C300" s="1"/>
      <c r="D300" s="1"/>
      <c r="E300" s="1"/>
      <c r="F300" s="1"/>
      <c r="G300" s="18"/>
      <c r="H300" s="1"/>
      <c r="I300" s="1"/>
      <c r="J300" s="8"/>
      <c r="K300" s="8"/>
      <c r="L300" s="1"/>
      <c r="M300" s="1"/>
      <c r="N300" s="9"/>
      <c r="O300" s="10"/>
      <c r="P300" s="1"/>
      <c r="Q300" s="126"/>
      <c r="R300" s="1"/>
      <c r="S300" s="1"/>
      <c r="T300" s="1"/>
      <c r="U300" s="1"/>
    </row>
    <row r="301" spans="1:21" ht="15.75" customHeight="1">
      <c r="A301" s="1"/>
      <c r="B301" s="1"/>
      <c r="C301" s="1"/>
      <c r="D301" s="1"/>
      <c r="E301" s="1"/>
      <c r="F301" s="1"/>
      <c r="G301" s="18"/>
      <c r="H301" s="1"/>
      <c r="I301" s="1"/>
      <c r="J301" s="8"/>
      <c r="K301" s="8"/>
      <c r="L301" s="1"/>
      <c r="M301" s="1"/>
      <c r="N301" s="9"/>
      <c r="O301" s="10"/>
      <c r="P301" s="1"/>
      <c r="Q301" s="126"/>
      <c r="R301" s="1"/>
      <c r="S301" s="1"/>
      <c r="T301" s="1"/>
      <c r="U301" s="1"/>
    </row>
    <row r="302" spans="1:21" ht="15.75" customHeight="1">
      <c r="A302" s="1"/>
      <c r="B302" s="1"/>
      <c r="C302" s="1"/>
      <c r="D302" s="1"/>
      <c r="E302" s="1"/>
      <c r="F302" s="1"/>
      <c r="G302" s="18"/>
      <c r="H302" s="1"/>
      <c r="I302" s="1"/>
      <c r="J302" s="8"/>
      <c r="K302" s="8"/>
      <c r="L302" s="1"/>
      <c r="M302" s="1"/>
      <c r="N302" s="9"/>
      <c r="O302" s="10"/>
      <c r="P302" s="1"/>
      <c r="Q302" s="126"/>
      <c r="R302" s="1"/>
      <c r="S302" s="1"/>
      <c r="T302" s="1"/>
      <c r="U302" s="1"/>
    </row>
    <row r="303" spans="1:21" ht="15.75" customHeight="1">
      <c r="A303" s="1"/>
      <c r="B303" s="1"/>
      <c r="C303" s="1"/>
      <c r="D303" s="1"/>
      <c r="E303" s="1"/>
      <c r="F303" s="1"/>
      <c r="G303" s="18"/>
      <c r="H303" s="1"/>
      <c r="I303" s="1"/>
      <c r="J303" s="8"/>
      <c r="K303" s="8"/>
      <c r="L303" s="1"/>
      <c r="M303" s="1"/>
      <c r="N303" s="9"/>
      <c r="O303" s="10"/>
      <c r="P303" s="1"/>
      <c r="Q303" s="126"/>
      <c r="R303" s="1"/>
      <c r="S303" s="1"/>
      <c r="T303" s="1"/>
      <c r="U303" s="1"/>
    </row>
    <row r="304" spans="1:21" ht="15.75" customHeight="1">
      <c r="A304" s="1"/>
      <c r="B304" s="1"/>
      <c r="C304" s="1"/>
      <c r="D304" s="1"/>
      <c r="E304" s="1"/>
      <c r="F304" s="1"/>
      <c r="G304" s="18"/>
      <c r="H304" s="1"/>
      <c r="I304" s="1"/>
      <c r="J304" s="8"/>
      <c r="K304" s="8"/>
      <c r="L304" s="1"/>
      <c r="M304" s="1"/>
      <c r="N304" s="9"/>
      <c r="O304" s="10"/>
      <c r="P304" s="1"/>
      <c r="Q304" s="126"/>
      <c r="R304" s="1"/>
      <c r="S304" s="1"/>
      <c r="T304" s="1"/>
      <c r="U304" s="1"/>
    </row>
    <row r="305" spans="1:21" ht="15.75" customHeight="1">
      <c r="A305" s="1"/>
      <c r="B305" s="1"/>
      <c r="C305" s="1"/>
      <c r="D305" s="1"/>
      <c r="E305" s="1"/>
      <c r="F305" s="1"/>
      <c r="G305" s="18"/>
      <c r="H305" s="1"/>
      <c r="I305" s="1"/>
      <c r="J305" s="8"/>
      <c r="K305" s="8"/>
      <c r="L305" s="1"/>
      <c r="M305" s="1"/>
      <c r="N305" s="9"/>
      <c r="O305" s="10"/>
      <c r="P305" s="1"/>
      <c r="Q305" s="126"/>
      <c r="R305" s="1"/>
      <c r="S305" s="1"/>
      <c r="T305" s="1"/>
      <c r="U305" s="1"/>
    </row>
    <row r="306" spans="1:21" ht="15.75" customHeight="1">
      <c r="A306" s="1"/>
      <c r="B306" s="1"/>
      <c r="C306" s="1"/>
      <c r="D306" s="1"/>
      <c r="E306" s="1"/>
      <c r="F306" s="1"/>
      <c r="G306" s="18"/>
      <c r="H306" s="1"/>
      <c r="I306" s="1"/>
      <c r="J306" s="8"/>
      <c r="K306" s="8"/>
      <c r="L306" s="1"/>
      <c r="M306" s="1"/>
      <c r="N306" s="9"/>
      <c r="O306" s="10"/>
      <c r="P306" s="1"/>
      <c r="Q306" s="126"/>
      <c r="R306" s="1"/>
      <c r="S306" s="1"/>
      <c r="T306" s="1"/>
      <c r="U306" s="1"/>
    </row>
    <row r="307" spans="1:21" ht="15.75" customHeight="1">
      <c r="A307" s="1"/>
      <c r="B307" s="1"/>
      <c r="C307" s="1"/>
      <c r="D307" s="1"/>
      <c r="E307" s="1"/>
      <c r="F307" s="1"/>
      <c r="G307" s="18"/>
      <c r="H307" s="1"/>
      <c r="I307" s="1"/>
      <c r="J307" s="8"/>
      <c r="K307" s="8"/>
      <c r="L307" s="1"/>
      <c r="M307" s="1"/>
      <c r="N307" s="9"/>
      <c r="O307" s="10"/>
      <c r="P307" s="1"/>
      <c r="Q307" s="126"/>
      <c r="R307" s="1"/>
      <c r="S307" s="1"/>
      <c r="T307" s="1"/>
      <c r="U307" s="1"/>
    </row>
    <row r="308" spans="1:21" ht="15.75" customHeight="1">
      <c r="A308" s="1"/>
      <c r="B308" s="1"/>
      <c r="C308" s="1"/>
      <c r="D308" s="1"/>
      <c r="E308" s="1"/>
      <c r="F308" s="1"/>
      <c r="G308" s="18"/>
      <c r="H308" s="1"/>
      <c r="I308" s="1"/>
      <c r="J308" s="8"/>
      <c r="K308" s="8"/>
      <c r="L308" s="1"/>
      <c r="M308" s="1"/>
      <c r="N308" s="9"/>
      <c r="O308" s="10"/>
      <c r="P308" s="1"/>
      <c r="Q308" s="126"/>
      <c r="R308" s="1"/>
      <c r="S308" s="1"/>
      <c r="T308" s="1"/>
      <c r="U308" s="1"/>
    </row>
    <row r="309" spans="1:21" ht="15.75" customHeight="1">
      <c r="A309" s="1"/>
      <c r="B309" s="1"/>
      <c r="C309" s="1"/>
      <c r="D309" s="1"/>
      <c r="E309" s="1"/>
      <c r="F309" s="1"/>
      <c r="G309" s="18"/>
      <c r="H309" s="1"/>
      <c r="I309" s="1"/>
      <c r="J309" s="8"/>
      <c r="K309" s="8"/>
      <c r="L309" s="1"/>
      <c r="M309" s="1"/>
      <c r="N309" s="9"/>
      <c r="O309" s="10"/>
      <c r="P309" s="1"/>
      <c r="Q309" s="126"/>
      <c r="R309" s="1"/>
      <c r="S309" s="1"/>
      <c r="T309" s="1"/>
      <c r="U309" s="1"/>
    </row>
    <row r="310" spans="1:21" ht="15.75" customHeight="1">
      <c r="A310" s="1"/>
      <c r="B310" s="1"/>
      <c r="C310" s="1"/>
      <c r="D310" s="1"/>
      <c r="E310" s="1"/>
      <c r="F310" s="1"/>
      <c r="G310" s="18"/>
      <c r="H310" s="1"/>
      <c r="I310" s="1"/>
      <c r="J310" s="8"/>
      <c r="K310" s="8"/>
      <c r="L310" s="1"/>
      <c r="M310" s="1"/>
      <c r="N310" s="9"/>
      <c r="O310" s="10"/>
      <c r="P310" s="1"/>
      <c r="Q310" s="126"/>
      <c r="R310" s="1"/>
      <c r="S310" s="1"/>
      <c r="T310" s="1"/>
      <c r="U310" s="1"/>
    </row>
    <row r="311" spans="1:21" ht="15.75" customHeight="1">
      <c r="A311" s="1"/>
      <c r="B311" s="1"/>
      <c r="C311" s="1"/>
      <c r="D311" s="1"/>
      <c r="E311" s="1"/>
      <c r="F311" s="1"/>
      <c r="G311" s="18"/>
      <c r="H311" s="1"/>
      <c r="I311" s="1"/>
      <c r="J311" s="8"/>
      <c r="K311" s="8"/>
      <c r="L311" s="1"/>
      <c r="M311" s="1"/>
      <c r="N311" s="9"/>
      <c r="O311" s="10"/>
      <c r="P311" s="1"/>
      <c r="Q311" s="126"/>
      <c r="R311" s="1"/>
      <c r="S311" s="1"/>
      <c r="T311" s="1"/>
      <c r="U311" s="1"/>
    </row>
    <row r="312" spans="1:21" ht="15.75" customHeight="1">
      <c r="A312" s="1"/>
      <c r="B312" s="1"/>
      <c r="C312" s="1"/>
      <c r="D312" s="1"/>
      <c r="E312" s="1"/>
      <c r="F312" s="1"/>
      <c r="G312" s="18"/>
      <c r="H312" s="1"/>
      <c r="I312" s="1"/>
      <c r="J312" s="8"/>
      <c r="K312" s="8"/>
      <c r="L312" s="1"/>
      <c r="M312" s="1"/>
      <c r="N312" s="9"/>
      <c r="O312" s="10"/>
      <c r="P312" s="1"/>
      <c r="Q312" s="126"/>
      <c r="R312" s="1"/>
      <c r="S312" s="1"/>
      <c r="T312" s="1"/>
      <c r="U312" s="1"/>
    </row>
    <row r="313" spans="1:21" ht="15.75" customHeight="1">
      <c r="A313" s="1"/>
      <c r="B313" s="1"/>
      <c r="C313" s="1"/>
      <c r="D313" s="1"/>
      <c r="E313" s="1"/>
      <c r="F313" s="1"/>
      <c r="G313" s="18"/>
      <c r="H313" s="1"/>
      <c r="I313" s="1"/>
      <c r="J313" s="8"/>
      <c r="K313" s="8"/>
      <c r="L313" s="1"/>
      <c r="M313" s="1"/>
      <c r="N313" s="9"/>
      <c r="O313" s="10"/>
      <c r="P313" s="1"/>
      <c r="Q313" s="126"/>
      <c r="R313" s="1"/>
      <c r="S313" s="1"/>
      <c r="T313" s="1"/>
      <c r="U313" s="1"/>
    </row>
    <row r="314" spans="1:21" ht="15.75" customHeight="1">
      <c r="A314" s="1"/>
      <c r="B314" s="1"/>
      <c r="C314" s="1"/>
      <c r="D314" s="1"/>
      <c r="E314" s="1"/>
      <c r="F314" s="1"/>
      <c r="G314" s="18"/>
      <c r="H314" s="1"/>
      <c r="I314" s="1"/>
      <c r="J314" s="8"/>
      <c r="K314" s="8"/>
      <c r="L314" s="1"/>
      <c r="M314" s="1"/>
      <c r="N314" s="9"/>
      <c r="O314" s="10"/>
      <c r="P314" s="1"/>
      <c r="Q314" s="126"/>
      <c r="R314" s="1"/>
      <c r="S314" s="1"/>
      <c r="T314" s="1"/>
      <c r="U314" s="1"/>
    </row>
    <row r="315" spans="1:21" ht="15.75" customHeight="1">
      <c r="A315" s="1"/>
      <c r="B315" s="1"/>
      <c r="C315" s="1"/>
      <c r="D315" s="1"/>
      <c r="E315" s="1"/>
      <c r="F315" s="1"/>
      <c r="G315" s="18"/>
      <c r="H315" s="1"/>
      <c r="I315" s="1"/>
      <c r="J315" s="8"/>
      <c r="K315" s="8"/>
      <c r="L315" s="1"/>
      <c r="M315" s="1"/>
      <c r="N315" s="9"/>
      <c r="O315" s="10"/>
      <c r="P315" s="1"/>
      <c r="Q315" s="126"/>
      <c r="R315" s="1"/>
      <c r="S315" s="1"/>
      <c r="T315" s="1"/>
      <c r="U315" s="1"/>
    </row>
    <row r="316" spans="1:21" ht="15.75" customHeight="1">
      <c r="A316" s="1"/>
      <c r="B316" s="1"/>
      <c r="C316" s="1"/>
      <c r="D316" s="1"/>
      <c r="E316" s="1"/>
      <c r="F316" s="1"/>
      <c r="G316" s="18"/>
      <c r="H316" s="1"/>
      <c r="I316" s="1"/>
      <c r="J316" s="8"/>
      <c r="K316" s="8"/>
      <c r="L316" s="1"/>
      <c r="M316" s="1"/>
      <c r="N316" s="9"/>
      <c r="O316" s="10"/>
      <c r="P316" s="1"/>
      <c r="Q316" s="126"/>
      <c r="R316" s="1"/>
      <c r="S316" s="1"/>
      <c r="T316" s="1"/>
      <c r="U316" s="1"/>
    </row>
    <row r="317" spans="1:21" ht="15.75" customHeight="1">
      <c r="A317" s="1"/>
      <c r="B317" s="1"/>
      <c r="C317" s="1"/>
      <c r="D317" s="1"/>
      <c r="E317" s="1"/>
      <c r="F317" s="1"/>
      <c r="G317" s="18"/>
      <c r="H317" s="1"/>
      <c r="I317" s="1"/>
      <c r="J317" s="8"/>
      <c r="K317" s="8"/>
      <c r="L317" s="1"/>
      <c r="M317" s="1"/>
      <c r="N317" s="9"/>
      <c r="O317" s="10"/>
      <c r="P317" s="1"/>
      <c r="Q317" s="126"/>
      <c r="R317" s="1"/>
      <c r="S317" s="1"/>
      <c r="T317" s="1"/>
      <c r="U317" s="1"/>
    </row>
    <row r="318" spans="1:21" ht="15.75" customHeight="1">
      <c r="A318" s="1"/>
      <c r="B318" s="1"/>
      <c r="C318" s="1"/>
      <c r="D318" s="1"/>
      <c r="E318" s="1"/>
      <c r="F318" s="1"/>
      <c r="G318" s="18"/>
      <c r="H318" s="1"/>
      <c r="I318" s="1"/>
      <c r="J318" s="8"/>
      <c r="K318" s="8"/>
      <c r="L318" s="1"/>
      <c r="M318" s="1"/>
      <c r="N318" s="9"/>
      <c r="O318" s="10"/>
      <c r="P318" s="1"/>
      <c r="Q318" s="126"/>
      <c r="R318" s="1"/>
      <c r="S318" s="1"/>
      <c r="T318" s="1"/>
      <c r="U318" s="1"/>
    </row>
    <row r="319" spans="1:21" ht="15.75" customHeight="1">
      <c r="O319" s="92"/>
      <c r="Q319" s="147"/>
    </row>
    <row r="320" spans="1:21" ht="15.75" customHeight="1">
      <c r="O320" s="92"/>
      <c r="Q320" s="147"/>
    </row>
    <row r="321" spans="15:17" ht="15.75" customHeight="1">
      <c r="O321" s="92"/>
      <c r="Q321" s="147"/>
    </row>
    <row r="322" spans="15:17" ht="15.75" customHeight="1">
      <c r="O322" s="92"/>
      <c r="Q322" s="147"/>
    </row>
    <row r="323" spans="15:17" ht="15.75" customHeight="1">
      <c r="O323" s="92"/>
      <c r="Q323" s="147"/>
    </row>
    <row r="324" spans="15:17" ht="15.75" customHeight="1">
      <c r="O324" s="92"/>
      <c r="Q324" s="147"/>
    </row>
    <row r="325" spans="15:17" ht="15.75" customHeight="1">
      <c r="O325" s="92"/>
      <c r="Q325" s="147"/>
    </row>
    <row r="326" spans="15:17" ht="15.75" customHeight="1">
      <c r="O326" s="92"/>
      <c r="Q326" s="147"/>
    </row>
    <row r="327" spans="15:17" ht="15.75" customHeight="1">
      <c r="O327" s="92"/>
      <c r="Q327" s="147"/>
    </row>
    <row r="328" spans="15:17" ht="15.75" customHeight="1">
      <c r="O328" s="92"/>
      <c r="Q328" s="147"/>
    </row>
    <row r="329" spans="15:17" ht="15.75" customHeight="1">
      <c r="O329" s="92"/>
      <c r="Q329" s="147"/>
    </row>
    <row r="330" spans="15:17" ht="15.75" customHeight="1">
      <c r="O330" s="92"/>
      <c r="Q330" s="147"/>
    </row>
    <row r="331" spans="15:17" ht="15.75" customHeight="1">
      <c r="O331" s="92"/>
      <c r="Q331" s="147"/>
    </row>
    <row r="332" spans="15:17" ht="15.75" customHeight="1">
      <c r="O332" s="92"/>
      <c r="Q332" s="147"/>
    </row>
    <row r="333" spans="15:17" ht="15.75" customHeight="1">
      <c r="O333" s="92"/>
      <c r="Q333" s="147"/>
    </row>
    <row r="334" spans="15:17" ht="15.75" customHeight="1">
      <c r="O334" s="92"/>
      <c r="Q334" s="147"/>
    </row>
    <row r="335" spans="15:17" ht="15.75" customHeight="1">
      <c r="O335" s="92"/>
      <c r="Q335" s="147"/>
    </row>
    <row r="336" spans="15:17" ht="15.75" customHeight="1">
      <c r="O336" s="92"/>
      <c r="Q336" s="147"/>
    </row>
    <row r="337" spans="15:17" ht="15.75" customHeight="1">
      <c r="O337" s="92"/>
      <c r="Q337" s="147"/>
    </row>
    <row r="338" spans="15:17" ht="15.75" customHeight="1">
      <c r="O338" s="92"/>
      <c r="Q338" s="147"/>
    </row>
    <row r="339" spans="15:17" ht="15.75" customHeight="1">
      <c r="O339" s="92"/>
      <c r="Q339" s="147"/>
    </row>
    <row r="340" spans="15:17" ht="15.75" customHeight="1">
      <c r="O340" s="92"/>
      <c r="Q340" s="147"/>
    </row>
    <row r="341" spans="15:17" ht="15.75" customHeight="1">
      <c r="O341" s="92"/>
      <c r="Q341" s="147"/>
    </row>
    <row r="342" spans="15:17" ht="15.75" customHeight="1">
      <c r="O342" s="92"/>
      <c r="Q342" s="147"/>
    </row>
    <row r="343" spans="15:17" ht="15.75" customHeight="1">
      <c r="O343" s="92"/>
      <c r="Q343" s="147"/>
    </row>
    <row r="344" spans="15:17" ht="15.75" customHeight="1">
      <c r="O344" s="92"/>
      <c r="Q344" s="147"/>
    </row>
    <row r="345" spans="15:17" ht="15.75" customHeight="1">
      <c r="O345" s="92"/>
      <c r="Q345" s="147"/>
    </row>
    <row r="346" spans="15:17" ht="15.75" customHeight="1">
      <c r="O346" s="92"/>
      <c r="Q346" s="147"/>
    </row>
    <row r="347" spans="15:17" ht="15.75" customHeight="1">
      <c r="O347" s="92"/>
      <c r="Q347" s="147"/>
    </row>
    <row r="348" spans="15:17" ht="15.75" customHeight="1">
      <c r="O348" s="92"/>
      <c r="Q348" s="147"/>
    </row>
    <row r="349" spans="15:17" ht="15.75" customHeight="1">
      <c r="O349" s="92"/>
      <c r="Q349" s="147"/>
    </row>
    <row r="350" spans="15:17" ht="15.75" customHeight="1">
      <c r="O350" s="92"/>
      <c r="Q350" s="147"/>
    </row>
    <row r="351" spans="15:17" ht="15.75" customHeight="1">
      <c r="O351" s="92"/>
      <c r="Q351" s="147"/>
    </row>
    <row r="352" spans="15:17" ht="15.75" customHeight="1">
      <c r="O352" s="92"/>
      <c r="Q352" s="147"/>
    </row>
    <row r="353" spans="15:17" ht="15.75" customHeight="1">
      <c r="O353" s="92"/>
      <c r="Q353" s="147"/>
    </row>
    <row r="354" spans="15:17" ht="15.75" customHeight="1">
      <c r="O354" s="92"/>
      <c r="Q354" s="147"/>
    </row>
    <row r="355" spans="15:17" ht="15.75" customHeight="1">
      <c r="O355" s="92"/>
      <c r="Q355" s="147"/>
    </row>
    <row r="356" spans="15:17" ht="15.75" customHeight="1">
      <c r="O356" s="92"/>
      <c r="Q356" s="147"/>
    </row>
    <row r="357" spans="15:17" ht="15.75" customHeight="1">
      <c r="O357" s="92"/>
      <c r="Q357" s="147"/>
    </row>
    <row r="358" spans="15:17" ht="15.75" customHeight="1">
      <c r="O358" s="92"/>
      <c r="Q358" s="147"/>
    </row>
    <row r="359" spans="15:17" ht="15.75" customHeight="1">
      <c r="O359" s="92"/>
      <c r="Q359" s="147"/>
    </row>
    <row r="360" spans="15:17" ht="15.75" customHeight="1">
      <c r="O360" s="92"/>
      <c r="Q360" s="147"/>
    </row>
    <row r="361" spans="15:17" ht="15.75" customHeight="1">
      <c r="O361" s="92"/>
      <c r="Q361" s="147"/>
    </row>
    <row r="362" spans="15:17" ht="15.75" customHeight="1">
      <c r="O362" s="92"/>
      <c r="Q362" s="147"/>
    </row>
    <row r="363" spans="15:17" ht="15.75" customHeight="1">
      <c r="O363" s="92"/>
      <c r="Q363" s="147"/>
    </row>
    <row r="364" spans="15:17" ht="15.75" customHeight="1">
      <c r="O364" s="92"/>
      <c r="Q364" s="147"/>
    </row>
    <row r="365" spans="15:17" ht="15.75" customHeight="1">
      <c r="O365" s="92"/>
      <c r="Q365" s="147"/>
    </row>
    <row r="366" spans="15:17" ht="15.75" customHeight="1">
      <c r="O366" s="92"/>
      <c r="Q366" s="147"/>
    </row>
    <row r="367" spans="15:17" ht="15.75" customHeight="1">
      <c r="O367" s="92"/>
      <c r="Q367" s="147"/>
    </row>
    <row r="368" spans="15:17" ht="15.75" customHeight="1">
      <c r="O368" s="92"/>
      <c r="Q368" s="147"/>
    </row>
    <row r="369" spans="15:17" ht="15.75" customHeight="1">
      <c r="O369" s="92"/>
      <c r="Q369" s="147"/>
    </row>
    <row r="370" spans="15:17" ht="15.75" customHeight="1">
      <c r="O370" s="92"/>
      <c r="Q370" s="147"/>
    </row>
    <row r="371" spans="15:17" ht="15.75" customHeight="1">
      <c r="O371" s="92"/>
      <c r="Q371" s="147"/>
    </row>
    <row r="372" spans="15:17" ht="15.75" customHeight="1">
      <c r="O372" s="92"/>
      <c r="Q372" s="147"/>
    </row>
    <row r="373" spans="15:17" ht="15.75" customHeight="1">
      <c r="O373" s="92"/>
      <c r="Q373" s="147"/>
    </row>
    <row r="374" spans="15:17" ht="15.75" customHeight="1">
      <c r="O374" s="92"/>
      <c r="Q374" s="147"/>
    </row>
    <row r="375" spans="15:17" ht="15.75" customHeight="1">
      <c r="O375" s="92"/>
      <c r="Q375" s="147"/>
    </row>
    <row r="376" spans="15:17" ht="15.75" customHeight="1">
      <c r="O376" s="92"/>
      <c r="Q376" s="147"/>
    </row>
    <row r="377" spans="15:17" ht="15.75" customHeight="1">
      <c r="O377" s="92"/>
      <c r="Q377" s="147"/>
    </row>
    <row r="378" spans="15:17" ht="15.75" customHeight="1">
      <c r="O378" s="92"/>
      <c r="Q378" s="147"/>
    </row>
    <row r="379" spans="15:17" ht="15.75" customHeight="1">
      <c r="O379" s="92"/>
      <c r="Q379" s="147"/>
    </row>
    <row r="380" spans="15:17" ht="15.75" customHeight="1">
      <c r="O380" s="92"/>
      <c r="Q380" s="147"/>
    </row>
    <row r="381" spans="15:17" ht="15.75" customHeight="1">
      <c r="O381" s="92"/>
      <c r="Q381" s="147"/>
    </row>
    <row r="382" spans="15:17" ht="15.75" customHeight="1">
      <c r="O382" s="92"/>
      <c r="Q382" s="147"/>
    </row>
    <row r="383" spans="15:17" ht="15.75" customHeight="1">
      <c r="O383" s="92"/>
      <c r="Q383" s="147"/>
    </row>
    <row r="384" spans="15:17" ht="15.75" customHeight="1">
      <c r="O384" s="92"/>
      <c r="Q384" s="147"/>
    </row>
    <row r="385" spans="15:17" ht="15.75" customHeight="1">
      <c r="O385" s="92"/>
      <c r="Q385" s="147"/>
    </row>
    <row r="386" spans="15:17" ht="15.75" customHeight="1">
      <c r="O386" s="92"/>
      <c r="Q386" s="147"/>
    </row>
    <row r="387" spans="15:17" ht="15.75" customHeight="1">
      <c r="O387" s="92"/>
      <c r="Q387" s="147"/>
    </row>
    <row r="388" spans="15:17" ht="15.75" customHeight="1">
      <c r="O388" s="92"/>
      <c r="Q388" s="147"/>
    </row>
    <row r="389" spans="15:17" ht="15.75" customHeight="1">
      <c r="O389" s="92"/>
      <c r="Q389" s="147"/>
    </row>
    <row r="390" spans="15:17" ht="15.75" customHeight="1">
      <c r="O390" s="92"/>
      <c r="Q390" s="147"/>
    </row>
    <row r="391" spans="15:17" ht="15.75" customHeight="1">
      <c r="O391" s="92"/>
      <c r="Q391" s="147"/>
    </row>
    <row r="392" spans="15:17" ht="15.75" customHeight="1">
      <c r="O392" s="92"/>
      <c r="Q392" s="147"/>
    </row>
    <row r="393" spans="15:17" ht="15.75" customHeight="1">
      <c r="O393" s="92"/>
      <c r="Q393" s="147"/>
    </row>
    <row r="394" spans="15:17" ht="15.75" customHeight="1">
      <c r="O394" s="92"/>
      <c r="Q394" s="147"/>
    </row>
    <row r="395" spans="15:17" ht="15.75" customHeight="1">
      <c r="O395" s="92"/>
      <c r="Q395" s="147"/>
    </row>
    <row r="396" spans="15:17" ht="15.75" customHeight="1">
      <c r="O396" s="92"/>
      <c r="Q396" s="147"/>
    </row>
    <row r="397" spans="15:17" ht="15.75" customHeight="1">
      <c r="O397" s="92"/>
      <c r="Q397" s="147"/>
    </row>
    <row r="398" spans="15:17" ht="15.75" customHeight="1">
      <c r="O398" s="92"/>
      <c r="Q398" s="147"/>
    </row>
    <row r="399" spans="15:17" ht="15.75" customHeight="1">
      <c r="O399" s="92"/>
      <c r="Q399" s="147"/>
    </row>
    <row r="400" spans="15:17" ht="15.75" customHeight="1">
      <c r="O400" s="92"/>
      <c r="Q400" s="147"/>
    </row>
    <row r="401" spans="15:17" ht="15.75" customHeight="1">
      <c r="O401" s="92"/>
      <c r="Q401" s="147"/>
    </row>
    <row r="402" spans="15:17" ht="15.75" customHeight="1">
      <c r="O402" s="92"/>
      <c r="Q402" s="147"/>
    </row>
    <row r="403" spans="15:17" ht="15.75" customHeight="1">
      <c r="O403" s="92"/>
      <c r="Q403" s="147"/>
    </row>
    <row r="404" spans="15:17" ht="15.75" customHeight="1">
      <c r="O404" s="92"/>
      <c r="Q404" s="147"/>
    </row>
    <row r="405" spans="15:17" ht="15.75" customHeight="1">
      <c r="O405" s="92"/>
      <c r="Q405" s="147"/>
    </row>
    <row r="406" spans="15:17" ht="15.75" customHeight="1">
      <c r="O406" s="92"/>
      <c r="Q406" s="147"/>
    </row>
    <row r="407" spans="15:17" ht="15.75" customHeight="1">
      <c r="O407" s="92"/>
      <c r="Q407" s="147"/>
    </row>
    <row r="408" spans="15:17" ht="15.75" customHeight="1">
      <c r="O408" s="92"/>
      <c r="Q408" s="147"/>
    </row>
    <row r="409" spans="15:17" ht="15.75" customHeight="1">
      <c r="O409" s="92"/>
      <c r="Q409" s="147"/>
    </row>
    <row r="410" spans="15:17" ht="15.75" customHeight="1">
      <c r="O410" s="92"/>
      <c r="Q410" s="147"/>
    </row>
    <row r="411" spans="15:17" ht="15.75" customHeight="1">
      <c r="O411" s="92"/>
      <c r="Q411" s="147"/>
    </row>
    <row r="412" spans="15:17" ht="15.75" customHeight="1">
      <c r="O412" s="92"/>
      <c r="Q412" s="147"/>
    </row>
    <row r="413" spans="15:17" ht="15.75" customHeight="1">
      <c r="O413" s="92"/>
      <c r="Q413" s="147"/>
    </row>
    <row r="414" spans="15:17" ht="15.75" customHeight="1">
      <c r="O414" s="92"/>
      <c r="Q414" s="147"/>
    </row>
    <row r="415" spans="15:17" ht="15.75" customHeight="1">
      <c r="O415" s="92"/>
      <c r="Q415" s="147"/>
    </row>
    <row r="416" spans="15:17" ht="15.75" customHeight="1">
      <c r="O416" s="92"/>
      <c r="Q416" s="147"/>
    </row>
    <row r="417" spans="15:17" ht="15.75" customHeight="1">
      <c r="O417" s="92"/>
      <c r="Q417" s="147"/>
    </row>
    <row r="418" spans="15:17" ht="15.75" customHeight="1">
      <c r="O418" s="92"/>
      <c r="Q418" s="147"/>
    </row>
    <row r="419" spans="15:17" ht="15.75" customHeight="1">
      <c r="O419" s="92"/>
      <c r="Q419" s="147"/>
    </row>
    <row r="420" spans="15:17" ht="15.75" customHeight="1">
      <c r="O420" s="92"/>
      <c r="Q420" s="147"/>
    </row>
    <row r="421" spans="15:17" ht="15.75" customHeight="1">
      <c r="O421" s="92"/>
      <c r="Q421" s="147"/>
    </row>
    <row r="422" spans="15:17" ht="15.75" customHeight="1">
      <c r="O422" s="92"/>
      <c r="Q422" s="147"/>
    </row>
    <row r="423" spans="15:17" ht="15.75" customHeight="1">
      <c r="O423" s="92"/>
      <c r="Q423" s="147"/>
    </row>
    <row r="424" spans="15:17" ht="15.75" customHeight="1">
      <c r="O424" s="92"/>
      <c r="Q424" s="147"/>
    </row>
    <row r="425" spans="15:17" ht="15.75" customHeight="1">
      <c r="O425" s="92"/>
      <c r="Q425" s="147"/>
    </row>
    <row r="426" spans="15:17" ht="15.75" customHeight="1">
      <c r="O426" s="92"/>
      <c r="Q426" s="147"/>
    </row>
    <row r="427" spans="15:17" ht="15.75" customHeight="1">
      <c r="O427" s="92"/>
      <c r="Q427" s="147"/>
    </row>
    <row r="428" spans="15:17" ht="15.75" customHeight="1">
      <c r="O428" s="92"/>
      <c r="Q428" s="147"/>
    </row>
    <row r="429" spans="15:17" ht="15.75" customHeight="1">
      <c r="O429" s="92"/>
      <c r="Q429" s="147"/>
    </row>
    <row r="430" spans="15:17" ht="15.75" customHeight="1">
      <c r="O430" s="92"/>
      <c r="Q430" s="147"/>
    </row>
    <row r="431" spans="15:17" ht="15.75" customHeight="1">
      <c r="O431" s="92"/>
      <c r="Q431" s="147"/>
    </row>
    <row r="432" spans="15:17" ht="15.75" customHeight="1">
      <c r="O432" s="92"/>
      <c r="Q432" s="147"/>
    </row>
    <row r="433" spans="15:17" ht="15.75" customHeight="1">
      <c r="O433" s="92"/>
      <c r="Q433" s="147"/>
    </row>
    <row r="434" spans="15:17" ht="15.75" customHeight="1">
      <c r="O434" s="92"/>
      <c r="Q434" s="147"/>
    </row>
    <row r="435" spans="15:17" ht="15.75" customHeight="1">
      <c r="O435" s="92"/>
      <c r="Q435" s="147"/>
    </row>
    <row r="436" spans="15:17" ht="15.75" customHeight="1">
      <c r="O436" s="92"/>
      <c r="Q436" s="147"/>
    </row>
    <row r="437" spans="15:17" ht="15.75" customHeight="1">
      <c r="O437" s="92"/>
      <c r="Q437" s="147"/>
    </row>
    <row r="438" spans="15:17" ht="15.75" customHeight="1">
      <c r="O438" s="92"/>
      <c r="Q438" s="147"/>
    </row>
    <row r="439" spans="15:17" ht="15.75" customHeight="1">
      <c r="O439" s="92"/>
      <c r="Q439" s="147"/>
    </row>
    <row r="440" spans="15:17" ht="15.75" customHeight="1">
      <c r="O440" s="92"/>
      <c r="Q440" s="147"/>
    </row>
    <row r="441" spans="15:17" ht="15.75" customHeight="1">
      <c r="O441" s="92"/>
      <c r="Q441" s="147"/>
    </row>
    <row r="442" spans="15:17" ht="15.75" customHeight="1">
      <c r="O442" s="92"/>
      <c r="Q442" s="147"/>
    </row>
    <row r="443" spans="15:17" ht="15.75" customHeight="1">
      <c r="O443" s="92"/>
      <c r="Q443" s="147"/>
    </row>
    <row r="444" spans="15:17" ht="15.75" customHeight="1">
      <c r="O444" s="92"/>
      <c r="Q444" s="147"/>
    </row>
    <row r="445" spans="15:17" ht="15.75" customHeight="1">
      <c r="O445" s="92"/>
      <c r="Q445" s="147"/>
    </row>
    <row r="446" spans="15:17" ht="15.75" customHeight="1">
      <c r="O446" s="92"/>
      <c r="Q446" s="147"/>
    </row>
    <row r="447" spans="15:17" ht="15.75" customHeight="1">
      <c r="O447" s="92"/>
      <c r="Q447" s="147"/>
    </row>
    <row r="448" spans="15:17" ht="15.75" customHeight="1">
      <c r="O448" s="92"/>
      <c r="Q448" s="147"/>
    </row>
    <row r="449" spans="15:17" ht="15.75" customHeight="1">
      <c r="O449" s="92"/>
      <c r="Q449" s="147"/>
    </row>
    <row r="450" spans="15:17" ht="15.75" customHeight="1">
      <c r="O450" s="92"/>
      <c r="Q450" s="147"/>
    </row>
    <row r="451" spans="15:17" ht="15.75" customHeight="1">
      <c r="O451" s="92"/>
      <c r="Q451" s="147"/>
    </row>
    <row r="452" spans="15:17" ht="15.75" customHeight="1">
      <c r="O452" s="92"/>
      <c r="Q452" s="147"/>
    </row>
    <row r="453" spans="15:17" ht="15.75" customHeight="1">
      <c r="O453" s="92"/>
      <c r="Q453" s="147"/>
    </row>
    <row r="454" spans="15:17" ht="15.75" customHeight="1">
      <c r="O454" s="92"/>
      <c r="Q454" s="147"/>
    </row>
    <row r="455" spans="15:17" ht="15.75" customHeight="1">
      <c r="O455" s="92"/>
      <c r="Q455" s="147"/>
    </row>
    <row r="456" spans="15:17" ht="15.75" customHeight="1">
      <c r="O456" s="92"/>
      <c r="Q456" s="147"/>
    </row>
    <row r="457" spans="15:17" ht="15.75" customHeight="1">
      <c r="O457" s="92"/>
      <c r="Q457" s="147"/>
    </row>
    <row r="458" spans="15:17" ht="15.75" customHeight="1">
      <c r="O458" s="92"/>
      <c r="Q458" s="147"/>
    </row>
    <row r="459" spans="15:17" ht="15.75" customHeight="1">
      <c r="O459" s="92"/>
      <c r="Q459" s="147"/>
    </row>
    <row r="460" spans="15:17" ht="15.75" customHeight="1">
      <c r="O460" s="92"/>
      <c r="Q460" s="147"/>
    </row>
    <row r="461" spans="15:17" ht="15.75" customHeight="1">
      <c r="O461" s="92"/>
      <c r="Q461" s="147"/>
    </row>
    <row r="462" spans="15:17" ht="15.75" customHeight="1">
      <c r="O462" s="92"/>
      <c r="Q462" s="147"/>
    </row>
    <row r="463" spans="15:17" ht="15.75" customHeight="1">
      <c r="O463" s="92"/>
      <c r="Q463" s="147"/>
    </row>
    <row r="464" spans="15:17" ht="15.75" customHeight="1">
      <c r="O464" s="92"/>
      <c r="Q464" s="147"/>
    </row>
    <row r="465" spans="15:17" ht="15.75" customHeight="1">
      <c r="O465" s="92"/>
      <c r="Q465" s="147"/>
    </row>
    <row r="466" spans="15:17" ht="15.75" customHeight="1">
      <c r="O466" s="92"/>
      <c r="Q466" s="147"/>
    </row>
    <row r="467" spans="15:17" ht="15.75" customHeight="1">
      <c r="O467" s="92"/>
      <c r="Q467" s="147"/>
    </row>
    <row r="468" spans="15:17" ht="15.75" customHeight="1">
      <c r="O468" s="92"/>
      <c r="Q468" s="147"/>
    </row>
    <row r="469" spans="15:17" ht="15.75" customHeight="1">
      <c r="O469" s="92"/>
      <c r="Q469" s="147"/>
    </row>
    <row r="470" spans="15:17" ht="15.75" customHeight="1">
      <c r="O470" s="92"/>
      <c r="Q470" s="147"/>
    </row>
    <row r="471" spans="15:17" ht="15.75" customHeight="1">
      <c r="O471" s="92"/>
      <c r="Q471" s="147"/>
    </row>
    <row r="472" spans="15:17" ht="15.75" customHeight="1">
      <c r="O472" s="92"/>
      <c r="Q472" s="147"/>
    </row>
    <row r="473" spans="15:17" ht="15.75" customHeight="1">
      <c r="O473" s="92"/>
      <c r="Q473" s="147"/>
    </row>
    <row r="474" spans="15:17" ht="15.75" customHeight="1">
      <c r="O474" s="92"/>
      <c r="Q474" s="147"/>
    </row>
    <row r="475" spans="15:17" ht="15.75" customHeight="1">
      <c r="O475" s="92"/>
      <c r="Q475" s="147"/>
    </row>
    <row r="476" spans="15:17" ht="15.75" customHeight="1">
      <c r="O476" s="92"/>
      <c r="Q476" s="147"/>
    </row>
    <row r="477" spans="15:17" ht="15.75" customHeight="1">
      <c r="O477" s="92"/>
      <c r="Q477" s="147"/>
    </row>
    <row r="478" spans="15:17" ht="15.75" customHeight="1">
      <c r="O478" s="92"/>
      <c r="Q478" s="147"/>
    </row>
    <row r="479" spans="15:17" ht="15.75" customHeight="1">
      <c r="O479" s="92"/>
      <c r="Q479" s="147"/>
    </row>
    <row r="480" spans="15:17" ht="15.75" customHeight="1">
      <c r="O480" s="92"/>
      <c r="Q480" s="147"/>
    </row>
    <row r="481" spans="15:17" ht="15.75" customHeight="1">
      <c r="O481" s="92"/>
      <c r="Q481" s="147"/>
    </row>
    <row r="482" spans="15:17" ht="15.75" customHeight="1">
      <c r="O482" s="92"/>
      <c r="Q482" s="147"/>
    </row>
    <row r="483" spans="15:17" ht="15.75" customHeight="1">
      <c r="O483" s="92"/>
      <c r="Q483" s="147"/>
    </row>
    <row r="484" spans="15:17" ht="15.75" customHeight="1">
      <c r="O484" s="92"/>
      <c r="Q484" s="147"/>
    </row>
    <row r="485" spans="15:17" ht="15.75" customHeight="1">
      <c r="O485" s="92"/>
      <c r="Q485" s="147"/>
    </row>
    <row r="486" spans="15:17" ht="15.75" customHeight="1">
      <c r="O486" s="92"/>
      <c r="Q486" s="147"/>
    </row>
    <row r="487" spans="15:17" ht="15.75" customHeight="1">
      <c r="O487" s="92"/>
      <c r="Q487" s="147"/>
    </row>
    <row r="488" spans="15:17" ht="15.75" customHeight="1">
      <c r="O488" s="92"/>
      <c r="Q488" s="147"/>
    </row>
    <row r="489" spans="15:17" ht="15.75" customHeight="1">
      <c r="O489" s="92"/>
      <c r="Q489" s="147"/>
    </row>
    <row r="490" spans="15:17" ht="15.75" customHeight="1">
      <c r="O490" s="92"/>
      <c r="Q490" s="147"/>
    </row>
    <row r="491" spans="15:17" ht="15.75" customHeight="1">
      <c r="O491" s="92"/>
      <c r="Q491" s="147"/>
    </row>
    <row r="492" spans="15:17" ht="15.75" customHeight="1">
      <c r="O492" s="92"/>
      <c r="Q492" s="147"/>
    </row>
    <row r="493" spans="15:17" ht="15.75" customHeight="1">
      <c r="O493" s="92"/>
      <c r="Q493" s="147"/>
    </row>
    <row r="494" spans="15:17" ht="15.75" customHeight="1">
      <c r="O494" s="92"/>
      <c r="Q494" s="147"/>
    </row>
    <row r="495" spans="15:17" ht="15.75" customHeight="1">
      <c r="O495" s="92"/>
      <c r="Q495" s="147"/>
    </row>
    <row r="496" spans="15:17" ht="15.75" customHeight="1">
      <c r="O496" s="92"/>
      <c r="Q496" s="147"/>
    </row>
    <row r="497" spans="15:17" ht="15.75" customHeight="1">
      <c r="O497" s="92"/>
      <c r="Q497" s="147"/>
    </row>
    <row r="498" spans="15:17" ht="15.75" customHeight="1">
      <c r="O498" s="92"/>
      <c r="Q498" s="147"/>
    </row>
    <row r="499" spans="15:17" ht="15.75" customHeight="1">
      <c r="O499" s="92"/>
      <c r="Q499" s="147"/>
    </row>
    <row r="500" spans="15:17" ht="15.75" customHeight="1">
      <c r="O500" s="92"/>
      <c r="Q500" s="147"/>
    </row>
    <row r="501" spans="15:17" ht="15.75" customHeight="1">
      <c r="O501" s="92"/>
      <c r="Q501" s="147"/>
    </row>
    <row r="502" spans="15:17" ht="15.75" customHeight="1">
      <c r="O502" s="92"/>
      <c r="Q502" s="147"/>
    </row>
    <row r="503" spans="15:17" ht="15.75" customHeight="1">
      <c r="O503" s="92"/>
      <c r="Q503" s="147"/>
    </row>
    <row r="504" spans="15:17" ht="15.75" customHeight="1">
      <c r="O504" s="92"/>
      <c r="Q504" s="147"/>
    </row>
    <row r="505" spans="15:17" ht="15.75" customHeight="1">
      <c r="O505" s="92"/>
      <c r="Q505" s="147"/>
    </row>
    <row r="506" spans="15:17" ht="15.75" customHeight="1">
      <c r="O506" s="92"/>
      <c r="Q506" s="147"/>
    </row>
    <row r="507" spans="15:17" ht="15.75" customHeight="1">
      <c r="O507" s="92"/>
      <c r="Q507" s="147"/>
    </row>
    <row r="508" spans="15:17" ht="15.75" customHeight="1">
      <c r="O508" s="92"/>
      <c r="Q508" s="147"/>
    </row>
    <row r="509" spans="15:17" ht="15.75" customHeight="1">
      <c r="O509" s="92"/>
      <c r="Q509" s="147"/>
    </row>
    <row r="510" spans="15:17" ht="15.75" customHeight="1">
      <c r="O510" s="92"/>
      <c r="Q510" s="147"/>
    </row>
    <row r="511" spans="15:17" ht="15.75" customHeight="1">
      <c r="O511" s="92"/>
      <c r="Q511" s="147"/>
    </row>
    <row r="512" spans="15:17" ht="15.75" customHeight="1">
      <c r="O512" s="92"/>
      <c r="Q512" s="147"/>
    </row>
    <row r="513" spans="15:17" ht="15.75" customHeight="1">
      <c r="O513" s="92"/>
      <c r="Q513" s="147"/>
    </row>
    <row r="514" spans="15:17" ht="15.75" customHeight="1">
      <c r="O514" s="92"/>
      <c r="Q514" s="147"/>
    </row>
    <row r="515" spans="15:17" ht="15.75" customHeight="1">
      <c r="O515" s="92"/>
      <c r="Q515" s="147"/>
    </row>
    <row r="516" spans="15:17" ht="15.75" customHeight="1">
      <c r="O516" s="92"/>
      <c r="Q516" s="147"/>
    </row>
    <row r="517" spans="15:17" ht="15.75" customHeight="1">
      <c r="O517" s="92"/>
      <c r="Q517" s="147"/>
    </row>
    <row r="518" spans="15:17" ht="15.75" customHeight="1">
      <c r="O518" s="92"/>
      <c r="Q518" s="147"/>
    </row>
    <row r="519" spans="15:17" ht="15.75" customHeight="1">
      <c r="O519" s="92"/>
      <c r="Q519" s="147"/>
    </row>
    <row r="520" spans="15:17" ht="15.75" customHeight="1">
      <c r="O520" s="92"/>
      <c r="Q520" s="147"/>
    </row>
    <row r="521" spans="15:17" ht="15.75" customHeight="1">
      <c r="O521" s="92"/>
      <c r="Q521" s="147"/>
    </row>
    <row r="522" spans="15:17" ht="15.75" customHeight="1">
      <c r="O522" s="92"/>
      <c r="Q522" s="147"/>
    </row>
    <row r="523" spans="15:17" ht="15.75" customHeight="1">
      <c r="O523" s="92"/>
      <c r="Q523" s="147"/>
    </row>
    <row r="524" spans="15:17" ht="15.75" customHeight="1">
      <c r="O524" s="92"/>
      <c r="Q524" s="147"/>
    </row>
    <row r="525" spans="15:17" ht="15.75" customHeight="1">
      <c r="O525" s="92"/>
      <c r="Q525" s="147"/>
    </row>
    <row r="526" spans="15:17" ht="15.75" customHeight="1">
      <c r="O526" s="92"/>
      <c r="Q526" s="147"/>
    </row>
    <row r="527" spans="15:17" ht="15.75" customHeight="1">
      <c r="O527" s="92"/>
      <c r="Q527" s="147"/>
    </row>
    <row r="528" spans="15:17" ht="15.75" customHeight="1">
      <c r="O528" s="92"/>
      <c r="Q528" s="147"/>
    </row>
    <row r="529" spans="15:17" ht="15.75" customHeight="1">
      <c r="O529" s="92"/>
      <c r="Q529" s="147"/>
    </row>
    <row r="530" spans="15:17" ht="15.75" customHeight="1">
      <c r="O530" s="92"/>
      <c r="Q530" s="147"/>
    </row>
    <row r="531" spans="15:17" ht="15.75" customHeight="1">
      <c r="O531" s="92"/>
      <c r="Q531" s="147"/>
    </row>
    <row r="532" spans="15:17" ht="15.75" customHeight="1">
      <c r="O532" s="92"/>
      <c r="Q532" s="147"/>
    </row>
    <row r="533" spans="15:17" ht="15.75" customHeight="1">
      <c r="O533" s="92"/>
      <c r="Q533" s="147"/>
    </row>
    <row r="534" spans="15:17" ht="15.75" customHeight="1">
      <c r="O534" s="92"/>
      <c r="Q534" s="147"/>
    </row>
    <row r="535" spans="15:17" ht="15.75" customHeight="1">
      <c r="O535" s="92"/>
      <c r="Q535" s="147"/>
    </row>
    <row r="536" spans="15:17" ht="15.75" customHeight="1">
      <c r="O536" s="92"/>
      <c r="Q536" s="147"/>
    </row>
    <row r="537" spans="15:17" ht="15.75" customHeight="1">
      <c r="O537" s="92"/>
      <c r="Q537" s="147"/>
    </row>
    <row r="538" spans="15:17" ht="15.75" customHeight="1">
      <c r="O538" s="92"/>
      <c r="Q538" s="147"/>
    </row>
    <row r="539" spans="15:17" ht="15.75" customHeight="1">
      <c r="O539" s="92"/>
      <c r="Q539" s="147"/>
    </row>
    <row r="540" spans="15:17" ht="15.75" customHeight="1">
      <c r="O540" s="92"/>
      <c r="Q540" s="147"/>
    </row>
    <row r="541" spans="15:17" ht="15.75" customHeight="1">
      <c r="O541" s="92"/>
      <c r="Q541" s="147"/>
    </row>
    <row r="542" spans="15:17" ht="15.75" customHeight="1">
      <c r="O542" s="92"/>
      <c r="Q542" s="147"/>
    </row>
    <row r="543" spans="15:17" ht="15.75" customHeight="1">
      <c r="O543" s="92"/>
      <c r="Q543" s="147"/>
    </row>
    <row r="544" spans="15:17" ht="15.75" customHeight="1">
      <c r="O544" s="92"/>
      <c r="Q544" s="147"/>
    </row>
    <row r="545" spans="15:17" ht="15.75" customHeight="1">
      <c r="O545" s="92"/>
      <c r="Q545" s="147"/>
    </row>
    <row r="546" spans="15:17" ht="15.75" customHeight="1">
      <c r="O546" s="92"/>
      <c r="Q546" s="147"/>
    </row>
    <row r="547" spans="15:17" ht="15.75" customHeight="1">
      <c r="O547" s="92"/>
      <c r="Q547" s="147"/>
    </row>
    <row r="548" spans="15:17" ht="15.75" customHeight="1">
      <c r="O548" s="92"/>
      <c r="Q548" s="147"/>
    </row>
    <row r="549" spans="15:17" ht="15.75" customHeight="1">
      <c r="O549" s="92"/>
      <c r="Q549" s="147"/>
    </row>
    <row r="550" spans="15:17" ht="15.75" customHeight="1">
      <c r="O550" s="92"/>
      <c r="Q550" s="147"/>
    </row>
    <row r="551" spans="15:17" ht="15.75" customHeight="1">
      <c r="O551" s="92"/>
      <c r="Q551" s="147"/>
    </row>
    <row r="552" spans="15:17" ht="15.75" customHeight="1">
      <c r="O552" s="92"/>
      <c r="Q552" s="147"/>
    </row>
    <row r="553" spans="15:17" ht="15.75" customHeight="1">
      <c r="O553" s="92"/>
      <c r="Q553" s="147"/>
    </row>
    <row r="554" spans="15:17" ht="15.75" customHeight="1">
      <c r="O554" s="92"/>
      <c r="Q554" s="147"/>
    </row>
    <row r="555" spans="15:17" ht="15.75" customHeight="1">
      <c r="O555" s="92"/>
      <c r="Q555" s="147"/>
    </row>
    <row r="556" spans="15:17" ht="15.75" customHeight="1">
      <c r="O556" s="92"/>
      <c r="Q556" s="147"/>
    </row>
    <row r="557" spans="15:17" ht="15.75" customHeight="1">
      <c r="O557" s="92"/>
      <c r="Q557" s="147"/>
    </row>
    <row r="558" spans="15:17" ht="15.75" customHeight="1">
      <c r="O558" s="92"/>
      <c r="Q558" s="147"/>
    </row>
    <row r="559" spans="15:17" ht="15.75" customHeight="1">
      <c r="O559" s="92"/>
      <c r="Q559" s="147"/>
    </row>
    <row r="560" spans="15:17" ht="15.75" customHeight="1">
      <c r="O560" s="92"/>
      <c r="Q560" s="147"/>
    </row>
    <row r="561" spans="15:17" ht="15.75" customHeight="1">
      <c r="O561" s="92"/>
      <c r="Q561" s="147"/>
    </row>
    <row r="562" spans="15:17" ht="15.75" customHeight="1">
      <c r="O562" s="92"/>
      <c r="Q562" s="147"/>
    </row>
    <row r="563" spans="15:17" ht="15.75" customHeight="1">
      <c r="O563" s="92"/>
      <c r="Q563" s="147"/>
    </row>
    <row r="564" spans="15:17" ht="15.75" customHeight="1">
      <c r="O564" s="92"/>
      <c r="Q564" s="147"/>
    </row>
    <row r="565" spans="15:17" ht="15.75" customHeight="1">
      <c r="O565" s="92"/>
      <c r="Q565" s="147"/>
    </row>
    <row r="566" spans="15:17" ht="15.75" customHeight="1">
      <c r="O566" s="92"/>
      <c r="Q566" s="147"/>
    </row>
    <row r="567" spans="15:17" ht="15.75" customHeight="1">
      <c r="O567" s="92"/>
      <c r="Q567" s="147"/>
    </row>
    <row r="568" spans="15:17" ht="15.75" customHeight="1">
      <c r="O568" s="92"/>
      <c r="Q568" s="147"/>
    </row>
    <row r="569" spans="15:17" ht="15.75" customHeight="1">
      <c r="O569" s="92"/>
      <c r="Q569" s="147"/>
    </row>
    <row r="570" spans="15:17" ht="15.75" customHeight="1">
      <c r="O570" s="92"/>
      <c r="Q570" s="147"/>
    </row>
    <row r="571" spans="15:17" ht="15.75" customHeight="1">
      <c r="O571" s="92"/>
      <c r="Q571" s="147"/>
    </row>
    <row r="572" spans="15:17" ht="15.75" customHeight="1">
      <c r="O572" s="92"/>
      <c r="Q572" s="147"/>
    </row>
    <row r="573" spans="15:17" ht="15.75" customHeight="1">
      <c r="O573" s="92"/>
      <c r="Q573" s="147"/>
    </row>
    <row r="574" spans="15:17" ht="15.75" customHeight="1">
      <c r="O574" s="92"/>
      <c r="Q574" s="147"/>
    </row>
    <row r="575" spans="15:17" ht="15.75" customHeight="1">
      <c r="O575" s="92"/>
      <c r="Q575" s="147"/>
    </row>
    <row r="576" spans="15:17" ht="15.75" customHeight="1">
      <c r="O576" s="92"/>
      <c r="Q576" s="147"/>
    </row>
    <row r="577" spans="15:17" ht="15.75" customHeight="1">
      <c r="O577" s="92"/>
      <c r="Q577" s="147"/>
    </row>
    <row r="578" spans="15:17" ht="15.75" customHeight="1">
      <c r="O578" s="92"/>
      <c r="Q578" s="147"/>
    </row>
    <row r="579" spans="15:17" ht="15.75" customHeight="1">
      <c r="O579" s="92"/>
      <c r="Q579" s="147"/>
    </row>
    <row r="580" spans="15:17" ht="15.75" customHeight="1">
      <c r="O580" s="92"/>
      <c r="Q580" s="147"/>
    </row>
    <row r="581" spans="15:17" ht="15.75" customHeight="1">
      <c r="O581" s="92"/>
      <c r="Q581" s="147"/>
    </row>
    <row r="582" spans="15:17" ht="15.75" customHeight="1">
      <c r="O582" s="92"/>
      <c r="Q582" s="147"/>
    </row>
    <row r="583" spans="15:17" ht="15.75" customHeight="1">
      <c r="O583" s="92"/>
      <c r="Q583" s="147"/>
    </row>
    <row r="584" spans="15:17" ht="15.75" customHeight="1">
      <c r="O584" s="92"/>
      <c r="Q584" s="147"/>
    </row>
    <row r="585" spans="15:17" ht="15.75" customHeight="1">
      <c r="O585" s="92"/>
      <c r="Q585" s="147"/>
    </row>
    <row r="586" spans="15:17" ht="15.75" customHeight="1">
      <c r="O586" s="92"/>
      <c r="Q586" s="147"/>
    </row>
    <row r="587" spans="15:17" ht="15.75" customHeight="1">
      <c r="O587" s="92"/>
      <c r="Q587" s="147"/>
    </row>
    <row r="588" spans="15:17" ht="15.75" customHeight="1">
      <c r="O588" s="92"/>
      <c r="Q588" s="147"/>
    </row>
    <row r="589" spans="15:17" ht="15.75" customHeight="1">
      <c r="O589" s="92"/>
      <c r="Q589" s="147"/>
    </row>
    <row r="590" spans="15:17" ht="15.75" customHeight="1">
      <c r="O590" s="92"/>
      <c r="Q590" s="147"/>
    </row>
    <row r="591" spans="15:17" ht="15.75" customHeight="1">
      <c r="O591" s="92"/>
      <c r="Q591" s="147"/>
    </row>
    <row r="592" spans="15:17" ht="15.75" customHeight="1">
      <c r="O592" s="92"/>
      <c r="Q592" s="147"/>
    </row>
    <row r="593" spans="15:17" ht="15.75" customHeight="1">
      <c r="O593" s="92"/>
      <c r="Q593" s="147"/>
    </row>
    <row r="594" spans="15:17" ht="15.75" customHeight="1">
      <c r="O594" s="92"/>
      <c r="Q594" s="147"/>
    </row>
    <row r="595" spans="15:17" ht="15.75" customHeight="1">
      <c r="O595" s="92"/>
      <c r="Q595" s="147"/>
    </row>
    <row r="596" spans="15:17" ht="15.75" customHeight="1">
      <c r="O596" s="92"/>
      <c r="Q596" s="147"/>
    </row>
    <row r="597" spans="15:17" ht="15.75" customHeight="1">
      <c r="O597" s="92"/>
      <c r="Q597" s="147"/>
    </row>
    <row r="598" spans="15:17" ht="15.75" customHeight="1">
      <c r="O598" s="92"/>
      <c r="Q598" s="147"/>
    </row>
    <row r="599" spans="15:17" ht="15.75" customHeight="1">
      <c r="O599" s="92"/>
      <c r="Q599" s="147"/>
    </row>
    <row r="600" spans="15:17" ht="15.75" customHeight="1">
      <c r="O600" s="92"/>
      <c r="Q600" s="147"/>
    </row>
    <row r="601" spans="15:17" ht="15.75" customHeight="1">
      <c r="O601" s="92"/>
      <c r="Q601" s="147"/>
    </row>
    <row r="602" spans="15:17" ht="15.75" customHeight="1">
      <c r="O602" s="92"/>
      <c r="Q602" s="147"/>
    </row>
    <row r="603" spans="15:17" ht="15.75" customHeight="1">
      <c r="O603" s="92"/>
      <c r="Q603" s="147"/>
    </row>
    <row r="604" spans="15:17" ht="15.75" customHeight="1">
      <c r="O604" s="92"/>
      <c r="Q604" s="147"/>
    </row>
    <row r="605" spans="15:17" ht="15.75" customHeight="1">
      <c r="O605" s="92"/>
      <c r="Q605" s="147"/>
    </row>
    <row r="606" spans="15:17" ht="15.75" customHeight="1">
      <c r="O606" s="92"/>
      <c r="Q606" s="147"/>
    </row>
    <row r="607" spans="15:17" ht="15.75" customHeight="1">
      <c r="O607" s="92"/>
      <c r="Q607" s="147"/>
    </row>
    <row r="608" spans="15:17" ht="15.75" customHeight="1">
      <c r="O608" s="92"/>
      <c r="Q608" s="147"/>
    </row>
    <row r="609" spans="15:17" ht="15.75" customHeight="1">
      <c r="O609" s="92"/>
      <c r="Q609" s="147"/>
    </row>
    <row r="610" spans="15:17" ht="15.75" customHeight="1">
      <c r="O610" s="92"/>
      <c r="Q610" s="147"/>
    </row>
    <row r="611" spans="15:17" ht="15.75" customHeight="1">
      <c r="O611" s="92"/>
      <c r="Q611" s="147"/>
    </row>
    <row r="612" spans="15:17" ht="15.75" customHeight="1">
      <c r="O612" s="92"/>
      <c r="Q612" s="147"/>
    </row>
    <row r="613" spans="15:17" ht="15.75" customHeight="1">
      <c r="O613" s="92"/>
      <c r="Q613" s="147"/>
    </row>
    <row r="614" spans="15:17" ht="15.75" customHeight="1">
      <c r="O614" s="92"/>
      <c r="Q614" s="147"/>
    </row>
    <row r="615" spans="15:17" ht="15.75" customHeight="1">
      <c r="O615" s="92"/>
      <c r="Q615" s="147"/>
    </row>
    <row r="616" spans="15:17" ht="15.75" customHeight="1">
      <c r="O616" s="92"/>
      <c r="Q616" s="147"/>
    </row>
    <row r="617" spans="15:17" ht="15.75" customHeight="1">
      <c r="O617" s="92"/>
      <c r="Q617" s="147"/>
    </row>
    <row r="618" spans="15:17" ht="15.75" customHeight="1">
      <c r="O618" s="92"/>
      <c r="Q618" s="147"/>
    </row>
    <row r="619" spans="15:17" ht="15.75" customHeight="1">
      <c r="O619" s="92"/>
      <c r="Q619" s="147"/>
    </row>
    <row r="620" spans="15:17" ht="15.75" customHeight="1">
      <c r="O620" s="92"/>
      <c r="Q620" s="147"/>
    </row>
    <row r="621" spans="15:17" ht="15.75" customHeight="1">
      <c r="O621" s="92"/>
      <c r="Q621" s="147"/>
    </row>
    <row r="622" spans="15:17" ht="15.75" customHeight="1">
      <c r="O622" s="92"/>
      <c r="Q622" s="147"/>
    </row>
    <row r="623" spans="15:17" ht="15.75" customHeight="1">
      <c r="O623" s="92"/>
      <c r="Q623" s="147"/>
    </row>
    <row r="624" spans="15:17" ht="15.75" customHeight="1">
      <c r="O624" s="92"/>
      <c r="Q624" s="147"/>
    </row>
    <row r="625" spans="15:17" ht="15.75" customHeight="1">
      <c r="O625" s="92"/>
      <c r="Q625" s="147"/>
    </row>
    <row r="626" spans="15:17" ht="15.75" customHeight="1">
      <c r="O626" s="92"/>
      <c r="Q626" s="147"/>
    </row>
    <row r="627" spans="15:17" ht="15.75" customHeight="1">
      <c r="O627" s="92"/>
      <c r="Q627" s="147"/>
    </row>
    <row r="628" spans="15:17" ht="15.75" customHeight="1">
      <c r="O628" s="92"/>
      <c r="Q628" s="147"/>
    </row>
    <row r="629" spans="15:17" ht="15.75" customHeight="1">
      <c r="O629" s="92"/>
      <c r="Q629" s="147"/>
    </row>
    <row r="630" spans="15:17" ht="15.75" customHeight="1">
      <c r="O630" s="92"/>
      <c r="Q630" s="147"/>
    </row>
    <row r="631" spans="15:17" ht="15.75" customHeight="1">
      <c r="O631" s="92"/>
      <c r="Q631" s="147"/>
    </row>
    <row r="632" spans="15:17" ht="15.75" customHeight="1">
      <c r="O632" s="92"/>
      <c r="Q632" s="147"/>
    </row>
    <row r="633" spans="15:17" ht="15.75" customHeight="1">
      <c r="O633" s="92"/>
      <c r="Q633" s="147"/>
    </row>
    <row r="634" spans="15:17" ht="15.75" customHeight="1">
      <c r="O634" s="92"/>
      <c r="Q634" s="147"/>
    </row>
    <row r="635" spans="15:17" ht="15.75" customHeight="1">
      <c r="O635" s="92"/>
      <c r="Q635" s="147"/>
    </row>
    <row r="636" spans="15:17" ht="15.75" customHeight="1">
      <c r="O636" s="92"/>
      <c r="Q636" s="147"/>
    </row>
    <row r="637" spans="15:17" ht="15.75" customHeight="1">
      <c r="O637" s="92"/>
      <c r="Q637" s="147"/>
    </row>
    <row r="638" spans="15:17" ht="15.75" customHeight="1">
      <c r="O638" s="92"/>
      <c r="Q638" s="147"/>
    </row>
    <row r="639" spans="15:17" ht="15.75" customHeight="1">
      <c r="O639" s="92"/>
      <c r="Q639" s="147"/>
    </row>
    <row r="640" spans="15:17" ht="15.75" customHeight="1">
      <c r="O640" s="92"/>
      <c r="Q640" s="147"/>
    </row>
    <row r="641" spans="15:17" ht="15.75" customHeight="1">
      <c r="O641" s="92"/>
      <c r="Q641" s="147"/>
    </row>
    <row r="642" spans="15:17" ht="15.75" customHeight="1">
      <c r="O642" s="92"/>
      <c r="Q642" s="147"/>
    </row>
    <row r="643" spans="15:17" ht="15.75" customHeight="1">
      <c r="O643" s="92"/>
      <c r="Q643" s="147"/>
    </row>
    <row r="644" spans="15:17" ht="15.75" customHeight="1">
      <c r="O644" s="92"/>
      <c r="Q644" s="147"/>
    </row>
    <row r="645" spans="15:17" ht="15.75" customHeight="1">
      <c r="O645" s="92"/>
      <c r="Q645" s="147"/>
    </row>
    <row r="646" spans="15:17" ht="15.75" customHeight="1">
      <c r="O646" s="92"/>
      <c r="Q646" s="147"/>
    </row>
    <row r="647" spans="15:17" ht="15.75" customHeight="1">
      <c r="O647" s="92"/>
      <c r="Q647" s="147"/>
    </row>
    <row r="648" spans="15:17" ht="15.75" customHeight="1">
      <c r="O648" s="92"/>
      <c r="Q648" s="147"/>
    </row>
    <row r="649" spans="15:17" ht="15.75" customHeight="1">
      <c r="O649" s="92"/>
      <c r="Q649" s="147"/>
    </row>
    <row r="650" spans="15:17" ht="15.75" customHeight="1">
      <c r="O650" s="92"/>
      <c r="Q650" s="147"/>
    </row>
    <row r="651" spans="15:17" ht="15.75" customHeight="1">
      <c r="O651" s="92"/>
      <c r="Q651" s="147"/>
    </row>
    <row r="652" spans="15:17" ht="15.75" customHeight="1">
      <c r="O652" s="92"/>
      <c r="Q652" s="147"/>
    </row>
    <row r="653" spans="15:17" ht="15.75" customHeight="1">
      <c r="O653" s="92"/>
      <c r="Q653" s="147"/>
    </row>
    <row r="654" spans="15:17" ht="15.75" customHeight="1">
      <c r="O654" s="92"/>
      <c r="Q654" s="147"/>
    </row>
    <row r="655" spans="15:17" ht="15.75" customHeight="1">
      <c r="O655" s="92"/>
      <c r="Q655" s="147"/>
    </row>
    <row r="656" spans="15:17" ht="15.75" customHeight="1">
      <c r="O656" s="92"/>
      <c r="Q656" s="147"/>
    </row>
    <row r="657" spans="15:17" ht="15.75" customHeight="1">
      <c r="O657" s="92"/>
      <c r="Q657" s="147"/>
    </row>
    <row r="658" spans="15:17" ht="15.75" customHeight="1">
      <c r="O658" s="92"/>
      <c r="Q658" s="147"/>
    </row>
    <row r="659" spans="15:17" ht="15.75" customHeight="1">
      <c r="O659" s="92"/>
      <c r="Q659" s="147"/>
    </row>
    <row r="660" spans="15:17" ht="15.75" customHeight="1">
      <c r="O660" s="92"/>
      <c r="Q660" s="147"/>
    </row>
    <row r="661" spans="15:17" ht="15.75" customHeight="1">
      <c r="O661" s="92"/>
      <c r="Q661" s="147"/>
    </row>
    <row r="662" spans="15:17" ht="15.75" customHeight="1">
      <c r="O662" s="92"/>
      <c r="Q662" s="147"/>
    </row>
    <row r="663" spans="15:17" ht="15.75" customHeight="1">
      <c r="O663" s="92"/>
      <c r="Q663" s="147"/>
    </row>
    <row r="664" spans="15:17" ht="15.75" customHeight="1">
      <c r="O664" s="92"/>
      <c r="Q664" s="147"/>
    </row>
    <row r="665" spans="15:17" ht="15.75" customHeight="1">
      <c r="O665" s="92"/>
      <c r="Q665" s="147"/>
    </row>
    <row r="666" spans="15:17" ht="15.75" customHeight="1">
      <c r="O666" s="92"/>
      <c r="Q666" s="147"/>
    </row>
    <row r="667" spans="15:17" ht="15.75" customHeight="1">
      <c r="O667" s="92"/>
      <c r="Q667" s="147"/>
    </row>
    <row r="668" spans="15:17" ht="15.75" customHeight="1">
      <c r="O668" s="92"/>
      <c r="Q668" s="147"/>
    </row>
    <row r="669" spans="15:17" ht="15.75" customHeight="1">
      <c r="O669" s="92"/>
      <c r="Q669" s="147"/>
    </row>
    <row r="670" spans="15:17" ht="15.75" customHeight="1">
      <c r="O670" s="92"/>
      <c r="Q670" s="147"/>
    </row>
    <row r="671" spans="15:17" ht="15.75" customHeight="1">
      <c r="O671" s="92"/>
      <c r="Q671" s="147"/>
    </row>
    <row r="672" spans="15:17" ht="15.75" customHeight="1">
      <c r="O672" s="92"/>
      <c r="Q672" s="147"/>
    </row>
    <row r="673" spans="15:17" ht="15.75" customHeight="1">
      <c r="O673" s="92"/>
      <c r="Q673" s="147"/>
    </row>
    <row r="674" spans="15:17" ht="15.75" customHeight="1">
      <c r="O674" s="92"/>
      <c r="Q674" s="147"/>
    </row>
    <row r="675" spans="15:17" ht="15.75" customHeight="1">
      <c r="O675" s="92"/>
      <c r="Q675" s="147"/>
    </row>
    <row r="676" spans="15:17" ht="15.75" customHeight="1">
      <c r="O676" s="92"/>
      <c r="Q676" s="147"/>
    </row>
    <row r="677" spans="15:17" ht="15.75" customHeight="1">
      <c r="O677" s="92"/>
      <c r="Q677" s="147"/>
    </row>
    <row r="678" spans="15:17" ht="15.75" customHeight="1">
      <c r="O678" s="92"/>
      <c r="Q678" s="147"/>
    </row>
    <row r="679" spans="15:17" ht="15.75" customHeight="1">
      <c r="O679" s="92"/>
      <c r="Q679" s="147"/>
    </row>
    <row r="680" spans="15:17" ht="15.75" customHeight="1">
      <c r="O680" s="92"/>
      <c r="Q680" s="147"/>
    </row>
    <row r="681" spans="15:17" ht="15.75" customHeight="1">
      <c r="O681" s="92"/>
      <c r="Q681" s="147"/>
    </row>
    <row r="682" spans="15:17" ht="15.75" customHeight="1">
      <c r="O682" s="92"/>
      <c r="Q682" s="147"/>
    </row>
    <row r="683" spans="15:17" ht="15.75" customHeight="1">
      <c r="O683" s="92"/>
      <c r="Q683" s="147"/>
    </row>
    <row r="684" spans="15:17" ht="15.75" customHeight="1">
      <c r="O684" s="92"/>
      <c r="Q684" s="147"/>
    </row>
    <row r="685" spans="15:17" ht="15.75" customHeight="1">
      <c r="O685" s="92"/>
      <c r="Q685" s="147"/>
    </row>
    <row r="686" spans="15:17" ht="15.75" customHeight="1">
      <c r="O686" s="92"/>
      <c r="Q686" s="147"/>
    </row>
    <row r="687" spans="15:17" ht="15.75" customHeight="1">
      <c r="O687" s="92"/>
      <c r="Q687" s="147"/>
    </row>
    <row r="688" spans="15:17" ht="15.75" customHeight="1">
      <c r="O688" s="92"/>
      <c r="Q688" s="147"/>
    </row>
    <row r="689" spans="15:17" ht="15.75" customHeight="1">
      <c r="O689" s="92"/>
      <c r="Q689" s="147"/>
    </row>
    <row r="690" spans="15:17" ht="15.75" customHeight="1">
      <c r="O690" s="92"/>
      <c r="Q690" s="147"/>
    </row>
    <row r="691" spans="15:17" ht="15.75" customHeight="1">
      <c r="O691" s="92"/>
      <c r="Q691" s="147"/>
    </row>
    <row r="692" spans="15:17" ht="15.75" customHeight="1">
      <c r="O692" s="92"/>
      <c r="Q692" s="147"/>
    </row>
    <row r="693" spans="15:17" ht="15.75" customHeight="1">
      <c r="O693" s="92"/>
      <c r="Q693" s="147"/>
    </row>
    <row r="694" spans="15:17" ht="15.75" customHeight="1">
      <c r="O694" s="92"/>
      <c r="Q694" s="147"/>
    </row>
    <row r="695" spans="15:17" ht="15.75" customHeight="1">
      <c r="O695" s="92"/>
      <c r="Q695" s="147"/>
    </row>
    <row r="696" spans="15:17" ht="15.75" customHeight="1">
      <c r="O696" s="92"/>
      <c r="Q696" s="147"/>
    </row>
    <row r="697" spans="15:17" ht="15.75" customHeight="1">
      <c r="O697" s="92"/>
      <c r="Q697" s="147"/>
    </row>
    <row r="698" spans="15:17" ht="15.75" customHeight="1">
      <c r="O698" s="92"/>
      <c r="Q698" s="147"/>
    </row>
    <row r="699" spans="15:17" ht="15.75" customHeight="1">
      <c r="O699" s="92"/>
      <c r="Q699" s="147"/>
    </row>
    <row r="700" spans="15:17" ht="15.75" customHeight="1">
      <c r="O700" s="92"/>
      <c r="Q700" s="147"/>
    </row>
    <row r="701" spans="15:17" ht="15.75" customHeight="1">
      <c r="O701" s="92"/>
      <c r="Q701" s="147"/>
    </row>
    <row r="702" spans="15:17" ht="15.75" customHeight="1">
      <c r="O702" s="92"/>
      <c r="Q702" s="147"/>
    </row>
    <row r="703" spans="15:17" ht="15.75" customHeight="1">
      <c r="O703" s="92"/>
      <c r="Q703" s="147"/>
    </row>
    <row r="704" spans="15:17" ht="15.75" customHeight="1">
      <c r="O704" s="92"/>
      <c r="Q704" s="147"/>
    </row>
    <row r="705" spans="15:17" ht="15.75" customHeight="1">
      <c r="O705" s="92"/>
      <c r="Q705" s="147"/>
    </row>
    <row r="706" spans="15:17" ht="15.75" customHeight="1">
      <c r="O706" s="92"/>
      <c r="Q706" s="147"/>
    </row>
    <row r="707" spans="15:17" ht="15.75" customHeight="1">
      <c r="O707" s="92"/>
      <c r="Q707" s="147"/>
    </row>
    <row r="708" spans="15:17" ht="15.75" customHeight="1">
      <c r="O708" s="92"/>
      <c r="Q708" s="147"/>
    </row>
    <row r="709" spans="15:17" ht="15.75" customHeight="1">
      <c r="O709" s="92"/>
      <c r="Q709" s="147"/>
    </row>
    <row r="710" spans="15:17" ht="15.75" customHeight="1">
      <c r="O710" s="92"/>
      <c r="Q710" s="147"/>
    </row>
    <row r="711" spans="15:17" ht="15.75" customHeight="1">
      <c r="O711" s="92"/>
      <c r="Q711" s="147"/>
    </row>
    <row r="712" spans="15:17" ht="15.75" customHeight="1">
      <c r="O712" s="92"/>
      <c r="Q712" s="147"/>
    </row>
    <row r="713" spans="15:17" ht="15.75" customHeight="1">
      <c r="O713" s="92"/>
      <c r="Q713" s="147"/>
    </row>
    <row r="714" spans="15:17" ht="15.75" customHeight="1">
      <c r="O714" s="92"/>
      <c r="Q714" s="147"/>
    </row>
    <row r="715" spans="15:17" ht="15.75" customHeight="1">
      <c r="O715" s="92"/>
      <c r="Q715" s="147"/>
    </row>
    <row r="716" spans="15:17" ht="15.75" customHeight="1">
      <c r="O716" s="92"/>
      <c r="Q716" s="147"/>
    </row>
    <row r="717" spans="15:17" ht="15.75" customHeight="1">
      <c r="O717" s="92"/>
      <c r="Q717" s="147"/>
    </row>
    <row r="718" spans="15:17" ht="15.75" customHeight="1">
      <c r="O718" s="92"/>
      <c r="Q718" s="147"/>
    </row>
    <row r="719" spans="15:17" ht="15.75" customHeight="1">
      <c r="O719" s="92"/>
      <c r="Q719" s="147"/>
    </row>
    <row r="720" spans="15:17" ht="15.75" customHeight="1">
      <c r="O720" s="92"/>
      <c r="Q720" s="147"/>
    </row>
    <row r="721" spans="15:17" ht="15.75" customHeight="1">
      <c r="O721" s="92"/>
      <c r="Q721" s="147"/>
    </row>
    <row r="722" spans="15:17" ht="15.75" customHeight="1">
      <c r="O722" s="92"/>
      <c r="Q722" s="147"/>
    </row>
    <row r="723" spans="15:17" ht="15.75" customHeight="1">
      <c r="O723" s="92"/>
      <c r="Q723" s="147"/>
    </row>
    <row r="724" spans="15:17" ht="15.75" customHeight="1">
      <c r="O724" s="92"/>
      <c r="Q724" s="147"/>
    </row>
    <row r="725" spans="15:17" ht="15.75" customHeight="1">
      <c r="O725" s="92"/>
      <c r="Q725" s="147"/>
    </row>
    <row r="726" spans="15:17" ht="15.75" customHeight="1">
      <c r="O726" s="92"/>
      <c r="Q726" s="147"/>
    </row>
    <row r="727" spans="15:17" ht="15.75" customHeight="1">
      <c r="O727" s="92"/>
      <c r="Q727" s="147"/>
    </row>
    <row r="728" spans="15:17" ht="15.75" customHeight="1">
      <c r="O728" s="92"/>
      <c r="Q728" s="147"/>
    </row>
    <row r="729" spans="15:17" ht="15.75" customHeight="1">
      <c r="O729" s="92"/>
      <c r="Q729" s="147"/>
    </row>
    <row r="730" spans="15:17" ht="15.75" customHeight="1">
      <c r="O730" s="92"/>
      <c r="Q730" s="147"/>
    </row>
    <row r="731" spans="15:17" ht="15.75" customHeight="1">
      <c r="O731" s="92"/>
      <c r="Q731" s="147"/>
    </row>
    <row r="732" spans="15:17" ht="15.75" customHeight="1">
      <c r="O732" s="92"/>
      <c r="Q732" s="147"/>
    </row>
    <row r="733" spans="15:17" ht="15.75" customHeight="1">
      <c r="O733" s="92"/>
      <c r="Q733" s="147"/>
    </row>
    <row r="734" spans="15:17" ht="15.75" customHeight="1">
      <c r="O734" s="92"/>
      <c r="Q734" s="147"/>
    </row>
    <row r="735" spans="15:17" ht="15.75" customHeight="1">
      <c r="O735" s="92"/>
      <c r="Q735" s="147"/>
    </row>
    <row r="736" spans="15:17" ht="15.75" customHeight="1">
      <c r="O736" s="92"/>
      <c r="Q736" s="147"/>
    </row>
    <row r="737" spans="15:17" ht="15.75" customHeight="1">
      <c r="O737" s="92"/>
      <c r="Q737" s="147"/>
    </row>
    <row r="738" spans="15:17" ht="15.75" customHeight="1">
      <c r="O738" s="92"/>
      <c r="Q738" s="147"/>
    </row>
    <row r="739" spans="15:17" ht="15.75" customHeight="1">
      <c r="O739" s="92"/>
      <c r="Q739" s="147"/>
    </row>
    <row r="740" spans="15:17" ht="15.75" customHeight="1">
      <c r="O740" s="92"/>
      <c r="Q740" s="147"/>
    </row>
    <row r="741" spans="15:17" ht="15.75" customHeight="1">
      <c r="O741" s="92"/>
      <c r="Q741" s="147"/>
    </row>
    <row r="742" spans="15:17" ht="15.75" customHeight="1">
      <c r="O742" s="92"/>
      <c r="Q742" s="147"/>
    </row>
    <row r="743" spans="15:17" ht="15.75" customHeight="1">
      <c r="O743" s="92"/>
      <c r="Q743" s="147"/>
    </row>
    <row r="744" spans="15:17" ht="15.75" customHeight="1">
      <c r="O744" s="92"/>
      <c r="Q744" s="147"/>
    </row>
    <row r="745" spans="15:17" ht="15.75" customHeight="1">
      <c r="O745" s="92"/>
      <c r="Q745" s="147"/>
    </row>
    <row r="746" spans="15:17" ht="15.75" customHeight="1">
      <c r="O746" s="92"/>
      <c r="Q746" s="147"/>
    </row>
    <row r="747" spans="15:17" ht="15.75" customHeight="1">
      <c r="O747" s="92"/>
      <c r="Q747" s="147"/>
    </row>
    <row r="748" spans="15:17" ht="15.75" customHeight="1">
      <c r="O748" s="92"/>
      <c r="Q748" s="147"/>
    </row>
    <row r="749" spans="15:17" ht="15.75" customHeight="1">
      <c r="O749" s="92"/>
      <c r="Q749" s="147"/>
    </row>
    <row r="750" spans="15:17" ht="15.75" customHeight="1">
      <c r="O750" s="92"/>
      <c r="Q750" s="147"/>
    </row>
    <row r="751" spans="15:17" ht="15.75" customHeight="1">
      <c r="O751" s="92"/>
      <c r="Q751" s="147"/>
    </row>
    <row r="752" spans="15:17" ht="15.75" customHeight="1">
      <c r="O752" s="92"/>
      <c r="Q752" s="147"/>
    </row>
    <row r="753" spans="15:17" ht="15.75" customHeight="1">
      <c r="O753" s="92"/>
      <c r="Q753" s="147"/>
    </row>
    <row r="754" spans="15:17" ht="15.75" customHeight="1">
      <c r="O754" s="92"/>
      <c r="Q754" s="147"/>
    </row>
    <row r="755" spans="15:17" ht="15.75" customHeight="1">
      <c r="O755" s="92"/>
      <c r="Q755" s="147"/>
    </row>
    <row r="756" spans="15:17" ht="15.75" customHeight="1">
      <c r="O756" s="92"/>
      <c r="Q756" s="147"/>
    </row>
    <row r="757" spans="15:17" ht="15.75" customHeight="1">
      <c r="O757" s="92"/>
      <c r="Q757" s="147"/>
    </row>
    <row r="758" spans="15:17" ht="15.75" customHeight="1">
      <c r="O758" s="92"/>
      <c r="Q758" s="147"/>
    </row>
    <row r="759" spans="15:17" ht="15.75" customHeight="1">
      <c r="O759" s="92"/>
      <c r="Q759" s="147"/>
    </row>
    <row r="760" spans="15:17" ht="15.75" customHeight="1">
      <c r="O760" s="92"/>
      <c r="Q760" s="147"/>
    </row>
    <row r="761" spans="15:17" ht="15.75" customHeight="1">
      <c r="O761" s="92"/>
      <c r="Q761" s="147"/>
    </row>
    <row r="762" spans="15:17" ht="15.75" customHeight="1">
      <c r="O762" s="92"/>
      <c r="Q762" s="147"/>
    </row>
    <row r="763" spans="15:17" ht="15.75" customHeight="1">
      <c r="O763" s="92"/>
      <c r="Q763" s="147"/>
    </row>
    <row r="764" spans="15:17" ht="15.75" customHeight="1">
      <c r="O764" s="92"/>
      <c r="Q764" s="147"/>
    </row>
    <row r="765" spans="15:17" ht="15.75" customHeight="1">
      <c r="O765" s="92"/>
      <c r="Q765" s="147"/>
    </row>
    <row r="766" spans="15:17" ht="15.75" customHeight="1">
      <c r="O766" s="92"/>
      <c r="Q766" s="147"/>
    </row>
    <row r="767" spans="15:17" ht="15.75" customHeight="1">
      <c r="O767" s="92"/>
      <c r="Q767" s="147"/>
    </row>
    <row r="768" spans="15:17" ht="15.75" customHeight="1">
      <c r="O768" s="92"/>
      <c r="Q768" s="147"/>
    </row>
    <row r="769" spans="15:17" ht="15.75" customHeight="1">
      <c r="O769" s="92"/>
      <c r="Q769" s="147"/>
    </row>
    <row r="770" spans="15:17" ht="15.75" customHeight="1">
      <c r="O770" s="92"/>
      <c r="Q770" s="147"/>
    </row>
    <row r="771" spans="15:17" ht="15.75" customHeight="1">
      <c r="O771" s="92"/>
      <c r="Q771" s="147"/>
    </row>
    <row r="772" spans="15:17" ht="15.75" customHeight="1">
      <c r="O772" s="92"/>
      <c r="Q772" s="147"/>
    </row>
    <row r="773" spans="15:17" ht="15.75" customHeight="1">
      <c r="O773" s="92"/>
      <c r="Q773" s="147"/>
    </row>
    <row r="774" spans="15:17" ht="15.75" customHeight="1">
      <c r="O774" s="92"/>
      <c r="Q774" s="147"/>
    </row>
    <row r="775" spans="15:17" ht="15.75" customHeight="1">
      <c r="O775" s="92"/>
      <c r="Q775" s="147"/>
    </row>
    <row r="776" spans="15:17" ht="15.75" customHeight="1">
      <c r="O776" s="92"/>
      <c r="Q776" s="147"/>
    </row>
    <row r="777" spans="15:17" ht="15.75" customHeight="1">
      <c r="O777" s="92"/>
      <c r="Q777" s="147"/>
    </row>
    <row r="778" spans="15:17" ht="15.75" customHeight="1">
      <c r="O778" s="92"/>
      <c r="Q778" s="147"/>
    </row>
    <row r="779" spans="15:17" ht="15.75" customHeight="1">
      <c r="O779" s="92"/>
      <c r="Q779" s="147"/>
    </row>
    <row r="780" spans="15:17" ht="15.75" customHeight="1">
      <c r="O780" s="92"/>
      <c r="Q780" s="147"/>
    </row>
    <row r="781" spans="15:17" ht="15.75" customHeight="1">
      <c r="O781" s="92"/>
      <c r="Q781" s="147"/>
    </row>
    <row r="782" spans="15:17" ht="15.75" customHeight="1">
      <c r="O782" s="92"/>
      <c r="Q782" s="147"/>
    </row>
    <row r="783" spans="15:17" ht="15.75" customHeight="1">
      <c r="O783" s="92"/>
      <c r="Q783" s="147"/>
    </row>
    <row r="784" spans="15:17" ht="15.75" customHeight="1">
      <c r="O784" s="92"/>
      <c r="Q784" s="147"/>
    </row>
    <row r="785" spans="15:17" ht="15.75" customHeight="1">
      <c r="O785" s="92"/>
      <c r="Q785" s="147"/>
    </row>
    <row r="786" spans="15:17" ht="15.75" customHeight="1">
      <c r="O786" s="92"/>
      <c r="Q786" s="147"/>
    </row>
    <row r="787" spans="15:17" ht="15.75" customHeight="1">
      <c r="O787" s="92"/>
      <c r="Q787" s="147"/>
    </row>
    <row r="788" spans="15:17" ht="15.75" customHeight="1">
      <c r="O788" s="92"/>
      <c r="Q788" s="147"/>
    </row>
    <row r="789" spans="15:17" ht="15.75" customHeight="1">
      <c r="O789" s="92"/>
      <c r="Q789" s="147"/>
    </row>
    <row r="790" spans="15:17" ht="15.75" customHeight="1">
      <c r="O790" s="92"/>
      <c r="Q790" s="147"/>
    </row>
    <row r="791" spans="15:17" ht="15.75" customHeight="1">
      <c r="O791" s="92"/>
      <c r="Q791" s="147"/>
    </row>
    <row r="792" spans="15:17" ht="15.75" customHeight="1">
      <c r="O792" s="92"/>
      <c r="Q792" s="147"/>
    </row>
    <row r="793" spans="15:17" ht="15.75" customHeight="1">
      <c r="O793" s="92"/>
      <c r="Q793" s="147"/>
    </row>
    <row r="794" spans="15:17" ht="15.75" customHeight="1">
      <c r="O794" s="92"/>
      <c r="Q794" s="147"/>
    </row>
    <row r="795" spans="15:17" ht="15.75" customHeight="1">
      <c r="O795" s="92"/>
      <c r="Q795" s="147"/>
    </row>
    <row r="796" spans="15:17" ht="15.75" customHeight="1">
      <c r="O796" s="92"/>
      <c r="Q796" s="147"/>
    </row>
    <row r="797" spans="15:17" ht="15.75" customHeight="1">
      <c r="O797" s="92"/>
      <c r="Q797" s="147"/>
    </row>
    <row r="798" spans="15:17" ht="15.75" customHeight="1">
      <c r="O798" s="92"/>
      <c r="Q798" s="147"/>
    </row>
    <row r="799" spans="15:17" ht="15.75" customHeight="1">
      <c r="O799" s="92"/>
      <c r="Q799" s="147"/>
    </row>
    <row r="800" spans="15:17" ht="15.75" customHeight="1">
      <c r="O800" s="92"/>
      <c r="Q800" s="147"/>
    </row>
    <row r="801" spans="15:17" ht="15.75" customHeight="1">
      <c r="O801" s="92"/>
      <c r="Q801" s="147"/>
    </row>
    <row r="802" spans="15:17" ht="15.75" customHeight="1">
      <c r="O802" s="92"/>
      <c r="Q802" s="147"/>
    </row>
    <row r="803" spans="15:17" ht="15.75" customHeight="1">
      <c r="O803" s="92"/>
      <c r="Q803" s="147"/>
    </row>
    <row r="804" spans="15:17" ht="15.75" customHeight="1">
      <c r="O804" s="92"/>
      <c r="Q804" s="147"/>
    </row>
    <row r="805" spans="15:17" ht="15.75" customHeight="1">
      <c r="O805" s="92"/>
      <c r="Q805" s="147"/>
    </row>
    <row r="806" spans="15:17" ht="15.75" customHeight="1">
      <c r="O806" s="92"/>
      <c r="Q806" s="147"/>
    </row>
    <row r="807" spans="15:17" ht="15.75" customHeight="1">
      <c r="O807" s="92"/>
      <c r="Q807" s="147"/>
    </row>
    <row r="808" spans="15:17" ht="15.75" customHeight="1">
      <c r="O808" s="92"/>
      <c r="Q808" s="147"/>
    </row>
    <row r="809" spans="15:17" ht="15.75" customHeight="1">
      <c r="O809" s="92"/>
      <c r="Q809" s="147"/>
    </row>
    <row r="810" spans="15:17" ht="15.75" customHeight="1">
      <c r="O810" s="92"/>
      <c r="Q810" s="147"/>
    </row>
    <row r="811" spans="15:17" ht="15.75" customHeight="1">
      <c r="O811" s="92"/>
      <c r="Q811" s="147"/>
    </row>
    <row r="812" spans="15:17" ht="15.75" customHeight="1">
      <c r="O812" s="92"/>
      <c r="Q812" s="147"/>
    </row>
    <row r="813" spans="15:17" ht="15.75" customHeight="1">
      <c r="O813" s="92"/>
      <c r="Q813" s="147"/>
    </row>
    <row r="814" spans="15:17" ht="15.75" customHeight="1">
      <c r="O814" s="92"/>
      <c r="Q814" s="147"/>
    </row>
    <row r="815" spans="15:17" ht="15.75" customHeight="1">
      <c r="O815" s="92"/>
      <c r="Q815" s="147"/>
    </row>
    <row r="816" spans="15:17" ht="15.75" customHeight="1">
      <c r="O816" s="92"/>
      <c r="Q816" s="147"/>
    </row>
    <row r="817" spans="15:17" ht="15.75" customHeight="1">
      <c r="O817" s="92"/>
      <c r="Q817" s="147"/>
    </row>
    <row r="818" spans="15:17" ht="15.75" customHeight="1">
      <c r="O818" s="92"/>
      <c r="Q818" s="147"/>
    </row>
    <row r="819" spans="15:17" ht="15.75" customHeight="1">
      <c r="O819" s="92"/>
      <c r="Q819" s="147"/>
    </row>
    <row r="820" spans="15:17" ht="15.75" customHeight="1">
      <c r="O820" s="92"/>
      <c r="Q820" s="147"/>
    </row>
    <row r="821" spans="15:17" ht="15.75" customHeight="1">
      <c r="O821" s="92"/>
      <c r="Q821" s="147"/>
    </row>
    <row r="822" spans="15:17" ht="15.75" customHeight="1">
      <c r="O822" s="92"/>
      <c r="Q822" s="147"/>
    </row>
    <row r="823" spans="15:17" ht="15.75" customHeight="1">
      <c r="O823" s="92"/>
      <c r="Q823" s="147"/>
    </row>
    <row r="824" spans="15:17" ht="15.75" customHeight="1">
      <c r="O824" s="92"/>
      <c r="Q824" s="147"/>
    </row>
    <row r="825" spans="15:17" ht="15.75" customHeight="1">
      <c r="O825" s="92"/>
      <c r="Q825" s="147"/>
    </row>
    <row r="826" spans="15:17" ht="15.75" customHeight="1">
      <c r="O826" s="92"/>
      <c r="Q826" s="147"/>
    </row>
    <row r="827" spans="15:17" ht="15.75" customHeight="1">
      <c r="O827" s="92"/>
      <c r="Q827" s="147"/>
    </row>
    <row r="828" spans="15:17" ht="15.75" customHeight="1">
      <c r="O828" s="92"/>
      <c r="Q828" s="147"/>
    </row>
    <row r="829" spans="15:17" ht="15.75" customHeight="1">
      <c r="O829" s="92"/>
      <c r="Q829" s="147"/>
    </row>
    <row r="830" spans="15:17" ht="15.75" customHeight="1">
      <c r="O830" s="92"/>
      <c r="Q830" s="147"/>
    </row>
    <row r="831" spans="15:17" ht="15.75" customHeight="1">
      <c r="O831" s="92"/>
      <c r="Q831" s="147"/>
    </row>
    <row r="832" spans="15:17" ht="15.75" customHeight="1">
      <c r="O832" s="92"/>
      <c r="Q832" s="147"/>
    </row>
    <row r="833" spans="15:17" ht="15.75" customHeight="1">
      <c r="O833" s="92"/>
      <c r="Q833" s="147"/>
    </row>
    <row r="834" spans="15:17" ht="15.75" customHeight="1">
      <c r="O834" s="92"/>
      <c r="Q834" s="147"/>
    </row>
    <row r="835" spans="15:17" ht="15.75" customHeight="1">
      <c r="O835" s="92"/>
      <c r="Q835" s="147"/>
    </row>
    <row r="836" spans="15:17" ht="15.75" customHeight="1">
      <c r="O836" s="92"/>
      <c r="Q836" s="147"/>
    </row>
    <row r="837" spans="15:17" ht="15.75" customHeight="1">
      <c r="O837" s="92"/>
      <c r="Q837" s="147"/>
    </row>
    <row r="838" spans="15:17" ht="15.75" customHeight="1">
      <c r="O838" s="92"/>
      <c r="Q838" s="147"/>
    </row>
    <row r="839" spans="15:17" ht="15.75" customHeight="1">
      <c r="O839" s="92"/>
      <c r="Q839" s="147"/>
    </row>
    <row r="840" spans="15:17" ht="15.75" customHeight="1">
      <c r="O840" s="92"/>
      <c r="Q840" s="147"/>
    </row>
    <row r="841" spans="15:17" ht="15.75" customHeight="1">
      <c r="O841" s="92"/>
      <c r="Q841" s="147"/>
    </row>
    <row r="842" spans="15:17" ht="15.75" customHeight="1">
      <c r="O842" s="92"/>
      <c r="Q842" s="147"/>
    </row>
    <row r="843" spans="15:17" ht="15.75" customHeight="1">
      <c r="O843" s="92"/>
      <c r="Q843" s="147"/>
    </row>
    <row r="844" spans="15:17" ht="15.75" customHeight="1">
      <c r="O844" s="92"/>
      <c r="Q844" s="147"/>
    </row>
    <row r="845" spans="15:17" ht="15.75" customHeight="1">
      <c r="O845" s="92"/>
      <c r="Q845" s="147"/>
    </row>
    <row r="846" spans="15:17" ht="15.75" customHeight="1">
      <c r="O846" s="92"/>
      <c r="Q846" s="147"/>
    </row>
    <row r="847" spans="15:17" ht="15.75" customHeight="1">
      <c r="O847" s="92"/>
      <c r="Q847" s="147"/>
    </row>
    <row r="848" spans="15:17" ht="15.75" customHeight="1">
      <c r="O848" s="92"/>
      <c r="Q848" s="147"/>
    </row>
    <row r="849" spans="15:17" ht="15.75" customHeight="1">
      <c r="O849" s="92"/>
      <c r="Q849" s="147"/>
    </row>
    <row r="850" spans="15:17" ht="15.75" customHeight="1">
      <c r="O850" s="92"/>
      <c r="Q850" s="147"/>
    </row>
    <row r="851" spans="15:17" ht="15.75" customHeight="1">
      <c r="O851" s="92"/>
      <c r="Q851" s="147"/>
    </row>
    <row r="852" spans="15:17" ht="15.75" customHeight="1">
      <c r="O852" s="92"/>
      <c r="Q852" s="147"/>
    </row>
    <row r="853" spans="15:17" ht="15.75" customHeight="1">
      <c r="O853" s="92"/>
      <c r="Q853" s="147"/>
    </row>
    <row r="854" spans="15:17" ht="15.75" customHeight="1">
      <c r="O854" s="92"/>
      <c r="Q854" s="147"/>
    </row>
    <row r="855" spans="15:17" ht="15.75" customHeight="1">
      <c r="O855" s="92"/>
      <c r="Q855" s="147"/>
    </row>
    <row r="856" spans="15:17" ht="15.75" customHeight="1">
      <c r="O856" s="92"/>
      <c r="Q856" s="147"/>
    </row>
    <row r="857" spans="15:17" ht="15.75" customHeight="1">
      <c r="O857" s="92"/>
      <c r="Q857" s="147"/>
    </row>
    <row r="858" spans="15:17" ht="15.75" customHeight="1">
      <c r="O858" s="92"/>
      <c r="Q858" s="147"/>
    </row>
    <row r="859" spans="15:17" ht="15.75" customHeight="1">
      <c r="O859" s="92"/>
      <c r="Q859" s="147"/>
    </row>
    <row r="860" spans="15:17" ht="15.75" customHeight="1">
      <c r="O860" s="92"/>
      <c r="Q860" s="147"/>
    </row>
    <row r="861" spans="15:17" ht="15.75" customHeight="1">
      <c r="O861" s="92"/>
      <c r="Q861" s="147"/>
    </row>
    <row r="862" spans="15:17" ht="15.75" customHeight="1">
      <c r="O862" s="92"/>
      <c r="Q862" s="147"/>
    </row>
    <row r="863" spans="15:17" ht="15.75" customHeight="1">
      <c r="O863" s="92"/>
      <c r="Q863" s="147"/>
    </row>
    <row r="864" spans="15:17" ht="15.75" customHeight="1">
      <c r="O864" s="92"/>
      <c r="Q864" s="147"/>
    </row>
    <row r="865" spans="15:17" ht="15.75" customHeight="1">
      <c r="O865" s="92"/>
      <c r="Q865" s="147"/>
    </row>
    <row r="866" spans="15:17" ht="15.75" customHeight="1">
      <c r="O866" s="92"/>
      <c r="Q866" s="147"/>
    </row>
    <row r="867" spans="15:17" ht="15.75" customHeight="1">
      <c r="O867" s="92"/>
      <c r="Q867" s="147"/>
    </row>
    <row r="868" spans="15:17" ht="15.75" customHeight="1">
      <c r="O868" s="92"/>
      <c r="Q868" s="147"/>
    </row>
    <row r="869" spans="15:17" ht="15.75" customHeight="1">
      <c r="O869" s="92"/>
      <c r="Q869" s="147"/>
    </row>
    <row r="870" spans="15:17" ht="15.75" customHeight="1">
      <c r="O870" s="92"/>
      <c r="Q870" s="147"/>
    </row>
    <row r="871" spans="15:17" ht="15.75" customHeight="1">
      <c r="O871" s="92"/>
      <c r="Q871" s="147"/>
    </row>
    <row r="872" spans="15:17" ht="15.75" customHeight="1">
      <c r="O872" s="92"/>
      <c r="Q872" s="147"/>
    </row>
    <row r="873" spans="15:17" ht="15.75" customHeight="1">
      <c r="O873" s="92"/>
      <c r="Q873" s="147"/>
    </row>
    <row r="874" spans="15:17" ht="15.75" customHeight="1">
      <c r="O874" s="92"/>
      <c r="Q874" s="147"/>
    </row>
    <row r="875" spans="15:17" ht="15.75" customHeight="1">
      <c r="O875" s="92"/>
      <c r="Q875" s="147"/>
    </row>
    <row r="876" spans="15:17" ht="15.75" customHeight="1">
      <c r="O876" s="92"/>
      <c r="Q876" s="147"/>
    </row>
    <row r="877" spans="15:17" ht="15.75" customHeight="1">
      <c r="O877" s="92"/>
      <c r="Q877" s="147"/>
    </row>
    <row r="878" spans="15:17" ht="15.75" customHeight="1">
      <c r="O878" s="92"/>
      <c r="Q878" s="147"/>
    </row>
    <row r="879" spans="15:17" ht="15.75" customHeight="1">
      <c r="O879" s="92"/>
      <c r="Q879" s="147"/>
    </row>
    <row r="880" spans="15:17" ht="15.75" customHeight="1">
      <c r="O880" s="92"/>
      <c r="Q880" s="147"/>
    </row>
    <row r="881" spans="15:17" ht="15.75" customHeight="1">
      <c r="O881" s="92"/>
      <c r="Q881" s="147"/>
    </row>
    <row r="882" spans="15:17" ht="15.75" customHeight="1">
      <c r="O882" s="92"/>
      <c r="Q882" s="147"/>
    </row>
    <row r="883" spans="15:17" ht="15.75" customHeight="1">
      <c r="O883" s="92"/>
      <c r="Q883" s="147"/>
    </row>
    <row r="884" spans="15:17" ht="15.75" customHeight="1">
      <c r="O884" s="92"/>
      <c r="Q884" s="147"/>
    </row>
    <row r="885" spans="15:17" ht="15.75" customHeight="1">
      <c r="O885" s="92"/>
      <c r="Q885" s="147"/>
    </row>
    <row r="886" spans="15:17" ht="15.75" customHeight="1">
      <c r="O886" s="92"/>
      <c r="Q886" s="147"/>
    </row>
    <row r="887" spans="15:17" ht="15.75" customHeight="1">
      <c r="O887" s="92"/>
      <c r="Q887" s="147"/>
    </row>
    <row r="888" spans="15:17" ht="15.75" customHeight="1">
      <c r="O888" s="92"/>
      <c r="Q888" s="147"/>
    </row>
    <row r="889" spans="15:17" ht="15.75" customHeight="1">
      <c r="O889" s="92"/>
      <c r="Q889" s="147"/>
    </row>
    <row r="890" spans="15:17" ht="15.75" customHeight="1">
      <c r="O890" s="92"/>
      <c r="Q890" s="147"/>
    </row>
    <row r="891" spans="15:17" ht="15.75" customHeight="1">
      <c r="O891" s="92"/>
      <c r="Q891" s="147"/>
    </row>
    <row r="892" spans="15:17" ht="15.75" customHeight="1">
      <c r="O892" s="92"/>
      <c r="Q892" s="147"/>
    </row>
    <row r="893" spans="15:17" ht="15.75" customHeight="1">
      <c r="O893" s="92"/>
      <c r="Q893" s="147"/>
    </row>
    <row r="894" spans="15:17" ht="15.75" customHeight="1">
      <c r="O894" s="92"/>
      <c r="Q894" s="147"/>
    </row>
    <row r="895" spans="15:17" ht="15.75" customHeight="1">
      <c r="O895" s="92"/>
      <c r="Q895" s="147"/>
    </row>
    <row r="896" spans="15:17" ht="15.75" customHeight="1">
      <c r="O896" s="92"/>
      <c r="Q896" s="147"/>
    </row>
    <row r="897" spans="15:17" ht="15.75" customHeight="1">
      <c r="O897" s="92"/>
      <c r="Q897" s="147"/>
    </row>
    <row r="898" spans="15:17" ht="15.75" customHeight="1">
      <c r="O898" s="92"/>
      <c r="Q898" s="147"/>
    </row>
    <row r="899" spans="15:17" ht="15.75" customHeight="1">
      <c r="O899" s="92"/>
      <c r="Q899" s="147"/>
    </row>
    <row r="900" spans="15:17" ht="15.75" customHeight="1">
      <c r="O900" s="92"/>
      <c r="Q900" s="147"/>
    </row>
    <row r="901" spans="15:17" ht="15.75" customHeight="1">
      <c r="O901" s="92"/>
      <c r="Q901" s="147"/>
    </row>
    <row r="902" spans="15:17" ht="15.75" customHeight="1">
      <c r="O902" s="92"/>
      <c r="Q902" s="147"/>
    </row>
    <row r="903" spans="15:17" ht="15.75" customHeight="1">
      <c r="O903" s="92"/>
      <c r="Q903" s="147"/>
    </row>
    <row r="904" spans="15:17" ht="15.75" customHeight="1">
      <c r="O904" s="92"/>
      <c r="Q904" s="147"/>
    </row>
    <row r="905" spans="15:17" ht="15.75" customHeight="1">
      <c r="O905" s="92"/>
      <c r="Q905" s="147"/>
    </row>
    <row r="906" spans="15:17" ht="15.75" customHeight="1">
      <c r="O906" s="92"/>
      <c r="Q906" s="147"/>
    </row>
    <row r="907" spans="15:17" ht="15.75" customHeight="1">
      <c r="O907" s="92"/>
      <c r="Q907" s="147"/>
    </row>
    <row r="908" spans="15:17" ht="15.75" customHeight="1">
      <c r="O908" s="92"/>
      <c r="Q908" s="147"/>
    </row>
    <row r="909" spans="15:17" ht="15.75" customHeight="1">
      <c r="O909" s="92"/>
      <c r="Q909" s="147"/>
    </row>
    <row r="910" spans="15:17" ht="15.75" customHeight="1">
      <c r="O910" s="92"/>
      <c r="Q910" s="147"/>
    </row>
    <row r="911" spans="15:17" ht="15.75" customHeight="1">
      <c r="O911" s="92"/>
      <c r="Q911" s="147"/>
    </row>
    <row r="912" spans="15:17" ht="15.75" customHeight="1">
      <c r="O912" s="92"/>
      <c r="Q912" s="147"/>
    </row>
    <row r="913" spans="15:17" ht="15.75" customHeight="1">
      <c r="O913" s="92"/>
      <c r="Q913" s="147"/>
    </row>
    <row r="914" spans="15:17" ht="15.75" customHeight="1">
      <c r="O914" s="92"/>
      <c r="Q914" s="147"/>
    </row>
    <row r="915" spans="15:17" ht="15.75" customHeight="1">
      <c r="O915" s="92"/>
      <c r="Q915" s="147"/>
    </row>
    <row r="916" spans="15:17" ht="15.75" customHeight="1">
      <c r="O916" s="92"/>
      <c r="Q916" s="147"/>
    </row>
    <row r="917" spans="15:17" ht="15.75" customHeight="1">
      <c r="O917" s="92"/>
      <c r="Q917" s="147"/>
    </row>
    <row r="918" spans="15:17" ht="15.75" customHeight="1">
      <c r="O918" s="92"/>
      <c r="Q918" s="147"/>
    </row>
    <row r="919" spans="15:17" ht="15.75" customHeight="1">
      <c r="O919" s="92"/>
      <c r="Q919" s="147"/>
    </row>
    <row r="920" spans="15:17" ht="15.75" customHeight="1">
      <c r="O920" s="92"/>
      <c r="Q920" s="147"/>
    </row>
    <row r="921" spans="15:17" ht="15.75" customHeight="1">
      <c r="O921" s="92"/>
      <c r="Q921" s="147"/>
    </row>
    <row r="922" spans="15:17" ht="15.75" customHeight="1">
      <c r="O922" s="92"/>
      <c r="Q922" s="147"/>
    </row>
    <row r="923" spans="15:17" ht="15.75" customHeight="1">
      <c r="O923" s="92"/>
      <c r="Q923" s="147"/>
    </row>
    <row r="924" spans="15:17" ht="15.75" customHeight="1">
      <c r="O924" s="92"/>
      <c r="Q924" s="147"/>
    </row>
    <row r="925" spans="15:17">
      <c r="Q925" s="147"/>
    </row>
    <row r="926" spans="15:17">
      <c r="Q926" s="147"/>
    </row>
    <row r="927" spans="15:17">
      <c r="Q927" s="147"/>
    </row>
    <row r="928" spans="15:17">
      <c r="Q928" s="147"/>
    </row>
    <row r="929" spans="17:17">
      <c r="Q929" s="147"/>
    </row>
    <row r="930" spans="17:17">
      <c r="Q930" s="147"/>
    </row>
    <row r="931" spans="17:17">
      <c r="Q931" s="147"/>
    </row>
    <row r="932" spans="17:17">
      <c r="Q932" s="147"/>
    </row>
    <row r="933" spans="17:17">
      <c r="Q933" s="147"/>
    </row>
    <row r="934" spans="17:17">
      <c r="Q934" s="147"/>
    </row>
    <row r="935" spans="17:17">
      <c r="Q935" s="147"/>
    </row>
    <row r="936" spans="17:17">
      <c r="Q936" s="147"/>
    </row>
    <row r="937" spans="17:17">
      <c r="Q937" s="147"/>
    </row>
    <row r="938" spans="17:17">
      <c r="Q938" s="147"/>
    </row>
    <row r="939" spans="17:17">
      <c r="Q939" s="147"/>
    </row>
    <row r="940" spans="17:17">
      <c r="Q940" s="147"/>
    </row>
    <row r="941" spans="17:17">
      <c r="Q941" s="147"/>
    </row>
    <row r="942" spans="17:17">
      <c r="Q942" s="147"/>
    </row>
    <row r="943" spans="17:17">
      <c r="Q943" s="147"/>
    </row>
    <row r="944" spans="17:17">
      <c r="Q944" s="147"/>
    </row>
    <row r="945" spans="17:17">
      <c r="Q945" s="147"/>
    </row>
    <row r="946" spans="17:17">
      <c r="Q946" s="147"/>
    </row>
    <row r="947" spans="17:17">
      <c r="Q947" s="147"/>
    </row>
    <row r="948" spans="17:17">
      <c r="Q948" s="147"/>
    </row>
    <row r="949" spans="17:17">
      <c r="Q949" s="147"/>
    </row>
    <row r="950" spans="17:17">
      <c r="Q950" s="147"/>
    </row>
    <row r="951" spans="17:17">
      <c r="Q951" s="147"/>
    </row>
    <row r="952" spans="17:17">
      <c r="Q952" s="147"/>
    </row>
    <row r="953" spans="17:17">
      <c r="Q953" s="147"/>
    </row>
    <row r="954" spans="17:17">
      <c r="Q954" s="147"/>
    </row>
    <row r="955" spans="17:17">
      <c r="Q955" s="147"/>
    </row>
    <row r="956" spans="17:17">
      <c r="Q956" s="147"/>
    </row>
    <row r="957" spans="17:17">
      <c r="Q957" s="147"/>
    </row>
    <row r="958" spans="17:17">
      <c r="Q958" s="147"/>
    </row>
    <row r="959" spans="17:17">
      <c r="Q959" s="147"/>
    </row>
    <row r="960" spans="17:17">
      <c r="Q960" s="147"/>
    </row>
    <row r="961" spans="17:17">
      <c r="Q961" s="147"/>
    </row>
    <row r="962" spans="17:17">
      <c r="Q962" s="147"/>
    </row>
    <row r="963" spans="17:17">
      <c r="Q963" s="147"/>
    </row>
    <row r="964" spans="17:17">
      <c r="Q964" s="147"/>
    </row>
    <row r="965" spans="17:17">
      <c r="Q965" s="147"/>
    </row>
    <row r="966" spans="17:17">
      <c r="Q966" s="147"/>
    </row>
    <row r="967" spans="17:17">
      <c r="Q967" s="147"/>
    </row>
    <row r="968" spans="17:17">
      <c r="Q968" s="147"/>
    </row>
    <row r="969" spans="17:17">
      <c r="Q969" s="147"/>
    </row>
    <row r="970" spans="17:17">
      <c r="Q970" s="147"/>
    </row>
    <row r="971" spans="17:17">
      <c r="Q971" s="147"/>
    </row>
    <row r="972" spans="17:17">
      <c r="Q972" s="147"/>
    </row>
    <row r="973" spans="17:17">
      <c r="Q973" s="147"/>
    </row>
    <row r="974" spans="17:17">
      <c r="Q974" s="147"/>
    </row>
    <row r="975" spans="17:17">
      <c r="Q975" s="147"/>
    </row>
    <row r="976" spans="17:17">
      <c r="Q976" s="147"/>
    </row>
    <row r="977" spans="17:17">
      <c r="Q977" s="147"/>
    </row>
    <row r="978" spans="17:17">
      <c r="Q978" s="147"/>
    </row>
    <row r="979" spans="17:17">
      <c r="Q979" s="147"/>
    </row>
    <row r="980" spans="17:17">
      <c r="Q980" s="147"/>
    </row>
    <row r="981" spans="17:17">
      <c r="Q981" s="147"/>
    </row>
  </sheetData>
  <mergeCells count="7">
    <mergeCell ref="U8:V8"/>
    <mergeCell ref="W8:X8"/>
    <mergeCell ref="A1:T1"/>
    <mergeCell ref="L8:M8"/>
    <mergeCell ref="N8:O8"/>
    <mergeCell ref="P8:Q8"/>
    <mergeCell ref="S8:T8"/>
  </mergeCells>
  <conditionalFormatting sqref="E2 E7:E8 B8:D8 F8 H8:I8 K8:W8">
    <cfRule type="notContainsBlanks" dxfId="19" priority="1">
      <formula>LEN(TRIM(E2))&gt;0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977"/>
  <sheetViews>
    <sheetView topLeftCell="A108" workbookViewId="0">
      <selection activeCell="G9" sqref="G9"/>
    </sheetView>
  </sheetViews>
  <sheetFormatPr baseColWidth="10" defaultColWidth="14.5" defaultRowHeight="15" customHeight="1"/>
  <cols>
    <col min="1" max="1" width="1.83203125" customWidth="1"/>
    <col min="2" max="2" width="11.83203125" hidden="1" customWidth="1"/>
    <col min="3" max="3" width="16" customWidth="1"/>
    <col min="4" max="4" width="16.5" customWidth="1"/>
    <col min="5" max="5" width="19.5" customWidth="1"/>
    <col min="6" max="6" width="32.1640625" customWidth="1"/>
    <col min="7" max="7" width="58.1640625" customWidth="1"/>
    <col min="8" max="8" width="10.83203125" customWidth="1"/>
    <col min="9" max="9" width="7.5" customWidth="1"/>
    <col min="10" max="10" width="12.1640625" customWidth="1"/>
    <col min="11" max="11" width="11.5" customWidth="1"/>
    <col min="12" max="12" width="7" customWidth="1"/>
    <col min="13" max="13" width="12.5" customWidth="1"/>
    <col min="14" max="14" width="5.33203125" customWidth="1"/>
    <col min="15" max="15" width="4.6640625" customWidth="1"/>
    <col min="16" max="16" width="5.5" customWidth="1"/>
    <col min="17" max="17" width="22.33203125" customWidth="1"/>
    <col min="18" max="18" width="24.33203125" customWidth="1"/>
    <col min="19" max="19" width="5.83203125" customWidth="1"/>
    <col min="20" max="20" width="32.33203125" customWidth="1"/>
  </cols>
  <sheetData>
    <row r="1" spans="1:24" ht="75.75" customHeight="1">
      <c r="A1" s="534"/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28"/>
      <c r="U1" s="1"/>
    </row>
    <row r="2" spans="1:24" ht="16">
      <c r="A2" s="1"/>
      <c r="B2" s="3"/>
      <c r="C2" s="93" t="s">
        <v>1</v>
      </c>
      <c r="D2" s="14">
        <v>550000</v>
      </c>
      <c r="E2" s="6">
        <f>D3/D2</f>
        <v>1.0059127272727273</v>
      </c>
      <c r="F2" s="168">
        <v>45474</v>
      </c>
      <c r="G2" s="7">
        <v>45322</v>
      </c>
      <c r="H2" s="1"/>
      <c r="I2" s="1"/>
      <c r="J2" s="8"/>
      <c r="K2" s="8"/>
      <c r="L2" s="1"/>
      <c r="M2" s="1"/>
      <c r="N2" s="9"/>
      <c r="O2" s="10"/>
      <c r="P2" s="1"/>
      <c r="Q2" s="126"/>
      <c r="R2" s="1"/>
      <c r="S2" s="1"/>
      <c r="T2" s="1"/>
      <c r="U2" s="1"/>
    </row>
    <row r="3" spans="1:24" ht="16">
      <c r="A3" s="1"/>
      <c r="B3" s="11"/>
      <c r="C3" s="94" t="s">
        <v>2</v>
      </c>
      <c r="D3" s="14">
        <f>SUM(K10:K133)</f>
        <v>553252</v>
      </c>
      <c r="E3" s="14" t="s">
        <v>3</v>
      </c>
      <c r="F3" s="14" t="s">
        <v>3</v>
      </c>
      <c r="G3" s="7">
        <v>45323</v>
      </c>
      <c r="H3" s="1"/>
      <c r="I3" s="1"/>
      <c r="J3" s="8"/>
      <c r="K3" s="8"/>
      <c r="L3" s="1"/>
      <c r="M3" s="1"/>
      <c r="N3" s="9"/>
      <c r="O3" s="10"/>
      <c r="P3" s="1"/>
      <c r="Q3" s="126"/>
      <c r="R3" s="1"/>
      <c r="S3" s="1"/>
      <c r="T3" s="1"/>
      <c r="U3" s="1"/>
    </row>
    <row r="4" spans="1:24" ht="16">
      <c r="A4" s="1"/>
      <c r="B4" s="1"/>
      <c r="C4" s="95" t="s">
        <v>4</v>
      </c>
      <c r="D4" s="17">
        <f ca="1">(D5-TODAY())</f>
        <v>-522</v>
      </c>
      <c r="E4" s="17" t="s">
        <v>5</v>
      </c>
      <c r="F4" s="90"/>
      <c r="G4" s="1"/>
      <c r="H4" s="1"/>
      <c r="I4" s="1"/>
      <c r="J4" s="8"/>
      <c r="K4" s="8"/>
      <c r="L4" s="1"/>
      <c r="M4" s="1"/>
      <c r="N4" s="9"/>
      <c r="O4" s="10"/>
      <c r="P4" s="1"/>
      <c r="Q4" s="126"/>
      <c r="R4" s="1"/>
      <c r="S4" s="1"/>
      <c r="T4" s="1"/>
      <c r="U4" s="1"/>
    </row>
    <row r="5" spans="1:24" ht="16">
      <c r="A5" s="1"/>
      <c r="B5" s="1"/>
      <c r="C5" s="96" t="s">
        <v>6</v>
      </c>
      <c r="D5" s="97">
        <v>45504</v>
      </c>
      <c r="E5" s="21"/>
      <c r="F5" s="1"/>
      <c r="G5" s="18"/>
      <c r="H5" s="1"/>
      <c r="I5" s="1"/>
      <c r="J5" s="8"/>
      <c r="K5" s="8"/>
      <c r="L5" s="1"/>
      <c r="M5" s="1"/>
      <c r="N5" s="9"/>
      <c r="O5" s="10"/>
      <c r="P5" s="1"/>
      <c r="Q5" s="126"/>
      <c r="R5" s="1"/>
      <c r="S5" s="1"/>
      <c r="T5" s="1"/>
      <c r="U5" s="1"/>
    </row>
    <row r="6" spans="1:24" ht="22">
      <c r="A6" s="1"/>
      <c r="B6" s="22" t="s">
        <v>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  <c r="P6" s="23"/>
      <c r="Q6" s="127"/>
      <c r="R6" s="26"/>
      <c r="S6" s="26"/>
      <c r="T6" s="27"/>
      <c r="U6" s="1"/>
    </row>
    <row r="7" spans="1:24" ht="16">
      <c r="A7" s="1"/>
      <c r="B7" s="28"/>
      <c r="C7" s="169"/>
      <c r="D7" s="170"/>
      <c r="E7" s="31"/>
      <c r="F7" s="1"/>
      <c r="G7" s="18"/>
      <c r="H7" s="1"/>
      <c r="I7" s="1"/>
      <c r="J7" s="8"/>
      <c r="K7" s="8"/>
      <c r="L7" s="1"/>
      <c r="M7" s="1"/>
      <c r="N7" s="9"/>
      <c r="O7" s="10"/>
      <c r="P7" s="1"/>
      <c r="Q7" s="126"/>
      <c r="R7" s="1"/>
      <c r="S7" s="1"/>
      <c r="T7" s="1"/>
      <c r="U7" s="1"/>
    </row>
    <row r="8" spans="1:24" ht="25.5" customHeight="1">
      <c r="A8" s="1"/>
      <c r="B8" s="32"/>
      <c r="C8" s="31"/>
      <c r="D8" s="33"/>
      <c r="E8" s="31" t="s">
        <v>9</v>
      </c>
      <c r="F8" s="1"/>
      <c r="G8" s="18"/>
      <c r="H8" s="31"/>
      <c r="I8" s="31"/>
      <c r="J8" s="34"/>
      <c r="K8" s="31"/>
      <c r="L8" s="531" t="s">
        <v>10</v>
      </c>
      <c r="M8" s="528"/>
      <c r="N8" s="532" t="s">
        <v>11</v>
      </c>
      <c r="O8" s="528"/>
      <c r="P8" s="533" t="s">
        <v>12</v>
      </c>
      <c r="Q8" s="528"/>
      <c r="R8" s="35" t="s">
        <v>13</v>
      </c>
      <c r="S8" s="527" t="s">
        <v>14</v>
      </c>
      <c r="T8" s="528"/>
      <c r="U8" s="527" t="s">
        <v>15</v>
      </c>
      <c r="V8" s="528"/>
      <c r="W8" s="527" t="s">
        <v>16</v>
      </c>
      <c r="X8" s="528"/>
    </row>
    <row r="9" spans="1:24" ht="15.75" customHeight="1">
      <c r="A9" s="98"/>
      <c r="B9" s="99"/>
      <c r="C9" s="38" t="s">
        <v>18</v>
      </c>
      <c r="D9" s="38" t="s">
        <v>19</v>
      </c>
      <c r="E9" s="38" t="s">
        <v>20</v>
      </c>
      <c r="F9" s="38" t="s">
        <v>21</v>
      </c>
      <c r="G9" s="38" t="s">
        <v>2018</v>
      </c>
      <c r="H9" s="38" t="s">
        <v>22</v>
      </c>
      <c r="I9" s="38"/>
      <c r="J9" s="40"/>
      <c r="K9" s="41" t="s">
        <v>23</v>
      </c>
      <c r="L9" s="42"/>
      <c r="M9" s="43"/>
      <c r="N9" s="43"/>
      <c r="O9" s="44"/>
      <c r="P9" s="45"/>
      <c r="Q9" s="128"/>
      <c r="R9" s="46"/>
      <c r="S9" s="47"/>
      <c r="T9" s="48"/>
      <c r="U9" s="100" t="s">
        <v>24</v>
      </c>
      <c r="V9" s="100" t="s">
        <v>25</v>
      </c>
      <c r="W9" s="49"/>
      <c r="X9" s="49"/>
    </row>
    <row r="10" spans="1:24" ht="15.75" customHeight="1">
      <c r="A10" s="1"/>
      <c r="B10" s="32"/>
      <c r="C10" s="82">
        <v>45474</v>
      </c>
      <c r="D10" s="53" t="s">
        <v>51</v>
      </c>
      <c r="E10" s="53" t="s">
        <v>201</v>
      </c>
      <c r="F10" s="53" t="s">
        <v>1576</v>
      </c>
      <c r="G10" s="53" t="s">
        <v>1577</v>
      </c>
      <c r="H10" s="53" t="s">
        <v>30</v>
      </c>
      <c r="I10" s="53">
        <v>1</v>
      </c>
      <c r="J10" s="54">
        <v>8125</v>
      </c>
      <c r="K10" s="54">
        <f t="shared" ref="K10:K24" si="0">I10*J10</f>
        <v>8125</v>
      </c>
      <c r="L10" s="55" t="b">
        <v>1</v>
      </c>
      <c r="M10" s="56">
        <v>10720241330</v>
      </c>
      <c r="N10" s="57" t="b">
        <v>1</v>
      </c>
      <c r="O10" s="58"/>
      <c r="P10" s="59" t="b">
        <v>1</v>
      </c>
      <c r="Q10" s="129"/>
      <c r="R10" s="60"/>
      <c r="S10" s="47" t="b">
        <v>1</v>
      </c>
      <c r="T10" s="61" t="s">
        <v>1578</v>
      </c>
      <c r="U10" s="54"/>
      <c r="V10" s="54"/>
      <c r="W10" s="49"/>
      <c r="X10" s="49"/>
    </row>
    <row r="11" spans="1:24" ht="15.75" customHeight="1">
      <c r="A11" s="1"/>
      <c r="B11" s="32"/>
      <c r="C11" s="82">
        <v>45474</v>
      </c>
      <c r="D11" s="53" t="s">
        <v>51</v>
      </c>
      <c r="E11" s="53" t="s">
        <v>201</v>
      </c>
      <c r="F11" s="53" t="s">
        <v>1576</v>
      </c>
      <c r="G11" s="53" t="s">
        <v>1577</v>
      </c>
      <c r="H11" s="53" t="s">
        <v>30</v>
      </c>
      <c r="I11" s="53">
        <v>1</v>
      </c>
      <c r="J11" s="54">
        <v>5200</v>
      </c>
      <c r="K11" s="54">
        <f t="shared" si="0"/>
        <v>5200</v>
      </c>
      <c r="L11" s="55" t="b">
        <v>1</v>
      </c>
      <c r="M11" s="56">
        <v>10720241330</v>
      </c>
      <c r="N11" s="57" t="b">
        <v>1</v>
      </c>
      <c r="O11" s="58"/>
      <c r="P11" s="59" t="b">
        <v>1</v>
      </c>
      <c r="Q11" s="129"/>
      <c r="R11" s="60"/>
      <c r="S11" s="47" t="b">
        <v>1</v>
      </c>
      <c r="T11" s="61" t="s">
        <v>1579</v>
      </c>
      <c r="U11" s="54"/>
      <c r="V11" s="54"/>
      <c r="W11" s="49"/>
      <c r="X11" s="49"/>
    </row>
    <row r="12" spans="1:24" ht="15.75" customHeight="1">
      <c r="A12" s="1"/>
      <c r="B12" s="32"/>
      <c r="C12" s="82">
        <v>45474</v>
      </c>
      <c r="D12" s="53" t="s">
        <v>51</v>
      </c>
      <c r="E12" s="53" t="s">
        <v>201</v>
      </c>
      <c r="F12" s="53" t="s">
        <v>1576</v>
      </c>
      <c r="G12" s="53" t="s">
        <v>1577</v>
      </c>
      <c r="H12" s="53" t="s">
        <v>30</v>
      </c>
      <c r="I12" s="53">
        <v>1</v>
      </c>
      <c r="J12" s="54">
        <v>5050</v>
      </c>
      <c r="K12" s="54">
        <f t="shared" si="0"/>
        <v>5050</v>
      </c>
      <c r="L12" s="55" t="b">
        <v>1</v>
      </c>
      <c r="M12" s="56">
        <v>10720241330</v>
      </c>
      <c r="N12" s="57" t="b">
        <v>1</v>
      </c>
      <c r="O12" s="58"/>
      <c r="P12" s="59" t="b">
        <v>1</v>
      </c>
      <c r="Q12" s="129"/>
      <c r="R12" s="60"/>
      <c r="S12" s="47" t="b">
        <v>1</v>
      </c>
      <c r="T12" s="61" t="s">
        <v>1580</v>
      </c>
      <c r="U12" s="54"/>
      <c r="V12" s="54"/>
      <c r="W12" s="49"/>
      <c r="X12" s="49"/>
    </row>
    <row r="13" spans="1:24" ht="15.75" customHeight="1">
      <c r="A13" s="1"/>
      <c r="B13" s="32"/>
      <c r="C13" s="82">
        <v>45474</v>
      </c>
      <c r="D13" s="53" t="s">
        <v>51</v>
      </c>
      <c r="E13" s="53" t="s">
        <v>335</v>
      </c>
      <c r="F13" s="53" t="s">
        <v>457</v>
      </c>
      <c r="G13" s="53" t="s">
        <v>147</v>
      </c>
      <c r="H13" s="53" t="s">
        <v>30</v>
      </c>
      <c r="I13" s="53">
        <v>1</v>
      </c>
      <c r="J13" s="54">
        <v>775</v>
      </c>
      <c r="K13" s="54">
        <f t="shared" si="0"/>
        <v>775</v>
      </c>
      <c r="L13" s="55" t="b">
        <v>1</v>
      </c>
      <c r="M13" s="56">
        <v>10720241447</v>
      </c>
      <c r="N13" s="57" t="b">
        <v>1</v>
      </c>
      <c r="O13" s="58" t="s">
        <v>1581</v>
      </c>
      <c r="P13" s="59" t="b">
        <v>1</v>
      </c>
      <c r="Q13" s="129"/>
      <c r="R13" s="60"/>
      <c r="S13" s="47" t="b">
        <v>1</v>
      </c>
      <c r="T13" s="61" t="s">
        <v>1582</v>
      </c>
      <c r="U13" s="54">
        <f>1000*0.445</f>
        <v>445</v>
      </c>
      <c r="V13" s="54"/>
      <c r="W13" s="49"/>
      <c r="X13" s="49"/>
    </row>
    <row r="14" spans="1:24" ht="15.75" customHeight="1">
      <c r="A14" s="1"/>
      <c r="B14" s="32"/>
      <c r="C14" s="52">
        <v>45474</v>
      </c>
      <c r="D14" s="53" t="s">
        <v>51</v>
      </c>
      <c r="E14" s="53" t="s">
        <v>335</v>
      </c>
      <c r="F14" s="53" t="s">
        <v>457</v>
      </c>
      <c r="G14" s="53" t="s">
        <v>877</v>
      </c>
      <c r="H14" s="53" t="s">
        <v>30</v>
      </c>
      <c r="I14" s="53">
        <v>3</v>
      </c>
      <c r="J14" s="54">
        <v>825</v>
      </c>
      <c r="K14" s="54">
        <f t="shared" si="0"/>
        <v>2475</v>
      </c>
      <c r="L14" s="55" t="b">
        <v>1</v>
      </c>
      <c r="M14" s="56">
        <v>10720241447</v>
      </c>
      <c r="N14" s="57" t="b">
        <v>1</v>
      </c>
      <c r="O14" s="58" t="s">
        <v>1581</v>
      </c>
      <c r="P14" s="59" t="b">
        <v>1</v>
      </c>
      <c r="Q14" s="129"/>
      <c r="R14" s="60"/>
      <c r="S14" s="47" t="b">
        <v>1</v>
      </c>
      <c r="T14" s="61" t="s">
        <v>1582</v>
      </c>
      <c r="U14" s="54">
        <f>3000*0.525</f>
        <v>1575</v>
      </c>
      <c r="V14" s="54"/>
      <c r="W14" s="49"/>
      <c r="X14" s="49"/>
    </row>
    <row r="15" spans="1:24" ht="15.75" customHeight="1">
      <c r="A15" s="1"/>
      <c r="B15" s="32"/>
      <c r="C15" s="52">
        <v>45474</v>
      </c>
      <c r="D15" s="53" t="s">
        <v>194</v>
      </c>
      <c r="E15" s="53" t="s">
        <v>137</v>
      </c>
      <c r="F15" s="53" t="s">
        <v>1104</v>
      </c>
      <c r="G15" s="53" t="s">
        <v>1583</v>
      </c>
      <c r="H15" s="53" t="s">
        <v>30</v>
      </c>
      <c r="I15" s="53">
        <v>20</v>
      </c>
      <c r="J15" s="54">
        <v>300</v>
      </c>
      <c r="K15" s="54">
        <f t="shared" si="0"/>
        <v>6000</v>
      </c>
      <c r="L15" s="55" t="b">
        <v>1</v>
      </c>
      <c r="M15" s="56">
        <v>10720241454</v>
      </c>
      <c r="N15" s="57" t="b">
        <v>1</v>
      </c>
      <c r="O15" s="58" t="s">
        <v>31</v>
      </c>
      <c r="P15" s="59" t="b">
        <v>1</v>
      </c>
      <c r="Q15" s="129"/>
      <c r="R15" s="60"/>
      <c r="S15" s="47" t="b">
        <v>1</v>
      </c>
      <c r="T15" s="61" t="s">
        <v>1584</v>
      </c>
      <c r="U15" s="54">
        <f>20*145</f>
        <v>2900</v>
      </c>
      <c r="V15" s="54"/>
      <c r="W15" s="49"/>
      <c r="X15" s="49"/>
    </row>
    <row r="16" spans="1:24" ht="15.75" customHeight="1">
      <c r="A16" s="1"/>
      <c r="B16" s="32"/>
      <c r="C16" s="52">
        <v>45474</v>
      </c>
      <c r="D16" s="53" t="s">
        <v>194</v>
      </c>
      <c r="E16" s="53" t="s">
        <v>137</v>
      </c>
      <c r="F16" s="53" t="s">
        <v>1104</v>
      </c>
      <c r="G16" s="74" t="s">
        <v>1181</v>
      </c>
      <c r="H16" s="74" t="s">
        <v>30</v>
      </c>
      <c r="I16" s="74">
        <v>5</v>
      </c>
      <c r="J16" s="73">
        <v>125</v>
      </c>
      <c r="K16" s="54">
        <f t="shared" si="0"/>
        <v>625</v>
      </c>
      <c r="L16" s="55" t="b">
        <v>1</v>
      </c>
      <c r="M16" s="56">
        <v>10720241454</v>
      </c>
      <c r="N16" s="57" t="b">
        <v>1</v>
      </c>
      <c r="O16" s="58" t="s">
        <v>31</v>
      </c>
      <c r="P16" s="59" t="b">
        <v>1</v>
      </c>
      <c r="Q16" s="129"/>
      <c r="R16" s="60"/>
      <c r="S16" s="47" t="b">
        <v>1</v>
      </c>
      <c r="T16" s="61" t="s">
        <v>1584</v>
      </c>
      <c r="U16" s="54">
        <f>5*75</f>
        <v>375</v>
      </c>
      <c r="V16" s="54"/>
      <c r="W16" s="49"/>
      <c r="X16" s="49"/>
    </row>
    <row r="17" spans="1:24" ht="15.75" customHeight="1">
      <c r="A17" s="1"/>
      <c r="B17" s="32"/>
      <c r="C17" s="52">
        <v>45474</v>
      </c>
      <c r="D17" s="53" t="s">
        <v>194</v>
      </c>
      <c r="E17" s="53" t="s">
        <v>137</v>
      </c>
      <c r="F17" s="53" t="s">
        <v>1104</v>
      </c>
      <c r="G17" s="53" t="s">
        <v>278</v>
      </c>
      <c r="H17" s="67" t="s">
        <v>30</v>
      </c>
      <c r="I17" s="67">
        <v>10</v>
      </c>
      <c r="J17" s="68">
        <v>165</v>
      </c>
      <c r="K17" s="54">
        <f t="shared" si="0"/>
        <v>1650</v>
      </c>
      <c r="L17" s="55" t="b">
        <v>1</v>
      </c>
      <c r="M17" s="56">
        <v>10720241454</v>
      </c>
      <c r="N17" s="57" t="b">
        <v>1</v>
      </c>
      <c r="O17" s="58"/>
      <c r="P17" s="59" t="b">
        <v>1</v>
      </c>
      <c r="Q17" s="171"/>
      <c r="R17" s="60"/>
      <c r="S17" s="47" t="b">
        <v>1</v>
      </c>
      <c r="T17" s="61" t="s">
        <v>1585</v>
      </c>
      <c r="U17" s="54">
        <f>10*60</f>
        <v>600</v>
      </c>
      <c r="V17" s="54"/>
      <c r="W17" s="49"/>
      <c r="X17" s="49"/>
    </row>
    <row r="18" spans="1:24" ht="15.75" customHeight="1">
      <c r="A18" s="1"/>
      <c r="B18" s="32"/>
      <c r="C18" s="82">
        <v>45474</v>
      </c>
      <c r="D18" s="66" t="s">
        <v>194</v>
      </c>
      <c r="E18" s="67" t="s">
        <v>137</v>
      </c>
      <c r="F18" s="67" t="s">
        <v>1104</v>
      </c>
      <c r="G18" s="67" t="s">
        <v>1586</v>
      </c>
      <c r="H18" s="69" t="s">
        <v>30</v>
      </c>
      <c r="I18" s="69">
        <v>48</v>
      </c>
      <c r="J18" s="70">
        <v>53</v>
      </c>
      <c r="K18" s="54">
        <f t="shared" si="0"/>
        <v>2544</v>
      </c>
      <c r="L18" s="55" t="b">
        <v>1</v>
      </c>
      <c r="M18" s="56">
        <v>10720241454</v>
      </c>
      <c r="N18" s="57" t="b">
        <v>1</v>
      </c>
      <c r="O18" s="58" t="s">
        <v>31</v>
      </c>
      <c r="P18" s="59" t="b">
        <v>1</v>
      </c>
      <c r="Q18" s="129"/>
      <c r="R18" s="60"/>
      <c r="S18" s="47" t="b">
        <v>1</v>
      </c>
      <c r="T18" s="61" t="s">
        <v>1587</v>
      </c>
      <c r="U18" s="54">
        <f>48*35</f>
        <v>1680</v>
      </c>
      <c r="V18" s="54"/>
      <c r="W18" s="49"/>
      <c r="X18" s="49"/>
    </row>
    <row r="19" spans="1:24" ht="15.75" customHeight="1">
      <c r="A19" s="1"/>
      <c r="B19" s="32"/>
      <c r="C19" s="82">
        <v>45474</v>
      </c>
      <c r="D19" s="66" t="s">
        <v>104</v>
      </c>
      <c r="E19" s="67" t="s">
        <v>620</v>
      </c>
      <c r="F19" s="67" t="s">
        <v>621</v>
      </c>
      <c r="G19" s="67" t="s">
        <v>467</v>
      </c>
      <c r="H19" s="69" t="s">
        <v>30</v>
      </c>
      <c r="I19" s="69">
        <v>10</v>
      </c>
      <c r="J19" s="70">
        <v>650</v>
      </c>
      <c r="K19" s="54">
        <f t="shared" si="0"/>
        <v>6500</v>
      </c>
      <c r="L19" s="55" t="b">
        <v>1</v>
      </c>
      <c r="M19" s="56">
        <v>10720241526</v>
      </c>
      <c r="N19" s="57" t="b">
        <v>1</v>
      </c>
      <c r="O19" s="58"/>
      <c r="P19" s="59" t="b">
        <v>1</v>
      </c>
      <c r="Q19" s="129"/>
      <c r="R19" s="60"/>
      <c r="S19" s="47" t="b">
        <v>1</v>
      </c>
      <c r="T19" s="61" t="s">
        <v>1588</v>
      </c>
      <c r="U19" s="54">
        <f>10*455</f>
        <v>4550</v>
      </c>
      <c r="V19" s="54"/>
      <c r="W19" s="49"/>
      <c r="X19" s="49"/>
    </row>
    <row r="20" spans="1:24" ht="15.75" customHeight="1">
      <c r="A20" s="1"/>
      <c r="B20" s="32"/>
      <c r="C20" s="82">
        <v>45474</v>
      </c>
      <c r="D20" s="66" t="s">
        <v>104</v>
      </c>
      <c r="E20" s="67" t="s">
        <v>620</v>
      </c>
      <c r="F20" s="67" t="s">
        <v>621</v>
      </c>
      <c r="G20" s="53" t="s">
        <v>278</v>
      </c>
      <c r="H20" s="53" t="s">
        <v>30</v>
      </c>
      <c r="I20" s="53">
        <v>20</v>
      </c>
      <c r="J20" s="54">
        <v>165</v>
      </c>
      <c r="K20" s="54">
        <f t="shared" si="0"/>
        <v>3300</v>
      </c>
      <c r="L20" s="55" t="b">
        <v>1</v>
      </c>
      <c r="M20" s="56">
        <v>10720241526</v>
      </c>
      <c r="N20" s="57" t="b">
        <v>1</v>
      </c>
      <c r="O20" s="58"/>
      <c r="P20" s="59" t="b">
        <v>1</v>
      </c>
      <c r="Q20" s="129"/>
      <c r="R20" s="60"/>
      <c r="S20" s="47" t="b">
        <v>1</v>
      </c>
      <c r="T20" s="61" t="s">
        <v>1588</v>
      </c>
      <c r="U20" s="54">
        <f t="shared" ref="U20:U21" si="1">60*20</f>
        <v>1200</v>
      </c>
      <c r="V20" s="54"/>
      <c r="W20" s="49"/>
      <c r="X20" s="49"/>
    </row>
    <row r="21" spans="1:24" ht="15.75" customHeight="1">
      <c r="A21" s="1"/>
      <c r="B21" s="32"/>
      <c r="C21" s="82">
        <v>45474</v>
      </c>
      <c r="D21" s="66" t="s">
        <v>104</v>
      </c>
      <c r="E21" s="67" t="s">
        <v>620</v>
      </c>
      <c r="F21" s="67" t="s">
        <v>621</v>
      </c>
      <c r="G21" s="53" t="s">
        <v>277</v>
      </c>
      <c r="H21" s="53" t="s">
        <v>30</v>
      </c>
      <c r="I21" s="53">
        <v>20</v>
      </c>
      <c r="J21" s="54">
        <v>165</v>
      </c>
      <c r="K21" s="54">
        <f t="shared" si="0"/>
        <v>3300</v>
      </c>
      <c r="L21" s="55" t="b">
        <v>1</v>
      </c>
      <c r="M21" s="56">
        <v>10720241526</v>
      </c>
      <c r="N21" s="57" t="b">
        <v>1</v>
      </c>
      <c r="O21" s="58"/>
      <c r="P21" s="59" t="b">
        <v>1</v>
      </c>
      <c r="Q21" s="129"/>
      <c r="R21" s="60"/>
      <c r="S21" s="47" t="b">
        <v>1</v>
      </c>
      <c r="T21" s="61" t="s">
        <v>1588</v>
      </c>
      <c r="U21" s="54">
        <f t="shared" si="1"/>
        <v>1200</v>
      </c>
      <c r="V21" s="54"/>
      <c r="W21" s="49"/>
      <c r="X21" s="49"/>
    </row>
    <row r="22" spans="1:24" ht="15.75" customHeight="1">
      <c r="A22" s="1"/>
      <c r="B22" s="32"/>
      <c r="C22" s="82">
        <v>45475</v>
      </c>
      <c r="D22" s="66" t="s">
        <v>104</v>
      </c>
      <c r="E22" s="67" t="s">
        <v>61</v>
      </c>
      <c r="F22" s="67" t="s">
        <v>181</v>
      </c>
      <c r="G22" s="53" t="s">
        <v>1084</v>
      </c>
      <c r="H22" s="53" t="s">
        <v>30</v>
      </c>
      <c r="I22" s="53">
        <v>100</v>
      </c>
      <c r="J22" s="54">
        <v>30</v>
      </c>
      <c r="K22" s="54">
        <f t="shared" si="0"/>
        <v>3000</v>
      </c>
      <c r="L22" s="55" t="b">
        <v>1</v>
      </c>
      <c r="M22" s="56">
        <v>10720240909</v>
      </c>
      <c r="N22" s="57" t="b">
        <v>1</v>
      </c>
      <c r="O22" s="58" t="s">
        <v>1581</v>
      </c>
      <c r="P22" s="59" t="b">
        <v>1</v>
      </c>
      <c r="Q22" s="129"/>
      <c r="R22" s="60"/>
      <c r="S22" s="47" t="b">
        <v>1</v>
      </c>
      <c r="T22" s="61" t="s">
        <v>1589</v>
      </c>
      <c r="U22" s="54">
        <f>100*8</f>
        <v>800</v>
      </c>
      <c r="V22" s="54"/>
      <c r="W22" s="49"/>
      <c r="X22" s="49"/>
    </row>
    <row r="23" spans="1:24" ht="15.75" customHeight="1">
      <c r="A23" s="1"/>
      <c r="B23" s="32"/>
      <c r="C23" s="82">
        <v>45475</v>
      </c>
      <c r="D23" s="53" t="s">
        <v>26</v>
      </c>
      <c r="E23" s="53" t="s">
        <v>27</v>
      </c>
      <c r="F23" s="53" t="s">
        <v>1590</v>
      </c>
      <c r="G23" s="69" t="s">
        <v>1475</v>
      </c>
      <c r="H23" s="53" t="s">
        <v>30</v>
      </c>
      <c r="I23" s="53">
        <v>5</v>
      </c>
      <c r="J23" s="54">
        <v>1350</v>
      </c>
      <c r="K23" s="54">
        <f t="shared" si="0"/>
        <v>6750</v>
      </c>
      <c r="L23" s="55" t="b">
        <v>1</v>
      </c>
      <c r="M23" s="56">
        <v>20720240941</v>
      </c>
      <c r="N23" s="57" t="b">
        <v>1</v>
      </c>
      <c r="O23" s="58"/>
      <c r="P23" s="59" t="b">
        <v>1</v>
      </c>
      <c r="Q23" s="171"/>
      <c r="R23" s="60"/>
      <c r="S23" s="47" t="b">
        <v>1</v>
      </c>
      <c r="T23" s="61" t="s">
        <v>1591</v>
      </c>
      <c r="U23" s="54">
        <f>5*938</f>
        <v>4690</v>
      </c>
      <c r="V23" s="54"/>
      <c r="W23" s="49"/>
      <c r="X23" s="49"/>
    </row>
    <row r="24" spans="1:24" ht="15.75" customHeight="1">
      <c r="A24" s="1"/>
      <c r="B24" s="32"/>
      <c r="C24" s="82">
        <v>45475</v>
      </c>
      <c r="D24" s="53" t="s">
        <v>26</v>
      </c>
      <c r="E24" s="53" t="s">
        <v>27</v>
      </c>
      <c r="F24" s="53" t="s">
        <v>1590</v>
      </c>
      <c r="G24" s="69" t="s">
        <v>1535</v>
      </c>
      <c r="H24" s="53" t="s">
        <v>30</v>
      </c>
      <c r="I24" s="53">
        <v>5</v>
      </c>
      <c r="J24" s="54">
        <v>1200</v>
      </c>
      <c r="K24" s="54">
        <f t="shared" si="0"/>
        <v>6000</v>
      </c>
      <c r="L24" s="55" t="b">
        <v>1</v>
      </c>
      <c r="M24" s="56">
        <v>20720240941</v>
      </c>
      <c r="N24" s="57" t="b">
        <v>1</v>
      </c>
      <c r="O24" s="58"/>
      <c r="P24" s="59" t="b">
        <v>1</v>
      </c>
      <c r="Q24" s="129"/>
      <c r="R24" s="60"/>
      <c r="S24" s="47" t="b">
        <v>1</v>
      </c>
      <c r="T24" s="61" t="s">
        <v>1591</v>
      </c>
      <c r="U24" s="54">
        <f>10*735</f>
        <v>7350</v>
      </c>
      <c r="V24" s="54"/>
      <c r="W24" s="49"/>
      <c r="X24" s="49"/>
    </row>
    <row r="25" spans="1:24" ht="15.75" customHeight="1">
      <c r="A25" s="1"/>
      <c r="B25" s="32"/>
      <c r="C25" s="82">
        <v>45475</v>
      </c>
      <c r="D25" s="53" t="s">
        <v>26</v>
      </c>
      <c r="E25" s="53" t="s">
        <v>27</v>
      </c>
      <c r="F25" s="53" t="s">
        <v>1590</v>
      </c>
      <c r="G25" s="69" t="s">
        <v>1535</v>
      </c>
      <c r="H25" s="53" t="s">
        <v>30</v>
      </c>
      <c r="I25" s="53">
        <v>5</v>
      </c>
      <c r="J25" s="54">
        <v>1200</v>
      </c>
      <c r="K25" s="54">
        <f>J25*I25</f>
        <v>6000</v>
      </c>
      <c r="L25" s="55" t="b">
        <v>1</v>
      </c>
      <c r="M25" s="56">
        <v>20720240941</v>
      </c>
      <c r="N25" s="57" t="b">
        <v>1</v>
      </c>
      <c r="O25" s="58"/>
      <c r="P25" s="59" t="b">
        <v>1</v>
      </c>
      <c r="Q25" s="129"/>
      <c r="R25" s="61" t="s">
        <v>1592</v>
      </c>
      <c r="S25" s="47" t="b">
        <v>1</v>
      </c>
      <c r="T25" s="61" t="s">
        <v>1593</v>
      </c>
      <c r="U25" s="54">
        <f>5*738</f>
        <v>3690</v>
      </c>
      <c r="V25" s="61"/>
      <c r="W25" s="49"/>
      <c r="X25" s="49"/>
    </row>
    <row r="26" spans="1:24" ht="13.5" customHeight="1">
      <c r="A26" s="1"/>
      <c r="B26" s="32"/>
      <c r="C26" s="71" t="s">
        <v>1594</v>
      </c>
      <c r="D26" s="53" t="s">
        <v>282</v>
      </c>
      <c r="E26" s="53" t="s">
        <v>74</v>
      </c>
      <c r="F26" s="53" t="s">
        <v>365</v>
      </c>
      <c r="G26" s="53" t="s">
        <v>236</v>
      </c>
      <c r="H26" s="53" t="s">
        <v>30</v>
      </c>
      <c r="I26" s="53">
        <v>12</v>
      </c>
      <c r="J26" s="54">
        <v>145</v>
      </c>
      <c r="K26" s="54">
        <f t="shared" ref="K26:K86" si="2">I26*J26</f>
        <v>1740</v>
      </c>
      <c r="L26" s="55" t="b">
        <v>1</v>
      </c>
      <c r="M26" s="56">
        <v>20720241424</v>
      </c>
      <c r="N26" s="57" t="b">
        <v>1</v>
      </c>
      <c r="O26" s="58"/>
      <c r="P26" s="59" t="b">
        <v>1</v>
      </c>
      <c r="Q26" s="129"/>
      <c r="R26" s="60"/>
      <c r="S26" s="47" t="b">
        <v>1</v>
      </c>
      <c r="T26" s="61" t="s">
        <v>1595</v>
      </c>
      <c r="U26" s="54">
        <f>12*105</f>
        <v>1260</v>
      </c>
      <c r="V26" s="54"/>
      <c r="W26" s="49"/>
      <c r="X26" s="49"/>
    </row>
    <row r="27" spans="1:24" ht="15.75" customHeight="1">
      <c r="A27" s="1"/>
      <c r="B27" s="32"/>
      <c r="C27" s="71" t="s">
        <v>1594</v>
      </c>
      <c r="D27" s="53" t="s">
        <v>433</v>
      </c>
      <c r="E27" s="53" t="s">
        <v>434</v>
      </c>
      <c r="F27" s="53" t="s">
        <v>435</v>
      </c>
      <c r="G27" s="53" t="s">
        <v>68</v>
      </c>
      <c r="H27" s="53" t="s">
        <v>30</v>
      </c>
      <c r="I27" s="53">
        <v>3000</v>
      </c>
      <c r="J27" s="54">
        <v>0.75</v>
      </c>
      <c r="K27" s="54">
        <f t="shared" si="2"/>
        <v>2250</v>
      </c>
      <c r="L27" s="55" t="b">
        <v>1</v>
      </c>
      <c r="M27" s="56">
        <v>20720241531</v>
      </c>
      <c r="N27" s="57" t="b">
        <v>1</v>
      </c>
      <c r="O27" s="58"/>
      <c r="P27" s="59" t="b">
        <v>1</v>
      </c>
      <c r="Q27" s="129"/>
      <c r="R27" s="60"/>
      <c r="S27" s="47" t="b">
        <v>1</v>
      </c>
      <c r="T27" s="61" t="s">
        <v>1596</v>
      </c>
      <c r="U27" s="54">
        <f>3000*0.3194</f>
        <v>958.2</v>
      </c>
      <c r="V27" s="54"/>
      <c r="W27" s="49"/>
      <c r="X27" s="49"/>
    </row>
    <row r="28" spans="1:24" ht="15.75" customHeight="1">
      <c r="A28" s="1"/>
      <c r="B28" s="32"/>
      <c r="C28" s="71" t="s">
        <v>1594</v>
      </c>
      <c r="D28" s="53" t="s">
        <v>433</v>
      </c>
      <c r="E28" s="53" t="s">
        <v>434</v>
      </c>
      <c r="F28" s="53" t="s">
        <v>435</v>
      </c>
      <c r="G28" s="53" t="s">
        <v>1597</v>
      </c>
      <c r="H28" s="53" t="s">
        <v>30</v>
      </c>
      <c r="I28" s="53">
        <v>1</v>
      </c>
      <c r="J28" s="54">
        <v>1250</v>
      </c>
      <c r="K28" s="54">
        <f t="shared" si="2"/>
        <v>1250</v>
      </c>
      <c r="L28" s="55" t="b">
        <v>1</v>
      </c>
      <c r="M28" s="56">
        <v>20720241531</v>
      </c>
      <c r="N28" s="57" t="b">
        <v>1</v>
      </c>
      <c r="O28" s="58"/>
      <c r="P28" s="59" t="b">
        <v>1</v>
      </c>
      <c r="Q28" s="129"/>
      <c r="R28" s="61" t="s">
        <v>1598</v>
      </c>
      <c r="S28" s="47" t="b">
        <v>1</v>
      </c>
      <c r="T28" s="61" t="s">
        <v>1596</v>
      </c>
      <c r="U28" s="54">
        <f>3000*0.18</f>
        <v>540</v>
      </c>
      <c r="V28" s="54"/>
      <c r="W28" s="49"/>
      <c r="X28" s="49"/>
    </row>
    <row r="29" spans="1:24" ht="15.75" customHeight="1">
      <c r="A29" s="1"/>
      <c r="B29" s="32"/>
      <c r="C29" s="71" t="s">
        <v>1594</v>
      </c>
      <c r="D29" s="53" t="s">
        <v>433</v>
      </c>
      <c r="E29" s="53" t="s">
        <v>434</v>
      </c>
      <c r="F29" s="53" t="s">
        <v>435</v>
      </c>
      <c r="G29" s="53" t="s">
        <v>236</v>
      </c>
      <c r="H29" s="53" t="s">
        <v>30</v>
      </c>
      <c r="I29" s="53">
        <v>6</v>
      </c>
      <c r="J29" s="54">
        <v>145</v>
      </c>
      <c r="K29" s="54">
        <f t="shared" si="2"/>
        <v>870</v>
      </c>
      <c r="L29" s="55" t="b">
        <v>1</v>
      </c>
      <c r="M29" s="56">
        <v>20720241531</v>
      </c>
      <c r="N29" s="57" t="b">
        <v>1</v>
      </c>
      <c r="O29" s="58"/>
      <c r="P29" s="59" t="b">
        <v>1</v>
      </c>
      <c r="Q29" s="129"/>
      <c r="R29" s="47"/>
      <c r="S29" s="47" t="b">
        <v>1</v>
      </c>
      <c r="T29" s="61" t="s">
        <v>1596</v>
      </c>
      <c r="U29" s="54">
        <f>6*105</f>
        <v>630</v>
      </c>
      <c r="V29" s="54"/>
      <c r="W29" s="49"/>
      <c r="X29" s="49"/>
    </row>
    <row r="30" spans="1:24" ht="15.75" customHeight="1">
      <c r="A30" s="1"/>
      <c r="B30" s="32"/>
      <c r="C30" s="71" t="s">
        <v>1594</v>
      </c>
      <c r="D30" s="53" t="s">
        <v>433</v>
      </c>
      <c r="E30" s="53" t="s">
        <v>434</v>
      </c>
      <c r="F30" s="53" t="s">
        <v>435</v>
      </c>
      <c r="G30" s="53" t="s">
        <v>83</v>
      </c>
      <c r="H30" s="53" t="s">
        <v>30</v>
      </c>
      <c r="I30" s="53">
        <v>1000</v>
      </c>
      <c r="J30" s="54">
        <v>1.5</v>
      </c>
      <c r="K30" s="54">
        <f t="shared" si="2"/>
        <v>1500</v>
      </c>
      <c r="L30" s="55" t="b">
        <v>1</v>
      </c>
      <c r="M30" s="56">
        <v>20720241531</v>
      </c>
      <c r="N30" s="57" t="b">
        <v>1</v>
      </c>
      <c r="O30" s="58"/>
      <c r="P30" s="59" t="b">
        <v>1</v>
      </c>
      <c r="Q30" s="129"/>
      <c r="R30" s="60"/>
      <c r="S30" s="47" t="b">
        <v>1</v>
      </c>
      <c r="T30" s="61" t="s">
        <v>1596</v>
      </c>
      <c r="U30" s="54">
        <f>1000*1</f>
        <v>1000</v>
      </c>
      <c r="V30" s="54"/>
      <c r="W30" s="49"/>
      <c r="X30" s="49"/>
    </row>
    <row r="31" spans="1:24" ht="15.75" customHeight="1">
      <c r="A31" s="1"/>
      <c r="B31" s="32"/>
      <c r="C31" s="71" t="s">
        <v>403</v>
      </c>
      <c r="D31" s="53" t="s">
        <v>51</v>
      </c>
      <c r="E31" s="53" t="s">
        <v>335</v>
      </c>
      <c r="F31" s="53" t="s">
        <v>457</v>
      </c>
      <c r="G31" s="53" t="s">
        <v>1599</v>
      </c>
      <c r="H31" s="53" t="s">
        <v>30</v>
      </c>
      <c r="I31" s="53">
        <v>3</v>
      </c>
      <c r="J31" s="54">
        <v>595</v>
      </c>
      <c r="K31" s="54">
        <f t="shared" si="2"/>
        <v>1785</v>
      </c>
      <c r="L31" s="55" t="b">
        <v>1</v>
      </c>
      <c r="M31" s="56">
        <v>30720240925</v>
      </c>
      <c r="N31" s="57" t="b">
        <v>1</v>
      </c>
      <c r="O31" s="58"/>
      <c r="P31" s="59" t="b">
        <v>1</v>
      </c>
      <c r="Q31" s="129"/>
      <c r="R31" s="60"/>
      <c r="S31" s="47" t="b">
        <v>1</v>
      </c>
      <c r="T31" s="61" t="s">
        <v>1600</v>
      </c>
      <c r="U31" s="54">
        <v>792</v>
      </c>
      <c r="V31" s="54"/>
      <c r="W31" s="49"/>
      <c r="X31" s="49"/>
    </row>
    <row r="32" spans="1:24" ht="15.75" customHeight="1">
      <c r="A32" s="1"/>
      <c r="B32" s="32"/>
      <c r="C32" s="71" t="s">
        <v>1601</v>
      </c>
      <c r="D32" s="53" t="s">
        <v>144</v>
      </c>
      <c r="E32" s="53" t="s">
        <v>1602</v>
      </c>
      <c r="F32" s="66" t="s">
        <v>1603</v>
      </c>
      <c r="G32" s="69" t="s">
        <v>58</v>
      </c>
      <c r="H32" s="69" t="s">
        <v>30</v>
      </c>
      <c r="I32" s="69">
        <v>84</v>
      </c>
      <c r="J32" s="70">
        <v>35</v>
      </c>
      <c r="K32" s="54">
        <f t="shared" si="2"/>
        <v>2940</v>
      </c>
      <c r="L32" s="55" t="b">
        <v>1</v>
      </c>
      <c r="M32" s="56">
        <v>30720241129</v>
      </c>
      <c r="N32" s="57" t="b">
        <v>1</v>
      </c>
      <c r="O32" s="58"/>
      <c r="P32" s="59" t="b">
        <v>1</v>
      </c>
      <c r="Q32" s="129"/>
      <c r="R32" s="60"/>
      <c r="S32" s="47" t="b">
        <v>1</v>
      </c>
      <c r="T32" s="61" t="s">
        <v>1604</v>
      </c>
      <c r="U32" s="54">
        <f t="shared" ref="U32:U33" si="3">84*25</f>
        <v>2100</v>
      </c>
      <c r="V32" s="54"/>
      <c r="W32" s="49"/>
      <c r="X32" s="49"/>
    </row>
    <row r="33" spans="1:24" ht="15.75" customHeight="1">
      <c r="A33" s="1"/>
      <c r="B33" s="32"/>
      <c r="C33" s="71" t="s">
        <v>1601</v>
      </c>
      <c r="D33" s="53" t="s">
        <v>397</v>
      </c>
      <c r="E33" s="53" t="s">
        <v>61</v>
      </c>
      <c r="F33" s="66" t="s">
        <v>62</v>
      </c>
      <c r="G33" s="69" t="s">
        <v>58</v>
      </c>
      <c r="H33" s="69" t="s">
        <v>30</v>
      </c>
      <c r="I33" s="69">
        <v>84</v>
      </c>
      <c r="J33" s="70">
        <v>32</v>
      </c>
      <c r="K33" s="54">
        <f t="shared" si="2"/>
        <v>2688</v>
      </c>
      <c r="L33" s="55" t="b">
        <v>1</v>
      </c>
      <c r="M33" s="56">
        <v>30720241652</v>
      </c>
      <c r="N33" s="57" t="b">
        <v>1</v>
      </c>
      <c r="O33" s="58"/>
      <c r="P33" s="59" t="b">
        <v>1</v>
      </c>
      <c r="Q33" s="129"/>
      <c r="R33" s="60"/>
      <c r="S33" s="47" t="b">
        <v>1</v>
      </c>
      <c r="T33" s="61" t="s">
        <v>1605</v>
      </c>
      <c r="U33" s="54">
        <f t="shared" si="3"/>
        <v>2100</v>
      </c>
      <c r="V33" s="54"/>
      <c r="W33" s="49"/>
      <c r="X33" s="49"/>
    </row>
    <row r="34" spans="1:24" ht="15.75" customHeight="1">
      <c r="A34" s="1"/>
      <c r="B34" s="32"/>
      <c r="C34" s="52">
        <v>45477</v>
      </c>
      <c r="D34" s="53" t="s">
        <v>212</v>
      </c>
      <c r="E34" s="53" t="s">
        <v>213</v>
      </c>
      <c r="F34" s="66" t="s">
        <v>669</v>
      </c>
      <c r="G34" s="69" t="s">
        <v>49</v>
      </c>
      <c r="H34" s="69" t="s">
        <v>30</v>
      </c>
      <c r="I34" s="69">
        <v>8</v>
      </c>
      <c r="J34" s="70">
        <v>695</v>
      </c>
      <c r="K34" s="54">
        <f t="shared" si="2"/>
        <v>5560</v>
      </c>
      <c r="L34" s="55" t="b">
        <v>1</v>
      </c>
      <c r="M34" s="56">
        <v>40720241600</v>
      </c>
      <c r="N34" s="57" t="b">
        <v>1</v>
      </c>
      <c r="O34" s="58" t="s">
        <v>39</v>
      </c>
      <c r="P34" s="59" t="b">
        <v>1</v>
      </c>
      <c r="Q34" s="129"/>
      <c r="R34" s="60"/>
      <c r="S34" s="47" t="b">
        <v>1</v>
      </c>
      <c r="T34" s="61" t="s">
        <v>1606</v>
      </c>
      <c r="U34" s="54">
        <f>8000*0.46</f>
        <v>3680</v>
      </c>
      <c r="V34" s="54"/>
      <c r="W34" s="49"/>
      <c r="X34" s="49"/>
    </row>
    <row r="35" spans="1:24" ht="15.75" customHeight="1">
      <c r="A35" s="1"/>
      <c r="B35" s="32"/>
      <c r="C35" s="71" t="s">
        <v>1607</v>
      </c>
      <c r="D35" s="80" t="s">
        <v>51</v>
      </c>
      <c r="E35" s="80" t="s">
        <v>201</v>
      </c>
      <c r="F35" s="158" t="s">
        <v>1576</v>
      </c>
      <c r="G35" s="159" t="s">
        <v>1608</v>
      </c>
      <c r="H35" s="159" t="s">
        <v>30</v>
      </c>
      <c r="I35" s="159">
        <v>2</v>
      </c>
      <c r="J35" s="160">
        <v>4250</v>
      </c>
      <c r="K35" s="54">
        <f t="shared" si="2"/>
        <v>8500</v>
      </c>
      <c r="L35" s="55" t="b">
        <v>1</v>
      </c>
      <c r="M35" s="56">
        <v>50720241128</v>
      </c>
      <c r="N35" s="57" t="b">
        <v>1</v>
      </c>
      <c r="O35" s="58" t="s">
        <v>39</v>
      </c>
      <c r="P35" s="59" t="b">
        <v>1</v>
      </c>
      <c r="Q35" s="129" t="s">
        <v>1609</v>
      </c>
      <c r="R35" s="60"/>
      <c r="S35" s="47" t="b">
        <v>1</v>
      </c>
      <c r="T35" s="61" t="s">
        <v>1610</v>
      </c>
      <c r="U35" s="54">
        <v>6000</v>
      </c>
      <c r="V35" s="54"/>
      <c r="W35" s="49"/>
      <c r="X35" s="49"/>
    </row>
    <row r="36" spans="1:24" ht="15.75" customHeight="1">
      <c r="A36" s="1"/>
      <c r="B36" s="32"/>
      <c r="C36" s="71" t="s">
        <v>1607</v>
      </c>
      <c r="D36" s="80" t="s">
        <v>51</v>
      </c>
      <c r="E36" s="80" t="s">
        <v>201</v>
      </c>
      <c r="F36" s="158" t="s">
        <v>1576</v>
      </c>
      <c r="G36" s="69" t="s">
        <v>1611</v>
      </c>
      <c r="H36" s="159" t="s">
        <v>30</v>
      </c>
      <c r="I36" s="69">
        <v>1</v>
      </c>
      <c r="J36" s="70">
        <v>22000</v>
      </c>
      <c r="K36" s="54">
        <f t="shared" si="2"/>
        <v>22000</v>
      </c>
      <c r="L36" s="55" t="b">
        <v>1</v>
      </c>
      <c r="M36" s="56" t="s">
        <v>529</v>
      </c>
      <c r="N36" s="57" t="b">
        <v>1</v>
      </c>
      <c r="O36" s="58"/>
      <c r="P36" s="59" t="b">
        <v>1</v>
      </c>
      <c r="Q36" s="129"/>
      <c r="R36" s="60"/>
      <c r="S36" s="47" t="b">
        <v>0</v>
      </c>
      <c r="T36" s="61"/>
      <c r="U36" s="54">
        <v>10000</v>
      </c>
      <c r="V36" s="54"/>
      <c r="W36" s="49"/>
      <c r="X36" s="49"/>
    </row>
    <row r="37" spans="1:24" ht="15.75" customHeight="1">
      <c r="A37" s="1"/>
      <c r="B37" s="32"/>
      <c r="C37" s="71" t="s">
        <v>1612</v>
      </c>
      <c r="D37" s="53" t="s">
        <v>832</v>
      </c>
      <c r="E37" s="53" t="s">
        <v>833</v>
      </c>
      <c r="F37" s="66" t="s">
        <v>834</v>
      </c>
      <c r="G37" s="69" t="s">
        <v>1613</v>
      </c>
      <c r="H37" s="69" t="s">
        <v>30</v>
      </c>
      <c r="I37" s="69">
        <v>4</v>
      </c>
      <c r="J37" s="70">
        <v>1150</v>
      </c>
      <c r="K37" s="54">
        <f t="shared" si="2"/>
        <v>4600</v>
      </c>
      <c r="L37" s="55" t="b">
        <v>1</v>
      </c>
      <c r="M37" s="56">
        <v>60720241023</v>
      </c>
      <c r="N37" s="57" t="b">
        <v>1</v>
      </c>
      <c r="O37" s="58"/>
      <c r="P37" s="59" t="b">
        <v>1</v>
      </c>
      <c r="Q37" s="129"/>
      <c r="R37" s="60"/>
      <c r="S37" s="47" t="b">
        <v>1</v>
      </c>
      <c r="T37" s="61" t="s">
        <v>1614</v>
      </c>
      <c r="U37" s="54"/>
      <c r="V37" s="54"/>
      <c r="W37" s="49"/>
      <c r="X37" s="49"/>
    </row>
    <row r="38" spans="1:24" ht="15.75" customHeight="1">
      <c r="A38" s="1"/>
      <c r="B38" s="32"/>
      <c r="C38" s="71" t="s">
        <v>1612</v>
      </c>
      <c r="D38" s="53" t="s">
        <v>51</v>
      </c>
      <c r="E38" s="53" t="s">
        <v>594</v>
      </c>
      <c r="F38" s="66" t="s">
        <v>1615</v>
      </c>
      <c r="G38" s="69" t="s">
        <v>1616</v>
      </c>
      <c r="H38" s="69" t="s">
        <v>30</v>
      </c>
      <c r="I38" s="69">
        <v>1</v>
      </c>
      <c r="J38" s="70">
        <v>2850</v>
      </c>
      <c r="K38" s="54">
        <f t="shared" si="2"/>
        <v>2850</v>
      </c>
      <c r="L38" s="55" t="b">
        <v>1</v>
      </c>
      <c r="M38" s="56">
        <v>60720241305</v>
      </c>
      <c r="N38" s="57" t="b">
        <v>1</v>
      </c>
      <c r="O38" s="58" t="s">
        <v>351</v>
      </c>
      <c r="P38" s="59" t="b">
        <v>1</v>
      </c>
      <c r="Q38" s="149"/>
      <c r="R38" s="60"/>
      <c r="S38" s="47" t="b">
        <v>1</v>
      </c>
      <c r="T38" s="61" t="s">
        <v>1617</v>
      </c>
      <c r="U38" s="54">
        <v>1375</v>
      </c>
      <c r="V38" s="54"/>
      <c r="W38" s="49"/>
      <c r="X38" s="49"/>
    </row>
    <row r="39" spans="1:24" ht="15.75" customHeight="1">
      <c r="A39" s="1"/>
      <c r="B39" s="32"/>
      <c r="C39" s="71" t="s">
        <v>1612</v>
      </c>
      <c r="D39" s="53" t="s">
        <v>104</v>
      </c>
      <c r="E39" s="53" t="s">
        <v>292</v>
      </c>
      <c r="F39" s="66" t="s">
        <v>919</v>
      </c>
      <c r="G39" s="69" t="s">
        <v>1618</v>
      </c>
      <c r="H39" s="69" t="s">
        <v>30</v>
      </c>
      <c r="I39" s="69">
        <v>5</v>
      </c>
      <c r="J39" s="70">
        <v>150</v>
      </c>
      <c r="K39" s="54">
        <f t="shared" si="2"/>
        <v>750</v>
      </c>
      <c r="L39" s="55" t="b">
        <v>1</v>
      </c>
      <c r="M39" s="56">
        <v>6072024309</v>
      </c>
      <c r="N39" s="57" t="b">
        <v>1</v>
      </c>
      <c r="O39" s="58" t="s">
        <v>31</v>
      </c>
      <c r="P39" s="59" t="b">
        <v>1</v>
      </c>
      <c r="Q39" s="129"/>
      <c r="R39" s="60"/>
      <c r="S39" s="47" t="b">
        <v>1</v>
      </c>
      <c r="T39" s="61" t="s">
        <v>1619</v>
      </c>
      <c r="U39" s="54"/>
      <c r="V39" s="54"/>
      <c r="W39" s="49"/>
      <c r="X39" s="49"/>
    </row>
    <row r="40" spans="1:24" ht="15.75" customHeight="1">
      <c r="A40" s="1"/>
      <c r="B40" s="32"/>
      <c r="C40" s="71" t="s">
        <v>1620</v>
      </c>
      <c r="D40" s="53" t="s">
        <v>104</v>
      </c>
      <c r="E40" s="53" t="s">
        <v>620</v>
      </c>
      <c r="F40" s="66" t="s">
        <v>621</v>
      </c>
      <c r="G40" s="69" t="s">
        <v>746</v>
      </c>
      <c r="H40" s="69" t="s">
        <v>30</v>
      </c>
      <c r="I40" s="69">
        <v>6</v>
      </c>
      <c r="J40" s="70">
        <v>745</v>
      </c>
      <c r="K40" s="54">
        <f t="shared" si="2"/>
        <v>4470</v>
      </c>
      <c r="L40" s="55" t="b">
        <v>1</v>
      </c>
      <c r="M40" s="56">
        <v>80720240902</v>
      </c>
      <c r="N40" s="57" t="b">
        <v>1</v>
      </c>
      <c r="O40" s="58" t="s">
        <v>31</v>
      </c>
      <c r="P40" s="59" t="b">
        <v>1</v>
      </c>
      <c r="Q40" s="129"/>
      <c r="R40" s="60"/>
      <c r="S40" s="47" t="b">
        <v>1</v>
      </c>
      <c r="T40" s="61" t="s">
        <v>1621</v>
      </c>
      <c r="U40" s="54">
        <f>6*455</f>
        <v>2730</v>
      </c>
      <c r="V40" s="54"/>
      <c r="W40" s="49"/>
      <c r="X40" s="49"/>
    </row>
    <row r="41" spans="1:24" ht="15.75" customHeight="1">
      <c r="A41" s="1"/>
      <c r="B41" s="32"/>
      <c r="C41" s="71" t="s">
        <v>1620</v>
      </c>
      <c r="D41" s="53" t="s">
        <v>263</v>
      </c>
      <c r="E41" s="53" t="s">
        <v>248</v>
      </c>
      <c r="F41" s="66" t="s">
        <v>1622</v>
      </c>
      <c r="G41" s="69" t="s">
        <v>1623</v>
      </c>
      <c r="H41" s="69" t="s">
        <v>30</v>
      </c>
      <c r="I41" s="69">
        <v>20</v>
      </c>
      <c r="J41" s="70">
        <v>300</v>
      </c>
      <c r="K41" s="54">
        <f t="shared" si="2"/>
        <v>6000</v>
      </c>
      <c r="L41" s="55" t="b">
        <v>1</v>
      </c>
      <c r="M41" s="56">
        <v>80720251347</v>
      </c>
      <c r="N41" s="57" t="b">
        <v>1</v>
      </c>
      <c r="O41" s="58" t="s">
        <v>31</v>
      </c>
      <c r="P41" s="59" t="b">
        <v>1</v>
      </c>
      <c r="Q41" s="129"/>
      <c r="R41" s="60"/>
      <c r="S41" s="47" t="b">
        <v>1</v>
      </c>
      <c r="T41" s="61" t="s">
        <v>1624</v>
      </c>
      <c r="U41" s="54">
        <f>20*145</f>
        <v>2900</v>
      </c>
      <c r="V41" s="54"/>
      <c r="W41" s="49"/>
      <c r="X41" s="49"/>
    </row>
    <row r="42" spans="1:24" ht="15.75" customHeight="1">
      <c r="A42" s="1"/>
      <c r="B42" s="32"/>
      <c r="C42" s="71" t="s">
        <v>1620</v>
      </c>
      <c r="D42" s="53" t="s">
        <v>263</v>
      </c>
      <c r="E42" s="53" t="s">
        <v>248</v>
      </c>
      <c r="F42" s="66" t="s">
        <v>1622</v>
      </c>
      <c r="G42" s="69" t="s">
        <v>1625</v>
      </c>
      <c r="H42" s="69" t="s">
        <v>30</v>
      </c>
      <c r="I42" s="69">
        <v>20</v>
      </c>
      <c r="J42" s="70">
        <v>125</v>
      </c>
      <c r="K42" s="54">
        <f t="shared" si="2"/>
        <v>2500</v>
      </c>
      <c r="L42" s="55" t="b">
        <v>1</v>
      </c>
      <c r="M42" s="56">
        <v>80720241348</v>
      </c>
      <c r="N42" s="57" t="b">
        <v>1</v>
      </c>
      <c r="O42" s="58" t="s">
        <v>31</v>
      </c>
      <c r="P42" s="59" t="b">
        <v>1</v>
      </c>
      <c r="Q42" s="129"/>
      <c r="R42" s="60"/>
      <c r="S42" s="47" t="b">
        <v>1</v>
      </c>
      <c r="T42" s="61" t="s">
        <v>1626</v>
      </c>
      <c r="U42" s="54">
        <f>20*75</f>
        <v>1500</v>
      </c>
      <c r="V42" s="54"/>
      <c r="W42" s="49"/>
      <c r="X42" s="49"/>
    </row>
    <row r="43" spans="1:24" ht="15.75" customHeight="1">
      <c r="A43" s="1"/>
      <c r="B43" s="32"/>
      <c r="C43" s="132" t="s">
        <v>1627</v>
      </c>
      <c r="D43" s="67" t="s">
        <v>523</v>
      </c>
      <c r="E43" s="67" t="s">
        <v>524</v>
      </c>
      <c r="F43" s="67" t="s">
        <v>525</v>
      </c>
      <c r="G43" s="67" t="s">
        <v>746</v>
      </c>
      <c r="H43" s="67" t="s">
        <v>30</v>
      </c>
      <c r="I43" s="67">
        <v>10</v>
      </c>
      <c r="J43" s="68">
        <v>745</v>
      </c>
      <c r="K43" s="54">
        <f t="shared" si="2"/>
        <v>7450</v>
      </c>
      <c r="L43" s="55" t="b">
        <v>1</v>
      </c>
      <c r="M43" s="56">
        <v>90720240921</v>
      </c>
      <c r="N43" s="57" t="b">
        <v>1</v>
      </c>
      <c r="O43" s="58"/>
      <c r="P43" s="59" t="b">
        <v>1</v>
      </c>
      <c r="Q43" s="129"/>
      <c r="R43" s="60"/>
      <c r="S43" s="47" t="b">
        <v>1</v>
      </c>
      <c r="T43" s="61" t="s">
        <v>1628</v>
      </c>
      <c r="U43" s="54">
        <f>10*455</f>
        <v>4550</v>
      </c>
      <c r="V43" s="54"/>
      <c r="W43" s="49"/>
      <c r="X43" s="49"/>
    </row>
    <row r="44" spans="1:24" ht="15.75" customHeight="1">
      <c r="A44" s="1"/>
      <c r="B44" s="32"/>
      <c r="C44" s="133" t="s">
        <v>1627</v>
      </c>
      <c r="D44" s="69" t="s">
        <v>523</v>
      </c>
      <c r="E44" s="69" t="s">
        <v>524</v>
      </c>
      <c r="F44" s="67" t="s">
        <v>525</v>
      </c>
      <c r="G44" s="69" t="s">
        <v>49</v>
      </c>
      <c r="H44" s="69" t="s">
        <v>30</v>
      </c>
      <c r="I44" s="69">
        <v>5</v>
      </c>
      <c r="J44" s="70">
        <v>695</v>
      </c>
      <c r="K44" s="54">
        <f t="shared" si="2"/>
        <v>3475</v>
      </c>
      <c r="L44" s="55" t="b">
        <v>1</v>
      </c>
      <c r="M44" s="56">
        <v>90720240921</v>
      </c>
      <c r="N44" s="57" t="b">
        <v>1</v>
      </c>
      <c r="O44" s="58" t="s">
        <v>31</v>
      </c>
      <c r="P44" s="59" t="b">
        <v>1</v>
      </c>
      <c r="Q44" s="129"/>
      <c r="R44" s="60"/>
      <c r="S44" s="47" t="b">
        <v>1</v>
      </c>
      <c r="T44" s="61" t="s">
        <v>1629</v>
      </c>
      <c r="U44" s="54">
        <f>5000*0.46</f>
        <v>2300</v>
      </c>
      <c r="V44" s="54"/>
      <c r="W44" s="49"/>
      <c r="X44" s="49"/>
    </row>
    <row r="45" spans="1:24" ht="15.75" customHeight="1">
      <c r="A45" s="1"/>
      <c r="B45" s="32"/>
      <c r="C45" s="71" t="s">
        <v>1627</v>
      </c>
      <c r="D45" s="53" t="s">
        <v>194</v>
      </c>
      <c r="E45" s="53" t="s">
        <v>137</v>
      </c>
      <c r="F45" s="66" t="s">
        <v>1104</v>
      </c>
      <c r="G45" s="69" t="s">
        <v>83</v>
      </c>
      <c r="H45" s="69" t="s">
        <v>30</v>
      </c>
      <c r="I45" s="69">
        <v>1000</v>
      </c>
      <c r="J45" s="70">
        <v>1.5</v>
      </c>
      <c r="K45" s="54">
        <f t="shared" si="2"/>
        <v>1500</v>
      </c>
      <c r="L45" s="55" t="b">
        <v>1</v>
      </c>
      <c r="M45" s="56">
        <v>90720241629</v>
      </c>
      <c r="N45" s="57" t="b">
        <v>1</v>
      </c>
      <c r="O45" s="58" t="s">
        <v>31</v>
      </c>
      <c r="P45" s="59" t="b">
        <v>1</v>
      </c>
      <c r="Q45" s="129"/>
      <c r="R45" s="60"/>
      <c r="S45" s="47" t="b">
        <v>1</v>
      </c>
      <c r="T45" s="61" t="s">
        <v>1630</v>
      </c>
      <c r="U45" s="54">
        <f>1000*0.82</f>
        <v>820</v>
      </c>
      <c r="V45" s="54"/>
      <c r="W45" s="49"/>
      <c r="X45" s="49"/>
    </row>
    <row r="46" spans="1:24" ht="15.75" customHeight="1">
      <c r="A46" s="1"/>
      <c r="B46" s="32"/>
      <c r="C46" s="71" t="s">
        <v>1627</v>
      </c>
      <c r="D46" s="53" t="s">
        <v>194</v>
      </c>
      <c r="E46" s="53" t="s">
        <v>137</v>
      </c>
      <c r="F46" s="66" t="s">
        <v>1104</v>
      </c>
      <c r="G46" s="69" t="s">
        <v>663</v>
      </c>
      <c r="H46" s="69" t="s">
        <v>30</v>
      </c>
      <c r="I46" s="69">
        <v>1</v>
      </c>
      <c r="J46" s="70">
        <v>875</v>
      </c>
      <c r="K46" s="54">
        <f t="shared" si="2"/>
        <v>875</v>
      </c>
      <c r="L46" s="55" t="b">
        <v>1</v>
      </c>
      <c r="M46" s="56">
        <v>90720241630</v>
      </c>
      <c r="N46" s="57" t="b">
        <v>1</v>
      </c>
      <c r="O46" s="58" t="s">
        <v>31</v>
      </c>
      <c r="P46" s="59" t="b">
        <v>1</v>
      </c>
      <c r="Q46" s="129"/>
      <c r="R46" s="60"/>
      <c r="S46" s="47" t="b">
        <v>1</v>
      </c>
      <c r="T46" s="61" t="s">
        <v>1630</v>
      </c>
      <c r="U46" s="54">
        <f>1000*0.525</f>
        <v>525</v>
      </c>
      <c r="V46" s="54"/>
      <c r="W46" s="49"/>
      <c r="X46" s="49"/>
    </row>
    <row r="47" spans="1:24" ht="15.75" customHeight="1">
      <c r="A47" s="1"/>
      <c r="B47" s="32"/>
      <c r="C47" s="71" t="s">
        <v>1627</v>
      </c>
      <c r="D47" s="53" t="s">
        <v>144</v>
      </c>
      <c r="E47" s="53" t="s">
        <v>1541</v>
      </c>
      <c r="F47" s="66" t="s">
        <v>1631</v>
      </c>
      <c r="G47" s="69" t="s">
        <v>1427</v>
      </c>
      <c r="H47" s="69" t="s">
        <v>30</v>
      </c>
      <c r="I47" s="69">
        <v>15</v>
      </c>
      <c r="J47" s="70">
        <v>115</v>
      </c>
      <c r="K47" s="54">
        <f t="shared" si="2"/>
        <v>1725</v>
      </c>
      <c r="L47" s="55" t="b">
        <v>1</v>
      </c>
      <c r="M47" s="56">
        <v>90720241633</v>
      </c>
      <c r="N47" s="57" t="b">
        <v>1</v>
      </c>
      <c r="O47" s="58" t="s">
        <v>31</v>
      </c>
      <c r="P47" s="59" t="b">
        <v>1</v>
      </c>
      <c r="Q47" s="129"/>
      <c r="R47" s="60"/>
      <c r="S47" s="47" t="b">
        <v>1</v>
      </c>
      <c r="T47" s="61" t="s">
        <v>1632</v>
      </c>
      <c r="U47" s="54"/>
      <c r="V47" s="54"/>
      <c r="W47" s="49"/>
      <c r="X47" s="49"/>
    </row>
    <row r="48" spans="1:24" ht="15.75" customHeight="1">
      <c r="A48" s="101"/>
      <c r="B48" s="102"/>
      <c r="C48" s="71" t="s">
        <v>1467</v>
      </c>
      <c r="D48" s="53" t="s">
        <v>144</v>
      </c>
      <c r="E48" s="53" t="s">
        <v>1541</v>
      </c>
      <c r="F48" s="66" t="s">
        <v>1631</v>
      </c>
      <c r="G48" s="69" t="s">
        <v>1633</v>
      </c>
      <c r="H48" s="69" t="s">
        <v>30</v>
      </c>
      <c r="I48" s="69">
        <v>1</v>
      </c>
      <c r="J48" s="70">
        <v>105</v>
      </c>
      <c r="K48" s="54">
        <f t="shared" si="2"/>
        <v>105</v>
      </c>
      <c r="L48" s="55" t="b">
        <v>1</v>
      </c>
      <c r="M48" s="56">
        <v>100720241026</v>
      </c>
      <c r="N48" s="57" t="b">
        <v>1</v>
      </c>
      <c r="O48" s="58" t="s">
        <v>31</v>
      </c>
      <c r="P48" s="59" t="b">
        <v>1</v>
      </c>
      <c r="Q48" s="129"/>
      <c r="R48" s="60"/>
      <c r="S48" s="47" t="b">
        <v>1</v>
      </c>
      <c r="T48" s="61" t="s">
        <v>1634</v>
      </c>
      <c r="U48" s="54"/>
      <c r="V48" s="54"/>
      <c r="W48" s="49"/>
      <c r="X48" s="49"/>
    </row>
    <row r="49" spans="1:24" ht="15.75" customHeight="1">
      <c r="A49" s="101"/>
      <c r="B49" s="102"/>
      <c r="C49" s="71" t="s">
        <v>1467</v>
      </c>
      <c r="D49" s="53" t="s">
        <v>51</v>
      </c>
      <c r="E49" s="53" t="s">
        <v>1635</v>
      </c>
      <c r="F49" s="66" t="s">
        <v>1636</v>
      </c>
      <c r="G49" s="69" t="s">
        <v>1637</v>
      </c>
      <c r="H49" s="69" t="s">
        <v>30</v>
      </c>
      <c r="I49" s="69">
        <v>1</v>
      </c>
      <c r="J49" s="70">
        <v>14800</v>
      </c>
      <c r="K49" s="54">
        <f t="shared" si="2"/>
        <v>14800</v>
      </c>
      <c r="L49" s="55" t="b">
        <v>1</v>
      </c>
      <c r="M49" s="56">
        <v>100720241028</v>
      </c>
      <c r="N49" s="57" t="b">
        <v>1</v>
      </c>
      <c r="O49" s="58"/>
      <c r="P49" s="59" t="b">
        <v>1</v>
      </c>
      <c r="Q49" s="129"/>
      <c r="R49" s="60"/>
      <c r="S49" s="47" t="b">
        <v>1</v>
      </c>
      <c r="T49" s="61" t="s">
        <v>1638</v>
      </c>
      <c r="U49" s="54"/>
      <c r="V49" s="54"/>
      <c r="W49" s="49"/>
      <c r="X49" s="49"/>
    </row>
    <row r="50" spans="1:24" ht="15.75" customHeight="1">
      <c r="A50" s="101"/>
      <c r="B50" s="32"/>
      <c r="C50" s="71" t="s">
        <v>1467</v>
      </c>
      <c r="D50" s="53" t="s">
        <v>98</v>
      </c>
      <c r="E50" s="53" t="s">
        <v>99</v>
      </c>
      <c r="F50" s="66" t="s">
        <v>444</v>
      </c>
      <c r="G50" s="69" t="s">
        <v>236</v>
      </c>
      <c r="H50" s="69" t="s">
        <v>30</v>
      </c>
      <c r="I50" s="69">
        <v>12</v>
      </c>
      <c r="J50" s="70">
        <v>145</v>
      </c>
      <c r="K50" s="54">
        <f t="shared" si="2"/>
        <v>1740</v>
      </c>
      <c r="L50" s="55" t="b">
        <v>1</v>
      </c>
      <c r="M50" s="56">
        <v>100720241033</v>
      </c>
      <c r="N50" s="57" t="b">
        <v>1</v>
      </c>
      <c r="O50" s="58" t="s">
        <v>31</v>
      </c>
      <c r="P50" s="59" t="b">
        <v>1</v>
      </c>
      <c r="Q50" s="129"/>
      <c r="R50" s="60"/>
      <c r="S50" s="47" t="b">
        <v>1</v>
      </c>
      <c r="T50" s="61" t="s">
        <v>1639</v>
      </c>
      <c r="U50" s="54">
        <f>12*75</f>
        <v>900</v>
      </c>
      <c r="V50" s="54"/>
      <c r="W50" s="49"/>
      <c r="X50" s="49"/>
    </row>
    <row r="51" spans="1:24" ht="15.75" customHeight="1">
      <c r="A51" s="101"/>
      <c r="B51" s="32"/>
      <c r="C51" s="71" t="s">
        <v>1640</v>
      </c>
      <c r="D51" s="53" t="s">
        <v>26</v>
      </c>
      <c r="E51" s="53" t="s">
        <v>158</v>
      </c>
      <c r="F51" s="66" t="s">
        <v>1014</v>
      </c>
      <c r="G51" s="69" t="s">
        <v>236</v>
      </c>
      <c r="H51" s="69" t="s">
        <v>30</v>
      </c>
      <c r="I51" s="69">
        <v>6</v>
      </c>
      <c r="J51" s="70">
        <v>145</v>
      </c>
      <c r="K51" s="54">
        <f t="shared" si="2"/>
        <v>870</v>
      </c>
      <c r="L51" s="55" t="b">
        <v>1</v>
      </c>
      <c r="M51" s="56">
        <v>110720241144</v>
      </c>
      <c r="N51" s="57" t="b">
        <v>1</v>
      </c>
      <c r="O51" s="58" t="s">
        <v>31</v>
      </c>
      <c r="P51" s="59" t="b">
        <v>1</v>
      </c>
      <c r="Q51" s="129"/>
      <c r="R51" s="172" t="s">
        <v>1641</v>
      </c>
      <c r="S51" s="47" t="b">
        <v>1</v>
      </c>
      <c r="T51" s="61" t="s">
        <v>1642</v>
      </c>
      <c r="U51" s="54">
        <f>6*75</f>
        <v>450</v>
      </c>
      <c r="V51" s="54"/>
      <c r="W51" s="49"/>
      <c r="X51" s="49"/>
    </row>
    <row r="52" spans="1:24" ht="15.75" customHeight="1">
      <c r="A52" s="101"/>
      <c r="B52" s="32"/>
      <c r="C52" s="71" t="s">
        <v>1640</v>
      </c>
      <c r="D52" s="53" t="s">
        <v>104</v>
      </c>
      <c r="E52" s="53" t="s">
        <v>486</v>
      </c>
      <c r="F52" s="66" t="s">
        <v>207</v>
      </c>
      <c r="G52" s="69" t="s">
        <v>1618</v>
      </c>
      <c r="H52" s="69" t="s">
        <v>30</v>
      </c>
      <c r="I52" s="69">
        <v>4</v>
      </c>
      <c r="J52" s="70">
        <v>150</v>
      </c>
      <c r="K52" s="54">
        <f t="shared" si="2"/>
        <v>600</v>
      </c>
      <c r="L52" s="55" t="b">
        <v>1</v>
      </c>
      <c r="M52" s="56">
        <v>110720241536</v>
      </c>
      <c r="N52" s="57" t="b">
        <v>1</v>
      </c>
      <c r="O52" s="58" t="s">
        <v>31</v>
      </c>
      <c r="P52" s="59" t="b">
        <v>1</v>
      </c>
      <c r="Q52" s="129"/>
      <c r="R52" s="60"/>
      <c r="S52" s="47" t="b">
        <v>1</v>
      </c>
      <c r="T52" s="61" t="s">
        <v>1643</v>
      </c>
      <c r="U52" s="54"/>
      <c r="V52" s="54"/>
      <c r="W52" s="49"/>
      <c r="X52" s="49"/>
    </row>
    <row r="53" spans="1:24" ht="15.75" customHeight="1">
      <c r="A53" s="101"/>
      <c r="B53" s="32"/>
      <c r="C53" s="71" t="s">
        <v>1640</v>
      </c>
      <c r="D53" s="53" t="s">
        <v>104</v>
      </c>
      <c r="E53" s="53" t="s">
        <v>486</v>
      </c>
      <c r="F53" s="66" t="s">
        <v>207</v>
      </c>
      <c r="G53" s="69" t="s">
        <v>1535</v>
      </c>
      <c r="H53" s="69" t="s">
        <v>30</v>
      </c>
      <c r="I53" s="69">
        <v>5</v>
      </c>
      <c r="J53" s="70">
        <v>1200</v>
      </c>
      <c r="K53" s="54">
        <f t="shared" si="2"/>
        <v>6000</v>
      </c>
      <c r="L53" s="55" t="b">
        <v>1</v>
      </c>
      <c r="M53" s="56">
        <v>110720241546</v>
      </c>
      <c r="N53" s="57" t="b">
        <v>1</v>
      </c>
      <c r="O53" s="58"/>
      <c r="P53" s="59" t="b">
        <v>1</v>
      </c>
      <c r="Q53" s="129"/>
      <c r="R53" s="60"/>
      <c r="S53" s="47" t="b">
        <v>1</v>
      </c>
      <c r="T53" s="61" t="s">
        <v>1644</v>
      </c>
      <c r="U53" s="54"/>
      <c r="V53" s="54"/>
      <c r="W53" s="49"/>
      <c r="X53" s="49"/>
    </row>
    <row r="54" spans="1:24" ht="15.75" customHeight="1">
      <c r="A54" s="101"/>
      <c r="B54" s="32"/>
      <c r="C54" s="71" t="s">
        <v>1645</v>
      </c>
      <c r="D54" s="53" t="s">
        <v>51</v>
      </c>
      <c r="E54" s="53" t="s">
        <v>335</v>
      </c>
      <c r="F54" s="66" t="s">
        <v>457</v>
      </c>
      <c r="G54" s="69" t="s">
        <v>1646</v>
      </c>
      <c r="H54" s="69" t="s">
        <v>30</v>
      </c>
      <c r="I54" s="69">
        <v>1</v>
      </c>
      <c r="J54" s="70">
        <v>1250</v>
      </c>
      <c r="K54" s="54">
        <f t="shared" si="2"/>
        <v>1250</v>
      </c>
      <c r="L54" s="55" t="b">
        <v>1</v>
      </c>
      <c r="M54" s="56">
        <v>120720241538</v>
      </c>
      <c r="N54" s="57" t="b">
        <v>1</v>
      </c>
      <c r="O54" s="58"/>
      <c r="P54" s="59" t="b">
        <v>1</v>
      </c>
      <c r="Q54" s="129"/>
      <c r="R54" s="60"/>
      <c r="S54" s="47" t="b">
        <v>1</v>
      </c>
      <c r="T54" s="61" t="s">
        <v>1647</v>
      </c>
      <c r="U54" s="54"/>
      <c r="V54" s="54"/>
      <c r="W54" s="49"/>
      <c r="X54" s="49"/>
    </row>
    <row r="55" spans="1:24" ht="15.75" customHeight="1">
      <c r="A55" s="101"/>
      <c r="B55" s="32"/>
      <c r="C55" s="71" t="s">
        <v>1645</v>
      </c>
      <c r="D55" s="53" t="s">
        <v>104</v>
      </c>
      <c r="E55" s="53" t="s">
        <v>61</v>
      </c>
      <c r="F55" s="66" t="s">
        <v>181</v>
      </c>
      <c r="G55" s="69" t="s">
        <v>236</v>
      </c>
      <c r="H55" s="69" t="s">
        <v>30</v>
      </c>
      <c r="I55" s="69">
        <v>12</v>
      </c>
      <c r="J55" s="70">
        <v>145</v>
      </c>
      <c r="K55" s="54">
        <f t="shared" si="2"/>
        <v>1740</v>
      </c>
      <c r="L55" s="55" t="b">
        <v>1</v>
      </c>
      <c r="M55" s="56">
        <v>120720241551</v>
      </c>
      <c r="N55" s="57" t="b">
        <v>1</v>
      </c>
      <c r="O55" s="58" t="s">
        <v>31</v>
      </c>
      <c r="P55" s="59" t="b">
        <v>1</v>
      </c>
      <c r="Q55" s="129"/>
      <c r="R55" s="60"/>
      <c r="S55" s="47" t="b">
        <v>1</v>
      </c>
      <c r="T55" s="61" t="s">
        <v>1648</v>
      </c>
      <c r="U55" s="54">
        <f>12*75</f>
        <v>900</v>
      </c>
      <c r="V55" s="54"/>
      <c r="W55" s="49"/>
      <c r="X55" s="49"/>
    </row>
    <row r="56" spans="1:24" ht="15.75" customHeight="1">
      <c r="A56" s="101"/>
      <c r="B56" s="32"/>
      <c r="C56" s="71" t="s">
        <v>1649</v>
      </c>
      <c r="D56" s="53" t="s">
        <v>104</v>
      </c>
      <c r="E56" s="53" t="s">
        <v>296</v>
      </c>
      <c r="F56" s="53" t="s">
        <v>297</v>
      </c>
      <c r="G56" s="53" t="s">
        <v>49</v>
      </c>
      <c r="H56" s="53" t="s">
        <v>30</v>
      </c>
      <c r="I56" s="53">
        <v>4</v>
      </c>
      <c r="J56" s="54">
        <v>695</v>
      </c>
      <c r="K56" s="54">
        <f t="shared" si="2"/>
        <v>2780</v>
      </c>
      <c r="L56" s="55" t="b">
        <v>1</v>
      </c>
      <c r="M56" s="56">
        <v>150720241115</v>
      </c>
      <c r="N56" s="57" t="b">
        <v>1</v>
      </c>
      <c r="O56" s="58" t="s">
        <v>31</v>
      </c>
      <c r="P56" s="59" t="b">
        <v>1</v>
      </c>
      <c r="Q56" s="129"/>
      <c r="R56" s="60"/>
      <c r="S56" s="47" t="b">
        <v>1</v>
      </c>
      <c r="T56" s="61" t="s">
        <v>1650</v>
      </c>
      <c r="U56" s="54">
        <f>4000*0.465</f>
        <v>1860</v>
      </c>
      <c r="V56" s="54"/>
      <c r="W56" s="49"/>
      <c r="X56" s="49"/>
    </row>
    <row r="57" spans="1:24" ht="15.75" customHeight="1">
      <c r="A57" s="101"/>
      <c r="B57" s="32"/>
      <c r="C57" s="71" t="s">
        <v>1649</v>
      </c>
      <c r="D57" s="53" t="s">
        <v>51</v>
      </c>
      <c r="E57" s="53" t="s">
        <v>89</v>
      </c>
      <c r="F57" s="66" t="s">
        <v>90</v>
      </c>
      <c r="G57" s="69" t="s">
        <v>877</v>
      </c>
      <c r="H57" s="69" t="s">
        <v>30</v>
      </c>
      <c r="I57" s="69">
        <v>1</v>
      </c>
      <c r="J57" s="70">
        <v>875</v>
      </c>
      <c r="K57" s="54">
        <f t="shared" si="2"/>
        <v>875</v>
      </c>
      <c r="L57" s="55" t="b">
        <v>1</v>
      </c>
      <c r="M57" s="56">
        <v>150720241116</v>
      </c>
      <c r="N57" s="57" t="b">
        <v>1</v>
      </c>
      <c r="O57" s="58"/>
      <c r="P57" s="59" t="b">
        <v>1</v>
      </c>
      <c r="Q57" s="129"/>
      <c r="R57" s="60"/>
      <c r="S57" s="47" t="b">
        <v>1</v>
      </c>
      <c r="T57" s="61" t="s">
        <v>1651</v>
      </c>
      <c r="U57" s="54"/>
      <c r="V57" s="54"/>
      <c r="W57" s="49"/>
      <c r="X57" s="49"/>
    </row>
    <row r="58" spans="1:24" ht="15.75" customHeight="1">
      <c r="A58" s="101"/>
      <c r="B58" s="32"/>
      <c r="C58" s="71" t="s">
        <v>1649</v>
      </c>
      <c r="D58" s="53" t="s">
        <v>51</v>
      </c>
      <c r="E58" s="53" t="s">
        <v>89</v>
      </c>
      <c r="F58" s="66" t="s">
        <v>90</v>
      </c>
      <c r="G58" s="69" t="s">
        <v>300</v>
      </c>
      <c r="H58" s="69" t="s">
        <v>30</v>
      </c>
      <c r="I58" s="69">
        <v>20</v>
      </c>
      <c r="J58" s="70">
        <v>105</v>
      </c>
      <c r="K58" s="54">
        <f t="shared" si="2"/>
        <v>2100</v>
      </c>
      <c r="L58" s="55" t="b">
        <v>1</v>
      </c>
      <c r="M58" s="56">
        <v>150720241116</v>
      </c>
      <c r="N58" s="57" t="b">
        <v>1</v>
      </c>
      <c r="O58" s="58"/>
      <c r="P58" s="59" t="b">
        <v>1</v>
      </c>
      <c r="Q58" s="129"/>
      <c r="R58" s="60"/>
      <c r="S58" s="47" t="b">
        <v>1</v>
      </c>
      <c r="T58" s="61" t="s">
        <v>1651</v>
      </c>
      <c r="U58" s="54"/>
      <c r="V58" s="54"/>
      <c r="W58" s="49"/>
      <c r="X58" s="49"/>
    </row>
    <row r="59" spans="1:24" ht="15.75" customHeight="1">
      <c r="A59" s="101"/>
      <c r="B59" s="32"/>
      <c r="C59" s="71" t="s">
        <v>1649</v>
      </c>
      <c r="D59" s="53" t="s">
        <v>51</v>
      </c>
      <c r="E59" s="53" t="s">
        <v>89</v>
      </c>
      <c r="F59" s="66" t="s">
        <v>90</v>
      </c>
      <c r="G59" s="69" t="s">
        <v>1652</v>
      </c>
      <c r="H59" s="69" t="s">
        <v>30</v>
      </c>
      <c r="I59" s="69">
        <v>200</v>
      </c>
      <c r="J59" s="70">
        <v>1.75</v>
      </c>
      <c r="K59" s="54">
        <f t="shared" si="2"/>
        <v>350</v>
      </c>
      <c r="L59" s="55" t="b">
        <v>1</v>
      </c>
      <c r="M59" s="56">
        <v>150720241117</v>
      </c>
      <c r="N59" s="57" t="b">
        <v>1</v>
      </c>
      <c r="O59" s="58"/>
      <c r="P59" s="59" t="b">
        <v>1</v>
      </c>
      <c r="Q59" s="129"/>
      <c r="R59" s="60"/>
      <c r="S59" s="47" t="b">
        <v>1</v>
      </c>
      <c r="T59" s="61" t="s">
        <v>1651</v>
      </c>
      <c r="U59" s="54">
        <f>200*1.5</f>
        <v>300</v>
      </c>
      <c r="V59" s="54"/>
      <c r="W59" s="49"/>
      <c r="X59" s="49"/>
    </row>
    <row r="60" spans="1:24" ht="15.75" customHeight="1">
      <c r="A60" s="101"/>
      <c r="B60" s="32"/>
      <c r="C60" s="71" t="s">
        <v>1649</v>
      </c>
      <c r="D60" s="53" t="s">
        <v>51</v>
      </c>
      <c r="E60" s="53" t="s">
        <v>89</v>
      </c>
      <c r="F60" s="66" t="s">
        <v>90</v>
      </c>
      <c r="G60" s="69" t="s">
        <v>278</v>
      </c>
      <c r="H60" s="69" t="s">
        <v>30</v>
      </c>
      <c r="I60" s="69">
        <v>5</v>
      </c>
      <c r="J60" s="70">
        <v>165</v>
      </c>
      <c r="K60" s="54">
        <f t="shared" si="2"/>
        <v>825</v>
      </c>
      <c r="L60" s="55" t="b">
        <v>1</v>
      </c>
      <c r="M60" s="56">
        <v>150720241119</v>
      </c>
      <c r="N60" s="57" t="b">
        <v>1</v>
      </c>
      <c r="O60" s="58"/>
      <c r="P60" s="59" t="b">
        <v>1</v>
      </c>
      <c r="Q60" s="129"/>
      <c r="R60" s="60"/>
      <c r="S60" s="47" t="b">
        <v>1</v>
      </c>
      <c r="T60" s="61" t="s">
        <v>1651</v>
      </c>
      <c r="U60" s="54"/>
      <c r="V60" s="54"/>
      <c r="W60" s="49"/>
      <c r="X60" s="49"/>
    </row>
    <row r="61" spans="1:24" ht="16.5" customHeight="1">
      <c r="A61" s="101"/>
      <c r="B61" s="32"/>
      <c r="C61" s="71" t="s">
        <v>1653</v>
      </c>
      <c r="D61" s="53" t="s">
        <v>51</v>
      </c>
      <c r="E61" s="53" t="s">
        <v>1654</v>
      </c>
      <c r="F61" s="66" t="s">
        <v>548</v>
      </c>
      <c r="G61" s="69" t="s">
        <v>1655</v>
      </c>
      <c r="H61" s="69" t="s">
        <v>30</v>
      </c>
      <c r="I61" s="69">
        <v>1</v>
      </c>
      <c r="J61" s="70">
        <v>105</v>
      </c>
      <c r="K61" s="54">
        <f t="shared" si="2"/>
        <v>105</v>
      </c>
      <c r="L61" s="55" t="b">
        <v>1</v>
      </c>
      <c r="M61" s="56">
        <v>160720241718</v>
      </c>
      <c r="N61" s="57" t="b">
        <v>1</v>
      </c>
      <c r="O61" s="58"/>
      <c r="P61" s="59" t="b">
        <v>1</v>
      </c>
      <c r="Q61" s="129"/>
      <c r="R61" s="60"/>
      <c r="S61" s="47" t="b">
        <v>1</v>
      </c>
      <c r="T61" s="61" t="s">
        <v>1656</v>
      </c>
      <c r="U61" s="54"/>
      <c r="V61" s="54"/>
      <c r="W61" s="49"/>
      <c r="X61" s="49"/>
    </row>
    <row r="62" spans="1:24" ht="16.5" customHeight="1">
      <c r="A62" s="101"/>
      <c r="B62" s="32"/>
      <c r="C62" s="71" t="s">
        <v>1653</v>
      </c>
      <c r="D62" s="53" t="s">
        <v>51</v>
      </c>
      <c r="E62" s="53" t="s">
        <v>61</v>
      </c>
      <c r="F62" s="66" t="s">
        <v>1657</v>
      </c>
      <c r="G62" s="69" t="s">
        <v>1658</v>
      </c>
      <c r="H62" s="69" t="s">
        <v>30</v>
      </c>
      <c r="I62" s="69">
        <v>1</v>
      </c>
      <c r="J62" s="70">
        <v>4000</v>
      </c>
      <c r="K62" s="54">
        <f t="shared" si="2"/>
        <v>4000</v>
      </c>
      <c r="L62" s="55" t="b">
        <v>1</v>
      </c>
      <c r="M62" s="56">
        <v>160720241717</v>
      </c>
      <c r="N62" s="57" t="b">
        <v>1</v>
      </c>
      <c r="O62" s="58" t="s">
        <v>39</v>
      </c>
      <c r="P62" s="59" t="b">
        <v>1</v>
      </c>
      <c r="Q62" s="129" t="s">
        <v>1659</v>
      </c>
      <c r="R62" s="60"/>
      <c r="S62" s="47" t="b">
        <v>1</v>
      </c>
      <c r="T62" s="61" t="s">
        <v>1660</v>
      </c>
      <c r="U62" s="54">
        <v>2700</v>
      </c>
      <c r="V62" s="54"/>
      <c r="W62" s="49"/>
      <c r="X62" s="49"/>
    </row>
    <row r="63" spans="1:24" ht="16.5" customHeight="1">
      <c r="A63" s="101"/>
      <c r="B63" s="32"/>
      <c r="C63" s="71" t="s">
        <v>1653</v>
      </c>
      <c r="D63" s="53" t="s">
        <v>51</v>
      </c>
      <c r="E63" s="53" t="s">
        <v>61</v>
      </c>
      <c r="F63" s="66" t="s">
        <v>1657</v>
      </c>
      <c r="G63" s="69" t="s">
        <v>389</v>
      </c>
      <c r="H63" s="69" t="s">
        <v>30</v>
      </c>
      <c r="I63" s="69">
        <v>60</v>
      </c>
      <c r="J63" s="70">
        <v>41</v>
      </c>
      <c r="K63" s="54">
        <f t="shared" si="2"/>
        <v>2460</v>
      </c>
      <c r="L63" s="55" t="b">
        <v>1</v>
      </c>
      <c r="M63" s="56">
        <v>160720241717</v>
      </c>
      <c r="N63" s="57" t="b">
        <v>1</v>
      </c>
      <c r="O63" s="58" t="s">
        <v>39</v>
      </c>
      <c r="P63" s="59" t="b">
        <v>1</v>
      </c>
      <c r="Q63" s="129" t="s">
        <v>1661</v>
      </c>
      <c r="R63" s="60"/>
      <c r="S63" s="47" t="b">
        <v>1</v>
      </c>
      <c r="T63" s="61" t="s">
        <v>1660</v>
      </c>
      <c r="U63" s="54">
        <f>60*27.5</f>
        <v>1650</v>
      </c>
      <c r="V63" s="54"/>
      <c r="W63" s="49"/>
      <c r="X63" s="49"/>
    </row>
    <row r="64" spans="1:24" ht="15.75" customHeight="1">
      <c r="A64" s="101"/>
      <c r="B64" s="32"/>
      <c r="C64" s="71" t="s">
        <v>1653</v>
      </c>
      <c r="D64" s="53" t="s">
        <v>51</v>
      </c>
      <c r="E64" s="53" t="s">
        <v>89</v>
      </c>
      <c r="F64" s="66" t="s">
        <v>981</v>
      </c>
      <c r="G64" s="69" t="s">
        <v>467</v>
      </c>
      <c r="H64" s="69" t="s">
        <v>30</v>
      </c>
      <c r="I64" s="69">
        <v>4</v>
      </c>
      <c r="J64" s="70">
        <v>675</v>
      </c>
      <c r="K64" s="54">
        <f t="shared" si="2"/>
        <v>2700</v>
      </c>
      <c r="L64" s="55" t="b">
        <v>1</v>
      </c>
      <c r="M64" s="56">
        <v>160720241718</v>
      </c>
      <c r="N64" s="57" t="b">
        <v>1</v>
      </c>
      <c r="O64" s="58"/>
      <c r="P64" s="59" t="b">
        <v>1</v>
      </c>
      <c r="Q64" s="129"/>
      <c r="R64" s="60"/>
      <c r="S64" s="47" t="b">
        <v>1</v>
      </c>
      <c r="T64" s="61" t="s">
        <v>1651</v>
      </c>
      <c r="U64" s="54"/>
      <c r="V64" s="54"/>
      <c r="W64" s="49"/>
      <c r="X64" s="49"/>
    </row>
    <row r="65" spans="1:24" ht="15.75" customHeight="1">
      <c r="A65" s="101"/>
      <c r="B65" s="32"/>
      <c r="C65" s="71" t="s">
        <v>1653</v>
      </c>
      <c r="D65" s="53" t="s">
        <v>51</v>
      </c>
      <c r="E65" s="53" t="s">
        <v>89</v>
      </c>
      <c r="F65" s="66" t="s">
        <v>981</v>
      </c>
      <c r="G65" s="66" t="s">
        <v>746</v>
      </c>
      <c r="H65" s="69" t="s">
        <v>30</v>
      </c>
      <c r="I65" s="69">
        <v>10</v>
      </c>
      <c r="J65" s="70">
        <v>745</v>
      </c>
      <c r="K65" s="54">
        <f t="shared" si="2"/>
        <v>7450</v>
      </c>
      <c r="L65" s="55" t="b">
        <v>1</v>
      </c>
      <c r="M65" s="56">
        <v>160720241718</v>
      </c>
      <c r="N65" s="57" t="b">
        <v>1</v>
      </c>
      <c r="O65" s="58"/>
      <c r="P65" s="59" t="b">
        <v>1</v>
      </c>
      <c r="Q65" s="129"/>
      <c r="R65" s="60"/>
      <c r="S65" s="47" t="b">
        <v>1</v>
      </c>
      <c r="T65" s="61" t="s">
        <v>1662</v>
      </c>
      <c r="U65" s="54"/>
      <c r="V65" s="54"/>
      <c r="W65" s="49"/>
      <c r="X65" s="49"/>
    </row>
    <row r="66" spans="1:24" ht="15.75" customHeight="1">
      <c r="A66" s="101"/>
      <c r="B66" s="32"/>
      <c r="C66" s="71" t="s">
        <v>1653</v>
      </c>
      <c r="D66" s="53" t="s">
        <v>51</v>
      </c>
      <c r="E66" s="53" t="s">
        <v>89</v>
      </c>
      <c r="F66" s="66" t="s">
        <v>981</v>
      </c>
      <c r="G66" s="69" t="s">
        <v>1663</v>
      </c>
      <c r="H66" s="69" t="s">
        <v>30</v>
      </c>
      <c r="I66" s="69">
        <v>1</v>
      </c>
      <c r="J66" s="70">
        <v>3360</v>
      </c>
      <c r="K66" s="54">
        <f t="shared" si="2"/>
        <v>3360</v>
      </c>
      <c r="L66" s="55" t="b">
        <v>1</v>
      </c>
      <c r="M66" s="56">
        <v>160720241718</v>
      </c>
      <c r="N66" s="57" t="b">
        <v>1</v>
      </c>
      <c r="O66" s="58"/>
      <c r="P66" s="59" t="b">
        <v>1</v>
      </c>
      <c r="Q66" s="129"/>
      <c r="R66" s="60"/>
      <c r="S66" s="47" t="b">
        <v>1</v>
      </c>
      <c r="T66" s="61" t="s">
        <v>1664</v>
      </c>
      <c r="U66" s="54"/>
      <c r="V66" s="54"/>
      <c r="W66" s="49"/>
      <c r="X66" s="49"/>
    </row>
    <row r="67" spans="1:24" ht="15.75" customHeight="1">
      <c r="A67" s="101"/>
      <c r="B67" s="32"/>
      <c r="C67" s="71" t="s">
        <v>1653</v>
      </c>
      <c r="D67" s="53" t="s">
        <v>51</v>
      </c>
      <c r="E67" s="53" t="s">
        <v>89</v>
      </c>
      <c r="F67" s="66" t="s">
        <v>981</v>
      </c>
      <c r="G67" s="69" t="s">
        <v>1665</v>
      </c>
      <c r="H67" s="69" t="s">
        <v>30</v>
      </c>
      <c r="I67" s="69">
        <v>1</v>
      </c>
      <c r="J67" s="70">
        <v>1750</v>
      </c>
      <c r="K67" s="54">
        <f t="shared" si="2"/>
        <v>1750</v>
      </c>
      <c r="L67" s="55" t="b">
        <v>1</v>
      </c>
      <c r="M67" s="56">
        <v>160720241718</v>
      </c>
      <c r="N67" s="57" t="b">
        <v>1</v>
      </c>
      <c r="O67" s="58"/>
      <c r="P67" s="59" t="b">
        <v>1</v>
      </c>
      <c r="Q67" s="129"/>
      <c r="R67" s="60"/>
      <c r="S67" s="47" t="b">
        <v>1</v>
      </c>
      <c r="T67" s="61" t="s">
        <v>1664</v>
      </c>
      <c r="U67" s="54"/>
      <c r="V67" s="54"/>
      <c r="W67" s="49"/>
      <c r="X67" s="49"/>
    </row>
    <row r="68" spans="1:24" ht="15.75" customHeight="1">
      <c r="A68" s="101"/>
      <c r="B68" s="32"/>
      <c r="C68" s="71" t="s">
        <v>1653</v>
      </c>
      <c r="D68" s="53" t="s">
        <v>51</v>
      </c>
      <c r="E68" s="53" t="s">
        <v>89</v>
      </c>
      <c r="F68" s="66" t="s">
        <v>981</v>
      </c>
      <c r="G68" s="69" t="s">
        <v>1666</v>
      </c>
      <c r="H68" s="69" t="s">
        <v>30</v>
      </c>
      <c r="I68" s="69">
        <v>1</v>
      </c>
      <c r="J68" s="70">
        <v>11500</v>
      </c>
      <c r="K68" s="54">
        <f t="shared" si="2"/>
        <v>11500</v>
      </c>
      <c r="L68" s="55" t="b">
        <v>1</v>
      </c>
      <c r="M68" s="56">
        <v>160720241718</v>
      </c>
      <c r="N68" s="57" t="b">
        <v>1</v>
      </c>
      <c r="O68" s="58" t="s">
        <v>39</v>
      </c>
      <c r="P68" s="59" t="b">
        <v>1</v>
      </c>
      <c r="Q68" s="129" t="s">
        <v>1667</v>
      </c>
      <c r="R68" s="60"/>
      <c r="S68" s="47" t="b">
        <v>1</v>
      </c>
      <c r="T68" s="61" t="s">
        <v>1668</v>
      </c>
      <c r="U68" s="54">
        <v>7500</v>
      </c>
      <c r="V68" s="54"/>
      <c r="W68" s="49"/>
      <c r="X68" s="49"/>
    </row>
    <row r="69" spans="1:24" ht="15.75" customHeight="1">
      <c r="A69" s="101"/>
      <c r="B69" s="32"/>
      <c r="C69" s="71" t="s">
        <v>1653</v>
      </c>
      <c r="D69" s="53" t="s">
        <v>51</v>
      </c>
      <c r="E69" s="53" t="s">
        <v>89</v>
      </c>
      <c r="F69" s="66" t="s">
        <v>981</v>
      </c>
      <c r="G69" s="69" t="s">
        <v>389</v>
      </c>
      <c r="H69" s="69" t="s">
        <v>30</v>
      </c>
      <c r="I69" s="69">
        <v>55</v>
      </c>
      <c r="J69" s="70">
        <v>38</v>
      </c>
      <c r="K69" s="54">
        <f t="shared" si="2"/>
        <v>2090</v>
      </c>
      <c r="L69" s="55" t="b">
        <v>1</v>
      </c>
      <c r="M69" s="56">
        <v>160720241718</v>
      </c>
      <c r="N69" s="57" t="b">
        <v>1</v>
      </c>
      <c r="O69" s="58" t="s">
        <v>39</v>
      </c>
      <c r="P69" s="59" t="b">
        <v>1</v>
      </c>
      <c r="Q69" s="129" t="s">
        <v>1669</v>
      </c>
      <c r="R69" s="60"/>
      <c r="S69" s="47" t="b">
        <v>1</v>
      </c>
      <c r="T69" s="61" t="s">
        <v>1668</v>
      </c>
      <c r="U69" s="54">
        <f>55*25</f>
        <v>1375</v>
      </c>
      <c r="V69" s="54"/>
      <c r="W69" s="49"/>
      <c r="X69" s="49"/>
    </row>
    <row r="70" spans="1:24" ht="15.75" customHeight="1">
      <c r="A70" s="101"/>
      <c r="B70" s="32"/>
      <c r="C70" s="71" t="s">
        <v>1670</v>
      </c>
      <c r="D70" s="53" t="s">
        <v>51</v>
      </c>
      <c r="E70" s="53" t="s">
        <v>372</v>
      </c>
      <c r="F70" s="66" t="s">
        <v>373</v>
      </c>
      <c r="G70" s="131" t="s">
        <v>1658</v>
      </c>
      <c r="H70" s="69" t="s">
        <v>30</v>
      </c>
      <c r="I70" s="69">
        <v>1</v>
      </c>
      <c r="J70" s="70">
        <v>4000</v>
      </c>
      <c r="K70" s="54">
        <f t="shared" si="2"/>
        <v>4000</v>
      </c>
      <c r="L70" s="55" t="b">
        <v>1</v>
      </c>
      <c r="M70" s="56">
        <v>170720240902</v>
      </c>
      <c r="N70" s="57" t="b">
        <v>1</v>
      </c>
      <c r="O70" s="58" t="s">
        <v>39</v>
      </c>
      <c r="P70" s="59" t="b">
        <v>1</v>
      </c>
      <c r="Q70" s="129" t="s">
        <v>1671</v>
      </c>
      <c r="R70" s="60"/>
      <c r="S70" s="47" t="b">
        <v>1</v>
      </c>
      <c r="T70" s="61" t="s">
        <v>1672</v>
      </c>
      <c r="U70" s="54">
        <v>2700</v>
      </c>
      <c r="V70" s="54"/>
      <c r="W70" s="49"/>
      <c r="X70" s="49"/>
    </row>
    <row r="71" spans="1:24" ht="15.75" customHeight="1">
      <c r="A71" s="101"/>
      <c r="B71" s="32"/>
      <c r="C71" s="71" t="s">
        <v>1670</v>
      </c>
      <c r="D71" s="53" t="s">
        <v>51</v>
      </c>
      <c r="E71" s="53" t="s">
        <v>372</v>
      </c>
      <c r="F71" s="66" t="s">
        <v>373</v>
      </c>
      <c r="G71" s="69" t="s">
        <v>389</v>
      </c>
      <c r="H71" s="69" t="s">
        <v>30</v>
      </c>
      <c r="I71" s="69">
        <v>35</v>
      </c>
      <c r="J71" s="70">
        <v>41</v>
      </c>
      <c r="K71" s="54">
        <f t="shared" si="2"/>
        <v>1435</v>
      </c>
      <c r="L71" s="55" t="b">
        <v>1</v>
      </c>
      <c r="M71" s="56">
        <v>170720240903</v>
      </c>
      <c r="N71" s="57" t="b">
        <v>1</v>
      </c>
      <c r="O71" s="58" t="s">
        <v>39</v>
      </c>
      <c r="P71" s="59" t="b">
        <v>1</v>
      </c>
      <c r="Q71" s="129" t="s">
        <v>1661</v>
      </c>
      <c r="R71" s="60"/>
      <c r="S71" s="47" t="b">
        <v>1</v>
      </c>
      <c r="T71" s="61" t="s">
        <v>1672</v>
      </c>
      <c r="U71" s="54">
        <f>35*41</f>
        <v>1435</v>
      </c>
      <c r="V71" s="54"/>
      <c r="W71" s="49"/>
      <c r="X71" s="49"/>
    </row>
    <row r="72" spans="1:24" ht="15.75" customHeight="1">
      <c r="A72" s="101"/>
      <c r="B72" s="32"/>
      <c r="C72" s="71" t="s">
        <v>1670</v>
      </c>
      <c r="D72" s="53" t="s">
        <v>104</v>
      </c>
      <c r="E72" s="53" t="s">
        <v>1673</v>
      </c>
      <c r="F72" s="66" t="s">
        <v>370</v>
      </c>
      <c r="G72" s="69" t="s">
        <v>229</v>
      </c>
      <c r="H72" s="69" t="s">
        <v>30</v>
      </c>
      <c r="I72" s="69">
        <v>1</v>
      </c>
      <c r="J72" s="70">
        <v>535</v>
      </c>
      <c r="K72" s="54">
        <f t="shared" si="2"/>
        <v>535</v>
      </c>
      <c r="L72" s="55" t="b">
        <v>1</v>
      </c>
      <c r="M72" s="56">
        <v>170720241310</v>
      </c>
      <c r="N72" s="57" t="b">
        <v>1</v>
      </c>
      <c r="O72" s="58"/>
      <c r="P72" s="59" t="b">
        <v>1</v>
      </c>
      <c r="Q72" s="129"/>
      <c r="R72" s="60"/>
      <c r="S72" s="47" t="b">
        <v>1</v>
      </c>
      <c r="T72" s="61" t="s">
        <v>1674</v>
      </c>
      <c r="U72" s="54"/>
      <c r="V72" s="54"/>
      <c r="W72" s="49"/>
      <c r="X72" s="49"/>
    </row>
    <row r="73" spans="1:24" ht="15.75" customHeight="1">
      <c r="A73" s="101"/>
      <c r="B73" s="32"/>
      <c r="C73" s="71" t="s">
        <v>1675</v>
      </c>
      <c r="D73" s="53" t="s">
        <v>433</v>
      </c>
      <c r="E73" s="53" t="s">
        <v>706</v>
      </c>
      <c r="F73" s="66" t="s">
        <v>707</v>
      </c>
      <c r="G73" s="69" t="s">
        <v>1676</v>
      </c>
      <c r="H73" s="69" t="s">
        <v>30</v>
      </c>
      <c r="I73" s="69">
        <v>25</v>
      </c>
      <c r="J73" s="70">
        <v>29</v>
      </c>
      <c r="K73" s="54">
        <f t="shared" si="2"/>
        <v>725</v>
      </c>
      <c r="L73" s="55" t="b">
        <v>1</v>
      </c>
      <c r="M73" s="56">
        <v>170720241345</v>
      </c>
      <c r="N73" s="57" t="b">
        <v>1</v>
      </c>
      <c r="O73" s="58"/>
      <c r="P73" s="59" t="b">
        <v>1</v>
      </c>
      <c r="Q73" s="129"/>
      <c r="R73" s="60"/>
      <c r="S73" s="47" t="b">
        <v>1</v>
      </c>
      <c r="T73" s="61" t="s">
        <v>1677</v>
      </c>
      <c r="U73" s="54">
        <f>25*15</f>
        <v>375</v>
      </c>
      <c r="V73" s="54"/>
      <c r="W73" s="49"/>
      <c r="X73" s="49"/>
    </row>
    <row r="74" spans="1:24" ht="15.75" customHeight="1">
      <c r="A74" s="101"/>
      <c r="B74" s="32"/>
      <c r="C74" s="71" t="s">
        <v>1670</v>
      </c>
      <c r="D74" s="53" t="s">
        <v>212</v>
      </c>
      <c r="E74" s="53" t="s">
        <v>213</v>
      </c>
      <c r="F74" s="66" t="s">
        <v>214</v>
      </c>
      <c r="G74" s="69" t="s">
        <v>1367</v>
      </c>
      <c r="H74" s="69" t="s">
        <v>30</v>
      </c>
      <c r="I74" s="69">
        <v>6</v>
      </c>
      <c r="J74" s="70">
        <v>745</v>
      </c>
      <c r="K74" s="54">
        <f t="shared" si="2"/>
        <v>4470</v>
      </c>
      <c r="L74" s="55" t="b">
        <v>1</v>
      </c>
      <c r="M74" s="56">
        <v>170720241547</v>
      </c>
      <c r="N74" s="57" t="b">
        <v>1</v>
      </c>
      <c r="O74" s="58"/>
      <c r="P74" s="59" t="b">
        <v>1</v>
      </c>
      <c r="Q74" s="129"/>
      <c r="R74" s="60"/>
      <c r="S74" s="47" t="b">
        <v>1</v>
      </c>
      <c r="T74" s="61" t="s">
        <v>1678</v>
      </c>
      <c r="U74" s="54"/>
      <c r="V74" s="54"/>
      <c r="W74" s="49"/>
      <c r="X74" s="49"/>
    </row>
    <row r="75" spans="1:24" ht="15.75" customHeight="1">
      <c r="A75" s="101"/>
      <c r="B75" s="32"/>
      <c r="C75" s="71" t="s">
        <v>1670</v>
      </c>
      <c r="D75" s="53" t="s">
        <v>51</v>
      </c>
      <c r="E75" s="53" t="s">
        <v>66</v>
      </c>
      <c r="F75" s="66" t="s">
        <v>67</v>
      </c>
      <c r="G75" s="69" t="s">
        <v>1679</v>
      </c>
      <c r="H75" s="69" t="s">
        <v>30</v>
      </c>
      <c r="I75" s="69">
        <v>100</v>
      </c>
      <c r="J75" s="70">
        <v>41</v>
      </c>
      <c r="K75" s="54">
        <f t="shared" si="2"/>
        <v>4100</v>
      </c>
      <c r="L75" s="55" t="b">
        <v>1</v>
      </c>
      <c r="M75" s="56">
        <v>170720241733</v>
      </c>
      <c r="N75" s="57" t="b">
        <v>1</v>
      </c>
      <c r="O75" s="58" t="s">
        <v>39</v>
      </c>
      <c r="P75" s="59" t="b">
        <v>1</v>
      </c>
      <c r="Q75" s="129" t="s">
        <v>1661</v>
      </c>
      <c r="R75" s="60"/>
      <c r="S75" s="47" t="b">
        <v>1</v>
      </c>
      <c r="T75" s="61" t="s">
        <v>1680</v>
      </c>
      <c r="U75" s="54">
        <f>100*27.5</f>
        <v>2750</v>
      </c>
      <c r="V75" s="54"/>
      <c r="W75" s="49"/>
      <c r="X75" s="49"/>
    </row>
    <row r="76" spans="1:24" ht="15.75" customHeight="1">
      <c r="A76" s="101"/>
      <c r="B76" s="32"/>
      <c r="C76" s="71" t="s">
        <v>1681</v>
      </c>
      <c r="D76" s="53" t="s">
        <v>51</v>
      </c>
      <c r="E76" s="53" t="s">
        <v>335</v>
      </c>
      <c r="F76" s="66" t="s">
        <v>457</v>
      </c>
      <c r="G76" s="69" t="s">
        <v>1658</v>
      </c>
      <c r="H76" s="69" t="s">
        <v>30</v>
      </c>
      <c r="I76" s="69">
        <v>2</v>
      </c>
      <c r="J76" s="70">
        <v>4000</v>
      </c>
      <c r="K76" s="54">
        <f t="shared" si="2"/>
        <v>8000</v>
      </c>
      <c r="L76" s="55" t="b">
        <v>1</v>
      </c>
      <c r="M76" s="56">
        <v>180820241344</v>
      </c>
      <c r="N76" s="57" t="b">
        <v>1</v>
      </c>
      <c r="O76" s="58" t="s">
        <v>39</v>
      </c>
      <c r="P76" s="59" t="b">
        <v>1</v>
      </c>
      <c r="Q76" s="129" t="s">
        <v>1682</v>
      </c>
      <c r="R76" s="60"/>
      <c r="S76" s="47" t="b">
        <v>1</v>
      </c>
      <c r="T76" s="61" t="s">
        <v>1683</v>
      </c>
      <c r="U76" s="54">
        <v>2700</v>
      </c>
      <c r="V76" s="54"/>
      <c r="W76" s="49"/>
      <c r="X76" s="49"/>
    </row>
    <row r="77" spans="1:24" ht="15.75" customHeight="1">
      <c r="A77" s="101"/>
      <c r="B77" s="32"/>
      <c r="C77" s="71" t="s">
        <v>1681</v>
      </c>
      <c r="D77" s="53" t="s">
        <v>51</v>
      </c>
      <c r="E77" s="53" t="s">
        <v>335</v>
      </c>
      <c r="F77" s="66" t="s">
        <v>457</v>
      </c>
      <c r="G77" s="69" t="s">
        <v>1679</v>
      </c>
      <c r="H77" s="69" t="s">
        <v>30</v>
      </c>
      <c r="I77" s="69">
        <v>55</v>
      </c>
      <c r="J77" s="70">
        <v>41</v>
      </c>
      <c r="K77" s="54">
        <f t="shared" si="2"/>
        <v>2255</v>
      </c>
      <c r="L77" s="55" t="b">
        <v>1</v>
      </c>
      <c r="M77" s="56">
        <v>180820241346</v>
      </c>
      <c r="N77" s="57" t="b">
        <v>1</v>
      </c>
      <c r="O77" s="58" t="s">
        <v>39</v>
      </c>
      <c r="P77" s="59" t="b">
        <v>1</v>
      </c>
      <c r="Q77" s="129" t="s">
        <v>1661</v>
      </c>
      <c r="R77" s="60"/>
      <c r="S77" s="47" t="b">
        <v>1</v>
      </c>
      <c r="T77" s="61" t="s">
        <v>1684</v>
      </c>
      <c r="U77" s="54">
        <f>60*27.5</f>
        <v>1650</v>
      </c>
      <c r="V77" s="54"/>
      <c r="W77" s="49"/>
      <c r="X77" s="49"/>
    </row>
    <row r="78" spans="1:24" ht="15.75" customHeight="1">
      <c r="A78" s="101"/>
      <c r="B78" s="32"/>
      <c r="C78" s="71" t="s">
        <v>1681</v>
      </c>
      <c r="D78" s="53" t="s">
        <v>474</v>
      </c>
      <c r="E78" s="53" t="s">
        <v>594</v>
      </c>
      <c r="F78" s="66" t="s">
        <v>595</v>
      </c>
      <c r="G78" s="69" t="s">
        <v>1679</v>
      </c>
      <c r="H78" s="69" t="s">
        <v>30</v>
      </c>
      <c r="I78" s="69">
        <v>75</v>
      </c>
      <c r="J78" s="70">
        <v>41</v>
      </c>
      <c r="K78" s="54">
        <f t="shared" si="2"/>
        <v>3075</v>
      </c>
      <c r="L78" s="55" t="b">
        <v>1</v>
      </c>
      <c r="M78" s="56">
        <v>180720241356</v>
      </c>
      <c r="N78" s="57" t="b">
        <v>1</v>
      </c>
      <c r="O78" s="58" t="s">
        <v>39</v>
      </c>
      <c r="P78" s="59" t="b">
        <v>1</v>
      </c>
      <c r="Q78" s="129">
        <v>27.5</v>
      </c>
      <c r="R78" s="60"/>
      <c r="S78" s="47" t="b">
        <v>1</v>
      </c>
      <c r="T78" s="61" t="s">
        <v>1685</v>
      </c>
      <c r="U78" s="54">
        <v>2062.5</v>
      </c>
      <c r="V78" s="54"/>
      <c r="W78" s="49"/>
      <c r="X78" s="49"/>
    </row>
    <row r="79" spans="1:24" ht="15.75" customHeight="1">
      <c r="A79" s="101"/>
      <c r="B79" s="32"/>
      <c r="C79" s="71" t="s">
        <v>1670</v>
      </c>
      <c r="D79" s="53" t="s">
        <v>51</v>
      </c>
      <c r="E79" s="53" t="s">
        <v>335</v>
      </c>
      <c r="F79" s="66" t="s">
        <v>339</v>
      </c>
      <c r="G79" s="69" t="s">
        <v>1686</v>
      </c>
      <c r="H79" s="69" t="s">
        <v>30</v>
      </c>
      <c r="I79" s="69">
        <v>1</v>
      </c>
      <c r="J79" s="70">
        <v>1500</v>
      </c>
      <c r="K79" s="54">
        <f t="shared" si="2"/>
        <v>1500</v>
      </c>
      <c r="L79" s="55" t="b">
        <v>1</v>
      </c>
      <c r="M79" s="56">
        <v>180820241424</v>
      </c>
      <c r="N79" s="57" t="b">
        <v>1</v>
      </c>
      <c r="O79" s="58" t="s">
        <v>1403</v>
      </c>
      <c r="P79" s="59" t="b">
        <v>1</v>
      </c>
      <c r="Q79" s="129" t="s">
        <v>1687</v>
      </c>
      <c r="R79" s="60"/>
      <c r="S79" s="47" t="b">
        <v>1</v>
      </c>
      <c r="T79" s="61" t="s">
        <v>1688</v>
      </c>
      <c r="U79" s="54">
        <v>1000</v>
      </c>
      <c r="V79" s="54"/>
      <c r="W79" s="49"/>
      <c r="X79" s="49"/>
    </row>
    <row r="80" spans="1:24" ht="15.75" customHeight="1">
      <c r="A80" s="101"/>
      <c r="B80" s="32"/>
      <c r="C80" s="71" t="s">
        <v>1670</v>
      </c>
      <c r="D80" s="53" t="s">
        <v>104</v>
      </c>
      <c r="E80" s="53" t="s">
        <v>1689</v>
      </c>
      <c r="F80" s="66" t="s">
        <v>737</v>
      </c>
      <c r="G80" s="69" t="s">
        <v>1690</v>
      </c>
      <c r="H80" s="69" t="s">
        <v>30</v>
      </c>
      <c r="I80" s="69">
        <v>1</v>
      </c>
      <c r="J80" s="70">
        <v>25000</v>
      </c>
      <c r="K80" s="54">
        <f t="shared" si="2"/>
        <v>25000</v>
      </c>
      <c r="L80" s="55" t="b">
        <v>1</v>
      </c>
      <c r="M80" s="56">
        <v>180720241710</v>
      </c>
      <c r="N80" s="57" t="b">
        <v>1</v>
      </c>
      <c r="O80" s="58" t="s">
        <v>529</v>
      </c>
      <c r="P80" s="59" t="b">
        <v>1</v>
      </c>
      <c r="Q80" s="129" t="s">
        <v>1691</v>
      </c>
      <c r="R80" s="60"/>
      <c r="S80" s="47" t="b">
        <v>1</v>
      </c>
      <c r="T80" s="61" t="s">
        <v>1692</v>
      </c>
      <c r="U80" s="54"/>
      <c r="V80" s="54"/>
      <c r="W80" s="49"/>
      <c r="X80" s="49"/>
    </row>
    <row r="81" spans="1:24" ht="15.75" customHeight="1">
      <c r="A81" s="101"/>
      <c r="B81" s="32"/>
      <c r="C81" s="71" t="s">
        <v>1693</v>
      </c>
      <c r="D81" s="53" t="s">
        <v>51</v>
      </c>
      <c r="E81" s="53" t="s">
        <v>201</v>
      </c>
      <c r="F81" s="66" t="s">
        <v>1208</v>
      </c>
      <c r="G81" s="69" t="s">
        <v>1694</v>
      </c>
      <c r="H81" s="69" t="s">
        <v>30</v>
      </c>
      <c r="I81" s="69">
        <v>1</v>
      </c>
      <c r="J81" s="70">
        <v>2750</v>
      </c>
      <c r="K81" s="54">
        <f t="shared" si="2"/>
        <v>2750</v>
      </c>
      <c r="L81" s="55" t="b">
        <v>1</v>
      </c>
      <c r="M81" s="56">
        <v>190720240714</v>
      </c>
      <c r="N81" s="57" t="b">
        <v>1</v>
      </c>
      <c r="O81" s="58"/>
      <c r="P81" s="59" t="b">
        <v>1</v>
      </c>
      <c r="Q81" s="149"/>
      <c r="R81" s="60"/>
      <c r="S81" s="47" t="b">
        <v>1</v>
      </c>
      <c r="T81" s="61" t="s">
        <v>1695</v>
      </c>
      <c r="U81" s="54"/>
      <c r="V81" s="54"/>
      <c r="W81" s="49"/>
      <c r="X81" s="49"/>
    </row>
    <row r="82" spans="1:24" ht="15.75" customHeight="1">
      <c r="A82" s="101"/>
      <c r="B82" s="32"/>
      <c r="C82" s="71" t="s">
        <v>1693</v>
      </c>
      <c r="D82" s="53" t="s">
        <v>51</v>
      </c>
      <c r="E82" s="53" t="s">
        <v>201</v>
      </c>
      <c r="F82" s="66" t="s">
        <v>1208</v>
      </c>
      <c r="G82" s="69" t="s">
        <v>1696</v>
      </c>
      <c r="H82" s="69" t="s">
        <v>30</v>
      </c>
      <c r="I82" s="69">
        <v>1</v>
      </c>
      <c r="J82" s="70">
        <v>4000</v>
      </c>
      <c r="K82" s="54">
        <f t="shared" si="2"/>
        <v>4000</v>
      </c>
      <c r="L82" s="55" t="b">
        <v>1</v>
      </c>
      <c r="M82" s="56">
        <v>190720240714</v>
      </c>
      <c r="N82" s="57" t="b">
        <v>1</v>
      </c>
      <c r="O82" s="58"/>
      <c r="P82" s="59" t="b">
        <v>1</v>
      </c>
      <c r="Q82" s="129"/>
      <c r="R82" s="60"/>
      <c r="S82" s="47" t="b">
        <v>1</v>
      </c>
      <c r="T82" s="61" t="s">
        <v>1695</v>
      </c>
      <c r="U82" s="54"/>
      <c r="V82" s="54"/>
      <c r="W82" s="49"/>
      <c r="X82" s="49"/>
    </row>
    <row r="83" spans="1:24" ht="15.75" customHeight="1">
      <c r="A83" s="101"/>
      <c r="B83" s="32"/>
      <c r="C83" s="71" t="s">
        <v>1693</v>
      </c>
      <c r="D83" s="53" t="s">
        <v>171</v>
      </c>
      <c r="E83" s="53" t="s">
        <v>137</v>
      </c>
      <c r="F83" s="66" t="s">
        <v>1545</v>
      </c>
      <c r="G83" s="69" t="s">
        <v>49</v>
      </c>
      <c r="H83" s="69" t="s">
        <v>30</v>
      </c>
      <c r="I83" s="69">
        <v>10</v>
      </c>
      <c r="J83" s="70">
        <v>695</v>
      </c>
      <c r="K83" s="54">
        <f t="shared" si="2"/>
        <v>6950</v>
      </c>
      <c r="L83" s="55" t="b">
        <v>1</v>
      </c>
      <c r="M83" s="56">
        <v>190720240717</v>
      </c>
      <c r="N83" s="57" t="b">
        <v>1</v>
      </c>
      <c r="O83" s="58" t="s">
        <v>31</v>
      </c>
      <c r="P83" s="59" t="b">
        <v>1</v>
      </c>
      <c r="Q83" s="129"/>
      <c r="R83" s="60"/>
      <c r="S83" s="47" t="b">
        <v>1</v>
      </c>
      <c r="T83" s="61" t="s">
        <v>1697</v>
      </c>
      <c r="U83" s="54">
        <f>10000*0.46</f>
        <v>4600</v>
      </c>
      <c r="V83" s="54"/>
      <c r="W83" s="49"/>
      <c r="X83" s="49"/>
    </row>
    <row r="84" spans="1:24" ht="15.75" customHeight="1">
      <c r="A84" s="101"/>
      <c r="B84" s="32"/>
      <c r="C84" s="71" t="s">
        <v>1698</v>
      </c>
      <c r="D84" s="53" t="s">
        <v>51</v>
      </c>
      <c r="E84" s="53" t="s">
        <v>89</v>
      </c>
      <c r="F84" s="66" t="s">
        <v>1699</v>
      </c>
      <c r="G84" s="69" t="s">
        <v>1700</v>
      </c>
      <c r="H84" s="69" t="s">
        <v>30</v>
      </c>
      <c r="I84" s="161">
        <v>400</v>
      </c>
      <c r="J84" s="70">
        <v>15</v>
      </c>
      <c r="K84" s="54">
        <f t="shared" si="2"/>
        <v>6000</v>
      </c>
      <c r="L84" s="55" t="b">
        <v>1</v>
      </c>
      <c r="M84" s="56">
        <v>200720241248</v>
      </c>
      <c r="N84" s="57" t="b">
        <v>1</v>
      </c>
      <c r="O84" s="58" t="s">
        <v>529</v>
      </c>
      <c r="P84" s="59" t="b">
        <v>1</v>
      </c>
      <c r="Q84" s="129"/>
      <c r="R84" s="61" t="s">
        <v>1701</v>
      </c>
      <c r="S84" s="47" t="b">
        <v>1</v>
      </c>
      <c r="T84" s="61" t="s">
        <v>1702</v>
      </c>
      <c r="U84" s="54"/>
      <c r="V84" s="54"/>
      <c r="W84" s="49"/>
      <c r="X84" s="49"/>
    </row>
    <row r="85" spans="1:24" ht="15.75" customHeight="1">
      <c r="A85" s="101"/>
      <c r="B85" s="32"/>
      <c r="C85" s="71" t="s">
        <v>1698</v>
      </c>
      <c r="D85" s="53" t="s">
        <v>51</v>
      </c>
      <c r="E85" s="53" t="s">
        <v>66</v>
      </c>
      <c r="F85" s="66" t="s">
        <v>1703</v>
      </c>
      <c r="G85" s="69" t="s">
        <v>68</v>
      </c>
      <c r="H85" s="69" t="s">
        <v>30</v>
      </c>
      <c r="I85" s="69">
        <v>3</v>
      </c>
      <c r="J85" s="70">
        <v>2350</v>
      </c>
      <c r="K85" s="54">
        <f t="shared" si="2"/>
        <v>7050</v>
      </c>
      <c r="L85" s="55" t="b">
        <v>1</v>
      </c>
      <c r="M85" s="56">
        <v>200720241251</v>
      </c>
      <c r="N85" s="57" t="b">
        <v>1</v>
      </c>
      <c r="O85" s="58"/>
      <c r="P85" s="59" t="b">
        <v>1</v>
      </c>
      <c r="Q85" s="129"/>
      <c r="R85" s="61" t="s">
        <v>1704</v>
      </c>
      <c r="S85" s="47" t="b">
        <v>1</v>
      </c>
      <c r="T85" s="61" t="s">
        <v>1705</v>
      </c>
      <c r="U85" s="54"/>
      <c r="V85" s="54"/>
      <c r="W85" s="49"/>
      <c r="X85" s="49"/>
    </row>
    <row r="86" spans="1:24" ht="15.75" customHeight="1">
      <c r="A86" s="101"/>
      <c r="B86" s="32"/>
      <c r="C86" s="71" t="s">
        <v>1698</v>
      </c>
      <c r="D86" s="53" t="s">
        <v>26</v>
      </c>
      <c r="E86" s="53" t="s">
        <v>158</v>
      </c>
      <c r="F86" s="66" t="s">
        <v>1014</v>
      </c>
      <c r="G86" s="69" t="s">
        <v>49</v>
      </c>
      <c r="H86" s="69" t="s">
        <v>30</v>
      </c>
      <c r="I86" s="69">
        <v>5</v>
      </c>
      <c r="J86" s="70">
        <v>695</v>
      </c>
      <c r="K86" s="54">
        <f t="shared" si="2"/>
        <v>3475</v>
      </c>
      <c r="L86" s="55" t="b">
        <v>1</v>
      </c>
      <c r="M86" s="56">
        <v>200720241427</v>
      </c>
      <c r="N86" s="57" t="b">
        <v>1</v>
      </c>
      <c r="O86" s="58"/>
      <c r="P86" s="59" t="b">
        <v>1</v>
      </c>
      <c r="Q86" s="129"/>
      <c r="R86" s="60"/>
      <c r="S86" s="47" t="b">
        <v>1</v>
      </c>
      <c r="T86" s="61" t="s">
        <v>1706</v>
      </c>
      <c r="U86" s="54"/>
      <c r="V86" s="54"/>
      <c r="W86" s="49"/>
      <c r="X86" s="49"/>
    </row>
    <row r="87" spans="1:24" ht="15.75" customHeight="1">
      <c r="A87" s="101"/>
      <c r="B87" s="32"/>
      <c r="C87" s="71" t="s">
        <v>1698</v>
      </c>
      <c r="D87" s="53" t="s">
        <v>104</v>
      </c>
      <c r="E87" s="53" t="s">
        <v>292</v>
      </c>
      <c r="F87" s="66" t="s">
        <v>1707</v>
      </c>
      <c r="G87" s="69" t="s">
        <v>1708</v>
      </c>
      <c r="H87" s="69" t="s">
        <v>30</v>
      </c>
      <c r="I87" s="69">
        <v>50</v>
      </c>
      <c r="J87" s="70">
        <v>695</v>
      </c>
      <c r="K87" s="70">
        <f>J87*I87</f>
        <v>34750</v>
      </c>
      <c r="L87" s="55" t="b">
        <v>1</v>
      </c>
      <c r="M87" s="56">
        <v>200720241428</v>
      </c>
      <c r="N87" s="57" t="b">
        <v>1</v>
      </c>
      <c r="O87" s="58"/>
      <c r="P87" s="59" t="b">
        <v>1</v>
      </c>
      <c r="Q87" s="129"/>
      <c r="R87" s="60"/>
      <c r="S87" s="47" t="b">
        <v>1</v>
      </c>
      <c r="T87" s="61" t="s">
        <v>1709</v>
      </c>
      <c r="U87" s="54"/>
      <c r="V87" s="54"/>
      <c r="W87" s="49"/>
      <c r="X87" s="49"/>
    </row>
    <row r="88" spans="1:24" ht="15.75" customHeight="1">
      <c r="A88" s="101"/>
      <c r="B88" s="32"/>
      <c r="C88" s="71" t="s">
        <v>1698</v>
      </c>
      <c r="D88" s="53" t="s">
        <v>51</v>
      </c>
      <c r="E88" s="53" t="s">
        <v>52</v>
      </c>
      <c r="F88" s="66" t="s">
        <v>1710</v>
      </c>
      <c r="G88" s="69" t="s">
        <v>1711</v>
      </c>
      <c r="H88" s="69" t="s">
        <v>30</v>
      </c>
      <c r="I88" s="69">
        <v>2</v>
      </c>
      <c r="J88" s="70">
        <v>1390</v>
      </c>
      <c r="K88" s="54">
        <f t="shared" ref="K88:K164" si="4">I88*J88</f>
        <v>2780</v>
      </c>
      <c r="L88" s="55" t="b">
        <v>1</v>
      </c>
      <c r="M88" s="56">
        <v>200720241647</v>
      </c>
      <c r="N88" s="57" t="b">
        <v>1</v>
      </c>
      <c r="O88" s="58"/>
      <c r="P88" s="59" t="b">
        <v>1</v>
      </c>
      <c r="Q88" s="129"/>
      <c r="R88" s="173"/>
      <c r="S88" s="47" t="b">
        <v>1</v>
      </c>
      <c r="T88" s="61" t="s">
        <v>1712</v>
      </c>
      <c r="U88" s="54"/>
      <c r="V88" s="54"/>
      <c r="W88" s="49"/>
      <c r="X88" s="49"/>
    </row>
    <row r="89" spans="1:24" ht="15.75" customHeight="1">
      <c r="A89" s="101"/>
      <c r="B89" s="32"/>
      <c r="C89" s="71" t="s">
        <v>1713</v>
      </c>
      <c r="D89" s="53" t="s">
        <v>51</v>
      </c>
      <c r="E89" s="53" t="s">
        <v>89</v>
      </c>
      <c r="F89" s="151" t="s">
        <v>90</v>
      </c>
      <c r="G89" s="69" t="s">
        <v>1714</v>
      </c>
      <c r="H89" s="69" t="s">
        <v>30</v>
      </c>
      <c r="I89" s="69">
        <v>1</v>
      </c>
      <c r="J89" s="70">
        <v>800</v>
      </c>
      <c r="K89" s="54">
        <f t="shared" si="4"/>
        <v>800</v>
      </c>
      <c r="L89" s="55" t="b">
        <v>1</v>
      </c>
      <c r="M89" s="56">
        <v>220720240932</v>
      </c>
      <c r="N89" s="57" t="b">
        <v>1</v>
      </c>
      <c r="O89" s="58"/>
      <c r="P89" s="59" t="b">
        <v>1</v>
      </c>
      <c r="Q89" s="129"/>
      <c r="R89" s="174"/>
      <c r="S89" s="47" t="b">
        <v>1</v>
      </c>
      <c r="T89" s="61" t="s">
        <v>1715</v>
      </c>
      <c r="U89" s="54"/>
      <c r="V89" s="54"/>
      <c r="W89" s="49"/>
      <c r="X89" s="49"/>
    </row>
    <row r="90" spans="1:24" ht="15.75" customHeight="1">
      <c r="A90" s="101"/>
      <c r="B90" s="32"/>
      <c r="C90" s="71" t="s">
        <v>1713</v>
      </c>
      <c r="D90" s="53" t="s">
        <v>51</v>
      </c>
      <c r="E90" s="53" t="s">
        <v>52</v>
      </c>
      <c r="F90" s="151" t="s">
        <v>1710</v>
      </c>
      <c r="G90" s="69" t="s">
        <v>1191</v>
      </c>
      <c r="H90" s="69" t="s">
        <v>30</v>
      </c>
      <c r="I90" s="69">
        <v>5</v>
      </c>
      <c r="J90" s="70">
        <v>150</v>
      </c>
      <c r="K90" s="54">
        <f t="shared" si="4"/>
        <v>750</v>
      </c>
      <c r="L90" s="55" t="b">
        <v>1</v>
      </c>
      <c r="M90" s="56" t="s">
        <v>529</v>
      </c>
      <c r="N90" s="57" t="b">
        <v>1</v>
      </c>
      <c r="O90" s="58"/>
      <c r="P90" s="59" t="b">
        <v>1</v>
      </c>
      <c r="Q90" s="129"/>
      <c r="R90" s="60"/>
      <c r="S90" s="47" t="b">
        <v>1</v>
      </c>
      <c r="T90" s="61" t="s">
        <v>1716</v>
      </c>
      <c r="U90" s="54"/>
      <c r="V90" s="54"/>
      <c r="W90" s="49"/>
      <c r="X90" s="49"/>
    </row>
    <row r="91" spans="1:24" ht="15.75" customHeight="1">
      <c r="A91" s="101"/>
      <c r="B91" s="32"/>
      <c r="C91" s="71" t="s">
        <v>1713</v>
      </c>
      <c r="D91" s="53" t="s">
        <v>51</v>
      </c>
      <c r="E91" s="53" t="s">
        <v>1717</v>
      </c>
      <c r="F91" s="151" t="s">
        <v>90</v>
      </c>
      <c r="G91" s="69" t="s">
        <v>1718</v>
      </c>
      <c r="H91" s="69" t="s">
        <v>30</v>
      </c>
      <c r="I91" s="69">
        <v>2</v>
      </c>
      <c r="J91" s="70">
        <v>1500</v>
      </c>
      <c r="K91" s="54">
        <f t="shared" si="4"/>
        <v>3000</v>
      </c>
      <c r="L91" s="55" t="b">
        <v>1</v>
      </c>
      <c r="M91" s="56">
        <v>220720241420</v>
      </c>
      <c r="N91" s="57" t="b">
        <v>1</v>
      </c>
      <c r="O91" s="58"/>
      <c r="P91" s="59" t="b">
        <v>1</v>
      </c>
      <c r="Q91" s="129"/>
      <c r="R91" s="60"/>
      <c r="S91" s="47" t="b">
        <v>1</v>
      </c>
      <c r="T91" s="61" t="s">
        <v>1664</v>
      </c>
      <c r="U91" s="54"/>
      <c r="V91" s="54"/>
      <c r="W91" s="49"/>
      <c r="X91" s="49"/>
    </row>
    <row r="92" spans="1:24" ht="15.75" customHeight="1">
      <c r="A92" s="101"/>
      <c r="B92" s="32"/>
      <c r="C92" s="71" t="s">
        <v>1713</v>
      </c>
      <c r="D92" s="53" t="s">
        <v>51</v>
      </c>
      <c r="E92" s="53" t="s">
        <v>89</v>
      </c>
      <c r="F92" s="151" t="s">
        <v>90</v>
      </c>
      <c r="G92" s="69" t="s">
        <v>1719</v>
      </c>
      <c r="H92" s="69" t="s">
        <v>30</v>
      </c>
      <c r="I92" s="69">
        <v>1</v>
      </c>
      <c r="J92" s="70">
        <v>950</v>
      </c>
      <c r="K92" s="54">
        <f t="shared" si="4"/>
        <v>950</v>
      </c>
      <c r="L92" s="55" t="b">
        <v>1</v>
      </c>
      <c r="M92" s="56">
        <v>220720241430</v>
      </c>
      <c r="N92" s="57" t="b">
        <v>1</v>
      </c>
      <c r="O92" s="58"/>
      <c r="P92" s="59" t="b">
        <v>1</v>
      </c>
      <c r="Q92" s="129"/>
      <c r="R92" s="60"/>
      <c r="S92" s="47" t="b">
        <v>1</v>
      </c>
      <c r="T92" s="61" t="s">
        <v>1664</v>
      </c>
      <c r="U92" s="54"/>
      <c r="V92" s="54"/>
      <c r="W92" s="49"/>
      <c r="X92" s="49"/>
    </row>
    <row r="93" spans="1:24" ht="15.75" customHeight="1">
      <c r="A93" s="101"/>
      <c r="B93" s="32"/>
      <c r="C93" s="71" t="s">
        <v>1713</v>
      </c>
      <c r="D93" s="53" t="s">
        <v>104</v>
      </c>
      <c r="E93" s="53" t="s">
        <v>486</v>
      </c>
      <c r="F93" s="151" t="s">
        <v>1720</v>
      </c>
      <c r="G93" s="69" t="s">
        <v>1721</v>
      </c>
      <c r="H93" s="69" t="s">
        <v>30</v>
      </c>
      <c r="I93" s="69">
        <v>1</v>
      </c>
      <c r="J93" s="70">
        <v>325</v>
      </c>
      <c r="K93" s="54">
        <f t="shared" si="4"/>
        <v>325</v>
      </c>
      <c r="L93" s="55" t="b">
        <v>1</v>
      </c>
      <c r="M93" s="56">
        <v>220720241454</v>
      </c>
      <c r="N93" s="57" t="b">
        <v>1</v>
      </c>
      <c r="O93" s="58"/>
      <c r="P93" s="59" t="b">
        <v>1</v>
      </c>
      <c r="Q93" s="129"/>
      <c r="R93" s="60"/>
      <c r="S93" s="47" t="b">
        <v>1</v>
      </c>
      <c r="T93" s="61" t="s">
        <v>1722</v>
      </c>
      <c r="U93" s="54"/>
      <c r="V93" s="54"/>
      <c r="W93" s="49"/>
      <c r="X93" s="49"/>
    </row>
    <row r="94" spans="1:24" ht="15.75" customHeight="1">
      <c r="A94" s="101"/>
      <c r="B94" s="32"/>
      <c r="C94" s="71" t="s">
        <v>1713</v>
      </c>
      <c r="D94" s="53" t="s">
        <v>1133</v>
      </c>
      <c r="E94" s="53" t="s">
        <v>1723</v>
      </c>
      <c r="F94" s="151" t="s">
        <v>1439</v>
      </c>
      <c r="G94" s="69" t="s">
        <v>467</v>
      </c>
      <c r="H94" s="69" t="s">
        <v>30</v>
      </c>
      <c r="I94" s="69">
        <v>10</v>
      </c>
      <c r="J94" s="70">
        <v>675</v>
      </c>
      <c r="K94" s="54">
        <f t="shared" si="4"/>
        <v>6750</v>
      </c>
      <c r="L94" s="55" t="b">
        <v>1</v>
      </c>
      <c r="M94" s="56">
        <v>220720241704</v>
      </c>
      <c r="N94" s="57" t="b">
        <v>1</v>
      </c>
      <c r="O94" s="58" t="s">
        <v>31</v>
      </c>
      <c r="P94" s="59" t="b">
        <v>1</v>
      </c>
      <c r="Q94" s="129"/>
      <c r="R94" s="173"/>
      <c r="S94" s="47" t="b">
        <v>1</v>
      </c>
      <c r="T94" s="61" t="s">
        <v>1724</v>
      </c>
      <c r="U94" s="54"/>
      <c r="V94" s="54"/>
      <c r="W94" s="49"/>
      <c r="X94" s="49"/>
    </row>
    <row r="95" spans="1:24" ht="15.75" customHeight="1">
      <c r="A95" s="101"/>
      <c r="B95" s="32"/>
      <c r="C95" s="71" t="s">
        <v>1713</v>
      </c>
      <c r="D95" s="53" t="s">
        <v>1133</v>
      </c>
      <c r="E95" s="53" t="s">
        <v>1725</v>
      </c>
      <c r="F95" s="66" t="s">
        <v>1726</v>
      </c>
      <c r="G95" s="69" t="s">
        <v>467</v>
      </c>
      <c r="H95" s="69" t="s">
        <v>30</v>
      </c>
      <c r="I95" s="69">
        <v>10</v>
      </c>
      <c r="J95" s="70">
        <v>650</v>
      </c>
      <c r="K95" s="54">
        <f t="shared" si="4"/>
        <v>6500</v>
      </c>
      <c r="L95" s="55" t="b">
        <v>1</v>
      </c>
      <c r="M95" s="56">
        <v>220720241706</v>
      </c>
      <c r="N95" s="57" t="b">
        <v>1</v>
      </c>
      <c r="O95" s="58" t="s">
        <v>31</v>
      </c>
      <c r="P95" s="59" t="b">
        <v>1</v>
      </c>
      <c r="Q95" s="129"/>
      <c r="R95" s="173"/>
      <c r="S95" s="47" t="b">
        <v>1</v>
      </c>
      <c r="T95" s="61" t="s">
        <v>1724</v>
      </c>
      <c r="U95" s="54"/>
      <c r="V95" s="54"/>
      <c r="W95" s="49"/>
      <c r="X95" s="49"/>
    </row>
    <row r="96" spans="1:24" ht="15.75" customHeight="1">
      <c r="A96" s="101"/>
      <c r="B96" s="32"/>
      <c r="C96" s="71" t="s">
        <v>1713</v>
      </c>
      <c r="D96" s="53" t="s">
        <v>104</v>
      </c>
      <c r="E96" s="53" t="s">
        <v>1143</v>
      </c>
      <c r="F96" s="66" t="s">
        <v>1727</v>
      </c>
      <c r="G96" s="69" t="s">
        <v>49</v>
      </c>
      <c r="H96" s="69" t="s">
        <v>30</v>
      </c>
      <c r="I96" s="69">
        <v>10</v>
      </c>
      <c r="J96" s="70">
        <v>695</v>
      </c>
      <c r="K96" s="54">
        <f t="shared" si="4"/>
        <v>6950</v>
      </c>
      <c r="L96" s="55" t="b">
        <v>1</v>
      </c>
      <c r="M96" s="56">
        <v>220720241712</v>
      </c>
      <c r="N96" s="57" t="b">
        <v>1</v>
      </c>
      <c r="O96" s="58" t="s">
        <v>39</v>
      </c>
      <c r="P96" s="59" t="b">
        <v>1</v>
      </c>
      <c r="Q96" s="129"/>
      <c r="R96" s="60"/>
      <c r="S96" s="47" t="b">
        <v>1</v>
      </c>
      <c r="T96" s="61" t="s">
        <v>1728</v>
      </c>
      <c r="U96" s="54"/>
      <c r="V96" s="54"/>
      <c r="W96" s="49"/>
      <c r="X96" s="49"/>
    </row>
    <row r="97" spans="1:24" ht="15.75" customHeight="1">
      <c r="A97" s="101"/>
      <c r="B97" s="32"/>
      <c r="C97" s="71" t="s">
        <v>1713</v>
      </c>
      <c r="D97" s="53" t="s">
        <v>832</v>
      </c>
      <c r="E97" s="53" t="s">
        <v>833</v>
      </c>
      <c r="F97" s="66" t="s">
        <v>834</v>
      </c>
      <c r="G97" s="69" t="s">
        <v>1613</v>
      </c>
      <c r="H97" s="69" t="s">
        <v>30</v>
      </c>
      <c r="I97" s="69">
        <v>5</v>
      </c>
      <c r="J97" s="70">
        <v>1150</v>
      </c>
      <c r="K97" s="54">
        <f t="shared" si="4"/>
        <v>5750</v>
      </c>
      <c r="L97" s="55" t="b">
        <v>1</v>
      </c>
      <c r="M97" s="56">
        <v>220720241918</v>
      </c>
      <c r="N97" s="57" t="b">
        <v>1</v>
      </c>
      <c r="O97" s="58" t="s">
        <v>31</v>
      </c>
      <c r="P97" s="59" t="b">
        <v>1</v>
      </c>
      <c r="Q97" s="129"/>
      <c r="R97" s="60"/>
      <c r="S97" s="47" t="b">
        <v>1</v>
      </c>
      <c r="T97" s="61" t="s">
        <v>1729</v>
      </c>
      <c r="U97" s="54"/>
      <c r="V97" s="54"/>
      <c r="W97" s="49"/>
      <c r="X97" s="49"/>
    </row>
    <row r="98" spans="1:24" ht="15.75" customHeight="1">
      <c r="A98" s="101"/>
      <c r="B98" s="32"/>
      <c r="C98" s="71" t="s">
        <v>1730</v>
      </c>
      <c r="D98" s="53" t="s">
        <v>194</v>
      </c>
      <c r="E98" s="53" t="s">
        <v>137</v>
      </c>
      <c r="F98" s="66" t="s">
        <v>1731</v>
      </c>
      <c r="G98" s="69" t="s">
        <v>49</v>
      </c>
      <c r="H98" s="69" t="s">
        <v>30</v>
      </c>
      <c r="I98" s="69">
        <v>5</v>
      </c>
      <c r="J98" s="70">
        <v>695</v>
      </c>
      <c r="K98" s="54">
        <f t="shared" si="4"/>
        <v>3475</v>
      </c>
      <c r="L98" s="55" t="b">
        <v>1</v>
      </c>
      <c r="M98" s="56">
        <v>230720241114</v>
      </c>
      <c r="N98" s="57" t="b">
        <v>1</v>
      </c>
      <c r="O98" s="58" t="s">
        <v>31</v>
      </c>
      <c r="P98" s="59" t="b">
        <v>1</v>
      </c>
      <c r="Q98" s="129"/>
      <c r="R98" s="60"/>
      <c r="S98" s="47" t="b">
        <v>1</v>
      </c>
      <c r="T98" s="61" t="s">
        <v>1732</v>
      </c>
      <c r="U98" s="54"/>
      <c r="V98" s="54"/>
      <c r="W98" s="49"/>
      <c r="X98" s="49"/>
    </row>
    <row r="99" spans="1:24" ht="15.75" customHeight="1">
      <c r="A99" s="101"/>
      <c r="B99" s="32"/>
      <c r="C99" s="71" t="s">
        <v>1730</v>
      </c>
      <c r="D99" s="53" t="s">
        <v>1733</v>
      </c>
      <c r="E99" s="53" t="s">
        <v>1733</v>
      </c>
      <c r="F99" s="66" t="s">
        <v>1734</v>
      </c>
      <c r="G99" s="159" t="s">
        <v>650</v>
      </c>
      <c r="H99" s="69" t="s">
        <v>30</v>
      </c>
      <c r="I99" s="69">
        <v>1</v>
      </c>
      <c r="J99" s="70">
        <v>1300</v>
      </c>
      <c r="K99" s="54">
        <f t="shared" si="4"/>
        <v>1300</v>
      </c>
      <c r="L99" s="55" t="b">
        <v>1</v>
      </c>
      <c r="M99" s="56">
        <v>230720241327</v>
      </c>
      <c r="N99" s="57" t="b">
        <v>1</v>
      </c>
      <c r="O99" s="58"/>
      <c r="P99" s="59" t="b">
        <v>1</v>
      </c>
      <c r="Q99" s="129"/>
      <c r="R99" s="60"/>
      <c r="S99" s="47" t="b">
        <v>1</v>
      </c>
      <c r="T99" s="61" t="s">
        <v>1735</v>
      </c>
      <c r="U99" s="54"/>
      <c r="V99" s="54"/>
      <c r="W99" s="49"/>
      <c r="X99" s="49"/>
    </row>
    <row r="100" spans="1:24" ht="15.75" customHeight="1">
      <c r="A100" s="101"/>
      <c r="B100" s="32"/>
      <c r="C100" s="71" t="s">
        <v>1730</v>
      </c>
      <c r="D100" s="71" t="s">
        <v>104</v>
      </c>
      <c r="E100" s="53" t="s">
        <v>158</v>
      </c>
      <c r="F100" s="66" t="s">
        <v>159</v>
      </c>
      <c r="G100" s="69" t="s">
        <v>49</v>
      </c>
      <c r="H100" s="69" t="s">
        <v>30</v>
      </c>
      <c r="I100" s="69">
        <v>10</v>
      </c>
      <c r="J100" s="70">
        <v>695</v>
      </c>
      <c r="K100" s="54">
        <f t="shared" si="4"/>
        <v>6950</v>
      </c>
      <c r="L100" s="55" t="b">
        <v>1</v>
      </c>
      <c r="M100" s="56">
        <v>230720241512</v>
      </c>
      <c r="N100" s="57" t="b">
        <v>1</v>
      </c>
      <c r="O100" s="58" t="s">
        <v>31</v>
      </c>
      <c r="P100" s="59" t="b">
        <v>1</v>
      </c>
      <c r="Q100" s="129"/>
      <c r="R100" s="60"/>
      <c r="S100" s="47" t="b">
        <v>1</v>
      </c>
      <c r="T100" s="61" t="s">
        <v>1736</v>
      </c>
      <c r="U100" s="54"/>
      <c r="V100" s="54">
        <f t="shared" ref="V100:V164" si="5">K100-U100</f>
        <v>6950</v>
      </c>
      <c r="W100" s="49"/>
      <c r="X100" s="49"/>
    </row>
    <row r="101" spans="1:24" ht="15.75" customHeight="1">
      <c r="A101" s="101"/>
      <c r="B101" s="32"/>
      <c r="C101" s="71" t="s">
        <v>1730</v>
      </c>
      <c r="D101" s="53" t="s">
        <v>98</v>
      </c>
      <c r="E101" s="66" t="s">
        <v>99</v>
      </c>
      <c r="F101" s="66" t="s">
        <v>100</v>
      </c>
      <c r="G101" s="69" t="s">
        <v>1700</v>
      </c>
      <c r="H101" s="69" t="s">
        <v>30</v>
      </c>
      <c r="I101" s="161">
        <v>500</v>
      </c>
      <c r="J101" s="70">
        <v>15</v>
      </c>
      <c r="K101" s="54">
        <f t="shared" si="4"/>
        <v>7500</v>
      </c>
      <c r="L101" s="55" t="b">
        <v>1</v>
      </c>
      <c r="M101" s="56">
        <v>230720241745</v>
      </c>
      <c r="N101" s="57" t="b">
        <v>1</v>
      </c>
      <c r="O101" s="58" t="s">
        <v>31</v>
      </c>
      <c r="P101" s="59" t="b">
        <v>1</v>
      </c>
      <c r="Q101" s="129"/>
      <c r="R101" s="61" t="s">
        <v>1737</v>
      </c>
      <c r="S101" s="47" t="b">
        <v>1</v>
      </c>
      <c r="T101" s="61" t="s">
        <v>1738</v>
      </c>
      <c r="U101" s="54"/>
      <c r="V101" s="54">
        <f t="shared" si="5"/>
        <v>7500</v>
      </c>
      <c r="W101" s="49"/>
      <c r="X101" s="49"/>
    </row>
    <row r="102" spans="1:24" ht="15.75" customHeight="1">
      <c r="A102" s="101"/>
      <c r="B102" s="32"/>
      <c r="C102" s="71" t="s">
        <v>1739</v>
      </c>
      <c r="D102" s="53" t="s">
        <v>51</v>
      </c>
      <c r="E102" s="53" t="s">
        <v>66</v>
      </c>
      <c r="F102" s="66" t="s">
        <v>67</v>
      </c>
      <c r="G102" s="69" t="s">
        <v>1740</v>
      </c>
      <c r="H102" s="69" t="s">
        <v>30</v>
      </c>
      <c r="I102" s="69">
        <v>20</v>
      </c>
      <c r="J102" s="70">
        <v>695</v>
      </c>
      <c r="K102" s="54">
        <f t="shared" si="4"/>
        <v>13900</v>
      </c>
      <c r="L102" s="55" t="b">
        <v>1</v>
      </c>
      <c r="M102" s="56">
        <v>240720241314</v>
      </c>
      <c r="N102" s="57" t="b">
        <v>1</v>
      </c>
      <c r="O102" s="58" t="s">
        <v>31</v>
      </c>
      <c r="P102" s="59" t="b">
        <v>1</v>
      </c>
      <c r="Q102" s="129"/>
      <c r="R102" s="60"/>
      <c r="S102" s="47" t="b">
        <v>1</v>
      </c>
      <c r="T102" s="61" t="s">
        <v>1741</v>
      </c>
      <c r="U102" s="54"/>
      <c r="V102" s="54">
        <f t="shared" si="5"/>
        <v>13900</v>
      </c>
      <c r="W102" s="49"/>
      <c r="X102" s="49"/>
    </row>
    <row r="103" spans="1:24" ht="15.75" customHeight="1">
      <c r="A103" s="101"/>
      <c r="B103" s="32"/>
      <c r="C103" s="71" t="s">
        <v>1739</v>
      </c>
      <c r="D103" s="53" t="s">
        <v>433</v>
      </c>
      <c r="E103" s="66" t="s">
        <v>706</v>
      </c>
      <c r="F103" s="66" t="s">
        <v>707</v>
      </c>
      <c r="G103" s="69" t="s">
        <v>1742</v>
      </c>
      <c r="H103" s="69" t="s">
        <v>30</v>
      </c>
      <c r="I103" s="161">
        <v>100</v>
      </c>
      <c r="J103" s="70">
        <v>15</v>
      </c>
      <c r="K103" s="54">
        <f t="shared" si="4"/>
        <v>1500</v>
      </c>
      <c r="L103" s="55" t="b">
        <v>1</v>
      </c>
      <c r="M103" s="56">
        <v>240720241541</v>
      </c>
      <c r="N103" s="57" t="b">
        <v>1</v>
      </c>
      <c r="O103" s="58" t="s">
        <v>31</v>
      </c>
      <c r="P103" s="59" t="b">
        <v>1</v>
      </c>
      <c r="Q103" s="129"/>
      <c r="R103" s="61" t="s">
        <v>1743</v>
      </c>
      <c r="S103" s="47" t="b">
        <v>1</v>
      </c>
      <c r="T103" s="61" t="s">
        <v>1744</v>
      </c>
      <c r="U103" s="54"/>
      <c r="V103" s="54">
        <f t="shared" si="5"/>
        <v>1500</v>
      </c>
      <c r="W103" s="49"/>
      <c r="X103" s="49"/>
    </row>
    <row r="104" spans="1:24" ht="15.75" customHeight="1">
      <c r="A104" s="101"/>
      <c r="B104" s="124"/>
      <c r="C104" s="71" t="s">
        <v>1739</v>
      </c>
      <c r="D104" s="53" t="s">
        <v>433</v>
      </c>
      <c r="E104" s="53" t="s">
        <v>1745</v>
      </c>
      <c r="F104" s="66" t="s">
        <v>435</v>
      </c>
      <c r="G104" s="66" t="s">
        <v>668</v>
      </c>
      <c r="H104" s="69" t="s">
        <v>30</v>
      </c>
      <c r="I104" s="69">
        <v>2</v>
      </c>
      <c r="J104" s="70">
        <v>125</v>
      </c>
      <c r="K104" s="54">
        <f t="shared" si="4"/>
        <v>250</v>
      </c>
      <c r="L104" s="55" t="b">
        <v>1</v>
      </c>
      <c r="M104" s="56">
        <v>240720241555</v>
      </c>
      <c r="N104" s="57" t="b">
        <v>1</v>
      </c>
      <c r="O104" s="58"/>
      <c r="P104" s="59" t="b">
        <v>1</v>
      </c>
      <c r="Q104" s="129"/>
      <c r="R104" s="60"/>
      <c r="S104" s="47" t="b">
        <v>1</v>
      </c>
      <c r="T104" s="61" t="s">
        <v>1746</v>
      </c>
      <c r="U104" s="54"/>
      <c r="V104" s="54">
        <f t="shared" si="5"/>
        <v>250</v>
      </c>
      <c r="W104" s="49"/>
      <c r="X104" s="49"/>
    </row>
    <row r="105" spans="1:24" ht="15.75" customHeight="1">
      <c r="A105" s="101"/>
      <c r="B105" s="124"/>
      <c r="C105" s="71" t="s">
        <v>1739</v>
      </c>
      <c r="D105" s="53" t="s">
        <v>1747</v>
      </c>
      <c r="E105" s="66" t="s">
        <v>137</v>
      </c>
      <c r="F105" s="66" t="s">
        <v>1748</v>
      </c>
      <c r="G105" s="69" t="s">
        <v>1742</v>
      </c>
      <c r="H105" s="69" t="s">
        <v>30</v>
      </c>
      <c r="I105" s="161">
        <v>1000</v>
      </c>
      <c r="J105" s="70">
        <v>15</v>
      </c>
      <c r="K105" s="54">
        <f t="shared" si="4"/>
        <v>15000</v>
      </c>
      <c r="L105" s="55" t="b">
        <v>1</v>
      </c>
      <c r="M105" s="56">
        <v>240720241849</v>
      </c>
      <c r="N105" s="57" t="b">
        <v>1</v>
      </c>
      <c r="O105" s="58" t="s">
        <v>31</v>
      </c>
      <c r="P105" s="59" t="b">
        <v>1</v>
      </c>
      <c r="Q105" s="129"/>
      <c r="R105" s="61" t="s">
        <v>1749</v>
      </c>
      <c r="S105" s="47" t="b">
        <v>1</v>
      </c>
      <c r="T105" s="61" t="s">
        <v>1750</v>
      </c>
      <c r="U105" s="54"/>
      <c r="V105" s="54">
        <f t="shared" si="5"/>
        <v>15000</v>
      </c>
      <c r="W105" s="49"/>
      <c r="X105" s="49"/>
    </row>
    <row r="106" spans="1:24" ht="15.75" customHeight="1">
      <c r="A106" s="101"/>
      <c r="B106" s="124"/>
      <c r="C106" s="71" t="s">
        <v>1751</v>
      </c>
      <c r="D106" s="53" t="s">
        <v>1752</v>
      </c>
      <c r="E106" s="53" t="s">
        <v>61</v>
      </c>
      <c r="F106" s="66" t="s">
        <v>181</v>
      </c>
      <c r="G106" s="69" t="s">
        <v>1455</v>
      </c>
      <c r="H106" s="69" t="s">
        <v>30</v>
      </c>
      <c r="I106" s="69">
        <v>9</v>
      </c>
      <c r="J106" s="70">
        <v>675</v>
      </c>
      <c r="K106" s="54">
        <f t="shared" si="4"/>
        <v>6075</v>
      </c>
      <c r="L106" s="55" t="b">
        <v>1</v>
      </c>
      <c r="M106" s="56">
        <v>250720240842</v>
      </c>
      <c r="N106" s="57" t="b">
        <v>1</v>
      </c>
      <c r="O106" s="58" t="s">
        <v>31</v>
      </c>
      <c r="P106" s="59" t="b">
        <v>1</v>
      </c>
      <c r="Q106" s="129"/>
      <c r="R106" s="60"/>
      <c r="S106" s="47" t="b">
        <v>1</v>
      </c>
      <c r="T106" s="61" t="s">
        <v>1753</v>
      </c>
      <c r="U106" s="54"/>
      <c r="V106" s="54">
        <f t="shared" si="5"/>
        <v>6075</v>
      </c>
      <c r="W106" s="49"/>
      <c r="X106" s="49"/>
    </row>
    <row r="107" spans="1:24" ht="15.75" customHeight="1">
      <c r="A107" s="101"/>
      <c r="B107" s="124"/>
      <c r="C107" s="71" t="s">
        <v>1751</v>
      </c>
      <c r="D107" s="53" t="s">
        <v>433</v>
      </c>
      <c r="E107" s="53" t="s">
        <v>434</v>
      </c>
      <c r="F107" s="66" t="s">
        <v>1754</v>
      </c>
      <c r="G107" s="69" t="s">
        <v>1191</v>
      </c>
      <c r="H107" s="69" t="s">
        <v>30</v>
      </c>
      <c r="I107" s="69">
        <v>2</v>
      </c>
      <c r="J107" s="70">
        <v>165</v>
      </c>
      <c r="K107" s="54">
        <f t="shared" si="4"/>
        <v>330</v>
      </c>
      <c r="L107" s="55" t="b">
        <v>1</v>
      </c>
      <c r="M107" s="56">
        <v>250720241352</v>
      </c>
      <c r="N107" s="57" t="b">
        <v>1</v>
      </c>
      <c r="O107" s="58"/>
      <c r="P107" s="59" t="b">
        <v>1</v>
      </c>
      <c r="Q107" s="129"/>
      <c r="R107" s="60"/>
      <c r="S107" s="47" t="b">
        <v>1</v>
      </c>
      <c r="T107" s="61" t="s">
        <v>1755</v>
      </c>
      <c r="U107" s="54"/>
      <c r="V107" s="54">
        <f t="shared" si="5"/>
        <v>330</v>
      </c>
      <c r="W107" s="49"/>
      <c r="X107" s="49"/>
    </row>
    <row r="108" spans="1:24" ht="16.5" customHeight="1">
      <c r="A108" s="101"/>
      <c r="B108" s="124"/>
      <c r="C108" s="71" t="s">
        <v>1751</v>
      </c>
      <c r="D108" s="53" t="s">
        <v>345</v>
      </c>
      <c r="E108" s="53" t="s">
        <v>1756</v>
      </c>
      <c r="F108" s="66" t="s">
        <v>1757</v>
      </c>
      <c r="G108" s="66" t="s">
        <v>1758</v>
      </c>
      <c r="H108" s="66" t="s">
        <v>30</v>
      </c>
      <c r="I108" s="66">
        <v>5</v>
      </c>
      <c r="J108" s="75">
        <v>675</v>
      </c>
      <c r="K108" s="54">
        <f t="shared" si="4"/>
        <v>3375</v>
      </c>
      <c r="L108" s="55" t="b">
        <v>1</v>
      </c>
      <c r="M108" s="56">
        <v>250720241608</v>
      </c>
      <c r="N108" s="57" t="b">
        <v>1</v>
      </c>
      <c r="O108" s="58" t="s">
        <v>31</v>
      </c>
      <c r="P108" s="59" t="b">
        <v>1</v>
      </c>
      <c r="Q108" s="129"/>
      <c r="R108" s="60"/>
      <c r="S108" s="47" t="b">
        <v>1</v>
      </c>
      <c r="T108" s="61" t="s">
        <v>1759</v>
      </c>
      <c r="U108" s="54"/>
      <c r="V108" s="54">
        <f t="shared" si="5"/>
        <v>3375</v>
      </c>
      <c r="W108" s="49"/>
      <c r="X108" s="49"/>
    </row>
    <row r="109" spans="1:24" ht="15.75" customHeight="1">
      <c r="A109" s="101"/>
      <c r="B109" s="124"/>
      <c r="C109" s="71" t="s">
        <v>1760</v>
      </c>
      <c r="D109" s="53" t="s">
        <v>26</v>
      </c>
      <c r="E109" s="66" t="s">
        <v>27</v>
      </c>
      <c r="F109" s="66" t="s">
        <v>1590</v>
      </c>
      <c r="G109" s="66" t="s">
        <v>1700</v>
      </c>
      <c r="H109" s="66" t="s">
        <v>30</v>
      </c>
      <c r="I109" s="175">
        <v>400</v>
      </c>
      <c r="J109" s="75">
        <v>15</v>
      </c>
      <c r="K109" s="54">
        <f t="shared" si="4"/>
        <v>6000</v>
      </c>
      <c r="L109" s="55" t="b">
        <v>1</v>
      </c>
      <c r="M109" s="56">
        <v>260720241207</v>
      </c>
      <c r="N109" s="57" t="b">
        <v>1</v>
      </c>
      <c r="O109" s="58" t="s">
        <v>31</v>
      </c>
      <c r="P109" s="59" t="b">
        <v>1</v>
      </c>
      <c r="Q109" s="129"/>
      <c r="R109" s="61" t="s">
        <v>1761</v>
      </c>
      <c r="S109" s="47" t="b">
        <v>1</v>
      </c>
      <c r="T109" s="61" t="s">
        <v>1750</v>
      </c>
      <c r="U109" s="54"/>
      <c r="V109" s="54">
        <f t="shared" si="5"/>
        <v>6000</v>
      </c>
      <c r="W109" s="49"/>
      <c r="X109" s="49"/>
    </row>
    <row r="110" spans="1:24" ht="15.75" customHeight="1">
      <c r="A110" s="101"/>
      <c r="B110" s="32"/>
      <c r="C110" s="71" t="s">
        <v>1762</v>
      </c>
      <c r="D110" s="53" t="s">
        <v>55</v>
      </c>
      <c r="E110" s="53">
        <v>41</v>
      </c>
      <c r="F110" s="53" t="s">
        <v>166</v>
      </c>
      <c r="G110" s="66" t="s">
        <v>49</v>
      </c>
      <c r="H110" s="66" t="s">
        <v>30</v>
      </c>
      <c r="I110" s="66">
        <v>5</v>
      </c>
      <c r="J110" s="75">
        <v>700</v>
      </c>
      <c r="K110" s="54">
        <f t="shared" si="4"/>
        <v>3500</v>
      </c>
      <c r="L110" s="55" t="b">
        <v>1</v>
      </c>
      <c r="M110" s="56">
        <v>290720241045</v>
      </c>
      <c r="N110" s="57" t="b">
        <v>1</v>
      </c>
      <c r="O110" s="58" t="s">
        <v>31</v>
      </c>
      <c r="P110" s="59" t="b">
        <v>1</v>
      </c>
      <c r="Q110" s="129"/>
      <c r="R110" s="60"/>
      <c r="S110" s="47" t="b">
        <v>1</v>
      </c>
      <c r="T110" s="61" t="s">
        <v>1763</v>
      </c>
      <c r="U110" s="54"/>
      <c r="V110" s="54">
        <f t="shared" si="5"/>
        <v>3500</v>
      </c>
      <c r="W110" s="49"/>
      <c r="X110" s="49"/>
    </row>
    <row r="111" spans="1:24" ht="15.75" customHeight="1">
      <c r="A111" s="101"/>
      <c r="B111" s="32"/>
      <c r="C111" s="71" t="s">
        <v>1762</v>
      </c>
      <c r="D111" s="53" t="s">
        <v>51</v>
      </c>
      <c r="E111" s="53" t="s">
        <v>372</v>
      </c>
      <c r="F111" s="53" t="s">
        <v>1764</v>
      </c>
      <c r="G111" s="66" t="s">
        <v>1700</v>
      </c>
      <c r="H111" s="66" t="s">
        <v>30</v>
      </c>
      <c r="I111" s="175">
        <v>100</v>
      </c>
      <c r="J111" s="75">
        <v>15</v>
      </c>
      <c r="K111" s="54">
        <f t="shared" si="4"/>
        <v>1500</v>
      </c>
      <c r="L111" s="55" t="b">
        <v>1</v>
      </c>
      <c r="M111" s="56">
        <v>290720241508</v>
      </c>
      <c r="N111" s="57" t="b">
        <v>1</v>
      </c>
      <c r="O111" s="58" t="s">
        <v>31</v>
      </c>
      <c r="P111" s="59" t="b">
        <v>1</v>
      </c>
      <c r="Q111" s="129"/>
      <c r="R111" s="60"/>
      <c r="S111" s="47" t="b">
        <v>1</v>
      </c>
      <c r="T111" s="61" t="s">
        <v>1765</v>
      </c>
      <c r="U111" s="54"/>
      <c r="V111" s="54">
        <f t="shared" si="5"/>
        <v>1500</v>
      </c>
      <c r="W111" s="49"/>
      <c r="X111" s="49"/>
    </row>
    <row r="112" spans="1:24" ht="15.75" customHeight="1">
      <c r="A112" s="101"/>
      <c r="B112" s="32"/>
      <c r="C112" s="71" t="s">
        <v>1762</v>
      </c>
      <c r="D112" s="53" t="s">
        <v>51</v>
      </c>
      <c r="E112" s="151" t="s">
        <v>372</v>
      </c>
      <c r="F112" s="66" t="s">
        <v>1764</v>
      </c>
      <c r="G112" s="66" t="s">
        <v>83</v>
      </c>
      <c r="H112" s="66" t="s">
        <v>30</v>
      </c>
      <c r="I112" s="66">
        <v>1000</v>
      </c>
      <c r="J112" s="75">
        <v>1.5</v>
      </c>
      <c r="K112" s="54">
        <f t="shared" si="4"/>
        <v>1500</v>
      </c>
      <c r="L112" s="55" t="b">
        <v>1</v>
      </c>
      <c r="M112" s="56">
        <v>290720241509</v>
      </c>
      <c r="N112" s="57" t="b">
        <v>1</v>
      </c>
      <c r="O112" s="58" t="s">
        <v>31</v>
      </c>
      <c r="P112" s="59" t="b">
        <v>1</v>
      </c>
      <c r="Q112" s="129"/>
      <c r="R112" s="60"/>
      <c r="S112" s="47" t="b">
        <v>1</v>
      </c>
      <c r="T112" s="61" t="s">
        <v>1765</v>
      </c>
      <c r="U112" s="54"/>
      <c r="V112" s="54">
        <f t="shared" si="5"/>
        <v>1500</v>
      </c>
      <c r="W112" s="49"/>
      <c r="X112" s="49"/>
    </row>
    <row r="113" spans="1:24" ht="15.75" customHeight="1">
      <c r="A113" s="101"/>
      <c r="B113" s="32"/>
      <c r="C113" s="71" t="s">
        <v>1762</v>
      </c>
      <c r="D113" s="53" t="s">
        <v>51</v>
      </c>
      <c r="E113" s="53" t="s">
        <v>201</v>
      </c>
      <c r="F113" s="66" t="s">
        <v>395</v>
      </c>
      <c r="G113" s="151" t="s">
        <v>1766</v>
      </c>
      <c r="H113" s="66" t="s">
        <v>30</v>
      </c>
      <c r="I113" s="66">
        <v>1</v>
      </c>
      <c r="J113" s="75">
        <v>3750</v>
      </c>
      <c r="K113" s="54">
        <f t="shared" si="4"/>
        <v>3750</v>
      </c>
      <c r="L113" s="55" t="b">
        <v>1</v>
      </c>
      <c r="M113" s="56">
        <v>290720241824</v>
      </c>
      <c r="N113" s="57" t="b">
        <v>1</v>
      </c>
      <c r="O113" s="58"/>
      <c r="P113" s="59" t="b">
        <v>1</v>
      </c>
      <c r="Q113" s="129"/>
      <c r="R113" s="60"/>
      <c r="S113" s="47" t="b">
        <v>1</v>
      </c>
      <c r="T113" s="61" t="s">
        <v>1767</v>
      </c>
      <c r="U113" s="54"/>
      <c r="V113" s="54">
        <f t="shared" si="5"/>
        <v>3750</v>
      </c>
      <c r="W113" s="49"/>
      <c r="X113" s="49"/>
    </row>
    <row r="114" spans="1:24" ht="15.75" customHeight="1">
      <c r="A114" s="101"/>
      <c r="B114" s="32"/>
      <c r="C114" s="71" t="s">
        <v>1762</v>
      </c>
      <c r="D114" s="53" t="s">
        <v>51</v>
      </c>
      <c r="E114" s="53" t="s">
        <v>201</v>
      </c>
      <c r="F114" s="66" t="s">
        <v>395</v>
      </c>
      <c r="G114" s="53" t="s">
        <v>1768</v>
      </c>
      <c r="H114" s="66" t="s">
        <v>30</v>
      </c>
      <c r="I114" s="66">
        <v>1</v>
      </c>
      <c r="J114" s="75">
        <v>5400</v>
      </c>
      <c r="K114" s="54">
        <f t="shared" si="4"/>
        <v>5400</v>
      </c>
      <c r="L114" s="55" t="b">
        <v>1</v>
      </c>
      <c r="M114" s="56">
        <v>290720241824</v>
      </c>
      <c r="N114" s="57" t="b">
        <v>1</v>
      </c>
      <c r="O114" s="58"/>
      <c r="P114" s="59" t="b">
        <v>1</v>
      </c>
      <c r="Q114" s="129"/>
      <c r="R114" s="60"/>
      <c r="S114" s="47" t="b">
        <v>1</v>
      </c>
      <c r="T114" s="61" t="s">
        <v>1767</v>
      </c>
      <c r="U114" s="54"/>
      <c r="V114" s="54">
        <f t="shared" si="5"/>
        <v>5400</v>
      </c>
      <c r="W114" s="49"/>
      <c r="X114" s="49"/>
    </row>
    <row r="115" spans="1:24" ht="15.75" customHeight="1">
      <c r="A115" s="101"/>
      <c r="B115" s="32"/>
      <c r="C115" s="71" t="s">
        <v>1762</v>
      </c>
      <c r="D115" s="53" t="s">
        <v>51</v>
      </c>
      <c r="E115" s="53" t="s">
        <v>52</v>
      </c>
      <c r="F115" s="66" t="s">
        <v>1710</v>
      </c>
      <c r="G115" s="66" t="s">
        <v>1769</v>
      </c>
      <c r="H115" s="66" t="s">
        <v>30</v>
      </c>
      <c r="I115" s="66">
        <v>2</v>
      </c>
      <c r="J115" s="75">
        <v>675</v>
      </c>
      <c r="K115" s="54">
        <f t="shared" si="4"/>
        <v>1350</v>
      </c>
      <c r="L115" s="55" t="b">
        <v>1</v>
      </c>
      <c r="M115" s="56">
        <v>290720241824</v>
      </c>
      <c r="N115" s="57" t="b">
        <v>1</v>
      </c>
      <c r="O115" s="58"/>
      <c r="P115" s="59" t="b">
        <v>1</v>
      </c>
      <c r="Q115" s="129"/>
      <c r="R115" s="174"/>
      <c r="S115" s="47" t="b">
        <v>1</v>
      </c>
      <c r="T115" s="61" t="s">
        <v>1770</v>
      </c>
      <c r="U115" s="54"/>
      <c r="V115" s="54">
        <f t="shared" si="5"/>
        <v>1350</v>
      </c>
      <c r="W115" s="49"/>
      <c r="X115" s="49"/>
    </row>
    <row r="116" spans="1:24" ht="15.75" customHeight="1">
      <c r="A116" s="101"/>
      <c r="B116" s="32"/>
      <c r="C116" s="71" t="s">
        <v>1762</v>
      </c>
      <c r="D116" s="53" t="s">
        <v>144</v>
      </c>
      <c r="E116" s="53" t="s">
        <v>326</v>
      </c>
      <c r="F116" s="66" t="s">
        <v>1771</v>
      </c>
      <c r="G116" s="66" t="s">
        <v>746</v>
      </c>
      <c r="H116" s="66" t="s">
        <v>30</v>
      </c>
      <c r="I116" s="66">
        <v>41</v>
      </c>
      <c r="J116" s="75">
        <v>695</v>
      </c>
      <c r="K116" s="54">
        <f t="shared" si="4"/>
        <v>28495</v>
      </c>
      <c r="L116" s="55" t="b">
        <v>1</v>
      </c>
      <c r="M116" s="56">
        <v>290720241904</v>
      </c>
      <c r="N116" s="57" t="b">
        <v>1</v>
      </c>
      <c r="O116" s="58"/>
      <c r="P116" s="59" t="b">
        <v>1</v>
      </c>
      <c r="Q116" s="129"/>
      <c r="R116" s="61"/>
      <c r="S116" s="47" t="b">
        <v>1</v>
      </c>
      <c r="T116" s="61" t="s">
        <v>1772</v>
      </c>
      <c r="U116" s="54"/>
      <c r="V116" s="54">
        <f t="shared" si="5"/>
        <v>28495</v>
      </c>
      <c r="W116" s="49"/>
      <c r="X116" s="49"/>
    </row>
    <row r="117" spans="1:24" ht="15.75" customHeight="1">
      <c r="A117" s="101"/>
      <c r="B117" s="32"/>
      <c r="C117" s="71" t="s">
        <v>1773</v>
      </c>
      <c r="D117" s="53" t="s">
        <v>51</v>
      </c>
      <c r="E117" s="53" t="s">
        <v>201</v>
      </c>
      <c r="F117" s="66" t="s">
        <v>202</v>
      </c>
      <c r="G117" s="66" t="s">
        <v>1774</v>
      </c>
      <c r="H117" s="66" t="s">
        <v>30</v>
      </c>
      <c r="I117" s="66">
        <v>15</v>
      </c>
      <c r="J117" s="75">
        <v>525</v>
      </c>
      <c r="K117" s="54">
        <f t="shared" si="4"/>
        <v>7875</v>
      </c>
      <c r="L117" s="55" t="b">
        <v>1</v>
      </c>
      <c r="M117" s="56">
        <v>300720241153</v>
      </c>
      <c r="N117" s="57" t="b">
        <v>1</v>
      </c>
      <c r="O117" s="58"/>
      <c r="P117" s="59" t="b">
        <v>1</v>
      </c>
      <c r="Q117" s="129" t="s">
        <v>1775</v>
      </c>
      <c r="R117" s="61" t="s">
        <v>1776</v>
      </c>
      <c r="S117" s="47" t="b">
        <v>1</v>
      </c>
      <c r="T117" s="61" t="s">
        <v>1777</v>
      </c>
      <c r="U117" s="54"/>
      <c r="V117" s="54">
        <f t="shared" si="5"/>
        <v>7875</v>
      </c>
      <c r="W117" s="49"/>
      <c r="X117" s="49"/>
    </row>
    <row r="118" spans="1:24" ht="15.75" customHeight="1">
      <c r="A118" s="101"/>
      <c r="B118" s="32"/>
      <c r="C118" s="71" t="s">
        <v>1773</v>
      </c>
      <c r="D118" s="53" t="s">
        <v>51</v>
      </c>
      <c r="E118" s="53" t="s">
        <v>201</v>
      </c>
      <c r="F118" s="66" t="s">
        <v>202</v>
      </c>
      <c r="G118" s="66" t="s">
        <v>236</v>
      </c>
      <c r="H118" s="66" t="s">
        <v>30</v>
      </c>
      <c r="I118" s="66">
        <v>12</v>
      </c>
      <c r="J118" s="75">
        <v>145</v>
      </c>
      <c r="K118" s="54">
        <f t="shared" si="4"/>
        <v>1740</v>
      </c>
      <c r="L118" s="55" t="b">
        <v>1</v>
      </c>
      <c r="M118" s="56">
        <v>300720241154</v>
      </c>
      <c r="N118" s="57" t="b">
        <v>1</v>
      </c>
      <c r="O118" s="58"/>
      <c r="P118" s="59" t="b">
        <v>1</v>
      </c>
      <c r="Q118" s="129" t="s">
        <v>1775</v>
      </c>
      <c r="R118" s="61" t="s">
        <v>1776</v>
      </c>
      <c r="S118" s="47" t="b">
        <v>1</v>
      </c>
      <c r="T118" s="61" t="s">
        <v>1777</v>
      </c>
      <c r="U118" s="54"/>
      <c r="V118" s="54">
        <f t="shared" si="5"/>
        <v>1740</v>
      </c>
      <c r="W118" s="49"/>
      <c r="X118" s="49"/>
    </row>
    <row r="119" spans="1:24" ht="15.75" customHeight="1">
      <c r="A119" s="101"/>
      <c r="B119" s="32"/>
      <c r="C119" s="71" t="s">
        <v>1773</v>
      </c>
      <c r="D119" s="53" t="s">
        <v>438</v>
      </c>
      <c r="E119" s="53" t="s">
        <v>439</v>
      </c>
      <c r="F119" s="66" t="s">
        <v>440</v>
      </c>
      <c r="G119" s="66" t="s">
        <v>49</v>
      </c>
      <c r="H119" s="66" t="s">
        <v>30</v>
      </c>
      <c r="I119" s="66">
        <v>2</v>
      </c>
      <c r="J119" s="75">
        <v>695</v>
      </c>
      <c r="K119" s="54">
        <f t="shared" si="4"/>
        <v>1390</v>
      </c>
      <c r="L119" s="55" t="b">
        <v>1</v>
      </c>
      <c r="M119" s="56">
        <v>300720241548</v>
      </c>
      <c r="N119" s="57" t="b">
        <v>1</v>
      </c>
      <c r="O119" s="58" t="s">
        <v>31</v>
      </c>
      <c r="P119" s="59" t="b">
        <v>1</v>
      </c>
      <c r="Q119" s="129"/>
      <c r="R119" s="61"/>
      <c r="S119" s="47" t="b">
        <v>1</v>
      </c>
      <c r="T119" s="61" t="s">
        <v>1778</v>
      </c>
      <c r="U119" s="54"/>
      <c r="V119" s="54">
        <f t="shared" si="5"/>
        <v>1390</v>
      </c>
      <c r="W119" s="49"/>
      <c r="X119" s="49"/>
    </row>
    <row r="120" spans="1:24" ht="15.75" customHeight="1">
      <c r="A120" s="101"/>
      <c r="B120" s="32"/>
      <c r="C120" s="71" t="s">
        <v>1773</v>
      </c>
      <c r="D120" s="53" t="s">
        <v>418</v>
      </c>
      <c r="E120" s="53" t="s">
        <v>84</v>
      </c>
      <c r="F120" s="66" t="s">
        <v>85</v>
      </c>
      <c r="G120" s="66" t="s">
        <v>1700</v>
      </c>
      <c r="H120" s="66" t="s">
        <v>30</v>
      </c>
      <c r="I120" s="175">
        <v>500</v>
      </c>
      <c r="J120" s="75">
        <v>15</v>
      </c>
      <c r="K120" s="54">
        <f t="shared" si="4"/>
        <v>7500</v>
      </c>
      <c r="L120" s="55" t="b">
        <v>1</v>
      </c>
      <c r="M120" s="56">
        <v>300720241908</v>
      </c>
      <c r="N120" s="57" t="b">
        <v>1</v>
      </c>
      <c r="O120" s="58"/>
      <c r="P120" s="59" t="b">
        <v>1</v>
      </c>
      <c r="Q120" s="129"/>
      <c r="R120" s="60"/>
      <c r="S120" s="47" t="b">
        <v>1</v>
      </c>
      <c r="T120" s="61" t="s">
        <v>1779</v>
      </c>
      <c r="U120" s="54"/>
      <c r="V120" s="54">
        <f t="shared" si="5"/>
        <v>7500</v>
      </c>
      <c r="W120" s="49"/>
      <c r="X120" s="49"/>
    </row>
    <row r="121" spans="1:24" ht="15.75" customHeight="1">
      <c r="A121" s="101"/>
      <c r="B121" s="32"/>
      <c r="C121" s="71" t="s">
        <v>1780</v>
      </c>
      <c r="D121" s="53" t="s">
        <v>98</v>
      </c>
      <c r="E121" s="53" t="s">
        <v>99</v>
      </c>
      <c r="F121" s="66" t="s">
        <v>444</v>
      </c>
      <c r="G121" s="66" t="s">
        <v>1781</v>
      </c>
      <c r="H121" s="66" t="s">
        <v>30</v>
      </c>
      <c r="I121" s="66">
        <v>84</v>
      </c>
      <c r="J121" s="75">
        <v>35</v>
      </c>
      <c r="K121" s="54">
        <f t="shared" si="4"/>
        <v>2940</v>
      </c>
      <c r="L121" s="55" t="b">
        <v>1</v>
      </c>
      <c r="M121" s="56">
        <v>310720241101</v>
      </c>
      <c r="N121" s="57" t="b">
        <v>1</v>
      </c>
      <c r="O121" s="58"/>
      <c r="P121" s="59" t="b">
        <v>1</v>
      </c>
      <c r="Q121" s="129"/>
      <c r="R121" s="60"/>
      <c r="S121" s="47" t="b">
        <v>1</v>
      </c>
      <c r="T121" s="61" t="s">
        <v>1782</v>
      </c>
      <c r="U121" s="54"/>
      <c r="V121" s="54">
        <f t="shared" si="5"/>
        <v>2940</v>
      </c>
      <c r="W121" s="49"/>
      <c r="X121" s="49"/>
    </row>
    <row r="122" spans="1:24" ht="15.75" customHeight="1">
      <c r="A122" s="1"/>
      <c r="B122" s="1"/>
      <c r="C122" s="71" t="s">
        <v>1780</v>
      </c>
      <c r="D122" s="53" t="s">
        <v>98</v>
      </c>
      <c r="E122" s="53" t="s">
        <v>99</v>
      </c>
      <c r="F122" s="66" t="s">
        <v>444</v>
      </c>
      <c r="G122" s="66" t="s">
        <v>1586</v>
      </c>
      <c r="H122" s="66" t="s">
        <v>30</v>
      </c>
      <c r="I122" s="66">
        <v>24</v>
      </c>
      <c r="J122" s="75">
        <v>215</v>
      </c>
      <c r="K122" s="54">
        <f t="shared" si="4"/>
        <v>5160</v>
      </c>
      <c r="L122" s="55" t="b">
        <v>1</v>
      </c>
      <c r="M122" s="56">
        <v>310720241101</v>
      </c>
      <c r="N122" s="57" t="b">
        <v>1</v>
      </c>
      <c r="O122" s="58"/>
      <c r="P122" s="59" t="b">
        <v>1</v>
      </c>
      <c r="Q122" s="129"/>
      <c r="R122" s="60"/>
      <c r="S122" s="47" t="b">
        <v>1</v>
      </c>
      <c r="T122" s="61" t="s">
        <v>1782</v>
      </c>
      <c r="U122" s="54"/>
      <c r="V122" s="54">
        <f t="shared" si="5"/>
        <v>5160</v>
      </c>
      <c r="W122" s="49"/>
      <c r="X122" s="49"/>
    </row>
    <row r="123" spans="1:24" ht="15.75" customHeight="1">
      <c r="A123" s="1"/>
      <c r="B123" s="1"/>
      <c r="C123" s="71" t="s">
        <v>1780</v>
      </c>
      <c r="D123" s="53" t="s">
        <v>144</v>
      </c>
      <c r="E123" s="53" t="s">
        <v>1783</v>
      </c>
      <c r="F123" s="66" t="s">
        <v>582</v>
      </c>
      <c r="G123" s="66" t="s">
        <v>49</v>
      </c>
      <c r="H123" s="66" t="s">
        <v>30</v>
      </c>
      <c r="I123" s="66">
        <v>10</v>
      </c>
      <c r="J123" s="75">
        <v>695</v>
      </c>
      <c r="K123" s="54">
        <f t="shared" si="4"/>
        <v>6950</v>
      </c>
      <c r="L123" s="55" t="b">
        <v>1</v>
      </c>
      <c r="M123" s="56">
        <v>310720241324</v>
      </c>
      <c r="N123" s="57" t="b">
        <v>1</v>
      </c>
      <c r="O123" s="58" t="s">
        <v>31</v>
      </c>
      <c r="P123" s="59" t="b">
        <v>1</v>
      </c>
      <c r="Q123" s="129"/>
      <c r="R123" s="60"/>
      <c r="S123" s="47" t="b">
        <v>1</v>
      </c>
      <c r="T123" s="61" t="s">
        <v>1784</v>
      </c>
      <c r="U123" s="54"/>
      <c r="V123" s="54">
        <f t="shared" si="5"/>
        <v>6950</v>
      </c>
      <c r="W123" s="49"/>
      <c r="X123" s="49"/>
    </row>
    <row r="124" spans="1:24" ht="15.75" customHeight="1">
      <c r="A124" s="1"/>
      <c r="B124" s="1"/>
      <c r="C124" s="71" t="s">
        <v>1780</v>
      </c>
      <c r="D124" s="53" t="s">
        <v>1752</v>
      </c>
      <c r="E124" s="53" t="s">
        <v>1785</v>
      </c>
      <c r="F124" s="66" t="s">
        <v>744</v>
      </c>
      <c r="G124" s="66" t="s">
        <v>142</v>
      </c>
      <c r="H124" s="66" t="s">
        <v>30</v>
      </c>
      <c r="I124" s="66">
        <v>3000</v>
      </c>
      <c r="J124" s="75">
        <v>1.5</v>
      </c>
      <c r="K124" s="54">
        <f t="shared" si="4"/>
        <v>4500</v>
      </c>
      <c r="L124" s="55" t="b">
        <v>1</v>
      </c>
      <c r="M124" s="56">
        <v>310720241356</v>
      </c>
      <c r="N124" s="57" t="b">
        <v>1</v>
      </c>
      <c r="O124" s="58"/>
      <c r="P124" s="59" t="b">
        <v>1</v>
      </c>
      <c r="R124" s="60"/>
      <c r="S124" s="47" t="b">
        <v>1</v>
      </c>
      <c r="T124" s="61" t="s">
        <v>1786</v>
      </c>
      <c r="U124" s="54"/>
      <c r="V124" s="54">
        <f t="shared" si="5"/>
        <v>4500</v>
      </c>
      <c r="W124" s="49"/>
      <c r="X124" s="49"/>
    </row>
    <row r="125" spans="1:24" ht="15.75" customHeight="1">
      <c r="A125" s="1"/>
      <c r="B125" s="1"/>
      <c r="C125" s="71" t="s">
        <v>1780</v>
      </c>
      <c r="D125" s="53" t="s">
        <v>51</v>
      </c>
      <c r="E125" s="53" t="s">
        <v>89</v>
      </c>
      <c r="F125" s="66"/>
      <c r="G125" s="176" t="s">
        <v>1787</v>
      </c>
      <c r="H125" s="66" t="s">
        <v>30</v>
      </c>
      <c r="I125" s="66">
        <v>3</v>
      </c>
      <c r="J125" s="75">
        <v>1250</v>
      </c>
      <c r="K125" s="54">
        <f t="shared" si="4"/>
        <v>3750</v>
      </c>
      <c r="L125" s="55" t="b">
        <v>1</v>
      </c>
      <c r="M125" s="154">
        <v>310720241403</v>
      </c>
      <c r="N125" s="57" t="b">
        <v>1</v>
      </c>
      <c r="O125" s="58"/>
      <c r="P125" s="59" t="b">
        <v>1</v>
      </c>
      <c r="R125" s="60"/>
      <c r="S125" s="47" t="b">
        <v>1</v>
      </c>
      <c r="T125" s="61" t="s">
        <v>1788</v>
      </c>
      <c r="U125" s="54"/>
      <c r="V125" s="54">
        <f t="shared" si="5"/>
        <v>3750</v>
      </c>
      <c r="W125" s="49"/>
      <c r="X125" s="49"/>
    </row>
    <row r="126" spans="1:24" ht="15.75" customHeight="1">
      <c r="A126" s="1"/>
      <c r="B126" s="1"/>
      <c r="C126" s="71" t="s">
        <v>1780</v>
      </c>
      <c r="D126" s="53" t="s">
        <v>51</v>
      </c>
      <c r="E126" s="53" t="s">
        <v>89</v>
      </c>
      <c r="F126" s="66"/>
      <c r="G126" s="66" t="s">
        <v>1789</v>
      </c>
      <c r="H126" s="66" t="s">
        <v>30</v>
      </c>
      <c r="I126" s="66">
        <v>1</v>
      </c>
      <c r="J126" s="75">
        <v>3200</v>
      </c>
      <c r="K126" s="54">
        <f t="shared" si="4"/>
        <v>3200</v>
      </c>
      <c r="L126" s="55" t="b">
        <v>1</v>
      </c>
      <c r="M126" s="154">
        <v>310720241403</v>
      </c>
      <c r="N126" s="57" t="b">
        <v>1</v>
      </c>
      <c r="O126" s="58"/>
      <c r="P126" s="59" t="b">
        <v>1</v>
      </c>
      <c r="Q126" s="129"/>
      <c r="R126" s="60"/>
      <c r="S126" s="47" t="b">
        <v>1</v>
      </c>
      <c r="T126" s="61" t="s">
        <v>1788</v>
      </c>
      <c r="U126" s="54"/>
      <c r="V126" s="54">
        <f t="shared" si="5"/>
        <v>3200</v>
      </c>
      <c r="W126" s="49"/>
      <c r="X126" s="49"/>
    </row>
    <row r="127" spans="1:24" ht="15.75" customHeight="1">
      <c r="A127" s="1"/>
      <c r="B127" s="1"/>
      <c r="C127" s="71" t="s">
        <v>1780</v>
      </c>
      <c r="D127" s="53" t="s">
        <v>194</v>
      </c>
      <c r="E127" s="53" t="s">
        <v>137</v>
      </c>
      <c r="F127" s="66" t="s">
        <v>1731</v>
      </c>
      <c r="G127" s="66" t="s">
        <v>49</v>
      </c>
      <c r="H127" s="66" t="s">
        <v>30</v>
      </c>
      <c r="I127" s="66">
        <v>10</v>
      </c>
      <c r="J127" s="75">
        <v>695</v>
      </c>
      <c r="K127" s="54">
        <f t="shared" si="4"/>
        <v>6950</v>
      </c>
      <c r="L127" s="55" t="b">
        <v>1</v>
      </c>
      <c r="M127" s="56">
        <v>310720241424</v>
      </c>
      <c r="N127" s="57" t="b">
        <v>1</v>
      </c>
      <c r="O127" s="58" t="s">
        <v>31</v>
      </c>
      <c r="P127" s="59" t="b">
        <v>1</v>
      </c>
      <c r="Q127" s="129"/>
      <c r="R127" s="60"/>
      <c r="S127" s="47" t="b">
        <v>1</v>
      </c>
      <c r="T127" s="61" t="s">
        <v>1790</v>
      </c>
      <c r="U127" s="54"/>
      <c r="V127" s="54">
        <f t="shared" si="5"/>
        <v>6950</v>
      </c>
      <c r="W127" s="49"/>
      <c r="X127" s="49"/>
    </row>
    <row r="128" spans="1:24" ht="15.75" customHeight="1">
      <c r="A128" s="1"/>
      <c r="B128" s="1"/>
      <c r="C128" s="71" t="s">
        <v>1780</v>
      </c>
      <c r="D128" s="53" t="s">
        <v>104</v>
      </c>
      <c r="E128" s="53" t="s">
        <v>1791</v>
      </c>
      <c r="F128" s="66" t="s">
        <v>1021</v>
      </c>
      <c r="G128" s="66" t="s">
        <v>49</v>
      </c>
      <c r="H128" s="66" t="s">
        <v>30</v>
      </c>
      <c r="I128" s="66">
        <v>5</v>
      </c>
      <c r="J128" s="75">
        <v>695</v>
      </c>
      <c r="K128" s="54">
        <f t="shared" si="4"/>
        <v>3475</v>
      </c>
      <c r="L128" s="55" t="b">
        <v>1</v>
      </c>
      <c r="M128" s="56">
        <v>310720241535</v>
      </c>
      <c r="N128" s="57" t="b">
        <v>1</v>
      </c>
      <c r="O128" s="58" t="s">
        <v>31</v>
      </c>
      <c r="P128" s="59" t="b">
        <v>1</v>
      </c>
      <c r="Q128" s="129"/>
      <c r="R128" s="60"/>
      <c r="S128" s="47" t="b">
        <v>1</v>
      </c>
      <c r="T128" s="61" t="s">
        <v>1792</v>
      </c>
      <c r="U128" s="54"/>
      <c r="V128" s="54">
        <f t="shared" si="5"/>
        <v>3475</v>
      </c>
      <c r="W128" s="49"/>
      <c r="X128" s="49"/>
    </row>
    <row r="129" spans="1:24" ht="15.75" customHeight="1">
      <c r="A129" s="1"/>
      <c r="B129" s="1"/>
      <c r="C129" s="71" t="s">
        <v>1780</v>
      </c>
      <c r="D129" s="53" t="s">
        <v>171</v>
      </c>
      <c r="E129" s="53" t="s">
        <v>137</v>
      </c>
      <c r="F129" s="66" t="s">
        <v>172</v>
      </c>
      <c r="G129" s="66" t="s">
        <v>49</v>
      </c>
      <c r="H129" s="66" t="s">
        <v>30</v>
      </c>
      <c r="I129" s="66">
        <v>10</v>
      </c>
      <c r="J129" s="75">
        <v>695</v>
      </c>
      <c r="K129" s="54">
        <f t="shared" si="4"/>
        <v>6950</v>
      </c>
      <c r="L129" s="55" t="b">
        <v>1</v>
      </c>
      <c r="M129" s="56">
        <v>310720241615</v>
      </c>
      <c r="N129" s="57" t="b">
        <v>1</v>
      </c>
      <c r="O129" s="58" t="s">
        <v>31</v>
      </c>
      <c r="P129" s="59" t="b">
        <v>1</v>
      </c>
      <c r="Q129" s="129"/>
      <c r="R129" s="60"/>
      <c r="S129" s="47" t="b">
        <v>1</v>
      </c>
      <c r="T129" s="61" t="s">
        <v>1793</v>
      </c>
      <c r="U129" s="54"/>
      <c r="V129" s="54">
        <f t="shared" si="5"/>
        <v>6950</v>
      </c>
      <c r="W129" s="49"/>
      <c r="X129" s="49"/>
    </row>
    <row r="130" spans="1:24" ht="15.75" customHeight="1">
      <c r="A130" s="1"/>
      <c r="B130" s="1"/>
      <c r="C130" s="71" t="s">
        <v>1780</v>
      </c>
      <c r="D130" s="53" t="s">
        <v>171</v>
      </c>
      <c r="E130" s="53" t="s">
        <v>137</v>
      </c>
      <c r="F130" s="66" t="s">
        <v>172</v>
      </c>
      <c r="G130" s="66" t="s">
        <v>1076</v>
      </c>
      <c r="H130" s="66" t="s">
        <v>30</v>
      </c>
      <c r="I130" s="66">
        <v>7</v>
      </c>
      <c r="J130" s="75">
        <v>125</v>
      </c>
      <c r="K130" s="54">
        <f t="shared" si="4"/>
        <v>875</v>
      </c>
      <c r="L130" s="55" t="b">
        <v>1</v>
      </c>
      <c r="M130" s="56">
        <v>310720241617</v>
      </c>
      <c r="N130" s="57" t="b">
        <v>1</v>
      </c>
      <c r="O130" s="58" t="s">
        <v>31</v>
      </c>
      <c r="P130" s="59" t="b">
        <v>1</v>
      </c>
      <c r="Q130" s="129"/>
      <c r="R130" s="60"/>
      <c r="S130" s="47" t="b">
        <v>1</v>
      </c>
      <c r="T130" s="61" t="s">
        <v>1793</v>
      </c>
      <c r="U130" s="54"/>
      <c r="V130" s="54">
        <f t="shared" si="5"/>
        <v>875</v>
      </c>
      <c r="W130" s="49"/>
      <c r="X130" s="49"/>
    </row>
    <row r="131" spans="1:24" ht="15.75" customHeight="1">
      <c r="A131" s="1"/>
      <c r="B131" s="1"/>
      <c r="C131" s="71" t="s">
        <v>1780</v>
      </c>
      <c r="D131" s="53" t="s">
        <v>171</v>
      </c>
      <c r="E131" s="53" t="s">
        <v>137</v>
      </c>
      <c r="F131" s="66" t="s">
        <v>172</v>
      </c>
      <c r="G131" s="66" t="s">
        <v>1794</v>
      </c>
      <c r="H131" s="66" t="s">
        <v>30</v>
      </c>
      <c r="I131" s="66">
        <v>2</v>
      </c>
      <c r="J131" s="75">
        <v>100</v>
      </c>
      <c r="K131" s="54">
        <f t="shared" si="4"/>
        <v>200</v>
      </c>
      <c r="L131" s="55" t="b">
        <v>1</v>
      </c>
      <c r="M131" s="56">
        <v>310720241617</v>
      </c>
      <c r="N131" s="57" t="b">
        <v>1</v>
      </c>
      <c r="O131" s="58"/>
      <c r="P131" s="59" t="b">
        <v>1</v>
      </c>
      <c r="Q131" s="129"/>
      <c r="R131" s="60"/>
      <c r="S131" s="47" t="b">
        <v>1</v>
      </c>
      <c r="T131" s="61" t="s">
        <v>1793</v>
      </c>
      <c r="U131" s="54"/>
      <c r="V131" s="54">
        <f t="shared" si="5"/>
        <v>200</v>
      </c>
      <c r="W131" s="49"/>
      <c r="X131" s="49"/>
    </row>
    <row r="132" spans="1:24" ht="15.75" customHeight="1">
      <c r="A132" s="1"/>
      <c r="B132" s="1"/>
      <c r="C132" s="71"/>
      <c r="D132" s="53"/>
      <c r="E132" s="53"/>
      <c r="F132" s="66"/>
      <c r="G132" s="69"/>
      <c r="H132" s="69"/>
      <c r="I132" s="69"/>
      <c r="J132" s="70"/>
      <c r="K132" s="54">
        <f t="shared" si="4"/>
        <v>0</v>
      </c>
      <c r="L132" s="55" t="b">
        <v>0</v>
      </c>
      <c r="M132" s="56"/>
      <c r="N132" s="57" t="b">
        <v>0</v>
      </c>
      <c r="O132" s="58"/>
      <c r="P132" s="59" t="b">
        <v>0</v>
      </c>
      <c r="Q132" s="129"/>
      <c r="R132" s="60"/>
      <c r="S132" s="47" t="b">
        <v>0</v>
      </c>
      <c r="T132" s="61"/>
      <c r="U132" s="54"/>
      <c r="V132" s="54">
        <f t="shared" si="5"/>
        <v>0</v>
      </c>
      <c r="W132" s="49"/>
      <c r="X132" s="49"/>
    </row>
    <row r="133" spans="1:24" ht="15.75" customHeight="1">
      <c r="A133" s="1"/>
      <c r="B133" s="1"/>
      <c r="C133" s="71"/>
      <c r="D133" s="53"/>
      <c r="E133" s="53"/>
      <c r="F133" s="66"/>
      <c r="G133" s="69"/>
      <c r="H133" s="69"/>
      <c r="I133" s="69"/>
      <c r="J133" s="70"/>
      <c r="K133" s="54">
        <f t="shared" si="4"/>
        <v>0</v>
      </c>
      <c r="L133" s="55" t="b">
        <v>0</v>
      </c>
      <c r="M133" s="56"/>
      <c r="N133" s="57" t="b">
        <v>0</v>
      </c>
      <c r="O133" s="58"/>
      <c r="P133" s="59" t="b">
        <v>0</v>
      </c>
      <c r="Q133" s="129"/>
      <c r="R133" s="60"/>
      <c r="S133" s="47" t="b">
        <v>0</v>
      </c>
      <c r="T133" s="61"/>
      <c r="U133" s="54"/>
      <c r="V133" s="54">
        <f t="shared" si="5"/>
        <v>0</v>
      </c>
      <c r="W133" s="49"/>
      <c r="X133" s="49"/>
    </row>
    <row r="134" spans="1:24" ht="15.75" customHeight="1">
      <c r="A134" s="1"/>
      <c r="B134" s="1"/>
      <c r="C134" s="71"/>
      <c r="D134" s="53"/>
      <c r="E134" s="53"/>
      <c r="F134" s="66"/>
      <c r="G134" s="69"/>
      <c r="H134" s="69"/>
      <c r="I134" s="69"/>
      <c r="J134" s="70"/>
      <c r="K134" s="54">
        <f t="shared" si="4"/>
        <v>0</v>
      </c>
      <c r="L134" s="55" t="b">
        <v>0</v>
      </c>
      <c r="M134" s="56"/>
      <c r="N134" s="57" t="b">
        <v>0</v>
      </c>
      <c r="O134" s="58"/>
      <c r="P134" s="59" t="b">
        <v>0</v>
      </c>
      <c r="Q134" s="129"/>
      <c r="R134" s="60"/>
      <c r="S134" s="47" t="b">
        <v>0</v>
      </c>
      <c r="T134" s="61"/>
      <c r="U134" s="54"/>
      <c r="V134" s="54">
        <f t="shared" si="5"/>
        <v>0</v>
      </c>
      <c r="W134" s="49"/>
      <c r="X134" s="49"/>
    </row>
    <row r="135" spans="1:24" ht="15.75" customHeight="1">
      <c r="A135" s="1"/>
      <c r="B135" s="1"/>
      <c r="C135" s="71"/>
      <c r="D135" s="53"/>
      <c r="E135" s="53"/>
      <c r="F135" s="66"/>
      <c r="G135" s="69"/>
      <c r="H135" s="69"/>
      <c r="I135" s="69"/>
      <c r="J135" s="70"/>
      <c r="K135" s="54">
        <f t="shared" si="4"/>
        <v>0</v>
      </c>
      <c r="L135" s="55" t="b">
        <v>0</v>
      </c>
      <c r="M135" s="56"/>
      <c r="N135" s="57" t="b">
        <v>0</v>
      </c>
      <c r="O135" s="58"/>
      <c r="P135" s="59" t="b">
        <v>0</v>
      </c>
      <c r="Q135" s="129"/>
      <c r="R135" s="60"/>
      <c r="S135" s="47" t="b">
        <v>0</v>
      </c>
      <c r="T135" s="61"/>
      <c r="U135" s="54"/>
      <c r="V135" s="54">
        <f t="shared" si="5"/>
        <v>0</v>
      </c>
      <c r="W135" s="49"/>
      <c r="X135" s="49"/>
    </row>
    <row r="136" spans="1:24" ht="15.75" customHeight="1">
      <c r="A136" s="1"/>
      <c r="B136" s="1"/>
      <c r="C136" s="71"/>
      <c r="D136" s="53"/>
      <c r="E136" s="53"/>
      <c r="F136" s="66"/>
      <c r="G136" s="69"/>
      <c r="H136" s="69"/>
      <c r="I136" s="69"/>
      <c r="J136" s="70"/>
      <c r="K136" s="54">
        <f t="shared" si="4"/>
        <v>0</v>
      </c>
      <c r="L136" s="55" t="b">
        <v>0</v>
      </c>
      <c r="M136" s="56"/>
      <c r="N136" s="57" t="b">
        <v>0</v>
      </c>
      <c r="O136" s="58"/>
      <c r="P136" s="59" t="b">
        <v>0</v>
      </c>
      <c r="Q136" s="129"/>
      <c r="R136" s="60"/>
      <c r="S136" s="47" t="b">
        <v>0</v>
      </c>
      <c r="T136" s="61"/>
      <c r="U136" s="54"/>
      <c r="V136" s="54">
        <f t="shared" si="5"/>
        <v>0</v>
      </c>
      <c r="W136" s="49"/>
      <c r="X136" s="49"/>
    </row>
    <row r="137" spans="1:24" ht="15.75" customHeight="1">
      <c r="A137" s="1"/>
      <c r="B137" s="1"/>
      <c r="C137" s="71"/>
      <c r="D137" s="53"/>
      <c r="E137" s="53"/>
      <c r="F137" s="66"/>
      <c r="G137" s="69"/>
      <c r="H137" s="69"/>
      <c r="I137" s="69"/>
      <c r="J137" s="70"/>
      <c r="K137" s="54">
        <f t="shared" si="4"/>
        <v>0</v>
      </c>
      <c r="L137" s="55" t="b">
        <v>0</v>
      </c>
      <c r="M137" s="56"/>
      <c r="N137" s="57" t="b">
        <v>0</v>
      </c>
      <c r="O137" s="58"/>
      <c r="P137" s="59" t="b">
        <v>0</v>
      </c>
      <c r="Q137" s="129"/>
      <c r="R137" s="60"/>
      <c r="S137" s="47" t="b">
        <v>0</v>
      </c>
      <c r="T137" s="61"/>
      <c r="U137" s="54"/>
      <c r="V137" s="54">
        <f t="shared" si="5"/>
        <v>0</v>
      </c>
      <c r="W137" s="49"/>
      <c r="X137" s="49"/>
    </row>
    <row r="138" spans="1:24" ht="15.75" customHeight="1">
      <c r="A138" s="1"/>
      <c r="B138" s="1"/>
      <c r="C138" s="71"/>
      <c r="D138" s="53"/>
      <c r="E138" s="53"/>
      <c r="F138" s="66"/>
      <c r="G138" s="69"/>
      <c r="H138" s="69"/>
      <c r="I138" s="69"/>
      <c r="J138" s="70"/>
      <c r="K138" s="54">
        <f t="shared" si="4"/>
        <v>0</v>
      </c>
      <c r="L138" s="55" t="b">
        <v>0</v>
      </c>
      <c r="M138" s="56"/>
      <c r="N138" s="57" t="b">
        <v>0</v>
      </c>
      <c r="O138" s="58"/>
      <c r="P138" s="59" t="b">
        <v>0</v>
      </c>
      <c r="Q138" s="129"/>
      <c r="R138" s="60"/>
      <c r="S138" s="47" t="b">
        <v>0</v>
      </c>
      <c r="T138" s="61"/>
      <c r="U138" s="54"/>
      <c r="V138" s="54">
        <f t="shared" si="5"/>
        <v>0</v>
      </c>
      <c r="W138" s="49"/>
      <c r="X138" s="49"/>
    </row>
    <row r="139" spans="1:24" ht="15.75" customHeight="1">
      <c r="A139" s="1"/>
      <c r="B139" s="1"/>
      <c r="C139" s="71"/>
      <c r="D139" s="53"/>
      <c r="E139" s="53"/>
      <c r="F139" s="66"/>
      <c r="G139" s="69"/>
      <c r="H139" s="69"/>
      <c r="I139" s="69"/>
      <c r="J139" s="70"/>
      <c r="K139" s="54">
        <f t="shared" si="4"/>
        <v>0</v>
      </c>
      <c r="L139" s="55" t="b">
        <v>0</v>
      </c>
      <c r="M139" s="56"/>
      <c r="N139" s="57" t="b">
        <v>0</v>
      </c>
      <c r="O139" s="58"/>
      <c r="P139" s="59" t="b">
        <v>0</v>
      </c>
      <c r="Q139" s="129"/>
      <c r="R139" s="60"/>
      <c r="S139" s="47" t="b">
        <v>0</v>
      </c>
      <c r="T139" s="61"/>
      <c r="U139" s="54"/>
      <c r="V139" s="54">
        <f t="shared" si="5"/>
        <v>0</v>
      </c>
      <c r="W139" s="49"/>
      <c r="X139" s="49"/>
    </row>
    <row r="140" spans="1:24" ht="15.75" customHeight="1">
      <c r="A140" s="1"/>
      <c r="B140" s="1"/>
      <c r="C140" s="71"/>
      <c r="D140" s="53"/>
      <c r="E140" s="53"/>
      <c r="F140" s="66"/>
      <c r="G140" s="69"/>
      <c r="H140" s="69"/>
      <c r="I140" s="69"/>
      <c r="J140" s="70"/>
      <c r="K140" s="54">
        <f t="shared" si="4"/>
        <v>0</v>
      </c>
      <c r="L140" s="55" t="b">
        <v>0</v>
      </c>
      <c r="M140" s="56"/>
      <c r="N140" s="57" t="b">
        <v>0</v>
      </c>
      <c r="O140" s="58"/>
      <c r="P140" s="59" t="b">
        <v>0</v>
      </c>
      <c r="Q140" s="129"/>
      <c r="R140" s="60"/>
      <c r="S140" s="47" t="b">
        <v>0</v>
      </c>
      <c r="T140" s="61"/>
      <c r="U140" s="54"/>
      <c r="V140" s="54">
        <f t="shared" si="5"/>
        <v>0</v>
      </c>
      <c r="W140" s="49"/>
      <c r="X140" s="49"/>
    </row>
    <row r="141" spans="1:24" ht="15.75" customHeight="1">
      <c r="A141" s="1"/>
      <c r="B141" s="1"/>
      <c r="C141" s="71"/>
      <c r="D141" s="53"/>
      <c r="E141" s="53"/>
      <c r="F141" s="66"/>
      <c r="G141" s="69"/>
      <c r="H141" s="69"/>
      <c r="I141" s="69"/>
      <c r="J141" s="70"/>
      <c r="K141" s="54">
        <f t="shared" si="4"/>
        <v>0</v>
      </c>
      <c r="L141" s="55" t="b">
        <v>0</v>
      </c>
      <c r="M141" s="56"/>
      <c r="N141" s="57" t="b">
        <v>0</v>
      </c>
      <c r="O141" s="58"/>
      <c r="P141" s="59" t="b">
        <v>0</v>
      </c>
      <c r="Q141" s="129"/>
      <c r="R141" s="60"/>
      <c r="S141" s="47" t="b">
        <v>0</v>
      </c>
      <c r="T141" s="61"/>
      <c r="U141" s="54"/>
      <c r="V141" s="54">
        <f t="shared" si="5"/>
        <v>0</v>
      </c>
      <c r="W141" s="49"/>
      <c r="X141" s="49"/>
    </row>
    <row r="142" spans="1:24" ht="15.75" customHeight="1">
      <c r="A142" s="1"/>
      <c r="B142" s="1"/>
      <c r="C142" s="71"/>
      <c r="D142" s="53"/>
      <c r="E142" s="53"/>
      <c r="F142" s="66"/>
      <c r="G142" s="69"/>
      <c r="H142" s="69"/>
      <c r="I142" s="69"/>
      <c r="J142" s="70"/>
      <c r="K142" s="54">
        <f t="shared" si="4"/>
        <v>0</v>
      </c>
      <c r="L142" s="55" t="b">
        <v>0</v>
      </c>
      <c r="M142" s="56"/>
      <c r="N142" s="57" t="b">
        <v>0</v>
      </c>
      <c r="O142" s="58"/>
      <c r="P142" s="59" t="b">
        <v>0</v>
      </c>
      <c r="Q142" s="129"/>
      <c r="R142" s="60"/>
      <c r="S142" s="47" t="b">
        <v>0</v>
      </c>
      <c r="T142" s="61"/>
      <c r="U142" s="54"/>
      <c r="V142" s="54">
        <f t="shared" si="5"/>
        <v>0</v>
      </c>
      <c r="W142" s="49"/>
      <c r="X142" s="49"/>
    </row>
    <row r="143" spans="1:24" ht="15.75" customHeight="1">
      <c r="A143" s="1"/>
      <c r="B143" s="1"/>
      <c r="C143" s="71"/>
      <c r="D143" s="53"/>
      <c r="E143" s="53"/>
      <c r="F143" s="66"/>
      <c r="G143" s="69"/>
      <c r="H143" s="69"/>
      <c r="I143" s="69"/>
      <c r="J143" s="70"/>
      <c r="K143" s="54">
        <f t="shared" si="4"/>
        <v>0</v>
      </c>
      <c r="L143" s="55" t="b">
        <v>0</v>
      </c>
      <c r="M143" s="56"/>
      <c r="N143" s="57" t="b">
        <v>0</v>
      </c>
      <c r="O143" s="58"/>
      <c r="P143" s="59" t="b">
        <v>0</v>
      </c>
      <c r="Q143" s="129"/>
      <c r="R143" s="60"/>
      <c r="S143" s="47" t="b">
        <v>0</v>
      </c>
      <c r="T143" s="61"/>
      <c r="U143" s="54"/>
      <c r="V143" s="54">
        <f t="shared" si="5"/>
        <v>0</v>
      </c>
      <c r="W143" s="49"/>
      <c r="X143" s="49"/>
    </row>
    <row r="144" spans="1:24" ht="15.75" customHeight="1">
      <c r="A144" s="1"/>
      <c r="B144" s="1"/>
      <c r="C144" s="71"/>
      <c r="D144" s="53"/>
      <c r="E144" s="53"/>
      <c r="F144" s="66"/>
      <c r="G144" s="69"/>
      <c r="H144" s="69"/>
      <c r="I144" s="69"/>
      <c r="J144" s="70"/>
      <c r="K144" s="54">
        <f t="shared" si="4"/>
        <v>0</v>
      </c>
      <c r="L144" s="55" t="b">
        <v>0</v>
      </c>
      <c r="M144" s="56"/>
      <c r="N144" s="57" t="b">
        <v>0</v>
      </c>
      <c r="O144" s="58"/>
      <c r="P144" s="59" t="b">
        <v>0</v>
      </c>
      <c r="Q144" s="129"/>
      <c r="R144" s="60"/>
      <c r="S144" s="47" t="b">
        <v>0</v>
      </c>
      <c r="T144" s="61"/>
      <c r="U144" s="54"/>
      <c r="V144" s="54">
        <f t="shared" si="5"/>
        <v>0</v>
      </c>
      <c r="W144" s="49"/>
      <c r="X144" s="49"/>
    </row>
    <row r="145" spans="1:24" ht="15.75" customHeight="1">
      <c r="A145" s="1"/>
      <c r="B145" s="1"/>
      <c r="C145" s="71"/>
      <c r="D145" s="53"/>
      <c r="E145" s="53"/>
      <c r="F145" s="66"/>
      <c r="G145" s="69"/>
      <c r="H145" s="69"/>
      <c r="I145" s="69"/>
      <c r="J145" s="70"/>
      <c r="K145" s="54">
        <f t="shared" si="4"/>
        <v>0</v>
      </c>
      <c r="L145" s="55" t="b">
        <v>0</v>
      </c>
      <c r="M145" s="56"/>
      <c r="N145" s="57" t="b">
        <v>0</v>
      </c>
      <c r="O145" s="58"/>
      <c r="P145" s="59" t="b">
        <v>0</v>
      </c>
      <c r="Q145" s="129"/>
      <c r="R145" s="60"/>
      <c r="S145" s="47" t="b">
        <v>0</v>
      </c>
      <c r="T145" s="61"/>
      <c r="U145" s="54"/>
      <c r="V145" s="54">
        <f t="shared" si="5"/>
        <v>0</v>
      </c>
      <c r="W145" s="49"/>
      <c r="X145" s="49"/>
    </row>
    <row r="146" spans="1:24" ht="15.75" customHeight="1">
      <c r="A146" s="1"/>
      <c r="B146" s="1"/>
      <c r="C146" s="71"/>
      <c r="D146" s="53"/>
      <c r="E146" s="53"/>
      <c r="F146" s="66"/>
      <c r="G146" s="69"/>
      <c r="H146" s="69"/>
      <c r="I146" s="69"/>
      <c r="J146" s="70"/>
      <c r="K146" s="54">
        <f t="shared" si="4"/>
        <v>0</v>
      </c>
      <c r="L146" s="55" t="b">
        <v>0</v>
      </c>
      <c r="M146" s="56"/>
      <c r="N146" s="57" t="b">
        <v>0</v>
      </c>
      <c r="O146" s="58"/>
      <c r="P146" s="59" t="b">
        <v>0</v>
      </c>
      <c r="Q146" s="129"/>
      <c r="R146" s="60"/>
      <c r="S146" s="47" t="b">
        <v>0</v>
      </c>
      <c r="T146" s="61"/>
      <c r="U146" s="54"/>
      <c r="V146" s="54">
        <f t="shared" si="5"/>
        <v>0</v>
      </c>
      <c r="W146" s="49"/>
      <c r="X146" s="49"/>
    </row>
    <row r="147" spans="1:24" ht="15.75" customHeight="1">
      <c r="A147" s="1"/>
      <c r="B147" s="1"/>
      <c r="C147" s="71"/>
      <c r="D147" s="53"/>
      <c r="E147" s="53"/>
      <c r="F147" s="66"/>
      <c r="G147" s="69"/>
      <c r="H147" s="69"/>
      <c r="I147" s="69"/>
      <c r="J147" s="70"/>
      <c r="K147" s="54">
        <f t="shared" si="4"/>
        <v>0</v>
      </c>
      <c r="L147" s="55" t="b">
        <v>0</v>
      </c>
      <c r="M147" s="56"/>
      <c r="N147" s="57" t="b">
        <v>0</v>
      </c>
      <c r="O147" s="58"/>
      <c r="P147" s="59" t="b">
        <v>0</v>
      </c>
      <c r="Q147" s="129"/>
      <c r="R147" s="60"/>
      <c r="S147" s="47" t="b">
        <v>0</v>
      </c>
      <c r="T147" s="61"/>
      <c r="U147" s="54"/>
      <c r="V147" s="54">
        <f t="shared" si="5"/>
        <v>0</v>
      </c>
      <c r="W147" s="49"/>
      <c r="X147" s="49"/>
    </row>
    <row r="148" spans="1:24" ht="15.75" customHeight="1">
      <c r="A148" s="1"/>
      <c r="B148" s="1"/>
      <c r="C148" s="71"/>
      <c r="D148" s="53"/>
      <c r="E148" s="53"/>
      <c r="F148" s="66"/>
      <c r="G148" s="69"/>
      <c r="H148" s="69"/>
      <c r="I148" s="69"/>
      <c r="J148" s="70"/>
      <c r="K148" s="54">
        <f t="shared" si="4"/>
        <v>0</v>
      </c>
      <c r="L148" s="55" t="b">
        <v>0</v>
      </c>
      <c r="M148" s="56"/>
      <c r="N148" s="57" t="b">
        <v>0</v>
      </c>
      <c r="O148" s="58"/>
      <c r="P148" s="59" t="b">
        <v>0</v>
      </c>
      <c r="Q148" s="129"/>
      <c r="R148" s="60"/>
      <c r="S148" s="47" t="b">
        <v>0</v>
      </c>
      <c r="T148" s="61"/>
      <c r="U148" s="54"/>
      <c r="V148" s="54">
        <f t="shared" si="5"/>
        <v>0</v>
      </c>
      <c r="W148" s="49"/>
      <c r="X148" s="49"/>
    </row>
    <row r="149" spans="1:24" ht="15.75" customHeight="1">
      <c r="A149" s="1"/>
      <c r="B149" s="1"/>
      <c r="C149" s="71"/>
      <c r="D149" s="53"/>
      <c r="E149" s="53"/>
      <c r="F149" s="66"/>
      <c r="G149" s="69"/>
      <c r="H149" s="69"/>
      <c r="I149" s="69"/>
      <c r="J149" s="70"/>
      <c r="K149" s="54">
        <f t="shared" si="4"/>
        <v>0</v>
      </c>
      <c r="L149" s="55" t="b">
        <v>0</v>
      </c>
      <c r="M149" s="56"/>
      <c r="N149" s="57" t="b">
        <v>0</v>
      </c>
      <c r="O149" s="58"/>
      <c r="P149" s="59" t="b">
        <v>0</v>
      </c>
      <c r="Q149" s="129"/>
      <c r="R149" s="60"/>
      <c r="S149" s="47" t="b">
        <v>0</v>
      </c>
      <c r="T149" s="61"/>
      <c r="U149" s="54"/>
      <c r="V149" s="54">
        <f t="shared" si="5"/>
        <v>0</v>
      </c>
      <c r="W149" s="49"/>
      <c r="X149" s="49"/>
    </row>
    <row r="150" spans="1:24" ht="15.75" customHeight="1">
      <c r="A150" s="1"/>
      <c r="B150" s="1"/>
      <c r="C150" s="71"/>
      <c r="D150" s="53"/>
      <c r="E150" s="53"/>
      <c r="F150" s="66"/>
      <c r="G150" s="69"/>
      <c r="H150" s="69"/>
      <c r="I150" s="69"/>
      <c r="J150" s="70"/>
      <c r="K150" s="54">
        <f t="shared" si="4"/>
        <v>0</v>
      </c>
      <c r="L150" s="55" t="b">
        <v>0</v>
      </c>
      <c r="M150" s="56"/>
      <c r="N150" s="57" t="b">
        <v>0</v>
      </c>
      <c r="O150" s="58"/>
      <c r="P150" s="59" t="b">
        <v>0</v>
      </c>
      <c r="Q150" s="129"/>
      <c r="R150" s="60"/>
      <c r="S150" s="47" t="b">
        <v>0</v>
      </c>
      <c r="T150" s="61"/>
      <c r="U150" s="54"/>
      <c r="V150" s="54">
        <f t="shared" si="5"/>
        <v>0</v>
      </c>
      <c r="W150" s="49"/>
      <c r="X150" s="49"/>
    </row>
    <row r="151" spans="1:24" ht="15.75" customHeight="1">
      <c r="A151" s="1"/>
      <c r="B151" s="1"/>
      <c r="C151" s="71"/>
      <c r="D151" s="53"/>
      <c r="E151" s="53"/>
      <c r="F151" s="66"/>
      <c r="G151" s="69"/>
      <c r="H151" s="69"/>
      <c r="I151" s="69"/>
      <c r="J151" s="70"/>
      <c r="K151" s="54">
        <f t="shared" si="4"/>
        <v>0</v>
      </c>
      <c r="L151" s="55" t="b">
        <v>0</v>
      </c>
      <c r="M151" s="56"/>
      <c r="N151" s="57" t="b">
        <v>0</v>
      </c>
      <c r="O151" s="58"/>
      <c r="P151" s="59" t="b">
        <v>0</v>
      </c>
      <c r="Q151" s="129"/>
      <c r="R151" s="60"/>
      <c r="S151" s="47" t="b">
        <v>0</v>
      </c>
      <c r="T151" s="61"/>
      <c r="U151" s="54"/>
      <c r="V151" s="54">
        <f t="shared" si="5"/>
        <v>0</v>
      </c>
      <c r="W151" s="49"/>
      <c r="X151" s="49"/>
    </row>
    <row r="152" spans="1:24" ht="15.75" customHeight="1">
      <c r="A152" s="1"/>
      <c r="B152" s="1"/>
      <c r="C152" s="71"/>
      <c r="D152" s="53"/>
      <c r="E152" s="53"/>
      <c r="F152" s="66"/>
      <c r="G152" s="69"/>
      <c r="H152" s="69"/>
      <c r="I152" s="69"/>
      <c r="J152" s="70"/>
      <c r="K152" s="54">
        <f t="shared" si="4"/>
        <v>0</v>
      </c>
      <c r="L152" s="55" t="b">
        <v>0</v>
      </c>
      <c r="M152" s="56"/>
      <c r="N152" s="57" t="b">
        <v>0</v>
      </c>
      <c r="O152" s="58"/>
      <c r="P152" s="59" t="b">
        <v>0</v>
      </c>
      <c r="Q152" s="129"/>
      <c r="R152" s="60"/>
      <c r="S152" s="47" t="b">
        <v>0</v>
      </c>
      <c r="T152" s="61"/>
      <c r="U152" s="54"/>
      <c r="V152" s="54">
        <f t="shared" si="5"/>
        <v>0</v>
      </c>
      <c r="W152" s="49"/>
      <c r="X152" s="49"/>
    </row>
    <row r="153" spans="1:24" ht="15.75" customHeight="1">
      <c r="A153" s="1"/>
      <c r="B153" s="1"/>
      <c r="C153" s="71"/>
      <c r="D153" s="53"/>
      <c r="E153" s="53"/>
      <c r="F153" s="66"/>
      <c r="G153" s="69"/>
      <c r="H153" s="69"/>
      <c r="I153" s="69"/>
      <c r="J153" s="70"/>
      <c r="K153" s="54">
        <f t="shared" si="4"/>
        <v>0</v>
      </c>
      <c r="L153" s="55" t="b">
        <v>0</v>
      </c>
      <c r="M153" s="56"/>
      <c r="N153" s="57" t="b">
        <v>0</v>
      </c>
      <c r="O153" s="58"/>
      <c r="P153" s="59" t="b">
        <v>0</v>
      </c>
      <c r="Q153" s="129"/>
      <c r="R153" s="60"/>
      <c r="S153" s="47" t="b">
        <v>0</v>
      </c>
      <c r="T153" s="61"/>
      <c r="U153" s="54"/>
      <c r="V153" s="54">
        <f t="shared" si="5"/>
        <v>0</v>
      </c>
      <c r="W153" s="49"/>
      <c r="X153" s="49"/>
    </row>
    <row r="154" spans="1:24" ht="15.75" customHeight="1">
      <c r="A154" s="1"/>
      <c r="B154" s="1"/>
      <c r="C154" s="71"/>
      <c r="D154" s="53"/>
      <c r="E154" s="53"/>
      <c r="F154" s="66"/>
      <c r="G154" s="69"/>
      <c r="H154" s="69"/>
      <c r="I154" s="69"/>
      <c r="J154" s="70"/>
      <c r="K154" s="54">
        <f t="shared" si="4"/>
        <v>0</v>
      </c>
      <c r="L154" s="55" t="b">
        <v>0</v>
      </c>
      <c r="M154" s="56"/>
      <c r="N154" s="57" t="b">
        <v>0</v>
      </c>
      <c r="O154" s="58"/>
      <c r="P154" s="59" t="b">
        <v>0</v>
      </c>
      <c r="Q154" s="129"/>
      <c r="R154" s="60"/>
      <c r="S154" s="47" t="b">
        <v>0</v>
      </c>
      <c r="T154" s="61"/>
      <c r="U154" s="54"/>
      <c r="V154" s="54">
        <f t="shared" si="5"/>
        <v>0</v>
      </c>
      <c r="W154" s="49"/>
      <c r="X154" s="49"/>
    </row>
    <row r="155" spans="1:24" ht="15.75" customHeight="1">
      <c r="A155" s="1"/>
      <c r="B155" s="1"/>
      <c r="C155" s="71"/>
      <c r="D155" s="53"/>
      <c r="E155" s="53"/>
      <c r="F155" s="66"/>
      <c r="G155" s="69"/>
      <c r="H155" s="69"/>
      <c r="I155" s="69"/>
      <c r="J155" s="70"/>
      <c r="K155" s="54">
        <f t="shared" si="4"/>
        <v>0</v>
      </c>
      <c r="L155" s="55" t="b">
        <v>0</v>
      </c>
      <c r="M155" s="56"/>
      <c r="N155" s="57" t="b">
        <v>0</v>
      </c>
      <c r="O155" s="58"/>
      <c r="P155" s="59" t="b">
        <v>0</v>
      </c>
      <c r="Q155" s="129"/>
      <c r="R155" s="60"/>
      <c r="S155" s="47" t="b">
        <v>0</v>
      </c>
      <c r="T155" s="61"/>
      <c r="U155" s="54"/>
      <c r="V155" s="54">
        <f t="shared" si="5"/>
        <v>0</v>
      </c>
      <c r="W155" s="49"/>
      <c r="X155" s="49"/>
    </row>
    <row r="156" spans="1:24" ht="15.75" customHeight="1">
      <c r="A156" s="1"/>
      <c r="B156" s="1"/>
      <c r="C156" s="71"/>
      <c r="D156" s="53"/>
      <c r="E156" s="53"/>
      <c r="F156" s="66"/>
      <c r="G156" s="69"/>
      <c r="H156" s="69"/>
      <c r="I156" s="69"/>
      <c r="J156" s="70"/>
      <c r="K156" s="54">
        <f t="shared" si="4"/>
        <v>0</v>
      </c>
      <c r="L156" s="55" t="b">
        <v>0</v>
      </c>
      <c r="M156" s="56"/>
      <c r="N156" s="57" t="b">
        <v>0</v>
      </c>
      <c r="O156" s="58"/>
      <c r="P156" s="59" t="b">
        <v>0</v>
      </c>
      <c r="Q156" s="129"/>
      <c r="R156" s="60"/>
      <c r="S156" s="47" t="b">
        <v>0</v>
      </c>
      <c r="T156" s="61"/>
      <c r="U156" s="54"/>
      <c r="V156" s="54">
        <f t="shared" si="5"/>
        <v>0</v>
      </c>
      <c r="W156" s="49"/>
      <c r="X156" s="49"/>
    </row>
    <row r="157" spans="1:24" ht="15.75" customHeight="1">
      <c r="A157" s="1"/>
      <c r="B157" s="1"/>
      <c r="C157" s="71"/>
      <c r="D157" s="53"/>
      <c r="E157" s="53"/>
      <c r="F157" s="66"/>
      <c r="G157" s="69"/>
      <c r="H157" s="69"/>
      <c r="I157" s="69"/>
      <c r="J157" s="70"/>
      <c r="K157" s="54">
        <f t="shared" si="4"/>
        <v>0</v>
      </c>
      <c r="L157" s="55" t="b">
        <v>0</v>
      </c>
      <c r="M157" s="56"/>
      <c r="N157" s="57" t="b">
        <v>0</v>
      </c>
      <c r="O157" s="58"/>
      <c r="P157" s="59" t="b">
        <v>0</v>
      </c>
      <c r="Q157" s="129"/>
      <c r="R157" s="60"/>
      <c r="S157" s="47" t="b">
        <v>0</v>
      </c>
      <c r="T157" s="61"/>
      <c r="U157" s="54"/>
      <c r="V157" s="54">
        <f t="shared" si="5"/>
        <v>0</v>
      </c>
      <c r="W157" s="49"/>
      <c r="X157" s="49"/>
    </row>
    <row r="158" spans="1:24" ht="15.75" customHeight="1">
      <c r="A158" s="1"/>
      <c r="B158" s="1"/>
      <c r="C158" s="71"/>
      <c r="D158" s="53"/>
      <c r="E158" s="53"/>
      <c r="F158" s="66"/>
      <c r="G158" s="69"/>
      <c r="H158" s="69"/>
      <c r="I158" s="69"/>
      <c r="J158" s="70"/>
      <c r="K158" s="54">
        <f t="shared" si="4"/>
        <v>0</v>
      </c>
      <c r="L158" s="55" t="b">
        <v>0</v>
      </c>
      <c r="M158" s="56"/>
      <c r="N158" s="57" t="b">
        <v>0</v>
      </c>
      <c r="O158" s="58"/>
      <c r="P158" s="59" t="b">
        <v>0</v>
      </c>
      <c r="Q158" s="129"/>
      <c r="R158" s="60"/>
      <c r="S158" s="47" t="b">
        <v>0</v>
      </c>
      <c r="T158" s="61"/>
      <c r="U158" s="54"/>
      <c r="V158" s="54">
        <f t="shared" si="5"/>
        <v>0</v>
      </c>
      <c r="W158" s="49"/>
      <c r="X158" s="49"/>
    </row>
    <row r="159" spans="1:24" ht="15.75" customHeight="1">
      <c r="A159" s="1"/>
      <c r="B159" s="1"/>
      <c r="C159" s="71"/>
      <c r="D159" s="53"/>
      <c r="E159" s="53"/>
      <c r="F159" s="66"/>
      <c r="G159" s="69"/>
      <c r="H159" s="69"/>
      <c r="I159" s="69"/>
      <c r="J159" s="70"/>
      <c r="K159" s="54">
        <f t="shared" si="4"/>
        <v>0</v>
      </c>
      <c r="L159" s="55" t="b">
        <v>0</v>
      </c>
      <c r="M159" s="56"/>
      <c r="N159" s="57" t="b">
        <v>0</v>
      </c>
      <c r="O159" s="58"/>
      <c r="P159" s="59" t="b">
        <v>0</v>
      </c>
      <c r="Q159" s="129"/>
      <c r="R159" s="60"/>
      <c r="S159" s="47" t="b">
        <v>0</v>
      </c>
      <c r="T159" s="61"/>
      <c r="U159" s="54"/>
      <c r="V159" s="54">
        <f t="shared" si="5"/>
        <v>0</v>
      </c>
      <c r="W159" s="49"/>
      <c r="X159" s="49"/>
    </row>
    <row r="160" spans="1:24" ht="15.75" customHeight="1">
      <c r="A160" s="1"/>
      <c r="B160" s="1"/>
      <c r="C160" s="71"/>
      <c r="D160" s="53"/>
      <c r="E160" s="53"/>
      <c r="F160" s="66"/>
      <c r="G160" s="69"/>
      <c r="H160" s="69"/>
      <c r="I160" s="69"/>
      <c r="J160" s="70"/>
      <c r="K160" s="54">
        <f t="shared" si="4"/>
        <v>0</v>
      </c>
      <c r="L160" s="55" t="b">
        <v>0</v>
      </c>
      <c r="M160" s="56"/>
      <c r="N160" s="57" t="b">
        <v>0</v>
      </c>
      <c r="O160" s="58"/>
      <c r="P160" s="59" t="b">
        <v>0</v>
      </c>
      <c r="Q160" s="129"/>
      <c r="R160" s="60"/>
      <c r="S160" s="47" t="b">
        <v>0</v>
      </c>
      <c r="T160" s="61"/>
      <c r="U160" s="54"/>
      <c r="V160" s="54">
        <f t="shared" si="5"/>
        <v>0</v>
      </c>
      <c r="W160" s="49"/>
      <c r="X160" s="49"/>
    </row>
    <row r="161" spans="1:24" ht="15.75" customHeight="1">
      <c r="A161" s="1"/>
      <c r="B161" s="1"/>
      <c r="C161" s="71"/>
      <c r="D161" s="53"/>
      <c r="E161" s="53"/>
      <c r="F161" s="66"/>
      <c r="G161" s="69"/>
      <c r="H161" s="69"/>
      <c r="I161" s="69"/>
      <c r="J161" s="70"/>
      <c r="K161" s="54">
        <f t="shared" si="4"/>
        <v>0</v>
      </c>
      <c r="L161" s="55" t="b">
        <v>0</v>
      </c>
      <c r="M161" s="56"/>
      <c r="N161" s="57" t="b">
        <v>0</v>
      </c>
      <c r="O161" s="58"/>
      <c r="P161" s="59" t="b">
        <v>0</v>
      </c>
      <c r="Q161" s="129"/>
      <c r="R161" s="60"/>
      <c r="S161" s="47" t="b">
        <v>0</v>
      </c>
      <c r="T161" s="61"/>
      <c r="U161" s="54"/>
      <c r="V161" s="54">
        <f t="shared" si="5"/>
        <v>0</v>
      </c>
      <c r="W161" s="49"/>
      <c r="X161" s="49"/>
    </row>
    <row r="162" spans="1:24" ht="15.75" customHeight="1">
      <c r="A162" s="1"/>
      <c r="B162" s="1"/>
      <c r="C162" s="71"/>
      <c r="D162" s="53"/>
      <c r="E162" s="53"/>
      <c r="F162" s="66"/>
      <c r="G162" s="69"/>
      <c r="H162" s="69"/>
      <c r="I162" s="69"/>
      <c r="J162" s="70"/>
      <c r="K162" s="54">
        <f t="shared" si="4"/>
        <v>0</v>
      </c>
      <c r="L162" s="55" t="b">
        <v>0</v>
      </c>
      <c r="M162" s="56"/>
      <c r="N162" s="57" t="b">
        <v>0</v>
      </c>
      <c r="O162" s="58"/>
      <c r="P162" s="59" t="b">
        <v>0</v>
      </c>
      <c r="Q162" s="129"/>
      <c r="R162" s="60"/>
      <c r="S162" s="47" t="b">
        <v>0</v>
      </c>
      <c r="T162" s="61"/>
      <c r="U162" s="54"/>
      <c r="V162" s="54">
        <f t="shared" si="5"/>
        <v>0</v>
      </c>
      <c r="W162" s="49"/>
      <c r="X162" s="49"/>
    </row>
    <row r="163" spans="1:24" ht="15.75" customHeight="1">
      <c r="A163" s="1"/>
      <c r="B163" s="1"/>
      <c r="C163" s="71"/>
      <c r="D163" s="53"/>
      <c r="E163" s="53"/>
      <c r="F163" s="66"/>
      <c r="G163" s="69"/>
      <c r="H163" s="69"/>
      <c r="I163" s="69"/>
      <c r="J163" s="70"/>
      <c r="K163" s="54">
        <f t="shared" si="4"/>
        <v>0</v>
      </c>
      <c r="L163" s="55" t="b">
        <v>0</v>
      </c>
      <c r="M163" s="56"/>
      <c r="N163" s="57" t="b">
        <v>0</v>
      </c>
      <c r="O163" s="58"/>
      <c r="P163" s="59" t="b">
        <v>0</v>
      </c>
      <c r="Q163" s="129"/>
      <c r="R163" s="60"/>
      <c r="S163" s="47" t="b">
        <v>0</v>
      </c>
      <c r="T163" s="61"/>
      <c r="U163" s="54"/>
      <c r="V163" s="54">
        <f t="shared" si="5"/>
        <v>0</v>
      </c>
      <c r="W163" s="49"/>
      <c r="X163" s="49"/>
    </row>
    <row r="164" spans="1:24" ht="15.75" customHeight="1">
      <c r="A164" s="1"/>
      <c r="B164" s="1"/>
      <c r="C164" s="71"/>
      <c r="D164" s="53"/>
      <c r="E164" s="53"/>
      <c r="F164" s="66"/>
      <c r="G164" s="69"/>
      <c r="H164" s="69"/>
      <c r="I164" s="69"/>
      <c r="J164" s="70"/>
      <c r="K164" s="54">
        <f t="shared" si="4"/>
        <v>0</v>
      </c>
      <c r="L164" s="55" t="b">
        <v>0</v>
      </c>
      <c r="M164" s="56"/>
      <c r="N164" s="57" t="b">
        <v>0</v>
      </c>
      <c r="O164" s="58"/>
      <c r="P164" s="59" t="b">
        <v>0</v>
      </c>
      <c r="Q164" s="129"/>
      <c r="R164" s="60"/>
      <c r="S164" s="47" t="b">
        <v>0</v>
      </c>
      <c r="T164" s="61"/>
      <c r="U164" s="54"/>
      <c r="V164" s="54">
        <f t="shared" si="5"/>
        <v>0</v>
      </c>
      <c r="W164" s="49"/>
      <c r="X164" s="49"/>
    </row>
    <row r="165" spans="1:24" ht="15.75" customHeight="1">
      <c r="A165" s="1"/>
      <c r="B165" s="1"/>
      <c r="C165" s="71"/>
      <c r="D165" s="53"/>
      <c r="E165" s="53"/>
      <c r="F165" s="66"/>
      <c r="G165" s="69"/>
      <c r="H165" s="69"/>
      <c r="I165" s="69"/>
      <c r="J165" s="70"/>
      <c r="K165" s="54"/>
      <c r="L165" s="55"/>
      <c r="M165" s="56"/>
      <c r="N165" s="57"/>
      <c r="O165" s="58"/>
      <c r="P165" s="59"/>
      <c r="Q165" s="129"/>
      <c r="R165" s="60"/>
      <c r="S165" s="47"/>
      <c r="T165" s="61"/>
      <c r="U165" s="54"/>
      <c r="V165" s="54"/>
      <c r="W165" s="49"/>
      <c r="X165" s="49"/>
    </row>
    <row r="166" spans="1:24" ht="15.75" customHeight="1">
      <c r="A166" s="1"/>
      <c r="B166" s="1"/>
      <c r="C166" s="71"/>
      <c r="D166" s="53"/>
      <c r="E166" s="53"/>
      <c r="F166" s="66"/>
      <c r="G166" s="69"/>
      <c r="H166" s="69"/>
      <c r="I166" s="69"/>
      <c r="J166" s="70"/>
      <c r="K166" s="54"/>
      <c r="L166" s="55"/>
      <c r="M166" s="56"/>
      <c r="N166" s="57"/>
      <c r="O166" s="58"/>
      <c r="P166" s="59"/>
      <c r="Q166" s="129"/>
      <c r="R166" s="60"/>
      <c r="S166" s="47"/>
      <c r="T166" s="61"/>
      <c r="U166" s="54"/>
      <c r="V166" s="54"/>
      <c r="W166" s="49"/>
      <c r="X166" s="49"/>
    </row>
    <row r="167" spans="1:24" ht="15.75" customHeight="1">
      <c r="A167" s="1"/>
      <c r="B167" s="1"/>
      <c r="C167" s="71"/>
      <c r="D167" s="53"/>
      <c r="E167" s="53"/>
      <c r="F167" s="66"/>
      <c r="G167" s="69"/>
      <c r="H167" s="69"/>
      <c r="I167" s="69"/>
      <c r="J167" s="70"/>
      <c r="K167" s="54"/>
      <c r="L167" s="55"/>
      <c r="M167" s="56"/>
      <c r="N167" s="57"/>
      <c r="O167" s="58"/>
      <c r="P167" s="59"/>
      <c r="Q167" s="129"/>
      <c r="R167" s="60"/>
      <c r="S167" s="47"/>
      <c r="T167" s="61"/>
      <c r="U167" s="54"/>
      <c r="V167" s="54"/>
      <c r="W167" s="49"/>
      <c r="X167" s="49"/>
    </row>
    <row r="168" spans="1:24" ht="15.75" customHeight="1">
      <c r="A168" s="1"/>
      <c r="B168" s="1"/>
      <c r="C168" s="71"/>
      <c r="D168" s="53"/>
      <c r="E168" s="53"/>
      <c r="F168" s="66"/>
      <c r="G168" s="69"/>
      <c r="H168" s="69"/>
      <c r="I168" s="69"/>
      <c r="J168" s="70"/>
      <c r="K168" s="54"/>
      <c r="L168" s="55"/>
      <c r="M168" s="56"/>
      <c r="N168" s="57"/>
      <c r="O168" s="58"/>
      <c r="P168" s="59"/>
      <c r="Q168" s="129"/>
      <c r="R168" s="60"/>
      <c r="S168" s="47"/>
      <c r="T168" s="61"/>
      <c r="U168" s="54"/>
      <c r="V168" s="54"/>
      <c r="W168" s="49"/>
      <c r="X168" s="49"/>
    </row>
    <row r="169" spans="1:24" ht="15.75" customHeight="1">
      <c r="A169" s="1"/>
      <c r="B169" s="1"/>
      <c r="C169" s="71"/>
      <c r="D169" s="53"/>
      <c r="E169" s="53"/>
      <c r="F169" s="66"/>
      <c r="G169" s="69"/>
      <c r="H169" s="69"/>
      <c r="I169" s="69"/>
      <c r="J169" s="70"/>
      <c r="K169" s="54"/>
      <c r="L169" s="55"/>
      <c r="M169" s="56"/>
      <c r="N169" s="57"/>
      <c r="O169" s="58"/>
      <c r="P169" s="59"/>
      <c r="Q169" s="129"/>
      <c r="R169" s="60"/>
      <c r="S169" s="47"/>
      <c r="T169" s="61"/>
      <c r="U169" s="54"/>
      <c r="V169" s="54"/>
      <c r="W169" s="49"/>
      <c r="X169" s="49"/>
    </row>
    <row r="170" spans="1:24" ht="15.75" customHeight="1">
      <c r="A170" s="1"/>
      <c r="B170" s="1"/>
      <c r="C170" s="71"/>
      <c r="D170" s="53"/>
      <c r="E170" s="53"/>
      <c r="F170" s="66"/>
      <c r="G170" s="69"/>
      <c r="H170" s="69"/>
      <c r="I170" s="69"/>
      <c r="J170" s="70"/>
      <c r="K170" s="54"/>
      <c r="L170" s="55"/>
      <c r="M170" s="56"/>
      <c r="N170" s="57"/>
      <c r="O170" s="58"/>
      <c r="P170" s="59"/>
      <c r="Q170" s="129"/>
      <c r="R170" s="60"/>
      <c r="S170" s="47"/>
      <c r="T170" s="61"/>
      <c r="U170" s="54"/>
      <c r="V170" s="54"/>
      <c r="W170" s="49"/>
      <c r="X170" s="49"/>
    </row>
    <row r="171" spans="1:24" ht="15.75" customHeight="1">
      <c r="A171" s="1"/>
      <c r="B171" s="1"/>
      <c r="C171" s="1"/>
      <c r="D171" s="1"/>
      <c r="E171" s="1"/>
      <c r="F171" s="1"/>
      <c r="G171" s="18"/>
      <c r="H171" s="1"/>
      <c r="I171" s="1"/>
      <c r="J171" s="8"/>
      <c r="K171" s="8"/>
      <c r="L171" s="1"/>
      <c r="M171" s="1"/>
      <c r="N171" s="9"/>
      <c r="O171" s="10"/>
      <c r="P171" s="1"/>
      <c r="Q171" s="126"/>
      <c r="R171" s="1"/>
      <c r="S171" s="1"/>
      <c r="T171" s="1"/>
      <c r="U171" s="1"/>
    </row>
    <row r="172" spans="1:24" ht="15.75" customHeight="1">
      <c r="A172" s="1"/>
      <c r="B172" s="1"/>
      <c r="C172" s="1"/>
      <c r="D172" s="1"/>
      <c r="E172" s="1"/>
      <c r="F172" s="1"/>
      <c r="G172" s="18"/>
      <c r="H172" s="1"/>
      <c r="I172" s="1"/>
      <c r="J172" s="8"/>
      <c r="K172" s="8"/>
      <c r="L172" s="1"/>
      <c r="M172" s="1"/>
      <c r="N172" s="9"/>
      <c r="O172" s="10"/>
      <c r="P172" s="1"/>
      <c r="Q172" s="126"/>
      <c r="R172" s="1"/>
      <c r="S172" s="1"/>
      <c r="T172" s="1"/>
      <c r="U172" s="1"/>
    </row>
    <row r="173" spans="1:24" ht="15.75" customHeight="1">
      <c r="A173" s="1"/>
      <c r="B173" s="1"/>
      <c r="C173" s="1"/>
      <c r="D173" s="1"/>
      <c r="E173" s="1"/>
      <c r="F173" s="1"/>
      <c r="G173" s="18"/>
      <c r="H173" s="1"/>
      <c r="I173" s="1"/>
      <c r="J173" s="8"/>
      <c r="K173" s="8"/>
      <c r="L173" s="1"/>
      <c r="M173" s="1"/>
      <c r="N173" s="9"/>
      <c r="O173" s="10"/>
      <c r="P173" s="1"/>
      <c r="Q173" s="126"/>
      <c r="R173" s="1"/>
      <c r="S173" s="1"/>
      <c r="T173" s="1"/>
      <c r="U173" s="1"/>
    </row>
    <row r="174" spans="1:24" ht="15.75" customHeight="1">
      <c r="A174" s="1"/>
      <c r="B174" s="1"/>
      <c r="C174" s="1"/>
      <c r="D174" s="1"/>
      <c r="E174" s="1"/>
      <c r="F174" s="1"/>
      <c r="G174" s="18"/>
      <c r="H174" s="1"/>
      <c r="I174" s="1"/>
      <c r="J174" s="8"/>
      <c r="K174" s="8"/>
      <c r="L174" s="1"/>
      <c r="M174" s="1"/>
      <c r="N174" s="9"/>
      <c r="O174" s="10"/>
      <c r="P174" s="1"/>
      <c r="Q174" s="126"/>
      <c r="R174" s="1"/>
      <c r="S174" s="1"/>
      <c r="T174" s="1"/>
      <c r="U174" s="1"/>
    </row>
    <row r="175" spans="1:24" ht="15.75" customHeight="1">
      <c r="A175" s="1"/>
      <c r="B175" s="1"/>
      <c r="C175" s="1"/>
      <c r="D175" s="1"/>
      <c r="E175" s="1"/>
      <c r="F175" s="1"/>
      <c r="G175" s="18"/>
      <c r="H175" s="1"/>
      <c r="I175" s="1"/>
      <c r="J175" s="8"/>
      <c r="K175" s="8"/>
      <c r="L175" s="1"/>
      <c r="M175" s="1"/>
      <c r="N175" s="9"/>
      <c r="O175" s="10"/>
      <c r="P175" s="1"/>
      <c r="Q175" s="126"/>
      <c r="R175" s="1"/>
      <c r="S175" s="1"/>
      <c r="T175" s="1"/>
      <c r="U175" s="1"/>
    </row>
    <row r="176" spans="1:24" ht="15.75" customHeight="1">
      <c r="A176" s="1"/>
      <c r="B176" s="1"/>
      <c r="C176" s="1"/>
      <c r="D176" s="1"/>
      <c r="E176" s="1"/>
      <c r="F176" s="1"/>
      <c r="G176" s="18"/>
      <c r="H176" s="1"/>
      <c r="I176" s="1"/>
      <c r="J176" s="8"/>
      <c r="K176" s="8"/>
      <c r="L176" s="1"/>
      <c r="M176" s="1"/>
      <c r="N176" s="9"/>
      <c r="O176" s="10"/>
      <c r="P176" s="1"/>
      <c r="Q176" s="126"/>
      <c r="R176" s="1"/>
      <c r="S176" s="1"/>
      <c r="T176" s="1"/>
      <c r="U176" s="1"/>
    </row>
    <row r="177" spans="1:21" ht="15.75" customHeight="1">
      <c r="A177" s="1"/>
      <c r="B177" s="1"/>
      <c r="C177" s="1"/>
      <c r="D177" s="1"/>
      <c r="E177" s="1"/>
      <c r="F177" s="1"/>
      <c r="G177" s="18"/>
      <c r="H177" s="1"/>
      <c r="I177" s="1"/>
      <c r="J177" s="8"/>
      <c r="K177" s="8"/>
      <c r="L177" s="1"/>
      <c r="M177" s="1"/>
      <c r="N177" s="9"/>
      <c r="O177" s="10"/>
      <c r="P177" s="1"/>
      <c r="Q177" s="126"/>
      <c r="R177" s="1"/>
      <c r="S177" s="1"/>
      <c r="T177" s="1"/>
      <c r="U177" s="1"/>
    </row>
    <row r="178" spans="1:21" ht="15.75" customHeight="1">
      <c r="A178" s="1"/>
      <c r="B178" s="1"/>
      <c r="C178" s="1"/>
      <c r="D178" s="1"/>
      <c r="E178" s="1"/>
      <c r="F178" s="1"/>
      <c r="G178" s="18"/>
      <c r="H178" s="1"/>
      <c r="I178" s="1"/>
      <c r="J178" s="8"/>
      <c r="K178" s="8"/>
      <c r="L178" s="1"/>
      <c r="M178" s="1"/>
      <c r="N178" s="9"/>
      <c r="O178" s="10"/>
      <c r="P178" s="1"/>
      <c r="Q178" s="126"/>
      <c r="R178" s="1"/>
      <c r="S178" s="1"/>
      <c r="T178" s="1"/>
      <c r="U178" s="1"/>
    </row>
    <row r="179" spans="1:21" ht="15.75" customHeight="1">
      <c r="A179" s="1"/>
      <c r="B179" s="1"/>
      <c r="C179" s="1"/>
      <c r="D179" s="1"/>
      <c r="E179" s="1"/>
      <c r="F179" s="1"/>
      <c r="G179" s="18"/>
      <c r="H179" s="1"/>
      <c r="I179" s="1"/>
      <c r="J179" s="8"/>
      <c r="K179" s="8"/>
      <c r="L179" s="1"/>
      <c r="M179" s="1"/>
      <c r="N179" s="9"/>
      <c r="O179" s="10"/>
      <c r="P179" s="1"/>
      <c r="Q179" s="126"/>
      <c r="R179" s="1"/>
      <c r="S179" s="1"/>
      <c r="T179" s="1"/>
      <c r="U179" s="1"/>
    </row>
    <row r="180" spans="1:21" ht="15.75" customHeight="1">
      <c r="A180" s="1"/>
      <c r="B180" s="1"/>
      <c r="C180" s="1"/>
      <c r="D180" s="1"/>
      <c r="E180" s="1"/>
      <c r="F180" s="1"/>
      <c r="G180" s="18"/>
      <c r="H180" s="1"/>
      <c r="I180" s="1"/>
      <c r="J180" s="8"/>
      <c r="K180" s="8"/>
      <c r="L180" s="1"/>
      <c r="M180" s="1"/>
      <c r="N180" s="9"/>
      <c r="O180" s="10"/>
      <c r="P180" s="1"/>
      <c r="Q180" s="126"/>
      <c r="R180" s="1"/>
      <c r="S180" s="1"/>
      <c r="T180" s="1"/>
      <c r="U180" s="1"/>
    </row>
    <row r="181" spans="1:21" ht="15.75" customHeight="1">
      <c r="A181" s="1"/>
      <c r="B181" s="1"/>
      <c r="C181" s="1"/>
      <c r="D181" s="1"/>
      <c r="E181" s="1"/>
      <c r="F181" s="1"/>
      <c r="G181" s="18"/>
      <c r="H181" s="1"/>
      <c r="I181" s="1"/>
      <c r="J181" s="8"/>
      <c r="K181" s="8"/>
      <c r="L181" s="1"/>
      <c r="M181" s="1"/>
      <c r="N181" s="9"/>
      <c r="O181" s="10"/>
      <c r="P181" s="1"/>
      <c r="Q181" s="126"/>
      <c r="R181" s="1"/>
      <c r="S181" s="1"/>
      <c r="T181" s="1"/>
      <c r="U181" s="1"/>
    </row>
    <row r="182" spans="1:21" ht="15.75" customHeight="1">
      <c r="A182" s="1"/>
      <c r="B182" s="1"/>
      <c r="C182" s="1"/>
      <c r="D182" s="1"/>
      <c r="E182" s="1"/>
      <c r="F182" s="1"/>
      <c r="G182" s="18"/>
      <c r="H182" s="1"/>
      <c r="I182" s="1"/>
      <c r="J182" s="8"/>
      <c r="K182" s="8"/>
      <c r="L182" s="1"/>
      <c r="M182" s="1"/>
      <c r="N182" s="9"/>
      <c r="O182" s="10"/>
      <c r="P182" s="1"/>
      <c r="Q182" s="126"/>
      <c r="R182" s="1"/>
      <c r="S182" s="1"/>
      <c r="T182" s="1"/>
      <c r="U182" s="1"/>
    </row>
    <row r="183" spans="1:21" ht="15.75" customHeight="1">
      <c r="A183" s="1"/>
      <c r="B183" s="1"/>
      <c r="C183" s="1"/>
      <c r="D183" s="1"/>
      <c r="E183" s="1"/>
      <c r="F183" s="1"/>
      <c r="G183" s="18"/>
      <c r="H183" s="1"/>
      <c r="I183" s="1"/>
      <c r="J183" s="8"/>
      <c r="K183" s="8"/>
      <c r="L183" s="1"/>
      <c r="M183" s="1"/>
      <c r="N183" s="9"/>
      <c r="O183" s="10"/>
      <c r="P183" s="1"/>
      <c r="Q183" s="126"/>
      <c r="R183" s="1"/>
      <c r="S183" s="1"/>
      <c r="T183" s="1"/>
      <c r="U183" s="1"/>
    </row>
    <row r="184" spans="1:21" ht="15.75" customHeight="1">
      <c r="A184" s="1"/>
      <c r="B184" s="1"/>
      <c r="C184" s="1"/>
      <c r="D184" s="1"/>
      <c r="E184" s="1"/>
      <c r="F184" s="1"/>
      <c r="G184" s="18"/>
      <c r="H184" s="1"/>
      <c r="I184" s="1"/>
      <c r="J184" s="8"/>
      <c r="K184" s="8"/>
      <c r="L184" s="1"/>
      <c r="M184" s="1"/>
      <c r="N184" s="9"/>
      <c r="O184" s="10"/>
      <c r="P184" s="1"/>
      <c r="Q184" s="126"/>
      <c r="R184" s="1"/>
      <c r="S184" s="1"/>
      <c r="T184" s="1"/>
      <c r="U184" s="1"/>
    </row>
    <row r="185" spans="1:21" ht="15.75" customHeight="1">
      <c r="A185" s="1"/>
      <c r="B185" s="1"/>
      <c r="C185" s="1"/>
      <c r="D185" s="1"/>
      <c r="E185" s="1"/>
      <c r="F185" s="1"/>
      <c r="G185" s="18"/>
      <c r="H185" s="1"/>
      <c r="I185" s="1"/>
      <c r="J185" s="8"/>
      <c r="K185" s="8"/>
      <c r="L185" s="1"/>
      <c r="M185" s="1"/>
      <c r="N185" s="9"/>
      <c r="O185" s="10"/>
      <c r="P185" s="1"/>
      <c r="Q185" s="126"/>
      <c r="R185" s="1"/>
      <c r="S185" s="1"/>
      <c r="T185" s="1"/>
      <c r="U185" s="1"/>
    </row>
    <row r="186" spans="1:21" ht="15.75" customHeight="1">
      <c r="A186" s="1"/>
      <c r="B186" s="1"/>
      <c r="C186" s="1"/>
      <c r="D186" s="1"/>
      <c r="E186" s="1"/>
      <c r="F186" s="1"/>
      <c r="G186" s="18"/>
      <c r="H186" s="1"/>
      <c r="I186" s="1"/>
      <c r="J186" s="8"/>
      <c r="K186" s="8"/>
      <c r="L186" s="1"/>
      <c r="M186" s="1"/>
      <c r="N186" s="9"/>
      <c r="O186" s="10"/>
      <c r="P186" s="1"/>
      <c r="Q186" s="126"/>
      <c r="R186" s="1"/>
      <c r="S186" s="1"/>
      <c r="T186" s="1"/>
      <c r="U186" s="1"/>
    </row>
    <row r="187" spans="1:21" ht="15.75" customHeight="1">
      <c r="A187" s="1"/>
      <c r="B187" s="1"/>
      <c r="C187" s="1"/>
      <c r="D187" s="1"/>
      <c r="E187" s="1"/>
      <c r="F187" s="1"/>
      <c r="G187" s="18"/>
      <c r="H187" s="1"/>
      <c r="I187" s="1"/>
      <c r="J187" s="8"/>
      <c r="K187" s="8"/>
      <c r="L187" s="1"/>
      <c r="M187" s="1"/>
      <c r="N187" s="9"/>
      <c r="O187" s="10"/>
      <c r="P187" s="1"/>
      <c r="Q187" s="126"/>
      <c r="R187" s="1"/>
      <c r="S187" s="1"/>
      <c r="T187" s="1"/>
      <c r="U187" s="1"/>
    </row>
    <row r="188" spans="1:21" ht="15.75" customHeight="1">
      <c r="A188" s="1"/>
      <c r="B188" s="1"/>
      <c r="C188" s="1"/>
      <c r="D188" s="1"/>
      <c r="E188" s="1"/>
      <c r="F188" s="1"/>
      <c r="G188" s="18"/>
      <c r="H188" s="1"/>
      <c r="I188" s="1"/>
      <c r="J188" s="8"/>
      <c r="K188" s="8"/>
      <c r="L188" s="1"/>
      <c r="M188" s="1"/>
      <c r="N188" s="9"/>
      <c r="O188" s="10"/>
      <c r="P188" s="1"/>
      <c r="Q188" s="126"/>
      <c r="R188" s="1"/>
      <c r="S188" s="1"/>
      <c r="T188" s="1"/>
      <c r="U188" s="1"/>
    </row>
    <row r="189" spans="1:21" ht="15.75" customHeight="1">
      <c r="A189" s="1"/>
      <c r="B189" s="1"/>
      <c r="C189" s="1"/>
      <c r="D189" s="1"/>
      <c r="E189" s="1"/>
      <c r="F189" s="1"/>
      <c r="G189" s="18"/>
      <c r="H189" s="1"/>
      <c r="I189" s="1"/>
      <c r="J189" s="8"/>
      <c r="K189" s="8"/>
      <c r="L189" s="1"/>
      <c r="M189" s="1"/>
      <c r="N189" s="9"/>
      <c r="O189" s="10"/>
      <c r="P189" s="1"/>
      <c r="Q189" s="126"/>
      <c r="R189" s="1"/>
      <c r="S189" s="1"/>
      <c r="T189" s="1"/>
      <c r="U189" s="1"/>
    </row>
    <row r="190" spans="1:21" ht="15.75" customHeight="1">
      <c r="A190" s="1"/>
      <c r="B190" s="1"/>
      <c r="C190" s="1"/>
      <c r="D190" s="1"/>
      <c r="E190" s="1"/>
      <c r="F190" s="1"/>
      <c r="G190" s="18"/>
      <c r="H190" s="1"/>
      <c r="I190" s="1"/>
      <c r="J190" s="8"/>
      <c r="K190" s="8"/>
      <c r="L190" s="1"/>
      <c r="M190" s="1"/>
      <c r="N190" s="9"/>
      <c r="O190" s="10"/>
      <c r="P190" s="1"/>
      <c r="Q190" s="126"/>
      <c r="R190" s="1"/>
      <c r="S190" s="1"/>
      <c r="T190" s="1"/>
      <c r="U190" s="1"/>
    </row>
    <row r="191" spans="1:21" ht="15.75" customHeight="1">
      <c r="A191" s="1"/>
      <c r="B191" s="1"/>
      <c r="C191" s="1"/>
      <c r="D191" s="1"/>
      <c r="E191" s="1"/>
      <c r="F191" s="1"/>
      <c r="G191" s="18"/>
      <c r="H191" s="1"/>
      <c r="I191" s="1"/>
      <c r="J191" s="8"/>
      <c r="K191" s="8"/>
      <c r="L191" s="1"/>
      <c r="M191" s="1"/>
      <c r="N191" s="9"/>
      <c r="O191" s="10"/>
      <c r="P191" s="1"/>
      <c r="Q191" s="126"/>
      <c r="R191" s="1"/>
      <c r="S191" s="1"/>
      <c r="T191" s="1"/>
      <c r="U191" s="1"/>
    </row>
    <row r="192" spans="1:21" ht="15.75" customHeight="1">
      <c r="A192" s="1"/>
      <c r="B192" s="1"/>
      <c r="C192" s="1"/>
      <c r="D192" s="1"/>
      <c r="E192" s="1"/>
      <c r="F192" s="1"/>
      <c r="G192" s="18"/>
      <c r="H192" s="1"/>
      <c r="I192" s="1"/>
      <c r="J192" s="8"/>
      <c r="K192" s="8"/>
      <c r="L192" s="1"/>
      <c r="M192" s="1"/>
      <c r="N192" s="9"/>
      <c r="O192" s="10"/>
      <c r="P192" s="1"/>
      <c r="Q192" s="126"/>
      <c r="R192" s="1"/>
      <c r="S192" s="1"/>
      <c r="T192" s="1"/>
      <c r="U192" s="1"/>
    </row>
    <row r="193" spans="1:21" ht="15.75" customHeight="1">
      <c r="A193" s="1"/>
      <c r="B193" s="1"/>
      <c r="C193" s="1"/>
      <c r="D193" s="1"/>
      <c r="E193" s="1"/>
      <c r="F193" s="1"/>
      <c r="G193" s="18"/>
      <c r="H193" s="1"/>
      <c r="I193" s="1"/>
      <c r="J193" s="8"/>
      <c r="K193" s="8"/>
      <c r="L193" s="1"/>
      <c r="M193" s="1"/>
      <c r="N193" s="9"/>
      <c r="O193" s="10"/>
      <c r="P193" s="1"/>
      <c r="Q193" s="126"/>
      <c r="R193" s="1"/>
      <c r="S193" s="1"/>
      <c r="T193" s="1"/>
      <c r="U193" s="1"/>
    </row>
    <row r="194" spans="1:21" ht="15.75" customHeight="1">
      <c r="A194" s="1"/>
      <c r="B194" s="1"/>
      <c r="C194" s="1"/>
      <c r="D194" s="1"/>
      <c r="E194" s="1"/>
      <c r="F194" s="1"/>
      <c r="G194" s="18"/>
      <c r="H194" s="1"/>
      <c r="I194" s="1"/>
      <c r="J194" s="8"/>
      <c r="K194" s="8"/>
      <c r="L194" s="1"/>
      <c r="M194" s="1"/>
      <c r="N194" s="9"/>
      <c r="O194" s="10"/>
      <c r="P194" s="1"/>
      <c r="Q194" s="126"/>
      <c r="R194" s="1"/>
      <c r="S194" s="1"/>
      <c r="T194" s="1"/>
      <c r="U194" s="1"/>
    </row>
    <row r="195" spans="1:21" ht="15.75" customHeight="1">
      <c r="A195" s="1"/>
      <c r="B195" s="1"/>
      <c r="C195" s="1"/>
      <c r="D195" s="1"/>
      <c r="E195" s="1"/>
      <c r="F195" s="1"/>
      <c r="G195" s="18"/>
      <c r="H195" s="1"/>
      <c r="I195" s="1"/>
      <c r="J195" s="8"/>
      <c r="K195" s="8"/>
      <c r="L195" s="1"/>
      <c r="M195" s="1"/>
      <c r="N195" s="9"/>
      <c r="O195" s="10"/>
      <c r="P195" s="1"/>
      <c r="Q195" s="126"/>
      <c r="R195" s="1"/>
      <c r="S195" s="1"/>
      <c r="T195" s="1"/>
      <c r="U195" s="1"/>
    </row>
    <row r="196" spans="1:21" ht="15.75" customHeight="1">
      <c r="A196" s="1"/>
      <c r="B196" s="1"/>
      <c r="C196" s="1"/>
      <c r="D196" s="1"/>
      <c r="E196" s="1"/>
      <c r="F196" s="1"/>
      <c r="G196" s="18"/>
      <c r="H196" s="1"/>
      <c r="I196" s="1"/>
      <c r="J196" s="8"/>
      <c r="K196" s="8"/>
      <c r="L196" s="1"/>
      <c r="M196" s="1"/>
      <c r="N196" s="9"/>
      <c r="O196" s="10"/>
      <c r="P196" s="1"/>
      <c r="Q196" s="126"/>
      <c r="R196" s="1"/>
      <c r="S196" s="1"/>
      <c r="T196" s="1"/>
      <c r="U196" s="1"/>
    </row>
    <row r="197" spans="1:21" ht="15.75" customHeight="1">
      <c r="A197" s="1"/>
      <c r="B197" s="1"/>
      <c r="C197" s="1"/>
      <c r="D197" s="1"/>
      <c r="E197" s="1"/>
      <c r="F197" s="1"/>
      <c r="G197" s="18"/>
      <c r="H197" s="1"/>
      <c r="I197" s="1"/>
      <c r="J197" s="8"/>
      <c r="K197" s="8"/>
      <c r="L197" s="1"/>
      <c r="M197" s="1"/>
      <c r="N197" s="9"/>
      <c r="O197" s="10"/>
      <c r="P197" s="1"/>
      <c r="Q197" s="126"/>
      <c r="R197" s="1"/>
      <c r="S197" s="1"/>
      <c r="T197" s="1"/>
      <c r="U197" s="1"/>
    </row>
    <row r="198" spans="1:21" ht="15.75" customHeight="1">
      <c r="A198" s="1"/>
      <c r="B198" s="1"/>
      <c r="C198" s="1"/>
      <c r="D198" s="1"/>
      <c r="E198" s="1"/>
      <c r="F198" s="1"/>
      <c r="G198" s="18"/>
      <c r="H198" s="1"/>
      <c r="I198" s="1"/>
      <c r="J198" s="8"/>
      <c r="K198" s="8"/>
      <c r="L198" s="1"/>
      <c r="M198" s="1"/>
      <c r="N198" s="9"/>
      <c r="O198" s="10"/>
      <c r="P198" s="1"/>
      <c r="Q198" s="126"/>
      <c r="R198" s="1"/>
      <c r="S198" s="1"/>
      <c r="T198" s="1"/>
      <c r="U198" s="1"/>
    </row>
    <row r="199" spans="1:21" ht="15.75" customHeight="1">
      <c r="A199" s="1"/>
      <c r="B199" s="1"/>
      <c r="C199" s="1"/>
      <c r="D199" s="1"/>
      <c r="E199" s="1"/>
      <c r="F199" s="1"/>
      <c r="G199" s="18"/>
      <c r="H199" s="1"/>
      <c r="I199" s="1"/>
      <c r="J199" s="8"/>
      <c r="K199" s="8"/>
      <c r="L199" s="1"/>
      <c r="M199" s="1"/>
      <c r="N199" s="9"/>
      <c r="O199" s="10"/>
      <c r="P199" s="1"/>
      <c r="Q199" s="126"/>
      <c r="R199" s="1"/>
      <c r="S199" s="1"/>
      <c r="T199" s="1"/>
      <c r="U199" s="1"/>
    </row>
    <row r="200" spans="1:21" ht="15.75" customHeight="1">
      <c r="A200" s="1"/>
      <c r="B200" s="1"/>
      <c r="C200" s="1"/>
      <c r="D200" s="1"/>
      <c r="E200" s="1"/>
      <c r="F200" s="1"/>
      <c r="G200" s="18"/>
      <c r="H200" s="1"/>
      <c r="I200" s="1"/>
      <c r="J200" s="8"/>
      <c r="K200" s="8"/>
      <c r="L200" s="1"/>
      <c r="M200" s="1"/>
      <c r="N200" s="9"/>
      <c r="O200" s="10"/>
      <c r="P200" s="1"/>
      <c r="Q200" s="126"/>
      <c r="R200" s="1"/>
      <c r="S200" s="1"/>
      <c r="T200" s="1"/>
      <c r="U200" s="1"/>
    </row>
    <row r="201" spans="1:21" ht="15.75" customHeight="1">
      <c r="A201" s="1"/>
      <c r="B201" s="1"/>
      <c r="C201" s="1"/>
      <c r="D201" s="1"/>
      <c r="E201" s="1"/>
      <c r="F201" s="1"/>
      <c r="G201" s="18"/>
      <c r="H201" s="1"/>
      <c r="I201" s="1"/>
      <c r="J201" s="8"/>
      <c r="K201" s="8"/>
      <c r="L201" s="1"/>
      <c r="M201" s="1"/>
      <c r="N201" s="9"/>
      <c r="O201" s="10"/>
      <c r="P201" s="1"/>
      <c r="Q201" s="126"/>
      <c r="R201" s="1"/>
      <c r="S201" s="1"/>
      <c r="T201" s="1"/>
      <c r="U201" s="1"/>
    </row>
    <row r="202" spans="1:21" ht="15.75" customHeight="1">
      <c r="A202" s="1"/>
      <c r="B202" s="1"/>
      <c r="C202" s="1"/>
      <c r="D202" s="1"/>
      <c r="E202" s="1"/>
      <c r="F202" s="1"/>
      <c r="G202" s="18"/>
      <c r="H202" s="1"/>
      <c r="I202" s="1"/>
      <c r="J202" s="8"/>
      <c r="K202" s="8"/>
      <c r="L202" s="1"/>
      <c r="M202" s="1"/>
      <c r="N202" s="9"/>
      <c r="O202" s="10"/>
      <c r="P202" s="1"/>
      <c r="Q202" s="126"/>
      <c r="R202" s="1"/>
      <c r="S202" s="1"/>
      <c r="T202" s="1"/>
      <c r="U202" s="1"/>
    </row>
    <row r="203" spans="1:21" ht="15.75" customHeight="1">
      <c r="A203" s="1"/>
      <c r="B203" s="1"/>
      <c r="C203" s="1"/>
      <c r="D203" s="1"/>
      <c r="E203" s="1"/>
      <c r="F203" s="1"/>
      <c r="G203" s="18"/>
      <c r="H203" s="1"/>
      <c r="I203" s="1"/>
      <c r="J203" s="8"/>
      <c r="K203" s="8"/>
      <c r="L203" s="1"/>
      <c r="M203" s="1"/>
      <c r="N203" s="9"/>
      <c r="O203" s="10"/>
      <c r="P203" s="1"/>
      <c r="Q203" s="126"/>
      <c r="R203" s="1"/>
      <c r="S203" s="1"/>
      <c r="T203" s="1"/>
      <c r="U203" s="1"/>
    </row>
    <row r="204" spans="1:21" ht="15.75" customHeight="1">
      <c r="A204" s="1"/>
      <c r="B204" s="1"/>
      <c r="C204" s="1"/>
      <c r="D204" s="1"/>
      <c r="E204" s="1"/>
      <c r="F204" s="1"/>
      <c r="G204" s="18"/>
      <c r="H204" s="1"/>
      <c r="I204" s="1"/>
      <c r="J204" s="8"/>
      <c r="K204" s="8"/>
      <c r="L204" s="1"/>
      <c r="M204" s="1"/>
      <c r="N204" s="9"/>
      <c r="O204" s="10"/>
      <c r="P204" s="1"/>
      <c r="Q204" s="126"/>
      <c r="R204" s="1"/>
      <c r="S204" s="1"/>
      <c r="T204" s="1"/>
      <c r="U204" s="1"/>
    </row>
    <row r="205" spans="1:21" ht="15.75" customHeight="1">
      <c r="A205" s="1"/>
      <c r="B205" s="1"/>
      <c r="C205" s="1"/>
      <c r="D205" s="1"/>
      <c r="E205" s="1"/>
      <c r="F205" s="1"/>
      <c r="G205" s="18"/>
      <c r="H205" s="1"/>
      <c r="I205" s="1"/>
      <c r="J205" s="8"/>
      <c r="K205" s="8"/>
      <c r="L205" s="1"/>
      <c r="M205" s="1"/>
      <c r="N205" s="9"/>
      <c r="O205" s="10"/>
      <c r="P205" s="1"/>
      <c r="Q205" s="126"/>
      <c r="R205" s="1"/>
      <c r="S205" s="1"/>
      <c r="T205" s="1"/>
      <c r="U205" s="1"/>
    </row>
    <row r="206" spans="1:21" ht="15.75" customHeight="1">
      <c r="A206" s="1"/>
      <c r="B206" s="1"/>
      <c r="C206" s="1"/>
      <c r="D206" s="1"/>
      <c r="E206" s="1"/>
      <c r="F206" s="1"/>
      <c r="G206" s="18"/>
      <c r="H206" s="1"/>
      <c r="I206" s="1"/>
      <c r="J206" s="8"/>
      <c r="K206" s="8"/>
      <c r="L206" s="1"/>
      <c r="M206" s="1"/>
      <c r="N206" s="9"/>
      <c r="O206" s="10"/>
      <c r="P206" s="1"/>
      <c r="Q206" s="126"/>
      <c r="R206" s="1"/>
      <c r="S206" s="1"/>
      <c r="T206" s="1"/>
      <c r="U206" s="1"/>
    </row>
    <row r="207" spans="1:21" ht="15.75" customHeight="1">
      <c r="A207" s="1"/>
      <c r="B207" s="1"/>
      <c r="C207" s="1"/>
      <c r="D207" s="1"/>
      <c r="E207" s="1"/>
      <c r="F207" s="1"/>
      <c r="G207" s="18"/>
      <c r="H207" s="1"/>
      <c r="I207" s="1"/>
      <c r="J207" s="8"/>
      <c r="K207" s="8"/>
      <c r="L207" s="1"/>
      <c r="M207" s="1"/>
      <c r="N207" s="9"/>
      <c r="O207" s="10"/>
      <c r="P207" s="1"/>
      <c r="Q207" s="126"/>
      <c r="R207" s="1"/>
      <c r="S207" s="1"/>
      <c r="T207" s="1"/>
      <c r="U207" s="1"/>
    </row>
    <row r="208" spans="1:21" ht="15.75" customHeight="1">
      <c r="A208" s="1"/>
      <c r="B208" s="1"/>
      <c r="C208" s="1"/>
      <c r="D208" s="1"/>
      <c r="E208" s="1"/>
      <c r="F208" s="1"/>
      <c r="G208" s="18"/>
      <c r="H208" s="1"/>
      <c r="I208" s="1"/>
      <c r="J208" s="8"/>
      <c r="K208" s="8"/>
      <c r="L208" s="1"/>
      <c r="M208" s="1"/>
      <c r="N208" s="9"/>
      <c r="O208" s="10"/>
      <c r="P208" s="1"/>
      <c r="Q208" s="126"/>
      <c r="R208" s="1"/>
      <c r="S208" s="1"/>
      <c r="T208" s="1"/>
      <c r="U208" s="1"/>
    </row>
    <row r="209" spans="1:21" ht="15.75" customHeight="1">
      <c r="A209" s="1"/>
      <c r="B209" s="1"/>
      <c r="C209" s="1"/>
      <c r="D209" s="1"/>
      <c r="E209" s="1"/>
      <c r="F209" s="1"/>
      <c r="G209" s="18"/>
      <c r="H209" s="1"/>
      <c r="I209" s="1"/>
      <c r="J209" s="8"/>
      <c r="K209" s="8"/>
      <c r="L209" s="1"/>
      <c r="M209" s="1"/>
      <c r="N209" s="9"/>
      <c r="O209" s="10"/>
      <c r="P209" s="1"/>
      <c r="Q209" s="126"/>
      <c r="R209" s="1"/>
      <c r="S209" s="1"/>
      <c r="T209" s="1"/>
      <c r="U209" s="1"/>
    </row>
    <row r="210" spans="1:21" ht="15.75" customHeight="1">
      <c r="A210" s="1"/>
      <c r="B210" s="1"/>
      <c r="C210" s="1"/>
      <c r="D210" s="1"/>
      <c r="E210" s="1"/>
      <c r="F210" s="1"/>
      <c r="G210" s="18"/>
      <c r="H210" s="1"/>
      <c r="I210" s="1"/>
      <c r="J210" s="8"/>
      <c r="K210" s="8"/>
      <c r="L210" s="1"/>
      <c r="M210" s="1"/>
      <c r="N210" s="9"/>
      <c r="O210" s="10"/>
      <c r="P210" s="1"/>
      <c r="Q210" s="126"/>
      <c r="R210" s="1"/>
      <c r="S210" s="1"/>
      <c r="T210" s="1"/>
      <c r="U210" s="1"/>
    </row>
    <row r="211" spans="1:21" ht="15.75" customHeight="1">
      <c r="A211" s="1"/>
      <c r="B211" s="1"/>
      <c r="C211" s="1"/>
      <c r="D211" s="1"/>
      <c r="E211" s="1"/>
      <c r="F211" s="1"/>
      <c r="G211" s="18"/>
      <c r="H211" s="1"/>
      <c r="I211" s="1"/>
      <c r="J211" s="8"/>
      <c r="K211" s="8"/>
      <c r="L211" s="1"/>
      <c r="M211" s="1"/>
      <c r="N211" s="9"/>
      <c r="O211" s="10"/>
      <c r="P211" s="1"/>
      <c r="Q211" s="126"/>
      <c r="R211" s="1"/>
      <c r="S211" s="1"/>
      <c r="T211" s="1"/>
      <c r="U211" s="1"/>
    </row>
    <row r="212" spans="1:21" ht="15.75" customHeight="1">
      <c r="A212" s="1"/>
      <c r="B212" s="1"/>
      <c r="C212" s="1"/>
      <c r="D212" s="1"/>
      <c r="E212" s="1"/>
      <c r="F212" s="1"/>
      <c r="G212" s="18"/>
      <c r="H212" s="1"/>
      <c r="I212" s="1"/>
      <c r="J212" s="8"/>
      <c r="K212" s="8"/>
      <c r="L212" s="1"/>
      <c r="M212" s="1"/>
      <c r="N212" s="9"/>
      <c r="O212" s="10"/>
      <c r="P212" s="1"/>
      <c r="Q212" s="126"/>
      <c r="R212" s="1"/>
      <c r="S212" s="1"/>
      <c r="T212" s="1"/>
      <c r="U212" s="1"/>
    </row>
    <row r="213" spans="1:21" ht="15.75" customHeight="1">
      <c r="A213" s="1"/>
      <c r="B213" s="1"/>
      <c r="C213" s="1"/>
      <c r="D213" s="1"/>
      <c r="E213" s="1"/>
      <c r="F213" s="1"/>
      <c r="G213" s="18"/>
      <c r="H213" s="1"/>
      <c r="I213" s="1"/>
      <c r="J213" s="8"/>
      <c r="K213" s="8"/>
      <c r="L213" s="1"/>
      <c r="M213" s="1"/>
      <c r="N213" s="9"/>
      <c r="O213" s="10"/>
      <c r="P213" s="1"/>
      <c r="Q213" s="126"/>
      <c r="R213" s="1"/>
      <c r="S213" s="1"/>
      <c r="T213" s="1"/>
      <c r="U213" s="1"/>
    </row>
    <row r="214" spans="1:21" ht="15.75" customHeight="1">
      <c r="A214" s="1"/>
      <c r="B214" s="1"/>
      <c r="C214" s="1"/>
      <c r="D214" s="1"/>
      <c r="E214" s="1"/>
      <c r="F214" s="1"/>
      <c r="G214" s="18"/>
      <c r="H214" s="1"/>
      <c r="I214" s="1"/>
      <c r="J214" s="8"/>
      <c r="K214" s="8"/>
      <c r="L214" s="1"/>
      <c r="M214" s="1"/>
      <c r="N214" s="9"/>
      <c r="O214" s="10"/>
      <c r="P214" s="1"/>
      <c r="Q214" s="126"/>
      <c r="R214" s="1"/>
      <c r="S214" s="1"/>
      <c r="T214" s="1"/>
      <c r="U214" s="1"/>
    </row>
    <row r="215" spans="1:21" ht="15.75" customHeight="1">
      <c r="A215" s="1"/>
      <c r="B215" s="1"/>
      <c r="C215" s="1"/>
      <c r="D215" s="1"/>
      <c r="E215" s="1"/>
      <c r="F215" s="1"/>
      <c r="G215" s="18"/>
      <c r="H215" s="1"/>
      <c r="I215" s="1"/>
      <c r="J215" s="8"/>
      <c r="K215" s="8"/>
      <c r="L215" s="1"/>
      <c r="M215" s="1"/>
      <c r="N215" s="9"/>
      <c r="O215" s="10"/>
      <c r="P215" s="1"/>
      <c r="Q215" s="126"/>
      <c r="R215" s="1"/>
      <c r="S215" s="1"/>
      <c r="T215" s="1"/>
      <c r="U215" s="1"/>
    </row>
    <row r="216" spans="1:21" ht="15.75" customHeight="1">
      <c r="A216" s="1"/>
      <c r="B216" s="1"/>
      <c r="C216" s="1"/>
      <c r="D216" s="1"/>
      <c r="E216" s="1"/>
      <c r="F216" s="1"/>
      <c r="G216" s="18"/>
      <c r="H216" s="1"/>
      <c r="I216" s="1"/>
      <c r="J216" s="8"/>
      <c r="K216" s="8"/>
      <c r="L216" s="1"/>
      <c r="M216" s="1"/>
      <c r="N216" s="9"/>
      <c r="O216" s="10"/>
      <c r="P216" s="1"/>
      <c r="Q216" s="126"/>
      <c r="R216" s="1"/>
      <c r="S216" s="1"/>
      <c r="T216" s="1"/>
      <c r="U216" s="1"/>
    </row>
    <row r="217" spans="1:21" ht="15.75" customHeight="1">
      <c r="A217" s="1"/>
      <c r="B217" s="1"/>
      <c r="C217" s="1"/>
      <c r="D217" s="1"/>
      <c r="E217" s="1"/>
      <c r="F217" s="1"/>
      <c r="G217" s="18"/>
      <c r="H217" s="1"/>
      <c r="I217" s="1"/>
      <c r="J217" s="8"/>
      <c r="K217" s="8"/>
      <c r="L217" s="1"/>
      <c r="M217" s="1"/>
      <c r="N217" s="9"/>
      <c r="O217" s="10"/>
      <c r="P217" s="1"/>
      <c r="Q217" s="126"/>
      <c r="R217" s="1"/>
      <c r="S217" s="1"/>
      <c r="T217" s="1"/>
      <c r="U217" s="1"/>
    </row>
    <row r="218" spans="1:21" ht="15.75" customHeight="1">
      <c r="A218" s="1"/>
      <c r="B218" s="1"/>
      <c r="C218" s="1"/>
      <c r="D218" s="1"/>
      <c r="E218" s="1"/>
      <c r="F218" s="1"/>
      <c r="G218" s="18"/>
      <c r="H218" s="1"/>
      <c r="I218" s="1"/>
      <c r="J218" s="8"/>
      <c r="K218" s="8"/>
      <c r="L218" s="1"/>
      <c r="M218" s="1"/>
      <c r="N218" s="9"/>
      <c r="O218" s="10"/>
      <c r="P218" s="1"/>
      <c r="Q218" s="126"/>
      <c r="R218" s="1"/>
      <c r="S218" s="1"/>
      <c r="T218" s="1"/>
      <c r="U218" s="1"/>
    </row>
    <row r="219" spans="1:21" ht="15.75" customHeight="1">
      <c r="A219" s="1"/>
      <c r="B219" s="1"/>
      <c r="C219" s="1"/>
      <c r="D219" s="1"/>
      <c r="E219" s="1"/>
      <c r="F219" s="1"/>
      <c r="G219" s="18"/>
      <c r="H219" s="1"/>
      <c r="I219" s="1"/>
      <c r="J219" s="8"/>
      <c r="K219" s="8"/>
      <c r="L219" s="1"/>
      <c r="M219" s="1"/>
      <c r="N219" s="9"/>
      <c r="O219" s="10"/>
      <c r="P219" s="1"/>
      <c r="Q219" s="126"/>
      <c r="R219" s="1"/>
      <c r="S219" s="1"/>
      <c r="T219" s="1"/>
      <c r="U219" s="1"/>
    </row>
    <row r="220" spans="1:21" ht="15.75" customHeight="1">
      <c r="A220" s="1"/>
      <c r="B220" s="1"/>
      <c r="C220" s="1"/>
      <c r="D220" s="1"/>
      <c r="E220" s="1"/>
      <c r="F220" s="1"/>
      <c r="G220" s="18"/>
      <c r="H220" s="1"/>
      <c r="I220" s="1"/>
      <c r="J220" s="8"/>
      <c r="K220" s="8"/>
      <c r="L220" s="1"/>
      <c r="M220" s="1"/>
      <c r="N220" s="9"/>
      <c r="O220" s="10"/>
      <c r="P220" s="1"/>
      <c r="Q220" s="126"/>
      <c r="R220" s="1"/>
      <c r="S220" s="1"/>
      <c r="T220" s="1"/>
      <c r="U220" s="1"/>
    </row>
    <row r="221" spans="1:21" ht="15.75" customHeight="1">
      <c r="A221" s="1"/>
      <c r="B221" s="1"/>
      <c r="C221" s="1"/>
      <c r="D221" s="1"/>
      <c r="E221" s="1"/>
      <c r="F221" s="1"/>
      <c r="G221" s="18"/>
      <c r="H221" s="1"/>
      <c r="I221" s="1"/>
      <c r="J221" s="8"/>
      <c r="K221" s="8"/>
      <c r="L221" s="1"/>
      <c r="M221" s="1"/>
      <c r="N221" s="9"/>
      <c r="O221" s="10"/>
      <c r="P221" s="1"/>
      <c r="Q221" s="126"/>
      <c r="R221" s="1"/>
      <c r="S221" s="1"/>
      <c r="T221" s="1"/>
      <c r="U221" s="1"/>
    </row>
    <row r="222" spans="1:21" ht="15.75" customHeight="1">
      <c r="A222" s="1"/>
      <c r="B222" s="1"/>
      <c r="C222" s="1"/>
      <c r="D222" s="1"/>
      <c r="E222" s="1"/>
      <c r="F222" s="1"/>
      <c r="G222" s="18"/>
      <c r="H222" s="1"/>
      <c r="I222" s="1"/>
      <c r="J222" s="8"/>
      <c r="K222" s="8"/>
      <c r="L222" s="1"/>
      <c r="M222" s="1"/>
      <c r="N222" s="9"/>
      <c r="O222" s="10"/>
      <c r="P222" s="1"/>
      <c r="Q222" s="126"/>
      <c r="R222" s="1"/>
      <c r="S222" s="1"/>
      <c r="T222" s="1"/>
      <c r="U222" s="1"/>
    </row>
    <row r="223" spans="1:21" ht="15.75" customHeight="1">
      <c r="A223" s="1"/>
      <c r="B223" s="1"/>
      <c r="C223" s="1"/>
      <c r="D223" s="1"/>
      <c r="E223" s="1"/>
      <c r="F223" s="1"/>
      <c r="G223" s="18"/>
      <c r="H223" s="1"/>
      <c r="I223" s="1"/>
      <c r="J223" s="8"/>
      <c r="K223" s="8"/>
      <c r="L223" s="1"/>
      <c r="M223" s="1"/>
      <c r="N223" s="9"/>
      <c r="O223" s="10"/>
      <c r="P223" s="1"/>
      <c r="Q223" s="126"/>
      <c r="R223" s="1"/>
      <c r="S223" s="1"/>
      <c r="T223" s="1"/>
      <c r="U223" s="1"/>
    </row>
    <row r="224" spans="1:21" ht="15.75" customHeight="1">
      <c r="A224" s="1"/>
      <c r="B224" s="1"/>
      <c r="C224" s="1"/>
      <c r="D224" s="1"/>
      <c r="E224" s="1"/>
      <c r="F224" s="1"/>
      <c r="G224" s="18"/>
      <c r="H224" s="1"/>
      <c r="I224" s="1"/>
      <c r="J224" s="8"/>
      <c r="K224" s="8"/>
      <c r="L224" s="1"/>
      <c r="M224" s="1"/>
      <c r="N224" s="9"/>
      <c r="O224" s="10"/>
      <c r="P224" s="1"/>
      <c r="Q224" s="126"/>
      <c r="R224" s="1"/>
      <c r="S224" s="1"/>
      <c r="T224" s="1"/>
      <c r="U224" s="1"/>
    </row>
    <row r="225" spans="1:21" ht="15.75" customHeight="1">
      <c r="A225" s="1"/>
      <c r="B225" s="1"/>
      <c r="C225" s="1"/>
      <c r="D225" s="1"/>
      <c r="E225" s="1"/>
      <c r="F225" s="1"/>
      <c r="G225" s="18"/>
      <c r="H225" s="1"/>
      <c r="I225" s="1"/>
      <c r="J225" s="8"/>
      <c r="K225" s="8"/>
      <c r="L225" s="1"/>
      <c r="M225" s="1"/>
      <c r="N225" s="9"/>
      <c r="O225" s="10"/>
      <c r="P225" s="1"/>
      <c r="Q225" s="126"/>
      <c r="R225" s="1"/>
      <c r="S225" s="1"/>
      <c r="T225" s="1"/>
      <c r="U225" s="1"/>
    </row>
    <row r="226" spans="1:21" ht="15.75" customHeight="1">
      <c r="A226" s="1"/>
      <c r="B226" s="1"/>
      <c r="C226" s="1"/>
      <c r="D226" s="1"/>
      <c r="E226" s="1"/>
      <c r="F226" s="1"/>
      <c r="G226" s="18"/>
      <c r="H226" s="1"/>
      <c r="I226" s="1"/>
      <c r="J226" s="8"/>
      <c r="K226" s="8"/>
      <c r="L226" s="1"/>
      <c r="M226" s="1"/>
      <c r="N226" s="9"/>
      <c r="O226" s="10"/>
      <c r="P226" s="1"/>
      <c r="Q226" s="126"/>
      <c r="R226" s="1"/>
      <c r="S226" s="1"/>
      <c r="T226" s="1"/>
      <c r="U226" s="1"/>
    </row>
    <row r="227" spans="1:21" ht="15.75" customHeight="1">
      <c r="A227" s="1"/>
      <c r="B227" s="1"/>
      <c r="C227" s="1"/>
      <c r="D227" s="1"/>
      <c r="E227" s="1"/>
      <c r="F227" s="1"/>
      <c r="G227" s="18"/>
      <c r="H227" s="1"/>
      <c r="I227" s="1"/>
      <c r="J227" s="8"/>
      <c r="K227" s="8"/>
      <c r="L227" s="1"/>
      <c r="M227" s="1"/>
      <c r="N227" s="9"/>
      <c r="O227" s="10"/>
      <c r="P227" s="1"/>
      <c r="Q227" s="126"/>
      <c r="R227" s="1"/>
      <c r="S227" s="1"/>
      <c r="T227" s="1"/>
      <c r="U227" s="1"/>
    </row>
    <row r="228" spans="1:21" ht="15.75" customHeight="1">
      <c r="A228" s="1"/>
      <c r="B228" s="1"/>
      <c r="C228" s="1"/>
      <c r="D228" s="1"/>
      <c r="E228" s="1"/>
      <c r="F228" s="1"/>
      <c r="G228" s="18"/>
      <c r="H228" s="1"/>
      <c r="I228" s="1"/>
      <c r="J228" s="8"/>
      <c r="K228" s="8"/>
      <c r="L228" s="1"/>
      <c r="M228" s="1"/>
      <c r="N228" s="9"/>
      <c r="O228" s="10"/>
      <c r="P228" s="1"/>
      <c r="Q228" s="126"/>
      <c r="R228" s="1"/>
      <c r="S228" s="1"/>
      <c r="T228" s="1"/>
      <c r="U228" s="1"/>
    </row>
    <row r="229" spans="1:21" ht="15.75" customHeight="1">
      <c r="A229" s="1"/>
      <c r="B229" s="1"/>
      <c r="C229" s="1"/>
      <c r="D229" s="1"/>
      <c r="E229" s="1"/>
      <c r="F229" s="1"/>
      <c r="G229" s="18"/>
      <c r="H229" s="1"/>
      <c r="I229" s="1"/>
      <c r="J229" s="8"/>
      <c r="K229" s="8"/>
      <c r="L229" s="1"/>
      <c r="M229" s="1"/>
      <c r="N229" s="9"/>
      <c r="O229" s="10"/>
      <c r="P229" s="1"/>
      <c r="Q229" s="126"/>
      <c r="R229" s="1"/>
      <c r="S229" s="1"/>
      <c r="T229" s="1"/>
      <c r="U229" s="1"/>
    </row>
    <row r="230" spans="1:21" ht="15.75" customHeight="1">
      <c r="A230" s="1"/>
      <c r="B230" s="1"/>
      <c r="C230" s="1"/>
      <c r="D230" s="1"/>
      <c r="E230" s="1"/>
      <c r="F230" s="1"/>
      <c r="G230" s="18"/>
      <c r="H230" s="1"/>
      <c r="I230" s="1"/>
      <c r="J230" s="8"/>
      <c r="K230" s="8"/>
      <c r="L230" s="1"/>
      <c r="M230" s="1"/>
      <c r="N230" s="9"/>
      <c r="O230" s="10"/>
      <c r="P230" s="1"/>
      <c r="Q230" s="126"/>
      <c r="R230" s="1"/>
      <c r="S230" s="1"/>
      <c r="T230" s="1"/>
      <c r="U230" s="1"/>
    </row>
    <row r="231" spans="1:21" ht="15.75" customHeight="1">
      <c r="A231" s="1"/>
      <c r="B231" s="1"/>
      <c r="C231" s="1"/>
      <c r="D231" s="1"/>
      <c r="E231" s="1"/>
      <c r="F231" s="1"/>
      <c r="G231" s="18"/>
      <c r="H231" s="1"/>
      <c r="I231" s="1"/>
      <c r="J231" s="8"/>
      <c r="K231" s="8"/>
      <c r="L231" s="1"/>
      <c r="M231" s="1"/>
      <c r="N231" s="9"/>
      <c r="O231" s="10"/>
      <c r="P231" s="1"/>
      <c r="Q231" s="126"/>
      <c r="R231" s="1"/>
      <c r="S231" s="1"/>
      <c r="T231" s="1"/>
      <c r="U231" s="1"/>
    </row>
    <row r="232" spans="1:21" ht="15.75" customHeight="1">
      <c r="A232" s="1"/>
      <c r="B232" s="1"/>
      <c r="C232" s="1"/>
      <c r="D232" s="1"/>
      <c r="E232" s="1"/>
      <c r="F232" s="1"/>
      <c r="G232" s="18"/>
      <c r="H232" s="1"/>
      <c r="I232" s="1"/>
      <c r="J232" s="8"/>
      <c r="K232" s="8"/>
      <c r="L232" s="1"/>
      <c r="M232" s="1"/>
      <c r="N232" s="9"/>
      <c r="O232" s="10"/>
      <c r="P232" s="1"/>
      <c r="Q232" s="126"/>
      <c r="R232" s="1"/>
      <c r="S232" s="1"/>
      <c r="T232" s="1"/>
      <c r="U232" s="1"/>
    </row>
    <row r="233" spans="1:21" ht="15.75" customHeight="1">
      <c r="A233" s="1"/>
      <c r="B233" s="1"/>
      <c r="C233" s="1"/>
      <c r="D233" s="1"/>
      <c r="E233" s="1"/>
      <c r="F233" s="1"/>
      <c r="G233" s="18"/>
      <c r="H233" s="1"/>
      <c r="I233" s="1"/>
      <c r="J233" s="8"/>
      <c r="K233" s="8"/>
      <c r="L233" s="1"/>
      <c r="M233" s="1"/>
      <c r="N233" s="9"/>
      <c r="O233" s="10"/>
      <c r="P233" s="1"/>
      <c r="Q233" s="126"/>
      <c r="R233" s="1"/>
      <c r="S233" s="1"/>
      <c r="T233" s="1"/>
      <c r="U233" s="1"/>
    </row>
    <row r="234" spans="1:21" ht="15.75" customHeight="1">
      <c r="A234" s="1"/>
      <c r="B234" s="1"/>
      <c r="C234" s="1"/>
      <c r="D234" s="1"/>
      <c r="E234" s="1"/>
      <c r="F234" s="1"/>
      <c r="G234" s="18"/>
      <c r="H234" s="1"/>
      <c r="I234" s="1"/>
      <c r="J234" s="8"/>
      <c r="K234" s="8"/>
      <c r="L234" s="1"/>
      <c r="M234" s="1"/>
      <c r="N234" s="9"/>
      <c r="O234" s="10"/>
      <c r="P234" s="1"/>
      <c r="Q234" s="126"/>
      <c r="R234" s="1"/>
      <c r="S234" s="1"/>
      <c r="T234" s="1"/>
      <c r="U234" s="1"/>
    </row>
    <row r="235" spans="1:21" ht="15.75" customHeight="1">
      <c r="A235" s="1"/>
      <c r="B235" s="1"/>
      <c r="C235" s="1"/>
      <c r="D235" s="1"/>
      <c r="E235" s="1"/>
      <c r="F235" s="1"/>
      <c r="G235" s="18"/>
      <c r="H235" s="1"/>
      <c r="I235" s="1"/>
      <c r="J235" s="8"/>
      <c r="K235" s="8"/>
      <c r="L235" s="1"/>
      <c r="M235" s="1"/>
      <c r="N235" s="9"/>
      <c r="O235" s="10"/>
      <c r="P235" s="1"/>
      <c r="Q235" s="126"/>
      <c r="R235" s="1"/>
      <c r="S235" s="1"/>
      <c r="T235" s="1"/>
      <c r="U235" s="1"/>
    </row>
    <row r="236" spans="1:21" ht="15.75" customHeight="1">
      <c r="A236" s="1"/>
      <c r="B236" s="1"/>
      <c r="C236" s="1"/>
      <c r="D236" s="1"/>
      <c r="E236" s="1"/>
      <c r="F236" s="1"/>
      <c r="G236" s="18"/>
      <c r="H236" s="1"/>
      <c r="I236" s="1"/>
      <c r="J236" s="8"/>
      <c r="K236" s="8"/>
      <c r="L236" s="1"/>
      <c r="M236" s="1"/>
      <c r="N236" s="9"/>
      <c r="O236" s="10"/>
      <c r="P236" s="1"/>
      <c r="Q236" s="126"/>
      <c r="R236" s="1"/>
      <c r="S236" s="1"/>
      <c r="T236" s="1"/>
      <c r="U236" s="1"/>
    </row>
    <row r="237" spans="1:21" ht="15.75" customHeight="1">
      <c r="A237" s="1"/>
      <c r="B237" s="1"/>
      <c r="C237" s="1"/>
      <c r="D237" s="1"/>
      <c r="E237" s="1"/>
      <c r="F237" s="1"/>
      <c r="G237" s="18"/>
      <c r="H237" s="1"/>
      <c r="I237" s="1"/>
      <c r="J237" s="8"/>
      <c r="K237" s="8"/>
      <c r="L237" s="1"/>
      <c r="M237" s="1"/>
      <c r="N237" s="9"/>
      <c r="O237" s="10"/>
      <c r="P237" s="1"/>
      <c r="Q237" s="126"/>
      <c r="R237" s="1"/>
      <c r="S237" s="1"/>
      <c r="T237" s="1"/>
      <c r="U237" s="1"/>
    </row>
    <row r="238" spans="1:21" ht="15.75" customHeight="1">
      <c r="A238" s="1"/>
      <c r="B238" s="1"/>
      <c r="C238" s="1"/>
      <c r="D238" s="1"/>
      <c r="E238" s="1"/>
      <c r="F238" s="1"/>
      <c r="G238" s="18"/>
      <c r="H238" s="1"/>
      <c r="I238" s="1"/>
      <c r="J238" s="8"/>
      <c r="K238" s="8"/>
      <c r="L238" s="1"/>
      <c r="M238" s="1"/>
      <c r="N238" s="9"/>
      <c r="O238" s="10"/>
      <c r="P238" s="1"/>
      <c r="Q238" s="126"/>
      <c r="R238" s="1"/>
      <c r="S238" s="1"/>
      <c r="T238" s="1"/>
      <c r="U238" s="1"/>
    </row>
    <row r="239" spans="1:21" ht="15.75" customHeight="1">
      <c r="A239" s="1"/>
      <c r="B239" s="1"/>
      <c r="C239" s="1"/>
      <c r="D239" s="1"/>
      <c r="E239" s="1"/>
      <c r="F239" s="1"/>
      <c r="G239" s="18"/>
      <c r="H239" s="1"/>
      <c r="I239" s="1"/>
      <c r="J239" s="8"/>
      <c r="K239" s="8"/>
      <c r="L239" s="1"/>
      <c r="M239" s="1"/>
      <c r="N239" s="9"/>
      <c r="O239" s="10"/>
      <c r="P239" s="1"/>
      <c r="Q239" s="126"/>
      <c r="R239" s="1"/>
      <c r="S239" s="1"/>
      <c r="T239" s="1"/>
      <c r="U239" s="1"/>
    </row>
    <row r="240" spans="1:21" ht="15.75" customHeight="1">
      <c r="A240" s="1"/>
      <c r="B240" s="1"/>
      <c r="C240" s="1"/>
      <c r="D240" s="1"/>
      <c r="E240" s="1"/>
      <c r="F240" s="1"/>
      <c r="G240" s="18"/>
      <c r="H240" s="1"/>
      <c r="I240" s="1"/>
      <c r="J240" s="8"/>
      <c r="K240" s="8"/>
      <c r="L240" s="1"/>
      <c r="M240" s="1"/>
      <c r="N240" s="9"/>
      <c r="O240" s="10"/>
      <c r="P240" s="1"/>
      <c r="Q240" s="126"/>
      <c r="R240" s="1"/>
      <c r="S240" s="1"/>
      <c r="T240" s="1"/>
      <c r="U240" s="1"/>
    </row>
    <row r="241" spans="1:21" ht="15.75" customHeight="1">
      <c r="A241" s="1"/>
      <c r="B241" s="1"/>
      <c r="C241" s="1"/>
      <c r="D241" s="1"/>
      <c r="E241" s="1"/>
      <c r="F241" s="1"/>
      <c r="G241" s="18"/>
      <c r="H241" s="1"/>
      <c r="I241" s="1"/>
      <c r="J241" s="8"/>
      <c r="K241" s="8"/>
      <c r="L241" s="1"/>
      <c r="M241" s="1"/>
      <c r="N241" s="9"/>
      <c r="O241" s="10"/>
      <c r="P241" s="1"/>
      <c r="Q241" s="126"/>
      <c r="R241" s="1"/>
      <c r="S241" s="1"/>
      <c r="T241" s="1"/>
      <c r="U241" s="1"/>
    </row>
    <row r="242" spans="1:21" ht="15.75" customHeight="1">
      <c r="A242" s="1"/>
      <c r="B242" s="1"/>
      <c r="C242" s="1"/>
      <c r="D242" s="1"/>
      <c r="E242" s="1"/>
      <c r="F242" s="1"/>
      <c r="G242" s="18"/>
      <c r="H242" s="1"/>
      <c r="I242" s="1"/>
      <c r="J242" s="8"/>
      <c r="K242" s="8"/>
      <c r="L242" s="1"/>
      <c r="M242" s="1"/>
      <c r="N242" s="9"/>
      <c r="O242" s="10"/>
      <c r="P242" s="1"/>
      <c r="Q242" s="126"/>
      <c r="R242" s="1"/>
      <c r="S242" s="1"/>
      <c r="T242" s="1"/>
      <c r="U242" s="1"/>
    </row>
    <row r="243" spans="1:21" ht="15.75" customHeight="1">
      <c r="A243" s="1"/>
      <c r="B243" s="1"/>
      <c r="C243" s="1"/>
      <c r="D243" s="1"/>
      <c r="E243" s="1"/>
      <c r="F243" s="1"/>
      <c r="G243" s="18"/>
      <c r="H243" s="1"/>
      <c r="I243" s="1"/>
      <c r="J243" s="8"/>
      <c r="K243" s="8"/>
      <c r="L243" s="1"/>
      <c r="M243" s="1"/>
      <c r="N243" s="9"/>
      <c r="O243" s="10"/>
      <c r="P243" s="1"/>
      <c r="Q243" s="126"/>
      <c r="R243" s="1"/>
      <c r="S243" s="1"/>
      <c r="T243" s="1"/>
      <c r="U243" s="1"/>
    </row>
    <row r="244" spans="1:21" ht="15.75" customHeight="1">
      <c r="A244" s="1"/>
      <c r="B244" s="1"/>
      <c r="C244" s="1"/>
      <c r="D244" s="1"/>
      <c r="E244" s="1"/>
      <c r="F244" s="1"/>
      <c r="G244" s="18"/>
      <c r="H244" s="1"/>
      <c r="I244" s="1"/>
      <c r="J244" s="8"/>
      <c r="K244" s="8"/>
      <c r="L244" s="1"/>
      <c r="M244" s="1"/>
      <c r="N244" s="9"/>
      <c r="O244" s="10"/>
      <c r="P244" s="1"/>
      <c r="Q244" s="126"/>
      <c r="R244" s="1"/>
      <c r="S244" s="1"/>
      <c r="T244" s="1"/>
      <c r="U244" s="1"/>
    </row>
    <row r="245" spans="1:21" ht="15.75" customHeight="1">
      <c r="A245" s="1"/>
      <c r="B245" s="1"/>
      <c r="C245" s="1"/>
      <c r="D245" s="1"/>
      <c r="E245" s="1"/>
      <c r="F245" s="1"/>
      <c r="G245" s="18"/>
      <c r="H245" s="1"/>
      <c r="I245" s="1"/>
      <c r="J245" s="8"/>
      <c r="K245" s="8"/>
      <c r="L245" s="1"/>
      <c r="M245" s="1"/>
      <c r="N245" s="9"/>
      <c r="O245" s="10"/>
      <c r="P245" s="1"/>
      <c r="Q245" s="126"/>
      <c r="R245" s="1"/>
      <c r="S245" s="1"/>
      <c r="T245" s="1"/>
      <c r="U245" s="1"/>
    </row>
    <row r="246" spans="1:21" ht="15.75" customHeight="1">
      <c r="A246" s="1"/>
      <c r="B246" s="1"/>
      <c r="C246" s="1"/>
      <c r="D246" s="1"/>
      <c r="E246" s="1"/>
      <c r="F246" s="1"/>
      <c r="G246" s="18"/>
      <c r="H246" s="1"/>
      <c r="I246" s="1"/>
      <c r="J246" s="8"/>
      <c r="K246" s="8"/>
      <c r="L246" s="1"/>
      <c r="M246" s="1"/>
      <c r="N246" s="9"/>
      <c r="O246" s="10"/>
      <c r="P246" s="1"/>
      <c r="Q246" s="126"/>
      <c r="R246" s="1"/>
      <c r="S246" s="1"/>
      <c r="T246" s="1"/>
      <c r="U246" s="1"/>
    </row>
    <row r="247" spans="1:21" ht="15.75" customHeight="1">
      <c r="A247" s="1"/>
      <c r="B247" s="1"/>
      <c r="C247" s="1"/>
      <c r="D247" s="1"/>
      <c r="E247" s="1"/>
      <c r="F247" s="1"/>
      <c r="G247" s="18"/>
      <c r="H247" s="1"/>
      <c r="I247" s="1"/>
      <c r="J247" s="8"/>
      <c r="K247" s="8"/>
      <c r="L247" s="1"/>
      <c r="M247" s="1"/>
      <c r="N247" s="9"/>
      <c r="O247" s="10"/>
      <c r="P247" s="1"/>
      <c r="Q247" s="126"/>
      <c r="R247" s="1"/>
      <c r="S247" s="1"/>
      <c r="T247" s="1"/>
      <c r="U247" s="1"/>
    </row>
    <row r="248" spans="1:21" ht="15.75" customHeight="1">
      <c r="A248" s="1"/>
      <c r="B248" s="1"/>
      <c r="C248" s="1"/>
      <c r="D248" s="1"/>
      <c r="E248" s="1"/>
      <c r="F248" s="1"/>
      <c r="G248" s="18"/>
      <c r="H248" s="1"/>
      <c r="I248" s="1"/>
      <c r="J248" s="8"/>
      <c r="K248" s="8"/>
      <c r="L248" s="1"/>
      <c r="M248" s="1"/>
      <c r="N248" s="9"/>
      <c r="O248" s="10"/>
      <c r="P248" s="1"/>
      <c r="Q248" s="126"/>
      <c r="R248" s="1"/>
      <c r="S248" s="1"/>
      <c r="T248" s="1"/>
      <c r="U248" s="1"/>
    </row>
    <row r="249" spans="1:21" ht="15.75" customHeight="1">
      <c r="A249" s="1"/>
      <c r="B249" s="1"/>
      <c r="C249" s="1"/>
      <c r="D249" s="1"/>
      <c r="E249" s="1"/>
      <c r="F249" s="1"/>
      <c r="G249" s="18"/>
      <c r="H249" s="1"/>
      <c r="I249" s="1"/>
      <c r="J249" s="8"/>
      <c r="K249" s="8"/>
      <c r="L249" s="1"/>
      <c r="M249" s="1"/>
      <c r="N249" s="9"/>
      <c r="O249" s="10"/>
      <c r="P249" s="1"/>
      <c r="Q249" s="126"/>
      <c r="R249" s="1"/>
      <c r="S249" s="1"/>
      <c r="T249" s="1"/>
      <c r="U249" s="1"/>
    </row>
    <row r="250" spans="1:21" ht="15.75" customHeight="1">
      <c r="A250" s="1"/>
      <c r="B250" s="1"/>
      <c r="C250" s="1"/>
      <c r="D250" s="1"/>
      <c r="E250" s="1"/>
      <c r="F250" s="1"/>
      <c r="G250" s="18"/>
      <c r="H250" s="1"/>
      <c r="I250" s="1"/>
      <c r="J250" s="8"/>
      <c r="K250" s="8"/>
      <c r="L250" s="1"/>
      <c r="M250" s="1"/>
      <c r="N250" s="9"/>
      <c r="O250" s="10"/>
      <c r="P250" s="1"/>
      <c r="Q250" s="126"/>
      <c r="R250" s="1"/>
      <c r="S250" s="1"/>
      <c r="T250" s="1"/>
      <c r="U250" s="1"/>
    </row>
    <row r="251" spans="1:21" ht="15.75" customHeight="1">
      <c r="A251" s="1"/>
      <c r="B251" s="1"/>
      <c r="C251" s="1"/>
      <c r="D251" s="1"/>
      <c r="E251" s="1"/>
      <c r="F251" s="1"/>
      <c r="G251" s="18"/>
      <c r="H251" s="1"/>
      <c r="I251" s="1"/>
      <c r="J251" s="8"/>
      <c r="K251" s="8"/>
      <c r="L251" s="1"/>
      <c r="M251" s="1"/>
      <c r="N251" s="9"/>
      <c r="O251" s="10"/>
      <c r="P251" s="1"/>
      <c r="Q251" s="126"/>
      <c r="R251" s="1"/>
      <c r="S251" s="1"/>
      <c r="T251" s="1"/>
      <c r="U251" s="1"/>
    </row>
    <row r="252" spans="1:21" ht="15.75" customHeight="1">
      <c r="A252" s="1"/>
      <c r="B252" s="1"/>
      <c r="C252" s="1"/>
      <c r="D252" s="1"/>
      <c r="E252" s="1"/>
      <c r="F252" s="1"/>
      <c r="G252" s="18"/>
      <c r="H252" s="1"/>
      <c r="I252" s="1"/>
      <c r="J252" s="8"/>
      <c r="K252" s="8"/>
      <c r="L252" s="1"/>
      <c r="M252" s="1"/>
      <c r="N252" s="9"/>
      <c r="O252" s="10"/>
      <c r="P252" s="1"/>
      <c r="Q252" s="126"/>
      <c r="R252" s="1"/>
      <c r="S252" s="1"/>
      <c r="T252" s="1"/>
      <c r="U252" s="1"/>
    </row>
    <row r="253" spans="1:21" ht="15.75" customHeight="1">
      <c r="A253" s="1"/>
      <c r="B253" s="1"/>
      <c r="C253" s="1"/>
      <c r="D253" s="1"/>
      <c r="E253" s="1"/>
      <c r="F253" s="1"/>
      <c r="G253" s="18"/>
      <c r="H253" s="1"/>
      <c r="I253" s="1"/>
      <c r="J253" s="8"/>
      <c r="K253" s="8"/>
      <c r="L253" s="1"/>
      <c r="M253" s="1"/>
      <c r="N253" s="9"/>
      <c r="O253" s="10"/>
      <c r="P253" s="1"/>
      <c r="Q253" s="126"/>
      <c r="R253" s="1"/>
      <c r="S253" s="1"/>
      <c r="T253" s="1"/>
      <c r="U253" s="1"/>
    </row>
    <row r="254" spans="1:21" ht="15.75" customHeight="1">
      <c r="A254" s="1"/>
      <c r="B254" s="1"/>
      <c r="C254" s="1"/>
      <c r="D254" s="1"/>
      <c r="E254" s="1"/>
      <c r="F254" s="1"/>
      <c r="G254" s="18"/>
      <c r="H254" s="1"/>
      <c r="I254" s="1"/>
      <c r="J254" s="8"/>
      <c r="K254" s="8"/>
      <c r="L254" s="1"/>
      <c r="M254" s="1"/>
      <c r="N254" s="9"/>
      <c r="O254" s="10"/>
      <c r="P254" s="1"/>
      <c r="Q254" s="126"/>
      <c r="R254" s="1"/>
      <c r="S254" s="1"/>
      <c r="T254" s="1"/>
      <c r="U254" s="1"/>
    </row>
    <row r="255" spans="1:21" ht="15.75" customHeight="1">
      <c r="A255" s="1"/>
      <c r="B255" s="1"/>
      <c r="C255" s="1"/>
      <c r="D255" s="1"/>
      <c r="E255" s="1"/>
      <c r="F255" s="1"/>
      <c r="G255" s="18"/>
      <c r="H255" s="1"/>
      <c r="I255" s="1"/>
      <c r="J255" s="8"/>
      <c r="K255" s="8"/>
      <c r="L255" s="1"/>
      <c r="M255" s="1"/>
      <c r="N255" s="9"/>
      <c r="O255" s="10"/>
      <c r="P255" s="1"/>
      <c r="Q255" s="126"/>
      <c r="R255" s="1"/>
      <c r="S255" s="1"/>
      <c r="T255" s="1"/>
      <c r="U255" s="1"/>
    </row>
    <row r="256" spans="1:21" ht="15.75" customHeight="1">
      <c r="A256" s="1"/>
      <c r="B256" s="1"/>
      <c r="C256" s="1"/>
      <c r="D256" s="1"/>
      <c r="E256" s="1"/>
      <c r="F256" s="1"/>
      <c r="G256" s="18"/>
      <c r="H256" s="1"/>
      <c r="I256" s="1"/>
      <c r="J256" s="8"/>
      <c r="K256" s="8"/>
      <c r="L256" s="1"/>
      <c r="M256" s="1"/>
      <c r="N256" s="9"/>
      <c r="O256" s="10"/>
      <c r="P256" s="1"/>
      <c r="Q256" s="126"/>
      <c r="R256" s="1"/>
      <c r="S256" s="1"/>
      <c r="T256" s="1"/>
      <c r="U256" s="1"/>
    </row>
    <row r="257" spans="1:21" ht="15.75" customHeight="1">
      <c r="A257" s="1"/>
      <c r="B257" s="1"/>
      <c r="C257" s="1"/>
      <c r="D257" s="1"/>
      <c r="E257" s="1"/>
      <c r="F257" s="1"/>
      <c r="G257" s="18"/>
      <c r="H257" s="1"/>
      <c r="I257" s="1"/>
      <c r="J257" s="8"/>
      <c r="K257" s="8"/>
      <c r="L257" s="1"/>
      <c r="M257" s="1"/>
      <c r="N257" s="9"/>
      <c r="O257" s="10"/>
      <c r="P257" s="1"/>
      <c r="Q257" s="126"/>
      <c r="R257" s="1"/>
      <c r="S257" s="1"/>
      <c r="T257" s="1"/>
      <c r="U257" s="1"/>
    </row>
    <row r="258" spans="1:21" ht="15.75" customHeight="1">
      <c r="A258" s="1"/>
      <c r="B258" s="1"/>
      <c r="C258" s="1"/>
      <c r="D258" s="1"/>
      <c r="E258" s="1"/>
      <c r="F258" s="1"/>
      <c r="G258" s="18"/>
      <c r="H258" s="1"/>
      <c r="I258" s="1"/>
      <c r="J258" s="8"/>
      <c r="K258" s="8"/>
      <c r="L258" s="1"/>
      <c r="M258" s="1"/>
      <c r="N258" s="9"/>
      <c r="O258" s="10"/>
      <c r="P258" s="1"/>
      <c r="Q258" s="126"/>
      <c r="R258" s="1"/>
      <c r="S258" s="1"/>
      <c r="T258" s="1"/>
      <c r="U258" s="1"/>
    </row>
    <row r="259" spans="1:21" ht="15.75" customHeight="1">
      <c r="A259" s="1"/>
      <c r="B259" s="1"/>
      <c r="C259" s="1"/>
      <c r="D259" s="1"/>
      <c r="E259" s="1"/>
      <c r="F259" s="1"/>
      <c r="G259" s="18"/>
      <c r="H259" s="1"/>
      <c r="I259" s="1"/>
      <c r="J259" s="8"/>
      <c r="K259" s="8"/>
      <c r="L259" s="1"/>
      <c r="M259" s="1"/>
      <c r="N259" s="9"/>
      <c r="O259" s="10"/>
      <c r="P259" s="1"/>
      <c r="Q259" s="126"/>
      <c r="R259" s="1"/>
      <c r="S259" s="1"/>
      <c r="T259" s="1"/>
      <c r="U259" s="1"/>
    </row>
    <row r="260" spans="1:21" ht="15.75" customHeight="1">
      <c r="A260" s="1"/>
      <c r="B260" s="1"/>
      <c r="C260" s="1"/>
      <c r="D260" s="1"/>
      <c r="E260" s="1"/>
      <c r="F260" s="1"/>
      <c r="G260" s="18"/>
      <c r="H260" s="1"/>
      <c r="I260" s="1"/>
      <c r="J260" s="8"/>
      <c r="K260" s="8"/>
      <c r="L260" s="1"/>
      <c r="M260" s="1"/>
      <c r="N260" s="9"/>
      <c r="O260" s="10"/>
      <c r="P260" s="1"/>
      <c r="Q260" s="126"/>
      <c r="R260" s="1"/>
      <c r="S260" s="1"/>
      <c r="T260" s="1"/>
      <c r="U260" s="1"/>
    </row>
    <row r="261" spans="1:21" ht="15.75" customHeight="1">
      <c r="A261" s="1"/>
      <c r="B261" s="1"/>
      <c r="C261" s="1"/>
      <c r="D261" s="1"/>
      <c r="E261" s="1"/>
      <c r="F261" s="1"/>
      <c r="G261" s="18"/>
      <c r="H261" s="1"/>
      <c r="I261" s="1"/>
      <c r="J261" s="8"/>
      <c r="K261" s="8"/>
      <c r="L261" s="1"/>
      <c r="M261" s="1"/>
      <c r="N261" s="9"/>
      <c r="O261" s="10"/>
      <c r="P261" s="1"/>
      <c r="Q261" s="126"/>
      <c r="R261" s="1"/>
      <c r="S261" s="1"/>
      <c r="T261" s="1"/>
      <c r="U261" s="1"/>
    </row>
    <row r="262" spans="1:21" ht="15.75" customHeight="1">
      <c r="A262" s="1"/>
      <c r="B262" s="1"/>
      <c r="C262" s="1"/>
      <c r="D262" s="1"/>
      <c r="E262" s="1"/>
      <c r="F262" s="1"/>
      <c r="G262" s="18"/>
      <c r="H262" s="1"/>
      <c r="I262" s="1"/>
      <c r="J262" s="8"/>
      <c r="K262" s="8"/>
      <c r="L262" s="1"/>
      <c r="M262" s="1"/>
      <c r="N262" s="9"/>
      <c r="O262" s="10"/>
      <c r="P262" s="1"/>
      <c r="Q262" s="126"/>
      <c r="R262" s="1"/>
      <c r="S262" s="1"/>
      <c r="T262" s="1"/>
      <c r="U262" s="1"/>
    </row>
    <row r="263" spans="1:21" ht="15.75" customHeight="1">
      <c r="A263" s="1"/>
      <c r="B263" s="1"/>
      <c r="C263" s="1"/>
      <c r="D263" s="1"/>
      <c r="E263" s="1"/>
      <c r="F263" s="1"/>
      <c r="G263" s="18"/>
      <c r="H263" s="1"/>
      <c r="I263" s="1"/>
      <c r="J263" s="8"/>
      <c r="K263" s="8"/>
      <c r="L263" s="1"/>
      <c r="M263" s="1"/>
      <c r="N263" s="9"/>
      <c r="O263" s="10"/>
      <c r="P263" s="1"/>
      <c r="Q263" s="126"/>
      <c r="R263" s="1"/>
      <c r="S263" s="1"/>
      <c r="T263" s="1"/>
      <c r="U263" s="1"/>
    </row>
    <row r="264" spans="1:21" ht="15.75" customHeight="1">
      <c r="A264" s="1"/>
      <c r="B264" s="1"/>
      <c r="C264" s="1"/>
      <c r="D264" s="1"/>
      <c r="E264" s="1"/>
      <c r="F264" s="1"/>
      <c r="G264" s="18"/>
      <c r="H264" s="1"/>
      <c r="I264" s="1"/>
      <c r="J264" s="8"/>
      <c r="K264" s="8"/>
      <c r="L264" s="1"/>
      <c r="M264" s="1"/>
      <c r="N264" s="9"/>
      <c r="O264" s="10"/>
      <c r="P264" s="1"/>
      <c r="Q264" s="126"/>
      <c r="R264" s="1"/>
      <c r="S264" s="1"/>
      <c r="T264" s="1"/>
      <c r="U264" s="1"/>
    </row>
    <row r="265" spans="1:21" ht="15.75" customHeight="1">
      <c r="A265" s="1"/>
      <c r="B265" s="1"/>
      <c r="C265" s="1"/>
      <c r="D265" s="1"/>
      <c r="E265" s="1"/>
      <c r="F265" s="1"/>
      <c r="G265" s="18"/>
      <c r="H265" s="1"/>
      <c r="I265" s="1"/>
      <c r="J265" s="8"/>
      <c r="K265" s="8"/>
      <c r="L265" s="1"/>
      <c r="M265" s="1"/>
      <c r="N265" s="9"/>
      <c r="O265" s="10"/>
      <c r="P265" s="1"/>
      <c r="Q265" s="126"/>
      <c r="R265" s="1"/>
      <c r="S265" s="1"/>
      <c r="T265" s="1"/>
      <c r="U265" s="1"/>
    </row>
    <row r="266" spans="1:21" ht="15.75" customHeight="1">
      <c r="A266" s="1"/>
      <c r="B266" s="1"/>
      <c r="C266" s="1"/>
      <c r="D266" s="1"/>
      <c r="E266" s="1"/>
      <c r="F266" s="1"/>
      <c r="G266" s="18"/>
      <c r="H266" s="1"/>
      <c r="I266" s="1"/>
      <c r="J266" s="8"/>
      <c r="K266" s="8"/>
      <c r="L266" s="1"/>
      <c r="M266" s="1"/>
      <c r="N266" s="9"/>
      <c r="O266" s="10"/>
      <c r="P266" s="1"/>
      <c r="Q266" s="126"/>
      <c r="R266" s="1"/>
      <c r="S266" s="1"/>
      <c r="T266" s="1"/>
      <c r="U266" s="1"/>
    </row>
    <row r="267" spans="1:21" ht="15.75" customHeight="1">
      <c r="A267" s="1"/>
      <c r="B267" s="1"/>
      <c r="C267" s="1"/>
      <c r="D267" s="1"/>
      <c r="E267" s="1"/>
      <c r="F267" s="1"/>
      <c r="G267" s="18"/>
      <c r="H267" s="1"/>
      <c r="I267" s="1"/>
      <c r="J267" s="8"/>
      <c r="K267" s="8"/>
      <c r="L267" s="1"/>
      <c r="M267" s="1"/>
      <c r="N267" s="9"/>
      <c r="O267" s="10"/>
      <c r="P267" s="1"/>
      <c r="Q267" s="126"/>
      <c r="R267" s="1"/>
      <c r="S267" s="1"/>
      <c r="T267" s="1"/>
      <c r="U267" s="1"/>
    </row>
    <row r="268" spans="1:21" ht="15.75" customHeight="1">
      <c r="A268" s="1"/>
      <c r="B268" s="1"/>
      <c r="C268" s="1"/>
      <c r="D268" s="1"/>
      <c r="E268" s="1"/>
      <c r="F268" s="1"/>
      <c r="G268" s="18"/>
      <c r="H268" s="1"/>
      <c r="I268" s="1"/>
      <c r="J268" s="8"/>
      <c r="K268" s="8"/>
      <c r="L268" s="1"/>
      <c r="M268" s="1"/>
      <c r="N268" s="9"/>
      <c r="O268" s="10"/>
      <c r="P268" s="1"/>
      <c r="Q268" s="126"/>
      <c r="R268" s="1"/>
      <c r="S268" s="1"/>
      <c r="T268" s="1"/>
      <c r="U268" s="1"/>
    </row>
    <row r="269" spans="1:21" ht="15.75" customHeight="1">
      <c r="A269" s="1"/>
      <c r="B269" s="1"/>
      <c r="C269" s="1"/>
      <c r="D269" s="1"/>
      <c r="E269" s="1"/>
      <c r="F269" s="1"/>
      <c r="G269" s="18"/>
      <c r="H269" s="1"/>
      <c r="I269" s="1"/>
      <c r="J269" s="8"/>
      <c r="K269" s="8"/>
      <c r="L269" s="1"/>
      <c r="M269" s="1"/>
      <c r="N269" s="9"/>
      <c r="O269" s="10"/>
      <c r="P269" s="1"/>
      <c r="Q269" s="126"/>
      <c r="R269" s="1"/>
      <c r="S269" s="1"/>
      <c r="T269" s="1"/>
      <c r="U269" s="1"/>
    </row>
    <row r="270" spans="1:21" ht="15.75" customHeight="1">
      <c r="A270" s="1"/>
      <c r="B270" s="1"/>
      <c r="C270" s="1"/>
      <c r="D270" s="1"/>
      <c r="E270" s="1"/>
      <c r="F270" s="1"/>
      <c r="G270" s="18"/>
      <c r="H270" s="1"/>
      <c r="I270" s="1"/>
      <c r="J270" s="8"/>
      <c r="K270" s="8"/>
      <c r="L270" s="1"/>
      <c r="M270" s="1"/>
      <c r="N270" s="9"/>
      <c r="O270" s="10"/>
      <c r="P270" s="1"/>
      <c r="Q270" s="126"/>
      <c r="R270" s="1"/>
      <c r="S270" s="1"/>
      <c r="T270" s="1"/>
      <c r="U270" s="1"/>
    </row>
    <row r="271" spans="1:21" ht="15.75" customHeight="1">
      <c r="A271" s="1"/>
      <c r="B271" s="1"/>
      <c r="C271" s="1"/>
      <c r="D271" s="1"/>
      <c r="E271" s="1"/>
      <c r="F271" s="1"/>
      <c r="G271" s="18"/>
      <c r="H271" s="1"/>
      <c r="I271" s="1"/>
      <c r="J271" s="8"/>
      <c r="K271" s="8"/>
      <c r="L271" s="1"/>
      <c r="M271" s="1"/>
      <c r="N271" s="9"/>
      <c r="O271" s="10"/>
      <c r="P271" s="1"/>
      <c r="Q271" s="126"/>
      <c r="R271" s="1"/>
      <c r="S271" s="1"/>
      <c r="T271" s="1"/>
      <c r="U271" s="1"/>
    </row>
    <row r="272" spans="1:21" ht="15.75" customHeight="1">
      <c r="A272" s="1"/>
      <c r="B272" s="1"/>
      <c r="C272" s="1"/>
      <c r="D272" s="1"/>
      <c r="E272" s="1"/>
      <c r="F272" s="1"/>
      <c r="G272" s="18"/>
      <c r="H272" s="1"/>
      <c r="I272" s="1"/>
      <c r="J272" s="8"/>
      <c r="K272" s="8"/>
      <c r="L272" s="1"/>
      <c r="M272" s="1"/>
      <c r="N272" s="9"/>
      <c r="O272" s="10"/>
      <c r="P272" s="1"/>
      <c r="Q272" s="126"/>
      <c r="R272" s="1"/>
      <c r="S272" s="1"/>
      <c r="T272" s="1"/>
      <c r="U272" s="1"/>
    </row>
    <row r="273" spans="1:21" ht="15.75" customHeight="1">
      <c r="A273" s="1"/>
      <c r="B273" s="1"/>
      <c r="C273" s="1"/>
      <c r="D273" s="1"/>
      <c r="E273" s="1"/>
      <c r="F273" s="1"/>
      <c r="G273" s="18"/>
      <c r="H273" s="1"/>
      <c r="I273" s="1"/>
      <c r="J273" s="8"/>
      <c r="K273" s="8"/>
      <c r="L273" s="1"/>
      <c r="M273" s="1"/>
      <c r="N273" s="9"/>
      <c r="O273" s="10"/>
      <c r="P273" s="1"/>
      <c r="Q273" s="126"/>
      <c r="R273" s="1"/>
      <c r="S273" s="1"/>
      <c r="T273" s="1"/>
      <c r="U273" s="1"/>
    </row>
    <row r="274" spans="1:21" ht="15.75" customHeight="1">
      <c r="A274" s="1"/>
      <c r="B274" s="1"/>
      <c r="C274" s="1"/>
      <c r="D274" s="1"/>
      <c r="E274" s="1"/>
      <c r="F274" s="1"/>
      <c r="G274" s="18"/>
      <c r="H274" s="1"/>
      <c r="I274" s="1"/>
      <c r="J274" s="8"/>
      <c r="K274" s="8"/>
      <c r="L274" s="1"/>
      <c r="M274" s="1"/>
      <c r="N274" s="9"/>
      <c r="O274" s="10"/>
      <c r="P274" s="1"/>
      <c r="Q274" s="126"/>
      <c r="R274" s="1"/>
      <c r="S274" s="1"/>
      <c r="T274" s="1"/>
      <c r="U274" s="1"/>
    </row>
    <row r="275" spans="1:21" ht="15.75" customHeight="1">
      <c r="A275" s="1"/>
      <c r="B275" s="1"/>
      <c r="C275" s="1"/>
      <c r="D275" s="1"/>
      <c r="E275" s="1"/>
      <c r="F275" s="1"/>
      <c r="G275" s="18"/>
      <c r="H275" s="1"/>
      <c r="I275" s="1"/>
      <c r="J275" s="8"/>
      <c r="K275" s="8"/>
      <c r="L275" s="1"/>
      <c r="M275" s="1"/>
      <c r="N275" s="9"/>
      <c r="O275" s="10"/>
      <c r="P275" s="1"/>
      <c r="Q275" s="126"/>
      <c r="R275" s="1"/>
      <c r="S275" s="1"/>
      <c r="T275" s="1"/>
      <c r="U275" s="1"/>
    </row>
    <row r="276" spans="1:21" ht="15.75" customHeight="1">
      <c r="A276" s="1"/>
      <c r="B276" s="1"/>
      <c r="C276" s="1"/>
      <c r="D276" s="1"/>
      <c r="E276" s="1"/>
      <c r="F276" s="1"/>
      <c r="G276" s="18"/>
      <c r="H276" s="1"/>
      <c r="I276" s="1"/>
      <c r="J276" s="8"/>
      <c r="K276" s="8"/>
      <c r="L276" s="1"/>
      <c r="M276" s="1"/>
      <c r="N276" s="9"/>
      <c r="O276" s="10"/>
      <c r="P276" s="1"/>
      <c r="Q276" s="126"/>
      <c r="R276" s="1"/>
      <c r="S276" s="1"/>
      <c r="T276" s="1"/>
      <c r="U276" s="1"/>
    </row>
    <row r="277" spans="1:21" ht="15.75" customHeight="1">
      <c r="A277" s="1"/>
      <c r="B277" s="1"/>
      <c r="C277" s="1"/>
      <c r="D277" s="1"/>
      <c r="E277" s="1"/>
      <c r="F277" s="1"/>
      <c r="G277" s="18"/>
      <c r="H277" s="1"/>
      <c r="I277" s="1"/>
      <c r="J277" s="8"/>
      <c r="K277" s="8"/>
      <c r="L277" s="1"/>
      <c r="M277" s="1"/>
      <c r="N277" s="9"/>
      <c r="O277" s="10"/>
      <c r="P277" s="1"/>
      <c r="Q277" s="126"/>
      <c r="R277" s="1"/>
      <c r="S277" s="1"/>
      <c r="T277" s="1"/>
      <c r="U277" s="1"/>
    </row>
    <row r="278" spans="1:21" ht="15.75" customHeight="1">
      <c r="A278" s="1"/>
      <c r="B278" s="1"/>
      <c r="C278" s="1"/>
      <c r="D278" s="1"/>
      <c r="E278" s="1"/>
      <c r="F278" s="1"/>
      <c r="G278" s="18"/>
      <c r="H278" s="1"/>
      <c r="I278" s="1"/>
      <c r="J278" s="8"/>
      <c r="K278" s="8"/>
      <c r="L278" s="1"/>
      <c r="M278" s="1"/>
      <c r="N278" s="9"/>
      <c r="O278" s="10"/>
      <c r="P278" s="1"/>
      <c r="Q278" s="126"/>
      <c r="R278" s="1"/>
      <c r="S278" s="1"/>
      <c r="T278" s="1"/>
      <c r="U278" s="1"/>
    </row>
    <row r="279" spans="1:21" ht="15.75" customHeight="1">
      <c r="A279" s="1"/>
      <c r="B279" s="1"/>
      <c r="C279" s="1"/>
      <c r="D279" s="1"/>
      <c r="E279" s="1"/>
      <c r="F279" s="1"/>
      <c r="G279" s="18"/>
      <c r="H279" s="1"/>
      <c r="I279" s="1"/>
      <c r="J279" s="8"/>
      <c r="K279" s="8"/>
      <c r="L279" s="1"/>
      <c r="M279" s="1"/>
      <c r="N279" s="9"/>
      <c r="O279" s="10"/>
      <c r="P279" s="1"/>
      <c r="Q279" s="126"/>
      <c r="R279" s="1"/>
      <c r="S279" s="1"/>
      <c r="T279" s="1"/>
      <c r="U279" s="1"/>
    </row>
    <row r="280" spans="1:21" ht="15.75" customHeight="1">
      <c r="A280" s="1"/>
      <c r="B280" s="1"/>
      <c r="C280" s="1"/>
      <c r="D280" s="1"/>
      <c r="E280" s="1"/>
      <c r="F280" s="1"/>
      <c r="G280" s="18"/>
      <c r="H280" s="1"/>
      <c r="I280" s="1"/>
      <c r="J280" s="8"/>
      <c r="K280" s="8"/>
      <c r="L280" s="1"/>
      <c r="M280" s="1"/>
      <c r="N280" s="9"/>
      <c r="O280" s="10"/>
      <c r="P280" s="1"/>
      <c r="Q280" s="126"/>
      <c r="R280" s="1"/>
      <c r="S280" s="1"/>
      <c r="T280" s="1"/>
      <c r="U280" s="1"/>
    </row>
    <row r="281" spans="1:21" ht="15.75" customHeight="1">
      <c r="A281" s="1"/>
      <c r="B281" s="1"/>
      <c r="C281" s="1"/>
      <c r="D281" s="1"/>
      <c r="E281" s="1"/>
      <c r="F281" s="1"/>
      <c r="G281" s="18"/>
      <c r="H281" s="1"/>
      <c r="I281" s="1"/>
      <c r="J281" s="8"/>
      <c r="K281" s="8"/>
      <c r="L281" s="1"/>
      <c r="M281" s="1"/>
      <c r="N281" s="9"/>
      <c r="O281" s="10"/>
      <c r="P281" s="1"/>
      <c r="Q281" s="126"/>
      <c r="R281" s="1"/>
      <c r="S281" s="1"/>
      <c r="T281" s="1"/>
      <c r="U281" s="1"/>
    </row>
    <row r="282" spans="1:21" ht="15.75" customHeight="1">
      <c r="A282" s="1"/>
      <c r="B282" s="1"/>
      <c r="C282" s="1"/>
      <c r="D282" s="1"/>
      <c r="E282" s="1"/>
      <c r="F282" s="1"/>
      <c r="G282" s="18"/>
      <c r="H282" s="1"/>
      <c r="I282" s="1"/>
      <c r="J282" s="8"/>
      <c r="K282" s="8"/>
      <c r="L282" s="1"/>
      <c r="M282" s="1"/>
      <c r="N282" s="9"/>
      <c r="O282" s="10"/>
      <c r="P282" s="1"/>
      <c r="Q282" s="126"/>
      <c r="R282" s="1"/>
      <c r="S282" s="1"/>
      <c r="T282" s="1"/>
      <c r="U282" s="1"/>
    </row>
    <row r="283" spans="1:21" ht="15.75" customHeight="1">
      <c r="A283" s="1"/>
      <c r="B283" s="1"/>
      <c r="C283" s="1"/>
      <c r="D283" s="1"/>
      <c r="E283" s="1"/>
      <c r="F283" s="1"/>
      <c r="G283" s="18"/>
      <c r="H283" s="1"/>
      <c r="I283" s="1"/>
      <c r="J283" s="8"/>
      <c r="K283" s="8"/>
      <c r="L283" s="1"/>
      <c r="M283" s="1"/>
      <c r="N283" s="9"/>
      <c r="O283" s="10"/>
      <c r="P283" s="1"/>
      <c r="Q283" s="126"/>
      <c r="R283" s="1"/>
      <c r="S283" s="1"/>
      <c r="T283" s="1"/>
      <c r="U283" s="1"/>
    </row>
    <row r="284" spans="1:21" ht="15.75" customHeight="1">
      <c r="A284" s="1"/>
      <c r="B284" s="1"/>
      <c r="C284" s="1"/>
      <c r="D284" s="1"/>
      <c r="E284" s="1"/>
      <c r="F284" s="1"/>
      <c r="G284" s="18"/>
      <c r="H284" s="1"/>
      <c r="I284" s="1"/>
      <c r="J284" s="8"/>
      <c r="K284" s="8"/>
      <c r="L284" s="1"/>
      <c r="M284" s="1"/>
      <c r="N284" s="9"/>
      <c r="O284" s="10"/>
      <c r="P284" s="1"/>
      <c r="Q284" s="126"/>
      <c r="R284" s="1"/>
      <c r="S284" s="1"/>
      <c r="T284" s="1"/>
      <c r="U284" s="1"/>
    </row>
    <row r="285" spans="1:21" ht="15.75" customHeight="1">
      <c r="A285" s="1"/>
      <c r="B285" s="1"/>
      <c r="C285" s="1"/>
      <c r="D285" s="1"/>
      <c r="E285" s="1"/>
      <c r="F285" s="1"/>
      <c r="G285" s="18"/>
      <c r="H285" s="1"/>
      <c r="I285" s="1"/>
      <c r="J285" s="8"/>
      <c r="K285" s="8"/>
      <c r="L285" s="1"/>
      <c r="M285" s="1"/>
      <c r="N285" s="9"/>
      <c r="O285" s="10"/>
      <c r="P285" s="1"/>
      <c r="Q285" s="126"/>
      <c r="R285" s="1"/>
      <c r="S285" s="1"/>
      <c r="T285" s="1"/>
      <c r="U285" s="1"/>
    </row>
    <row r="286" spans="1:21" ht="15.75" customHeight="1">
      <c r="A286" s="1"/>
      <c r="B286" s="1"/>
      <c r="C286" s="1"/>
      <c r="D286" s="1"/>
      <c r="E286" s="1"/>
      <c r="F286" s="1"/>
      <c r="G286" s="18"/>
      <c r="H286" s="1"/>
      <c r="I286" s="1"/>
      <c r="J286" s="8"/>
      <c r="K286" s="8"/>
      <c r="L286" s="1"/>
      <c r="M286" s="1"/>
      <c r="N286" s="9"/>
      <c r="O286" s="10"/>
      <c r="P286" s="1"/>
      <c r="Q286" s="126"/>
      <c r="R286" s="1"/>
      <c r="S286" s="1"/>
      <c r="T286" s="1"/>
      <c r="U286" s="1"/>
    </row>
    <row r="287" spans="1:21" ht="15.75" customHeight="1">
      <c r="A287" s="1"/>
      <c r="B287" s="1"/>
      <c r="C287" s="1"/>
      <c r="D287" s="1"/>
      <c r="E287" s="1"/>
      <c r="F287" s="1"/>
      <c r="G287" s="18"/>
      <c r="H287" s="1"/>
      <c r="I287" s="1"/>
      <c r="J287" s="8"/>
      <c r="K287" s="8"/>
      <c r="L287" s="1"/>
      <c r="M287" s="1"/>
      <c r="N287" s="9"/>
      <c r="O287" s="10"/>
      <c r="P287" s="1"/>
      <c r="Q287" s="126"/>
      <c r="R287" s="1"/>
      <c r="S287" s="1"/>
      <c r="T287" s="1"/>
      <c r="U287" s="1"/>
    </row>
    <row r="288" spans="1:21" ht="15.75" customHeight="1">
      <c r="A288" s="1"/>
      <c r="B288" s="1"/>
      <c r="C288" s="1"/>
      <c r="D288" s="1"/>
      <c r="E288" s="1"/>
      <c r="F288" s="1"/>
      <c r="G288" s="18"/>
      <c r="H288" s="1"/>
      <c r="I288" s="1"/>
      <c r="J288" s="8"/>
      <c r="K288" s="8"/>
      <c r="L288" s="1"/>
      <c r="M288" s="1"/>
      <c r="N288" s="9"/>
      <c r="O288" s="10"/>
      <c r="P288" s="1"/>
      <c r="Q288" s="126"/>
      <c r="R288" s="1"/>
      <c r="S288" s="1"/>
      <c r="T288" s="1"/>
      <c r="U288" s="1"/>
    </row>
    <row r="289" spans="1:21" ht="15.75" customHeight="1">
      <c r="A289" s="1"/>
      <c r="B289" s="1"/>
      <c r="C289" s="1"/>
      <c r="D289" s="1"/>
      <c r="E289" s="1"/>
      <c r="F289" s="1"/>
      <c r="G289" s="18"/>
      <c r="H289" s="1"/>
      <c r="I289" s="1"/>
      <c r="J289" s="8"/>
      <c r="K289" s="8"/>
      <c r="L289" s="1"/>
      <c r="M289" s="1"/>
      <c r="N289" s="9"/>
      <c r="O289" s="10"/>
      <c r="P289" s="1"/>
      <c r="Q289" s="126"/>
      <c r="R289" s="1"/>
      <c r="S289" s="1"/>
      <c r="T289" s="1"/>
      <c r="U289" s="1"/>
    </row>
    <row r="290" spans="1:21" ht="15.75" customHeight="1">
      <c r="A290" s="1"/>
      <c r="B290" s="1"/>
      <c r="C290" s="1"/>
      <c r="D290" s="1"/>
      <c r="E290" s="1"/>
      <c r="F290" s="1"/>
      <c r="G290" s="18"/>
      <c r="H290" s="1"/>
      <c r="I290" s="1"/>
      <c r="J290" s="8"/>
      <c r="K290" s="8"/>
      <c r="L290" s="1"/>
      <c r="M290" s="1"/>
      <c r="N290" s="9"/>
      <c r="O290" s="10"/>
      <c r="P290" s="1"/>
      <c r="Q290" s="126"/>
      <c r="R290" s="1"/>
      <c r="S290" s="1"/>
      <c r="T290" s="1"/>
      <c r="U290" s="1"/>
    </row>
    <row r="291" spans="1:21" ht="15.75" customHeight="1">
      <c r="A291" s="1"/>
      <c r="B291" s="1"/>
      <c r="C291" s="1"/>
      <c r="D291" s="1"/>
      <c r="E291" s="1"/>
      <c r="F291" s="1"/>
      <c r="G291" s="18"/>
      <c r="H291" s="1"/>
      <c r="I291" s="1"/>
      <c r="J291" s="8"/>
      <c r="K291" s="8"/>
      <c r="L291" s="1"/>
      <c r="M291" s="1"/>
      <c r="N291" s="9"/>
      <c r="O291" s="10"/>
      <c r="P291" s="1"/>
      <c r="Q291" s="126"/>
      <c r="R291" s="1"/>
      <c r="S291" s="1"/>
      <c r="T291" s="1"/>
      <c r="U291" s="1"/>
    </row>
    <row r="292" spans="1:21" ht="15.75" customHeight="1">
      <c r="A292" s="1"/>
      <c r="B292" s="1"/>
      <c r="C292" s="1"/>
      <c r="D292" s="1"/>
      <c r="E292" s="1"/>
      <c r="F292" s="1"/>
      <c r="G292" s="18"/>
      <c r="H292" s="1"/>
      <c r="I292" s="1"/>
      <c r="J292" s="8"/>
      <c r="K292" s="8"/>
      <c r="L292" s="1"/>
      <c r="M292" s="1"/>
      <c r="N292" s="9"/>
      <c r="O292" s="10"/>
      <c r="P292" s="1"/>
      <c r="Q292" s="126"/>
      <c r="R292" s="1"/>
      <c r="S292" s="1"/>
      <c r="T292" s="1"/>
      <c r="U292" s="1"/>
    </row>
    <row r="293" spans="1:21" ht="15.75" customHeight="1">
      <c r="A293" s="1"/>
      <c r="B293" s="1"/>
      <c r="C293" s="1"/>
      <c r="D293" s="1"/>
      <c r="E293" s="1"/>
      <c r="F293" s="1"/>
      <c r="G293" s="18"/>
      <c r="H293" s="1"/>
      <c r="I293" s="1"/>
      <c r="J293" s="8"/>
      <c r="K293" s="8"/>
      <c r="L293" s="1"/>
      <c r="M293" s="1"/>
      <c r="N293" s="9"/>
      <c r="O293" s="10"/>
      <c r="P293" s="1"/>
      <c r="Q293" s="126"/>
      <c r="R293" s="1"/>
      <c r="S293" s="1"/>
      <c r="T293" s="1"/>
      <c r="U293" s="1"/>
    </row>
    <row r="294" spans="1:21" ht="15.75" customHeight="1">
      <c r="A294" s="1"/>
      <c r="B294" s="1"/>
      <c r="C294" s="1"/>
      <c r="D294" s="1"/>
      <c r="E294" s="1"/>
      <c r="F294" s="1"/>
      <c r="G294" s="18"/>
      <c r="H294" s="1"/>
      <c r="I294" s="1"/>
      <c r="J294" s="8"/>
      <c r="K294" s="8"/>
      <c r="L294" s="1"/>
      <c r="M294" s="1"/>
      <c r="N294" s="9"/>
      <c r="O294" s="10"/>
      <c r="P294" s="1"/>
      <c r="Q294" s="126"/>
      <c r="R294" s="1"/>
      <c r="S294" s="1"/>
      <c r="T294" s="1"/>
      <c r="U294" s="1"/>
    </row>
    <row r="295" spans="1:21" ht="15.75" customHeight="1">
      <c r="A295" s="1"/>
      <c r="B295" s="1"/>
      <c r="C295" s="1"/>
      <c r="D295" s="1"/>
      <c r="E295" s="1"/>
      <c r="F295" s="1"/>
      <c r="G295" s="18"/>
      <c r="H295" s="1"/>
      <c r="I295" s="1"/>
      <c r="J295" s="8"/>
      <c r="K295" s="8"/>
      <c r="L295" s="1"/>
      <c r="M295" s="1"/>
      <c r="N295" s="9"/>
      <c r="O295" s="10"/>
      <c r="P295" s="1"/>
      <c r="Q295" s="126"/>
      <c r="R295" s="1"/>
      <c r="S295" s="1"/>
      <c r="T295" s="1"/>
      <c r="U295" s="1"/>
    </row>
    <row r="296" spans="1:21" ht="15.75" customHeight="1">
      <c r="A296" s="1"/>
      <c r="B296" s="1"/>
      <c r="C296" s="1"/>
      <c r="D296" s="1"/>
      <c r="E296" s="1"/>
      <c r="F296" s="1"/>
      <c r="G296" s="18"/>
      <c r="H296" s="1"/>
      <c r="I296" s="1"/>
      <c r="J296" s="8"/>
      <c r="K296" s="8"/>
      <c r="L296" s="1"/>
      <c r="M296" s="1"/>
      <c r="N296" s="9"/>
      <c r="O296" s="10"/>
      <c r="P296" s="1"/>
      <c r="Q296" s="126"/>
      <c r="R296" s="1"/>
      <c r="S296" s="1"/>
      <c r="T296" s="1"/>
      <c r="U296" s="1"/>
    </row>
    <row r="297" spans="1:21" ht="15.75" customHeight="1">
      <c r="A297" s="1"/>
      <c r="B297" s="1"/>
      <c r="C297" s="1"/>
      <c r="D297" s="1"/>
      <c r="E297" s="1"/>
      <c r="F297" s="1"/>
      <c r="G297" s="18"/>
      <c r="H297" s="1"/>
      <c r="I297" s="1"/>
      <c r="J297" s="8"/>
      <c r="K297" s="8"/>
      <c r="L297" s="1"/>
      <c r="M297" s="1"/>
      <c r="N297" s="9"/>
      <c r="O297" s="10"/>
      <c r="P297" s="1"/>
      <c r="Q297" s="126"/>
      <c r="R297" s="1"/>
      <c r="S297" s="1"/>
      <c r="T297" s="1"/>
      <c r="U297" s="1"/>
    </row>
    <row r="298" spans="1:21" ht="15.75" customHeight="1">
      <c r="A298" s="1"/>
      <c r="B298" s="1"/>
      <c r="C298" s="1"/>
      <c r="D298" s="1"/>
      <c r="E298" s="1"/>
      <c r="F298" s="1"/>
      <c r="G298" s="18"/>
      <c r="H298" s="1"/>
      <c r="I298" s="1"/>
      <c r="J298" s="8"/>
      <c r="K298" s="8"/>
      <c r="L298" s="1"/>
      <c r="M298" s="1"/>
      <c r="N298" s="9"/>
      <c r="O298" s="10"/>
      <c r="P298" s="1"/>
      <c r="Q298" s="126"/>
      <c r="R298" s="1"/>
      <c r="S298" s="1"/>
      <c r="T298" s="1"/>
      <c r="U298" s="1"/>
    </row>
    <row r="299" spans="1:21" ht="15.75" customHeight="1">
      <c r="A299" s="1"/>
      <c r="B299" s="1"/>
      <c r="C299" s="1"/>
      <c r="D299" s="1"/>
      <c r="E299" s="1"/>
      <c r="F299" s="1"/>
      <c r="G299" s="18"/>
      <c r="H299" s="1"/>
      <c r="I299" s="1"/>
      <c r="J299" s="8"/>
      <c r="K299" s="8"/>
      <c r="L299" s="1"/>
      <c r="M299" s="1"/>
      <c r="N299" s="9"/>
      <c r="O299" s="10"/>
      <c r="P299" s="1"/>
      <c r="Q299" s="126"/>
      <c r="R299" s="1"/>
      <c r="S299" s="1"/>
      <c r="T299" s="1"/>
      <c r="U299" s="1"/>
    </row>
    <row r="300" spans="1:21" ht="15.75" customHeight="1">
      <c r="A300" s="1"/>
      <c r="B300" s="1"/>
      <c r="C300" s="1"/>
      <c r="D300" s="1"/>
      <c r="E300" s="1"/>
      <c r="F300" s="1"/>
      <c r="G300" s="18"/>
      <c r="H300" s="1"/>
      <c r="I300" s="1"/>
      <c r="J300" s="8"/>
      <c r="K300" s="8"/>
      <c r="L300" s="1"/>
      <c r="M300" s="1"/>
      <c r="N300" s="9"/>
      <c r="O300" s="10"/>
      <c r="P300" s="1"/>
      <c r="Q300" s="126"/>
      <c r="R300" s="1"/>
      <c r="S300" s="1"/>
      <c r="T300" s="1"/>
      <c r="U300" s="1"/>
    </row>
    <row r="301" spans="1:21" ht="15.75" customHeight="1">
      <c r="A301" s="1"/>
      <c r="B301" s="1"/>
      <c r="C301" s="1"/>
      <c r="D301" s="1"/>
      <c r="E301" s="1"/>
      <c r="F301" s="1"/>
      <c r="G301" s="18"/>
      <c r="H301" s="1"/>
      <c r="I301" s="1"/>
      <c r="J301" s="8"/>
      <c r="K301" s="8"/>
      <c r="L301" s="1"/>
      <c r="M301" s="1"/>
      <c r="N301" s="9"/>
      <c r="O301" s="10"/>
      <c r="P301" s="1"/>
      <c r="Q301" s="126"/>
      <c r="R301" s="1"/>
      <c r="S301" s="1"/>
      <c r="T301" s="1"/>
      <c r="U301" s="1"/>
    </row>
    <row r="302" spans="1:21" ht="15.75" customHeight="1">
      <c r="A302" s="1"/>
      <c r="B302" s="1"/>
      <c r="C302" s="1"/>
      <c r="D302" s="1"/>
      <c r="E302" s="1"/>
      <c r="F302" s="1"/>
      <c r="G302" s="18"/>
      <c r="H302" s="1"/>
      <c r="I302" s="1"/>
      <c r="J302" s="8"/>
      <c r="K302" s="8"/>
      <c r="L302" s="1"/>
      <c r="M302" s="1"/>
      <c r="N302" s="9"/>
      <c r="O302" s="10"/>
      <c r="P302" s="1"/>
      <c r="Q302" s="126"/>
      <c r="R302" s="1"/>
      <c r="S302" s="1"/>
      <c r="T302" s="1"/>
      <c r="U302" s="1"/>
    </row>
    <row r="303" spans="1:21" ht="15.75" customHeight="1">
      <c r="A303" s="1"/>
      <c r="B303" s="1"/>
      <c r="C303" s="1"/>
      <c r="D303" s="1"/>
      <c r="E303" s="1"/>
      <c r="F303" s="1"/>
      <c r="G303" s="18"/>
      <c r="H303" s="1"/>
      <c r="I303" s="1"/>
      <c r="J303" s="8"/>
      <c r="K303" s="8"/>
      <c r="L303" s="1"/>
      <c r="M303" s="1"/>
      <c r="N303" s="9"/>
      <c r="O303" s="10"/>
      <c r="P303" s="1"/>
      <c r="Q303" s="126"/>
      <c r="R303" s="1"/>
      <c r="S303" s="1"/>
      <c r="T303" s="1"/>
      <c r="U303" s="1"/>
    </row>
    <row r="304" spans="1:21" ht="15.75" customHeight="1">
      <c r="A304" s="1"/>
      <c r="B304" s="1"/>
      <c r="C304" s="1"/>
      <c r="D304" s="1"/>
      <c r="E304" s="1"/>
      <c r="F304" s="1"/>
      <c r="G304" s="18"/>
      <c r="H304" s="1"/>
      <c r="I304" s="1"/>
      <c r="J304" s="8"/>
      <c r="K304" s="8"/>
      <c r="L304" s="1"/>
      <c r="M304" s="1"/>
      <c r="N304" s="9"/>
      <c r="O304" s="10"/>
      <c r="P304" s="1"/>
      <c r="Q304" s="126"/>
      <c r="R304" s="1"/>
      <c r="S304" s="1"/>
      <c r="T304" s="1"/>
      <c r="U304" s="1"/>
    </row>
    <row r="305" spans="1:21" ht="15.75" customHeight="1">
      <c r="A305" s="1"/>
      <c r="B305" s="1"/>
      <c r="C305" s="1"/>
      <c r="D305" s="1"/>
      <c r="E305" s="1"/>
      <c r="F305" s="1"/>
      <c r="G305" s="18"/>
      <c r="H305" s="1"/>
      <c r="I305" s="1"/>
      <c r="J305" s="8"/>
      <c r="K305" s="8"/>
      <c r="L305" s="1"/>
      <c r="M305" s="1"/>
      <c r="N305" s="9"/>
      <c r="O305" s="10"/>
      <c r="P305" s="1"/>
      <c r="Q305" s="126"/>
      <c r="R305" s="1"/>
      <c r="S305" s="1"/>
      <c r="T305" s="1"/>
      <c r="U305" s="1"/>
    </row>
    <row r="306" spans="1:21" ht="15.75" customHeight="1">
      <c r="A306" s="1"/>
      <c r="B306" s="1"/>
      <c r="C306" s="1"/>
      <c r="D306" s="1"/>
      <c r="E306" s="1"/>
      <c r="F306" s="1"/>
      <c r="G306" s="18"/>
      <c r="H306" s="1"/>
      <c r="I306" s="1"/>
      <c r="J306" s="8"/>
      <c r="K306" s="8"/>
      <c r="L306" s="1"/>
      <c r="M306" s="1"/>
      <c r="N306" s="9"/>
      <c r="O306" s="10"/>
      <c r="P306" s="1"/>
      <c r="Q306" s="126"/>
      <c r="R306" s="1"/>
      <c r="S306" s="1"/>
      <c r="T306" s="1"/>
      <c r="U306" s="1"/>
    </row>
    <row r="307" spans="1:21" ht="15.75" customHeight="1">
      <c r="A307" s="1"/>
      <c r="B307" s="1"/>
      <c r="C307" s="1"/>
      <c r="D307" s="1"/>
      <c r="E307" s="1"/>
      <c r="F307" s="1"/>
      <c r="G307" s="18"/>
      <c r="H307" s="1"/>
      <c r="I307" s="1"/>
      <c r="J307" s="8"/>
      <c r="K307" s="8"/>
      <c r="L307" s="1"/>
      <c r="M307" s="1"/>
      <c r="N307" s="9"/>
      <c r="O307" s="10"/>
      <c r="P307" s="1"/>
      <c r="Q307" s="126"/>
      <c r="R307" s="1"/>
      <c r="S307" s="1"/>
      <c r="T307" s="1"/>
      <c r="U307" s="1"/>
    </row>
    <row r="308" spans="1:21" ht="15.75" customHeight="1">
      <c r="A308" s="1"/>
      <c r="B308" s="1"/>
      <c r="C308" s="1"/>
      <c r="D308" s="1"/>
      <c r="E308" s="1"/>
      <c r="F308" s="1"/>
      <c r="G308" s="18"/>
      <c r="H308" s="1"/>
      <c r="I308" s="1"/>
      <c r="J308" s="8"/>
      <c r="K308" s="8"/>
      <c r="L308" s="1"/>
      <c r="M308" s="1"/>
      <c r="N308" s="9"/>
      <c r="O308" s="10"/>
      <c r="P308" s="1"/>
      <c r="Q308" s="126"/>
      <c r="R308" s="1"/>
      <c r="S308" s="1"/>
      <c r="T308" s="1"/>
      <c r="U308" s="1"/>
    </row>
    <row r="309" spans="1:21" ht="15.75" customHeight="1">
      <c r="A309" s="1"/>
      <c r="B309" s="1"/>
      <c r="C309" s="1"/>
      <c r="D309" s="1"/>
      <c r="E309" s="1"/>
      <c r="F309" s="1"/>
      <c r="G309" s="18"/>
      <c r="H309" s="1"/>
      <c r="I309" s="1"/>
      <c r="J309" s="8"/>
      <c r="K309" s="8"/>
      <c r="L309" s="1"/>
      <c r="M309" s="1"/>
      <c r="N309" s="9"/>
      <c r="O309" s="10"/>
      <c r="P309" s="1"/>
      <c r="Q309" s="126"/>
      <c r="R309" s="1"/>
      <c r="S309" s="1"/>
      <c r="T309" s="1"/>
      <c r="U309" s="1"/>
    </row>
    <row r="310" spans="1:21" ht="15.75" customHeight="1">
      <c r="A310" s="1"/>
      <c r="B310" s="1"/>
      <c r="C310" s="1"/>
      <c r="D310" s="1"/>
      <c r="E310" s="1"/>
      <c r="F310" s="1"/>
      <c r="G310" s="18"/>
      <c r="H310" s="1"/>
      <c r="I310" s="1"/>
      <c r="J310" s="8"/>
      <c r="K310" s="8"/>
      <c r="L310" s="1"/>
      <c r="M310" s="1"/>
      <c r="N310" s="9"/>
      <c r="O310" s="10"/>
      <c r="P310" s="1"/>
      <c r="Q310" s="126"/>
      <c r="R310" s="1"/>
      <c r="S310" s="1"/>
      <c r="T310" s="1"/>
      <c r="U310" s="1"/>
    </row>
    <row r="311" spans="1:21" ht="15.75" customHeight="1">
      <c r="A311" s="1"/>
      <c r="B311" s="1"/>
      <c r="C311" s="1"/>
      <c r="D311" s="1"/>
      <c r="E311" s="1"/>
      <c r="F311" s="1"/>
      <c r="G311" s="18"/>
      <c r="H311" s="1"/>
      <c r="I311" s="1"/>
      <c r="J311" s="8"/>
      <c r="K311" s="8"/>
      <c r="L311" s="1"/>
      <c r="M311" s="1"/>
      <c r="N311" s="9"/>
      <c r="O311" s="10"/>
      <c r="P311" s="1"/>
      <c r="Q311" s="126"/>
      <c r="R311" s="1"/>
      <c r="S311" s="1"/>
      <c r="T311" s="1"/>
      <c r="U311" s="1"/>
    </row>
    <row r="312" spans="1:21" ht="15.75" customHeight="1">
      <c r="A312" s="1"/>
      <c r="B312" s="1"/>
      <c r="C312" s="1"/>
      <c r="D312" s="1"/>
      <c r="E312" s="1"/>
      <c r="F312" s="1"/>
      <c r="G312" s="18"/>
      <c r="H312" s="1"/>
      <c r="I312" s="1"/>
      <c r="J312" s="8"/>
      <c r="K312" s="8"/>
      <c r="L312" s="1"/>
      <c r="M312" s="1"/>
      <c r="N312" s="9"/>
      <c r="O312" s="10"/>
      <c r="P312" s="1"/>
      <c r="Q312" s="126"/>
      <c r="R312" s="1"/>
      <c r="S312" s="1"/>
      <c r="T312" s="1"/>
      <c r="U312" s="1"/>
    </row>
    <row r="313" spans="1:21" ht="15.75" customHeight="1">
      <c r="A313" s="1"/>
      <c r="B313" s="1"/>
      <c r="C313" s="1"/>
      <c r="D313" s="1"/>
      <c r="E313" s="1"/>
      <c r="F313" s="1"/>
      <c r="G313" s="18"/>
      <c r="H313" s="1"/>
      <c r="I313" s="1"/>
      <c r="J313" s="8"/>
      <c r="K313" s="8"/>
      <c r="L313" s="1"/>
      <c r="M313" s="1"/>
      <c r="N313" s="9"/>
      <c r="O313" s="10"/>
      <c r="P313" s="1"/>
      <c r="Q313" s="126"/>
      <c r="R313" s="1"/>
      <c r="S313" s="1"/>
      <c r="T313" s="1"/>
      <c r="U313" s="1"/>
    </row>
    <row r="314" spans="1:21" ht="15.75" customHeight="1">
      <c r="A314" s="1"/>
      <c r="B314" s="1"/>
      <c r="C314" s="1"/>
      <c r="D314" s="1"/>
      <c r="E314" s="1"/>
      <c r="F314" s="1"/>
      <c r="G314" s="18"/>
      <c r="H314" s="1"/>
      <c r="I314" s="1"/>
      <c r="J314" s="8"/>
      <c r="K314" s="8"/>
      <c r="L314" s="1"/>
      <c r="M314" s="1"/>
      <c r="N314" s="9"/>
      <c r="O314" s="10"/>
      <c r="P314" s="1"/>
      <c r="Q314" s="126"/>
      <c r="R314" s="1"/>
      <c r="S314" s="1"/>
      <c r="T314" s="1"/>
      <c r="U314" s="1"/>
    </row>
    <row r="315" spans="1:21" ht="15.75" customHeight="1">
      <c r="O315" s="92"/>
      <c r="Q315" s="147"/>
    </row>
    <row r="316" spans="1:21" ht="15.75" customHeight="1">
      <c r="O316" s="92"/>
      <c r="Q316" s="147"/>
    </row>
    <row r="317" spans="1:21" ht="15.75" customHeight="1">
      <c r="O317" s="92"/>
      <c r="Q317" s="147"/>
    </row>
    <row r="318" spans="1:21" ht="15.75" customHeight="1">
      <c r="O318" s="92"/>
      <c r="Q318" s="147"/>
    </row>
    <row r="319" spans="1:21" ht="15.75" customHeight="1">
      <c r="O319" s="92"/>
      <c r="Q319" s="147"/>
    </row>
    <row r="320" spans="1:21" ht="15.75" customHeight="1">
      <c r="O320" s="92"/>
      <c r="Q320" s="147"/>
    </row>
    <row r="321" spans="15:17" ht="15.75" customHeight="1">
      <c r="O321" s="92"/>
      <c r="Q321" s="147"/>
    </row>
    <row r="322" spans="15:17" ht="15.75" customHeight="1">
      <c r="O322" s="92"/>
      <c r="Q322" s="147"/>
    </row>
    <row r="323" spans="15:17" ht="15.75" customHeight="1">
      <c r="O323" s="92"/>
      <c r="Q323" s="147"/>
    </row>
    <row r="324" spans="15:17" ht="15.75" customHeight="1">
      <c r="O324" s="92"/>
      <c r="Q324" s="147"/>
    </row>
    <row r="325" spans="15:17" ht="15.75" customHeight="1">
      <c r="O325" s="92"/>
      <c r="Q325" s="147"/>
    </row>
    <row r="326" spans="15:17" ht="15.75" customHeight="1">
      <c r="O326" s="92"/>
      <c r="Q326" s="147"/>
    </row>
    <row r="327" spans="15:17" ht="15.75" customHeight="1">
      <c r="O327" s="92"/>
      <c r="Q327" s="147"/>
    </row>
    <row r="328" spans="15:17" ht="15.75" customHeight="1">
      <c r="O328" s="92"/>
      <c r="Q328" s="147"/>
    </row>
    <row r="329" spans="15:17" ht="15.75" customHeight="1">
      <c r="O329" s="92"/>
      <c r="Q329" s="147"/>
    </row>
    <row r="330" spans="15:17" ht="15.75" customHeight="1">
      <c r="O330" s="92"/>
      <c r="Q330" s="147"/>
    </row>
    <row r="331" spans="15:17" ht="15.75" customHeight="1">
      <c r="O331" s="92"/>
      <c r="Q331" s="147"/>
    </row>
    <row r="332" spans="15:17" ht="15.75" customHeight="1">
      <c r="O332" s="92"/>
      <c r="Q332" s="147"/>
    </row>
    <row r="333" spans="15:17" ht="15.75" customHeight="1">
      <c r="O333" s="92"/>
      <c r="Q333" s="147"/>
    </row>
    <row r="334" spans="15:17" ht="15.75" customHeight="1">
      <c r="O334" s="92"/>
      <c r="Q334" s="147"/>
    </row>
    <row r="335" spans="15:17" ht="15.75" customHeight="1">
      <c r="O335" s="92"/>
      <c r="Q335" s="147"/>
    </row>
    <row r="336" spans="15:17" ht="15.75" customHeight="1">
      <c r="O336" s="92"/>
      <c r="Q336" s="147"/>
    </row>
    <row r="337" spans="15:17" ht="15.75" customHeight="1">
      <c r="O337" s="92"/>
      <c r="Q337" s="147"/>
    </row>
    <row r="338" spans="15:17" ht="15.75" customHeight="1">
      <c r="O338" s="92"/>
      <c r="Q338" s="147"/>
    </row>
    <row r="339" spans="15:17" ht="15.75" customHeight="1">
      <c r="O339" s="92"/>
      <c r="Q339" s="147"/>
    </row>
    <row r="340" spans="15:17" ht="15.75" customHeight="1">
      <c r="O340" s="92"/>
      <c r="Q340" s="147"/>
    </row>
    <row r="341" spans="15:17" ht="15.75" customHeight="1">
      <c r="O341" s="92"/>
      <c r="Q341" s="147"/>
    </row>
    <row r="342" spans="15:17" ht="15.75" customHeight="1">
      <c r="O342" s="92"/>
      <c r="Q342" s="147"/>
    </row>
    <row r="343" spans="15:17" ht="15.75" customHeight="1">
      <c r="O343" s="92"/>
      <c r="Q343" s="147"/>
    </row>
    <row r="344" spans="15:17" ht="15.75" customHeight="1">
      <c r="O344" s="92"/>
      <c r="Q344" s="147"/>
    </row>
    <row r="345" spans="15:17" ht="15.75" customHeight="1">
      <c r="O345" s="92"/>
      <c r="Q345" s="147"/>
    </row>
    <row r="346" spans="15:17" ht="15.75" customHeight="1">
      <c r="O346" s="92"/>
      <c r="Q346" s="147"/>
    </row>
    <row r="347" spans="15:17" ht="15.75" customHeight="1">
      <c r="O347" s="92"/>
      <c r="Q347" s="147"/>
    </row>
    <row r="348" spans="15:17" ht="15.75" customHeight="1">
      <c r="O348" s="92"/>
      <c r="Q348" s="147"/>
    </row>
    <row r="349" spans="15:17" ht="15.75" customHeight="1">
      <c r="O349" s="92"/>
      <c r="Q349" s="147"/>
    </row>
    <row r="350" spans="15:17" ht="15.75" customHeight="1">
      <c r="O350" s="92"/>
      <c r="Q350" s="147"/>
    </row>
    <row r="351" spans="15:17" ht="15.75" customHeight="1">
      <c r="O351" s="92"/>
      <c r="Q351" s="147"/>
    </row>
    <row r="352" spans="15:17" ht="15.75" customHeight="1">
      <c r="O352" s="92"/>
      <c r="Q352" s="147"/>
    </row>
    <row r="353" spans="15:17" ht="15.75" customHeight="1">
      <c r="O353" s="92"/>
      <c r="Q353" s="147"/>
    </row>
    <row r="354" spans="15:17" ht="15.75" customHeight="1">
      <c r="O354" s="92"/>
      <c r="Q354" s="147"/>
    </row>
    <row r="355" spans="15:17" ht="15.75" customHeight="1">
      <c r="O355" s="92"/>
      <c r="Q355" s="147"/>
    </row>
    <row r="356" spans="15:17" ht="15.75" customHeight="1">
      <c r="O356" s="92"/>
      <c r="Q356" s="147"/>
    </row>
    <row r="357" spans="15:17" ht="15.75" customHeight="1">
      <c r="O357" s="92"/>
      <c r="Q357" s="147"/>
    </row>
    <row r="358" spans="15:17" ht="15.75" customHeight="1">
      <c r="O358" s="92"/>
      <c r="Q358" s="147"/>
    </row>
    <row r="359" spans="15:17" ht="15.75" customHeight="1">
      <c r="O359" s="92"/>
      <c r="Q359" s="147"/>
    </row>
    <row r="360" spans="15:17" ht="15.75" customHeight="1">
      <c r="O360" s="92"/>
      <c r="Q360" s="147"/>
    </row>
    <row r="361" spans="15:17" ht="15.75" customHeight="1">
      <c r="O361" s="92"/>
      <c r="Q361" s="147"/>
    </row>
    <row r="362" spans="15:17" ht="15.75" customHeight="1">
      <c r="O362" s="92"/>
      <c r="Q362" s="147"/>
    </row>
    <row r="363" spans="15:17" ht="15.75" customHeight="1">
      <c r="O363" s="92"/>
      <c r="Q363" s="147"/>
    </row>
    <row r="364" spans="15:17" ht="15.75" customHeight="1">
      <c r="O364" s="92"/>
      <c r="Q364" s="147"/>
    </row>
    <row r="365" spans="15:17" ht="15.75" customHeight="1">
      <c r="O365" s="92"/>
      <c r="Q365" s="147"/>
    </row>
    <row r="366" spans="15:17" ht="15.75" customHeight="1">
      <c r="O366" s="92"/>
      <c r="Q366" s="147"/>
    </row>
    <row r="367" spans="15:17" ht="15.75" customHeight="1">
      <c r="O367" s="92"/>
      <c r="Q367" s="147"/>
    </row>
    <row r="368" spans="15:17" ht="15.75" customHeight="1">
      <c r="O368" s="92"/>
      <c r="Q368" s="147"/>
    </row>
    <row r="369" spans="15:17" ht="15.75" customHeight="1">
      <c r="O369" s="92"/>
      <c r="Q369" s="147"/>
    </row>
    <row r="370" spans="15:17" ht="15.75" customHeight="1">
      <c r="O370" s="92"/>
      <c r="Q370" s="147"/>
    </row>
    <row r="371" spans="15:17" ht="15.75" customHeight="1">
      <c r="O371" s="92"/>
      <c r="Q371" s="147"/>
    </row>
    <row r="372" spans="15:17" ht="15.75" customHeight="1">
      <c r="O372" s="92"/>
      <c r="Q372" s="147"/>
    </row>
    <row r="373" spans="15:17" ht="15.75" customHeight="1">
      <c r="O373" s="92"/>
      <c r="Q373" s="147"/>
    </row>
    <row r="374" spans="15:17" ht="15.75" customHeight="1">
      <c r="O374" s="92"/>
      <c r="Q374" s="147"/>
    </row>
    <row r="375" spans="15:17" ht="15.75" customHeight="1">
      <c r="O375" s="92"/>
      <c r="Q375" s="147"/>
    </row>
    <row r="376" spans="15:17" ht="15.75" customHeight="1">
      <c r="O376" s="92"/>
      <c r="Q376" s="147"/>
    </row>
    <row r="377" spans="15:17" ht="15.75" customHeight="1">
      <c r="O377" s="92"/>
      <c r="Q377" s="147"/>
    </row>
    <row r="378" spans="15:17" ht="15.75" customHeight="1">
      <c r="O378" s="92"/>
      <c r="Q378" s="147"/>
    </row>
    <row r="379" spans="15:17" ht="15.75" customHeight="1">
      <c r="O379" s="92"/>
      <c r="Q379" s="147"/>
    </row>
    <row r="380" spans="15:17" ht="15.75" customHeight="1">
      <c r="O380" s="92"/>
      <c r="Q380" s="147"/>
    </row>
    <row r="381" spans="15:17" ht="15.75" customHeight="1">
      <c r="O381" s="92"/>
      <c r="Q381" s="147"/>
    </row>
    <row r="382" spans="15:17" ht="15.75" customHeight="1">
      <c r="O382" s="92"/>
      <c r="Q382" s="147"/>
    </row>
    <row r="383" spans="15:17" ht="15.75" customHeight="1">
      <c r="O383" s="92"/>
      <c r="Q383" s="147"/>
    </row>
    <row r="384" spans="15:17" ht="15.75" customHeight="1">
      <c r="O384" s="92"/>
      <c r="Q384" s="147"/>
    </row>
    <row r="385" spans="15:17" ht="15.75" customHeight="1">
      <c r="O385" s="92"/>
      <c r="Q385" s="147"/>
    </row>
    <row r="386" spans="15:17" ht="15.75" customHeight="1">
      <c r="O386" s="92"/>
      <c r="Q386" s="147"/>
    </row>
    <row r="387" spans="15:17" ht="15.75" customHeight="1">
      <c r="O387" s="92"/>
      <c r="Q387" s="147"/>
    </row>
    <row r="388" spans="15:17" ht="15.75" customHeight="1">
      <c r="O388" s="92"/>
      <c r="Q388" s="147"/>
    </row>
    <row r="389" spans="15:17" ht="15.75" customHeight="1">
      <c r="O389" s="92"/>
      <c r="Q389" s="147"/>
    </row>
    <row r="390" spans="15:17" ht="15.75" customHeight="1">
      <c r="O390" s="92"/>
      <c r="Q390" s="147"/>
    </row>
    <row r="391" spans="15:17" ht="15.75" customHeight="1">
      <c r="O391" s="92"/>
      <c r="Q391" s="147"/>
    </row>
    <row r="392" spans="15:17" ht="15.75" customHeight="1">
      <c r="O392" s="92"/>
      <c r="Q392" s="147"/>
    </row>
    <row r="393" spans="15:17" ht="15.75" customHeight="1">
      <c r="O393" s="92"/>
      <c r="Q393" s="147"/>
    </row>
    <row r="394" spans="15:17" ht="15.75" customHeight="1">
      <c r="O394" s="92"/>
      <c r="Q394" s="147"/>
    </row>
    <row r="395" spans="15:17" ht="15.75" customHeight="1">
      <c r="O395" s="92"/>
      <c r="Q395" s="147"/>
    </row>
    <row r="396" spans="15:17" ht="15.75" customHeight="1">
      <c r="O396" s="92"/>
      <c r="Q396" s="147"/>
    </row>
    <row r="397" spans="15:17" ht="15.75" customHeight="1">
      <c r="O397" s="92"/>
      <c r="Q397" s="147"/>
    </row>
    <row r="398" spans="15:17" ht="15.75" customHeight="1">
      <c r="O398" s="92"/>
      <c r="Q398" s="147"/>
    </row>
    <row r="399" spans="15:17" ht="15.75" customHeight="1">
      <c r="O399" s="92"/>
      <c r="Q399" s="147"/>
    </row>
    <row r="400" spans="15:17" ht="15.75" customHeight="1">
      <c r="O400" s="92"/>
      <c r="Q400" s="147"/>
    </row>
    <row r="401" spans="15:17" ht="15.75" customHeight="1">
      <c r="O401" s="92"/>
      <c r="Q401" s="147"/>
    </row>
    <row r="402" spans="15:17" ht="15.75" customHeight="1">
      <c r="O402" s="92"/>
      <c r="Q402" s="147"/>
    </row>
    <row r="403" spans="15:17" ht="15.75" customHeight="1">
      <c r="O403" s="92"/>
      <c r="Q403" s="147"/>
    </row>
    <row r="404" spans="15:17" ht="15.75" customHeight="1">
      <c r="O404" s="92"/>
      <c r="Q404" s="147"/>
    </row>
    <row r="405" spans="15:17" ht="15.75" customHeight="1">
      <c r="O405" s="92"/>
      <c r="Q405" s="147"/>
    </row>
    <row r="406" spans="15:17" ht="15.75" customHeight="1">
      <c r="O406" s="92"/>
      <c r="Q406" s="147"/>
    </row>
    <row r="407" spans="15:17" ht="15.75" customHeight="1">
      <c r="O407" s="92"/>
      <c r="Q407" s="147"/>
    </row>
    <row r="408" spans="15:17" ht="15.75" customHeight="1">
      <c r="O408" s="92"/>
      <c r="Q408" s="147"/>
    </row>
    <row r="409" spans="15:17" ht="15.75" customHeight="1">
      <c r="O409" s="92"/>
      <c r="Q409" s="147"/>
    </row>
    <row r="410" spans="15:17" ht="15.75" customHeight="1">
      <c r="O410" s="92"/>
      <c r="Q410" s="147"/>
    </row>
    <row r="411" spans="15:17" ht="15.75" customHeight="1">
      <c r="O411" s="92"/>
      <c r="Q411" s="147"/>
    </row>
    <row r="412" spans="15:17" ht="15.75" customHeight="1">
      <c r="O412" s="92"/>
      <c r="Q412" s="147"/>
    </row>
    <row r="413" spans="15:17" ht="15.75" customHeight="1">
      <c r="O413" s="92"/>
      <c r="Q413" s="147"/>
    </row>
    <row r="414" spans="15:17" ht="15.75" customHeight="1">
      <c r="O414" s="92"/>
      <c r="Q414" s="147"/>
    </row>
    <row r="415" spans="15:17" ht="15.75" customHeight="1">
      <c r="O415" s="92"/>
      <c r="Q415" s="147"/>
    </row>
    <row r="416" spans="15:17" ht="15.75" customHeight="1">
      <c r="O416" s="92"/>
      <c r="Q416" s="147"/>
    </row>
    <row r="417" spans="15:17" ht="15.75" customHeight="1">
      <c r="O417" s="92"/>
      <c r="Q417" s="147"/>
    </row>
    <row r="418" spans="15:17" ht="15.75" customHeight="1">
      <c r="O418" s="92"/>
      <c r="Q418" s="147"/>
    </row>
    <row r="419" spans="15:17" ht="15.75" customHeight="1">
      <c r="O419" s="92"/>
      <c r="Q419" s="147"/>
    </row>
    <row r="420" spans="15:17" ht="15.75" customHeight="1">
      <c r="O420" s="92"/>
      <c r="Q420" s="147"/>
    </row>
    <row r="421" spans="15:17" ht="15.75" customHeight="1">
      <c r="O421" s="92"/>
      <c r="Q421" s="147"/>
    </row>
    <row r="422" spans="15:17" ht="15.75" customHeight="1">
      <c r="O422" s="92"/>
      <c r="Q422" s="147"/>
    </row>
    <row r="423" spans="15:17" ht="15.75" customHeight="1">
      <c r="O423" s="92"/>
      <c r="Q423" s="147"/>
    </row>
    <row r="424" spans="15:17" ht="15.75" customHeight="1">
      <c r="O424" s="92"/>
      <c r="Q424" s="147"/>
    </row>
    <row r="425" spans="15:17" ht="15.75" customHeight="1">
      <c r="O425" s="92"/>
      <c r="Q425" s="147"/>
    </row>
    <row r="426" spans="15:17" ht="15.75" customHeight="1">
      <c r="O426" s="92"/>
      <c r="Q426" s="147"/>
    </row>
    <row r="427" spans="15:17" ht="15.75" customHeight="1">
      <c r="O427" s="92"/>
      <c r="Q427" s="147"/>
    </row>
    <row r="428" spans="15:17" ht="15.75" customHeight="1">
      <c r="O428" s="92"/>
      <c r="Q428" s="147"/>
    </row>
    <row r="429" spans="15:17" ht="15.75" customHeight="1">
      <c r="O429" s="92"/>
      <c r="Q429" s="147"/>
    </row>
    <row r="430" spans="15:17" ht="15.75" customHeight="1">
      <c r="O430" s="92"/>
      <c r="Q430" s="147"/>
    </row>
    <row r="431" spans="15:17" ht="15.75" customHeight="1">
      <c r="O431" s="92"/>
      <c r="Q431" s="147"/>
    </row>
    <row r="432" spans="15:17" ht="15.75" customHeight="1">
      <c r="O432" s="92"/>
      <c r="Q432" s="147"/>
    </row>
    <row r="433" spans="15:17" ht="15.75" customHeight="1">
      <c r="O433" s="92"/>
      <c r="Q433" s="147"/>
    </row>
    <row r="434" spans="15:17" ht="15.75" customHeight="1">
      <c r="O434" s="92"/>
      <c r="Q434" s="147"/>
    </row>
    <row r="435" spans="15:17" ht="15.75" customHeight="1">
      <c r="O435" s="92"/>
      <c r="Q435" s="147"/>
    </row>
    <row r="436" spans="15:17" ht="15.75" customHeight="1">
      <c r="O436" s="92"/>
      <c r="Q436" s="147"/>
    </row>
    <row r="437" spans="15:17" ht="15.75" customHeight="1">
      <c r="O437" s="92"/>
      <c r="Q437" s="147"/>
    </row>
    <row r="438" spans="15:17" ht="15.75" customHeight="1">
      <c r="O438" s="92"/>
      <c r="Q438" s="147"/>
    </row>
    <row r="439" spans="15:17" ht="15.75" customHeight="1">
      <c r="O439" s="92"/>
      <c r="Q439" s="147"/>
    </row>
    <row r="440" spans="15:17" ht="15.75" customHeight="1">
      <c r="O440" s="92"/>
      <c r="Q440" s="147"/>
    </row>
    <row r="441" spans="15:17" ht="15.75" customHeight="1">
      <c r="O441" s="92"/>
      <c r="Q441" s="147"/>
    </row>
    <row r="442" spans="15:17" ht="15.75" customHeight="1">
      <c r="O442" s="92"/>
      <c r="Q442" s="147"/>
    </row>
    <row r="443" spans="15:17" ht="15.75" customHeight="1">
      <c r="O443" s="92"/>
      <c r="Q443" s="147"/>
    </row>
    <row r="444" spans="15:17" ht="15.75" customHeight="1">
      <c r="O444" s="92"/>
      <c r="Q444" s="147"/>
    </row>
    <row r="445" spans="15:17" ht="15.75" customHeight="1">
      <c r="O445" s="92"/>
      <c r="Q445" s="147"/>
    </row>
    <row r="446" spans="15:17" ht="15.75" customHeight="1">
      <c r="O446" s="92"/>
      <c r="Q446" s="147"/>
    </row>
    <row r="447" spans="15:17" ht="15.75" customHeight="1">
      <c r="O447" s="92"/>
      <c r="Q447" s="147"/>
    </row>
    <row r="448" spans="15:17" ht="15.75" customHeight="1">
      <c r="O448" s="92"/>
      <c r="Q448" s="147"/>
    </row>
    <row r="449" spans="15:17" ht="15.75" customHeight="1">
      <c r="O449" s="92"/>
      <c r="Q449" s="147"/>
    </row>
    <row r="450" spans="15:17" ht="15.75" customHeight="1">
      <c r="O450" s="92"/>
      <c r="Q450" s="147"/>
    </row>
    <row r="451" spans="15:17" ht="15.75" customHeight="1">
      <c r="O451" s="92"/>
      <c r="Q451" s="147"/>
    </row>
    <row r="452" spans="15:17" ht="15.75" customHeight="1">
      <c r="O452" s="92"/>
      <c r="Q452" s="147"/>
    </row>
    <row r="453" spans="15:17" ht="15.75" customHeight="1">
      <c r="O453" s="92"/>
      <c r="Q453" s="147"/>
    </row>
    <row r="454" spans="15:17" ht="15.75" customHeight="1">
      <c r="O454" s="92"/>
      <c r="Q454" s="147"/>
    </row>
    <row r="455" spans="15:17" ht="15.75" customHeight="1">
      <c r="O455" s="92"/>
      <c r="Q455" s="147"/>
    </row>
    <row r="456" spans="15:17" ht="15.75" customHeight="1">
      <c r="O456" s="92"/>
      <c r="Q456" s="147"/>
    </row>
    <row r="457" spans="15:17" ht="15.75" customHeight="1">
      <c r="O457" s="92"/>
      <c r="Q457" s="147"/>
    </row>
    <row r="458" spans="15:17" ht="15.75" customHeight="1">
      <c r="O458" s="92"/>
      <c r="Q458" s="147"/>
    </row>
    <row r="459" spans="15:17" ht="15.75" customHeight="1">
      <c r="O459" s="92"/>
      <c r="Q459" s="147"/>
    </row>
    <row r="460" spans="15:17" ht="15.75" customHeight="1">
      <c r="O460" s="92"/>
      <c r="Q460" s="147"/>
    </row>
    <row r="461" spans="15:17" ht="15.75" customHeight="1">
      <c r="O461" s="92"/>
      <c r="Q461" s="147"/>
    </row>
    <row r="462" spans="15:17" ht="15.75" customHeight="1">
      <c r="O462" s="92"/>
      <c r="Q462" s="147"/>
    </row>
    <row r="463" spans="15:17" ht="15.75" customHeight="1">
      <c r="O463" s="92"/>
      <c r="Q463" s="147"/>
    </row>
    <row r="464" spans="15:17" ht="15.75" customHeight="1">
      <c r="O464" s="92"/>
      <c r="Q464" s="147"/>
    </row>
    <row r="465" spans="15:17" ht="15.75" customHeight="1">
      <c r="O465" s="92"/>
      <c r="Q465" s="147"/>
    </row>
    <row r="466" spans="15:17" ht="15.75" customHeight="1">
      <c r="O466" s="92"/>
      <c r="Q466" s="147"/>
    </row>
    <row r="467" spans="15:17" ht="15.75" customHeight="1">
      <c r="O467" s="92"/>
      <c r="Q467" s="147"/>
    </row>
    <row r="468" spans="15:17" ht="15.75" customHeight="1">
      <c r="O468" s="92"/>
      <c r="Q468" s="147"/>
    </row>
    <row r="469" spans="15:17" ht="15.75" customHeight="1">
      <c r="O469" s="92"/>
      <c r="Q469" s="147"/>
    </row>
    <row r="470" spans="15:17" ht="15.75" customHeight="1">
      <c r="O470" s="92"/>
      <c r="Q470" s="147"/>
    </row>
    <row r="471" spans="15:17" ht="15.75" customHeight="1">
      <c r="O471" s="92"/>
      <c r="Q471" s="147"/>
    </row>
    <row r="472" spans="15:17" ht="15.75" customHeight="1">
      <c r="O472" s="92"/>
      <c r="Q472" s="147"/>
    </row>
    <row r="473" spans="15:17" ht="15.75" customHeight="1">
      <c r="O473" s="92"/>
      <c r="Q473" s="147"/>
    </row>
    <row r="474" spans="15:17" ht="15.75" customHeight="1">
      <c r="O474" s="92"/>
      <c r="Q474" s="147"/>
    </row>
    <row r="475" spans="15:17" ht="15.75" customHeight="1">
      <c r="O475" s="92"/>
      <c r="Q475" s="147"/>
    </row>
    <row r="476" spans="15:17" ht="15.75" customHeight="1">
      <c r="O476" s="92"/>
      <c r="Q476" s="147"/>
    </row>
    <row r="477" spans="15:17" ht="15.75" customHeight="1">
      <c r="O477" s="92"/>
      <c r="Q477" s="147"/>
    </row>
    <row r="478" spans="15:17" ht="15.75" customHeight="1">
      <c r="O478" s="92"/>
      <c r="Q478" s="147"/>
    </row>
    <row r="479" spans="15:17" ht="15.75" customHeight="1">
      <c r="O479" s="92"/>
      <c r="Q479" s="147"/>
    </row>
    <row r="480" spans="15:17" ht="15.75" customHeight="1">
      <c r="O480" s="92"/>
      <c r="Q480" s="147"/>
    </row>
    <row r="481" spans="15:17" ht="15.75" customHeight="1">
      <c r="O481" s="92"/>
      <c r="Q481" s="147"/>
    </row>
    <row r="482" spans="15:17" ht="15.75" customHeight="1">
      <c r="O482" s="92"/>
      <c r="Q482" s="147"/>
    </row>
    <row r="483" spans="15:17" ht="15.75" customHeight="1">
      <c r="O483" s="92"/>
      <c r="Q483" s="147"/>
    </row>
    <row r="484" spans="15:17" ht="15.75" customHeight="1">
      <c r="O484" s="92"/>
      <c r="Q484" s="147"/>
    </row>
    <row r="485" spans="15:17" ht="15.75" customHeight="1">
      <c r="O485" s="92"/>
      <c r="Q485" s="147"/>
    </row>
    <row r="486" spans="15:17" ht="15.75" customHeight="1">
      <c r="O486" s="92"/>
      <c r="Q486" s="147"/>
    </row>
    <row r="487" spans="15:17" ht="15.75" customHeight="1">
      <c r="O487" s="92"/>
      <c r="Q487" s="147"/>
    </row>
    <row r="488" spans="15:17" ht="15.75" customHeight="1">
      <c r="O488" s="92"/>
      <c r="Q488" s="147"/>
    </row>
    <row r="489" spans="15:17" ht="15.75" customHeight="1">
      <c r="O489" s="92"/>
      <c r="Q489" s="147"/>
    </row>
    <row r="490" spans="15:17" ht="15.75" customHeight="1">
      <c r="O490" s="92"/>
      <c r="Q490" s="147"/>
    </row>
    <row r="491" spans="15:17" ht="15.75" customHeight="1">
      <c r="O491" s="92"/>
      <c r="Q491" s="147"/>
    </row>
    <row r="492" spans="15:17" ht="15.75" customHeight="1">
      <c r="O492" s="92"/>
      <c r="Q492" s="147"/>
    </row>
    <row r="493" spans="15:17" ht="15.75" customHeight="1">
      <c r="O493" s="92"/>
      <c r="Q493" s="147"/>
    </row>
    <row r="494" spans="15:17" ht="15.75" customHeight="1">
      <c r="O494" s="92"/>
      <c r="Q494" s="147"/>
    </row>
    <row r="495" spans="15:17" ht="15.75" customHeight="1">
      <c r="O495" s="92"/>
      <c r="Q495" s="147"/>
    </row>
    <row r="496" spans="15:17" ht="15.75" customHeight="1">
      <c r="O496" s="92"/>
      <c r="Q496" s="147"/>
    </row>
    <row r="497" spans="15:17" ht="15.75" customHeight="1">
      <c r="O497" s="92"/>
      <c r="Q497" s="147"/>
    </row>
    <row r="498" spans="15:17" ht="15.75" customHeight="1">
      <c r="O498" s="92"/>
      <c r="Q498" s="147"/>
    </row>
    <row r="499" spans="15:17" ht="15.75" customHeight="1">
      <c r="O499" s="92"/>
      <c r="Q499" s="147"/>
    </row>
    <row r="500" spans="15:17" ht="15.75" customHeight="1">
      <c r="O500" s="92"/>
      <c r="Q500" s="147"/>
    </row>
    <row r="501" spans="15:17" ht="15.75" customHeight="1">
      <c r="O501" s="92"/>
      <c r="Q501" s="147"/>
    </row>
    <row r="502" spans="15:17" ht="15.75" customHeight="1">
      <c r="O502" s="92"/>
      <c r="Q502" s="147"/>
    </row>
    <row r="503" spans="15:17" ht="15.75" customHeight="1">
      <c r="O503" s="92"/>
      <c r="Q503" s="147"/>
    </row>
    <row r="504" spans="15:17" ht="15.75" customHeight="1">
      <c r="O504" s="92"/>
      <c r="Q504" s="147"/>
    </row>
    <row r="505" spans="15:17" ht="15.75" customHeight="1">
      <c r="O505" s="92"/>
      <c r="Q505" s="147"/>
    </row>
    <row r="506" spans="15:17" ht="15.75" customHeight="1">
      <c r="O506" s="92"/>
      <c r="Q506" s="147"/>
    </row>
    <row r="507" spans="15:17" ht="15.75" customHeight="1">
      <c r="O507" s="92"/>
      <c r="Q507" s="147"/>
    </row>
    <row r="508" spans="15:17" ht="15.75" customHeight="1">
      <c r="O508" s="92"/>
      <c r="Q508" s="147"/>
    </row>
    <row r="509" spans="15:17" ht="15.75" customHeight="1">
      <c r="O509" s="92"/>
      <c r="Q509" s="147"/>
    </row>
    <row r="510" spans="15:17" ht="15.75" customHeight="1">
      <c r="O510" s="92"/>
      <c r="Q510" s="147"/>
    </row>
    <row r="511" spans="15:17" ht="15.75" customHeight="1">
      <c r="O511" s="92"/>
      <c r="Q511" s="147"/>
    </row>
    <row r="512" spans="15:17" ht="15.75" customHeight="1">
      <c r="O512" s="92"/>
      <c r="Q512" s="147"/>
    </row>
    <row r="513" spans="15:17" ht="15.75" customHeight="1">
      <c r="O513" s="92"/>
      <c r="Q513" s="147"/>
    </row>
    <row r="514" spans="15:17" ht="15.75" customHeight="1">
      <c r="O514" s="92"/>
      <c r="Q514" s="147"/>
    </row>
    <row r="515" spans="15:17" ht="15.75" customHeight="1">
      <c r="O515" s="92"/>
      <c r="Q515" s="147"/>
    </row>
    <row r="516" spans="15:17" ht="15.75" customHeight="1">
      <c r="O516" s="92"/>
      <c r="Q516" s="147"/>
    </row>
    <row r="517" spans="15:17" ht="15.75" customHeight="1">
      <c r="O517" s="92"/>
      <c r="Q517" s="147"/>
    </row>
    <row r="518" spans="15:17" ht="15.75" customHeight="1">
      <c r="O518" s="92"/>
      <c r="Q518" s="147"/>
    </row>
    <row r="519" spans="15:17" ht="15.75" customHeight="1">
      <c r="O519" s="92"/>
      <c r="Q519" s="147"/>
    </row>
    <row r="520" spans="15:17" ht="15.75" customHeight="1">
      <c r="O520" s="92"/>
      <c r="Q520" s="147"/>
    </row>
    <row r="521" spans="15:17" ht="15.75" customHeight="1">
      <c r="O521" s="92"/>
      <c r="Q521" s="147"/>
    </row>
    <row r="522" spans="15:17" ht="15.75" customHeight="1">
      <c r="O522" s="92"/>
      <c r="Q522" s="147"/>
    </row>
    <row r="523" spans="15:17" ht="15.75" customHeight="1">
      <c r="O523" s="92"/>
      <c r="Q523" s="147"/>
    </row>
    <row r="524" spans="15:17" ht="15.75" customHeight="1">
      <c r="O524" s="92"/>
      <c r="Q524" s="147"/>
    </row>
    <row r="525" spans="15:17" ht="15.75" customHeight="1">
      <c r="O525" s="92"/>
      <c r="Q525" s="147"/>
    </row>
    <row r="526" spans="15:17" ht="15.75" customHeight="1">
      <c r="O526" s="92"/>
      <c r="Q526" s="147"/>
    </row>
    <row r="527" spans="15:17" ht="15.75" customHeight="1">
      <c r="O527" s="92"/>
      <c r="Q527" s="147"/>
    </row>
    <row r="528" spans="15:17" ht="15.75" customHeight="1">
      <c r="O528" s="92"/>
      <c r="Q528" s="147"/>
    </row>
    <row r="529" spans="15:17" ht="15.75" customHeight="1">
      <c r="O529" s="92"/>
      <c r="Q529" s="147"/>
    </row>
    <row r="530" spans="15:17" ht="15.75" customHeight="1">
      <c r="O530" s="92"/>
      <c r="Q530" s="147"/>
    </row>
    <row r="531" spans="15:17" ht="15.75" customHeight="1">
      <c r="O531" s="92"/>
      <c r="Q531" s="147"/>
    </row>
    <row r="532" spans="15:17" ht="15.75" customHeight="1">
      <c r="O532" s="92"/>
      <c r="Q532" s="147"/>
    </row>
    <row r="533" spans="15:17" ht="15.75" customHeight="1">
      <c r="O533" s="92"/>
      <c r="Q533" s="147"/>
    </row>
    <row r="534" spans="15:17" ht="15.75" customHeight="1">
      <c r="O534" s="92"/>
      <c r="Q534" s="147"/>
    </row>
    <row r="535" spans="15:17" ht="15.75" customHeight="1">
      <c r="O535" s="92"/>
      <c r="Q535" s="147"/>
    </row>
    <row r="536" spans="15:17" ht="15.75" customHeight="1">
      <c r="O536" s="92"/>
      <c r="Q536" s="147"/>
    </row>
    <row r="537" spans="15:17" ht="15.75" customHeight="1">
      <c r="O537" s="92"/>
      <c r="Q537" s="147"/>
    </row>
    <row r="538" spans="15:17" ht="15.75" customHeight="1">
      <c r="O538" s="92"/>
      <c r="Q538" s="147"/>
    </row>
    <row r="539" spans="15:17" ht="15.75" customHeight="1">
      <c r="O539" s="92"/>
      <c r="Q539" s="147"/>
    </row>
    <row r="540" spans="15:17" ht="15.75" customHeight="1">
      <c r="O540" s="92"/>
      <c r="Q540" s="147"/>
    </row>
    <row r="541" spans="15:17" ht="15.75" customHeight="1">
      <c r="O541" s="92"/>
      <c r="Q541" s="147"/>
    </row>
    <row r="542" spans="15:17" ht="15.75" customHeight="1">
      <c r="O542" s="92"/>
      <c r="Q542" s="147"/>
    </row>
    <row r="543" spans="15:17" ht="15.75" customHeight="1">
      <c r="O543" s="92"/>
      <c r="Q543" s="147"/>
    </row>
    <row r="544" spans="15:17" ht="15.75" customHeight="1">
      <c r="O544" s="92"/>
      <c r="Q544" s="147"/>
    </row>
    <row r="545" spans="15:17" ht="15.75" customHeight="1">
      <c r="O545" s="92"/>
      <c r="Q545" s="147"/>
    </row>
    <row r="546" spans="15:17" ht="15.75" customHeight="1">
      <c r="O546" s="92"/>
      <c r="Q546" s="147"/>
    </row>
    <row r="547" spans="15:17" ht="15.75" customHeight="1">
      <c r="O547" s="92"/>
      <c r="Q547" s="147"/>
    </row>
    <row r="548" spans="15:17" ht="15.75" customHeight="1">
      <c r="O548" s="92"/>
      <c r="Q548" s="147"/>
    </row>
    <row r="549" spans="15:17" ht="15.75" customHeight="1">
      <c r="O549" s="92"/>
      <c r="Q549" s="147"/>
    </row>
    <row r="550" spans="15:17" ht="15.75" customHeight="1">
      <c r="O550" s="92"/>
      <c r="Q550" s="147"/>
    </row>
    <row r="551" spans="15:17" ht="15.75" customHeight="1">
      <c r="O551" s="92"/>
      <c r="Q551" s="147"/>
    </row>
    <row r="552" spans="15:17" ht="15.75" customHeight="1">
      <c r="O552" s="92"/>
      <c r="Q552" s="147"/>
    </row>
    <row r="553" spans="15:17" ht="15.75" customHeight="1">
      <c r="O553" s="92"/>
      <c r="Q553" s="147"/>
    </row>
    <row r="554" spans="15:17" ht="15.75" customHeight="1">
      <c r="O554" s="92"/>
      <c r="Q554" s="147"/>
    </row>
    <row r="555" spans="15:17" ht="15.75" customHeight="1">
      <c r="O555" s="92"/>
      <c r="Q555" s="147"/>
    </row>
    <row r="556" spans="15:17" ht="15.75" customHeight="1">
      <c r="O556" s="92"/>
      <c r="Q556" s="147"/>
    </row>
    <row r="557" spans="15:17" ht="15.75" customHeight="1">
      <c r="O557" s="92"/>
      <c r="Q557" s="147"/>
    </row>
    <row r="558" spans="15:17" ht="15.75" customHeight="1">
      <c r="O558" s="92"/>
      <c r="Q558" s="147"/>
    </row>
    <row r="559" spans="15:17" ht="15.75" customHeight="1">
      <c r="O559" s="92"/>
      <c r="Q559" s="147"/>
    </row>
    <row r="560" spans="15:17" ht="15.75" customHeight="1">
      <c r="O560" s="92"/>
      <c r="Q560" s="147"/>
    </row>
    <row r="561" spans="15:17" ht="15.75" customHeight="1">
      <c r="O561" s="92"/>
      <c r="Q561" s="147"/>
    </row>
    <row r="562" spans="15:17" ht="15.75" customHeight="1">
      <c r="O562" s="92"/>
      <c r="Q562" s="147"/>
    </row>
    <row r="563" spans="15:17" ht="15.75" customHeight="1">
      <c r="O563" s="92"/>
      <c r="Q563" s="147"/>
    </row>
    <row r="564" spans="15:17" ht="15.75" customHeight="1">
      <c r="O564" s="92"/>
      <c r="Q564" s="147"/>
    </row>
    <row r="565" spans="15:17" ht="15.75" customHeight="1">
      <c r="O565" s="92"/>
      <c r="Q565" s="147"/>
    </row>
    <row r="566" spans="15:17" ht="15.75" customHeight="1">
      <c r="O566" s="92"/>
      <c r="Q566" s="147"/>
    </row>
    <row r="567" spans="15:17" ht="15.75" customHeight="1">
      <c r="O567" s="92"/>
      <c r="Q567" s="147"/>
    </row>
    <row r="568" spans="15:17" ht="15.75" customHeight="1">
      <c r="O568" s="92"/>
      <c r="Q568" s="147"/>
    </row>
    <row r="569" spans="15:17" ht="15.75" customHeight="1">
      <c r="O569" s="92"/>
      <c r="Q569" s="147"/>
    </row>
    <row r="570" spans="15:17" ht="15.75" customHeight="1">
      <c r="O570" s="92"/>
      <c r="Q570" s="147"/>
    </row>
    <row r="571" spans="15:17" ht="15.75" customHeight="1">
      <c r="O571" s="92"/>
      <c r="Q571" s="147"/>
    </row>
    <row r="572" spans="15:17" ht="15.75" customHeight="1">
      <c r="O572" s="92"/>
      <c r="Q572" s="147"/>
    </row>
    <row r="573" spans="15:17" ht="15.75" customHeight="1">
      <c r="O573" s="92"/>
      <c r="Q573" s="147"/>
    </row>
    <row r="574" spans="15:17" ht="15.75" customHeight="1">
      <c r="O574" s="92"/>
      <c r="Q574" s="147"/>
    </row>
    <row r="575" spans="15:17" ht="15.75" customHeight="1">
      <c r="O575" s="92"/>
      <c r="Q575" s="147"/>
    </row>
    <row r="576" spans="15:17" ht="15.75" customHeight="1">
      <c r="O576" s="92"/>
      <c r="Q576" s="147"/>
    </row>
    <row r="577" spans="15:17" ht="15.75" customHeight="1">
      <c r="O577" s="92"/>
      <c r="Q577" s="147"/>
    </row>
    <row r="578" spans="15:17" ht="15.75" customHeight="1">
      <c r="O578" s="92"/>
      <c r="Q578" s="147"/>
    </row>
    <row r="579" spans="15:17" ht="15.75" customHeight="1">
      <c r="O579" s="92"/>
      <c r="Q579" s="147"/>
    </row>
    <row r="580" spans="15:17" ht="15.75" customHeight="1">
      <c r="O580" s="92"/>
      <c r="Q580" s="147"/>
    </row>
    <row r="581" spans="15:17" ht="15.75" customHeight="1">
      <c r="O581" s="92"/>
      <c r="Q581" s="147"/>
    </row>
    <row r="582" spans="15:17" ht="15.75" customHeight="1">
      <c r="O582" s="92"/>
      <c r="Q582" s="147"/>
    </row>
    <row r="583" spans="15:17" ht="15.75" customHeight="1">
      <c r="O583" s="92"/>
      <c r="Q583" s="147"/>
    </row>
    <row r="584" spans="15:17" ht="15.75" customHeight="1">
      <c r="O584" s="92"/>
      <c r="Q584" s="147"/>
    </row>
    <row r="585" spans="15:17" ht="15.75" customHeight="1">
      <c r="O585" s="92"/>
      <c r="Q585" s="147"/>
    </row>
    <row r="586" spans="15:17" ht="15.75" customHeight="1">
      <c r="O586" s="92"/>
      <c r="Q586" s="147"/>
    </row>
    <row r="587" spans="15:17" ht="15.75" customHeight="1">
      <c r="O587" s="92"/>
      <c r="Q587" s="147"/>
    </row>
    <row r="588" spans="15:17" ht="15.75" customHeight="1">
      <c r="O588" s="92"/>
      <c r="Q588" s="147"/>
    </row>
    <row r="589" spans="15:17" ht="15.75" customHeight="1">
      <c r="O589" s="92"/>
      <c r="Q589" s="147"/>
    </row>
    <row r="590" spans="15:17" ht="15.75" customHeight="1">
      <c r="O590" s="92"/>
      <c r="Q590" s="147"/>
    </row>
    <row r="591" spans="15:17" ht="15.75" customHeight="1">
      <c r="O591" s="92"/>
      <c r="Q591" s="147"/>
    </row>
    <row r="592" spans="15:17" ht="15.75" customHeight="1">
      <c r="O592" s="92"/>
      <c r="Q592" s="147"/>
    </row>
    <row r="593" spans="15:17" ht="15.75" customHeight="1">
      <c r="O593" s="92"/>
      <c r="Q593" s="147"/>
    </row>
    <row r="594" spans="15:17" ht="15.75" customHeight="1">
      <c r="O594" s="92"/>
      <c r="Q594" s="147"/>
    </row>
    <row r="595" spans="15:17" ht="15.75" customHeight="1">
      <c r="O595" s="92"/>
      <c r="Q595" s="147"/>
    </row>
    <row r="596" spans="15:17" ht="15.75" customHeight="1">
      <c r="O596" s="92"/>
      <c r="Q596" s="147"/>
    </row>
    <row r="597" spans="15:17" ht="15.75" customHeight="1">
      <c r="O597" s="92"/>
      <c r="Q597" s="147"/>
    </row>
    <row r="598" spans="15:17" ht="15.75" customHeight="1">
      <c r="O598" s="92"/>
      <c r="Q598" s="147"/>
    </row>
    <row r="599" spans="15:17" ht="15.75" customHeight="1">
      <c r="O599" s="92"/>
      <c r="Q599" s="147"/>
    </row>
    <row r="600" spans="15:17" ht="15.75" customHeight="1">
      <c r="O600" s="92"/>
      <c r="Q600" s="147"/>
    </row>
    <row r="601" spans="15:17" ht="15.75" customHeight="1">
      <c r="O601" s="92"/>
      <c r="Q601" s="147"/>
    </row>
    <row r="602" spans="15:17" ht="15.75" customHeight="1">
      <c r="O602" s="92"/>
      <c r="Q602" s="147"/>
    </row>
    <row r="603" spans="15:17" ht="15.75" customHeight="1">
      <c r="O603" s="92"/>
      <c r="Q603" s="147"/>
    </row>
    <row r="604" spans="15:17" ht="15.75" customHeight="1">
      <c r="O604" s="92"/>
      <c r="Q604" s="147"/>
    </row>
    <row r="605" spans="15:17" ht="15.75" customHeight="1">
      <c r="O605" s="92"/>
      <c r="Q605" s="147"/>
    </row>
    <row r="606" spans="15:17" ht="15.75" customHeight="1">
      <c r="O606" s="92"/>
      <c r="Q606" s="147"/>
    </row>
    <row r="607" spans="15:17" ht="15.75" customHeight="1">
      <c r="O607" s="92"/>
      <c r="Q607" s="147"/>
    </row>
    <row r="608" spans="15:17" ht="15.75" customHeight="1">
      <c r="O608" s="92"/>
      <c r="Q608" s="147"/>
    </row>
    <row r="609" spans="15:17" ht="15.75" customHeight="1">
      <c r="O609" s="92"/>
      <c r="Q609" s="147"/>
    </row>
    <row r="610" spans="15:17" ht="15.75" customHeight="1">
      <c r="O610" s="92"/>
      <c r="Q610" s="147"/>
    </row>
    <row r="611" spans="15:17" ht="15.75" customHeight="1">
      <c r="O611" s="92"/>
      <c r="Q611" s="147"/>
    </row>
    <row r="612" spans="15:17" ht="15.75" customHeight="1">
      <c r="O612" s="92"/>
      <c r="Q612" s="147"/>
    </row>
    <row r="613" spans="15:17" ht="15.75" customHeight="1">
      <c r="O613" s="92"/>
      <c r="Q613" s="147"/>
    </row>
    <row r="614" spans="15:17" ht="15.75" customHeight="1">
      <c r="O614" s="92"/>
      <c r="Q614" s="147"/>
    </row>
    <row r="615" spans="15:17" ht="15.75" customHeight="1">
      <c r="O615" s="92"/>
      <c r="Q615" s="147"/>
    </row>
    <row r="616" spans="15:17" ht="15.75" customHeight="1">
      <c r="O616" s="92"/>
      <c r="Q616" s="147"/>
    </row>
    <row r="617" spans="15:17" ht="15.75" customHeight="1">
      <c r="O617" s="92"/>
      <c r="Q617" s="147"/>
    </row>
    <row r="618" spans="15:17" ht="15.75" customHeight="1">
      <c r="O618" s="92"/>
      <c r="Q618" s="147"/>
    </row>
    <row r="619" spans="15:17" ht="15.75" customHeight="1">
      <c r="O619" s="92"/>
      <c r="Q619" s="147"/>
    </row>
    <row r="620" spans="15:17" ht="15.75" customHeight="1">
      <c r="O620" s="92"/>
      <c r="Q620" s="147"/>
    </row>
    <row r="621" spans="15:17" ht="15.75" customHeight="1">
      <c r="O621" s="92"/>
      <c r="Q621" s="147"/>
    </row>
    <row r="622" spans="15:17" ht="15.75" customHeight="1">
      <c r="O622" s="92"/>
      <c r="Q622" s="147"/>
    </row>
    <row r="623" spans="15:17" ht="15.75" customHeight="1">
      <c r="O623" s="92"/>
      <c r="Q623" s="147"/>
    </row>
    <row r="624" spans="15:17" ht="15.75" customHeight="1">
      <c r="O624" s="92"/>
      <c r="Q624" s="147"/>
    </row>
    <row r="625" spans="15:17" ht="15.75" customHeight="1">
      <c r="O625" s="92"/>
      <c r="Q625" s="147"/>
    </row>
    <row r="626" spans="15:17" ht="15.75" customHeight="1">
      <c r="O626" s="92"/>
      <c r="Q626" s="147"/>
    </row>
    <row r="627" spans="15:17" ht="15.75" customHeight="1">
      <c r="O627" s="92"/>
      <c r="Q627" s="147"/>
    </row>
    <row r="628" spans="15:17" ht="15.75" customHeight="1">
      <c r="O628" s="92"/>
      <c r="Q628" s="147"/>
    </row>
    <row r="629" spans="15:17" ht="15.75" customHeight="1">
      <c r="O629" s="92"/>
      <c r="Q629" s="147"/>
    </row>
    <row r="630" spans="15:17" ht="15.75" customHeight="1">
      <c r="O630" s="92"/>
      <c r="Q630" s="147"/>
    </row>
    <row r="631" spans="15:17" ht="15.75" customHeight="1">
      <c r="O631" s="92"/>
      <c r="Q631" s="147"/>
    </row>
    <row r="632" spans="15:17" ht="15.75" customHeight="1">
      <c r="O632" s="92"/>
      <c r="Q632" s="147"/>
    </row>
    <row r="633" spans="15:17" ht="15.75" customHeight="1">
      <c r="O633" s="92"/>
      <c r="Q633" s="147"/>
    </row>
    <row r="634" spans="15:17" ht="15.75" customHeight="1">
      <c r="O634" s="92"/>
      <c r="Q634" s="147"/>
    </row>
    <row r="635" spans="15:17" ht="15.75" customHeight="1">
      <c r="O635" s="92"/>
      <c r="Q635" s="147"/>
    </row>
    <row r="636" spans="15:17" ht="15.75" customHeight="1">
      <c r="O636" s="92"/>
      <c r="Q636" s="147"/>
    </row>
    <row r="637" spans="15:17" ht="15.75" customHeight="1">
      <c r="O637" s="92"/>
      <c r="Q637" s="147"/>
    </row>
    <row r="638" spans="15:17" ht="15.75" customHeight="1">
      <c r="O638" s="92"/>
      <c r="Q638" s="147"/>
    </row>
    <row r="639" spans="15:17" ht="15.75" customHeight="1">
      <c r="O639" s="92"/>
      <c r="Q639" s="147"/>
    </row>
    <row r="640" spans="15:17" ht="15.75" customHeight="1">
      <c r="O640" s="92"/>
      <c r="Q640" s="147"/>
    </row>
    <row r="641" spans="15:17" ht="15.75" customHeight="1">
      <c r="O641" s="92"/>
      <c r="Q641" s="147"/>
    </row>
    <row r="642" spans="15:17" ht="15.75" customHeight="1">
      <c r="O642" s="92"/>
      <c r="Q642" s="147"/>
    </row>
    <row r="643" spans="15:17" ht="15.75" customHeight="1">
      <c r="O643" s="92"/>
      <c r="Q643" s="147"/>
    </row>
    <row r="644" spans="15:17" ht="15.75" customHeight="1">
      <c r="O644" s="92"/>
      <c r="Q644" s="147"/>
    </row>
    <row r="645" spans="15:17" ht="15.75" customHeight="1">
      <c r="O645" s="92"/>
      <c r="Q645" s="147"/>
    </row>
    <row r="646" spans="15:17" ht="15.75" customHeight="1">
      <c r="O646" s="92"/>
      <c r="Q646" s="147"/>
    </row>
    <row r="647" spans="15:17" ht="15.75" customHeight="1">
      <c r="O647" s="92"/>
      <c r="Q647" s="147"/>
    </row>
    <row r="648" spans="15:17" ht="15.75" customHeight="1">
      <c r="O648" s="92"/>
      <c r="Q648" s="147"/>
    </row>
    <row r="649" spans="15:17" ht="15.75" customHeight="1">
      <c r="O649" s="92"/>
      <c r="Q649" s="147"/>
    </row>
    <row r="650" spans="15:17" ht="15.75" customHeight="1">
      <c r="O650" s="92"/>
      <c r="Q650" s="147"/>
    </row>
    <row r="651" spans="15:17" ht="15.75" customHeight="1">
      <c r="O651" s="92"/>
      <c r="Q651" s="147"/>
    </row>
    <row r="652" spans="15:17" ht="15.75" customHeight="1">
      <c r="O652" s="92"/>
      <c r="Q652" s="147"/>
    </row>
    <row r="653" spans="15:17" ht="15.75" customHeight="1">
      <c r="O653" s="92"/>
      <c r="Q653" s="147"/>
    </row>
    <row r="654" spans="15:17" ht="15.75" customHeight="1">
      <c r="O654" s="92"/>
      <c r="Q654" s="147"/>
    </row>
    <row r="655" spans="15:17" ht="15.75" customHeight="1">
      <c r="O655" s="92"/>
      <c r="Q655" s="147"/>
    </row>
    <row r="656" spans="15:17" ht="15.75" customHeight="1">
      <c r="O656" s="92"/>
      <c r="Q656" s="147"/>
    </row>
    <row r="657" spans="15:17" ht="15.75" customHeight="1">
      <c r="O657" s="92"/>
      <c r="Q657" s="147"/>
    </row>
    <row r="658" spans="15:17" ht="15.75" customHeight="1">
      <c r="O658" s="92"/>
      <c r="Q658" s="147"/>
    </row>
    <row r="659" spans="15:17" ht="15.75" customHeight="1">
      <c r="O659" s="92"/>
      <c r="Q659" s="147"/>
    </row>
    <row r="660" spans="15:17" ht="15.75" customHeight="1">
      <c r="O660" s="92"/>
      <c r="Q660" s="147"/>
    </row>
    <row r="661" spans="15:17" ht="15.75" customHeight="1">
      <c r="O661" s="92"/>
      <c r="Q661" s="147"/>
    </row>
    <row r="662" spans="15:17" ht="15.75" customHeight="1">
      <c r="O662" s="92"/>
      <c r="Q662" s="147"/>
    </row>
    <row r="663" spans="15:17" ht="15.75" customHeight="1">
      <c r="O663" s="92"/>
      <c r="Q663" s="147"/>
    </row>
    <row r="664" spans="15:17" ht="15.75" customHeight="1">
      <c r="O664" s="92"/>
      <c r="Q664" s="147"/>
    </row>
    <row r="665" spans="15:17" ht="15.75" customHeight="1">
      <c r="O665" s="92"/>
      <c r="Q665" s="147"/>
    </row>
    <row r="666" spans="15:17" ht="15.75" customHeight="1">
      <c r="O666" s="92"/>
      <c r="Q666" s="147"/>
    </row>
    <row r="667" spans="15:17" ht="15.75" customHeight="1">
      <c r="O667" s="92"/>
      <c r="Q667" s="147"/>
    </row>
    <row r="668" spans="15:17" ht="15.75" customHeight="1">
      <c r="O668" s="92"/>
      <c r="Q668" s="147"/>
    </row>
    <row r="669" spans="15:17" ht="15.75" customHeight="1">
      <c r="O669" s="92"/>
      <c r="Q669" s="147"/>
    </row>
    <row r="670" spans="15:17" ht="15.75" customHeight="1">
      <c r="O670" s="92"/>
      <c r="Q670" s="147"/>
    </row>
    <row r="671" spans="15:17" ht="15.75" customHeight="1">
      <c r="O671" s="92"/>
      <c r="Q671" s="147"/>
    </row>
    <row r="672" spans="15:17" ht="15.75" customHeight="1">
      <c r="O672" s="92"/>
      <c r="Q672" s="147"/>
    </row>
    <row r="673" spans="15:17" ht="15.75" customHeight="1">
      <c r="O673" s="92"/>
      <c r="Q673" s="147"/>
    </row>
    <row r="674" spans="15:17" ht="15.75" customHeight="1">
      <c r="O674" s="92"/>
      <c r="Q674" s="147"/>
    </row>
    <row r="675" spans="15:17" ht="15.75" customHeight="1">
      <c r="O675" s="92"/>
      <c r="Q675" s="147"/>
    </row>
    <row r="676" spans="15:17" ht="15.75" customHeight="1">
      <c r="O676" s="92"/>
      <c r="Q676" s="147"/>
    </row>
    <row r="677" spans="15:17" ht="15.75" customHeight="1">
      <c r="O677" s="92"/>
      <c r="Q677" s="147"/>
    </row>
    <row r="678" spans="15:17" ht="15.75" customHeight="1">
      <c r="O678" s="92"/>
      <c r="Q678" s="147"/>
    </row>
    <row r="679" spans="15:17" ht="15.75" customHeight="1">
      <c r="O679" s="92"/>
      <c r="Q679" s="147"/>
    </row>
    <row r="680" spans="15:17" ht="15.75" customHeight="1">
      <c r="O680" s="92"/>
      <c r="Q680" s="147"/>
    </row>
    <row r="681" spans="15:17" ht="15.75" customHeight="1">
      <c r="O681" s="92"/>
      <c r="Q681" s="147"/>
    </row>
    <row r="682" spans="15:17" ht="15.75" customHeight="1">
      <c r="O682" s="92"/>
      <c r="Q682" s="147"/>
    </row>
    <row r="683" spans="15:17" ht="15.75" customHeight="1">
      <c r="O683" s="92"/>
      <c r="Q683" s="147"/>
    </row>
    <row r="684" spans="15:17" ht="15.75" customHeight="1">
      <c r="O684" s="92"/>
      <c r="Q684" s="147"/>
    </row>
    <row r="685" spans="15:17" ht="15.75" customHeight="1">
      <c r="O685" s="92"/>
      <c r="Q685" s="147"/>
    </row>
    <row r="686" spans="15:17" ht="15.75" customHeight="1">
      <c r="O686" s="92"/>
      <c r="Q686" s="147"/>
    </row>
    <row r="687" spans="15:17" ht="15.75" customHeight="1">
      <c r="O687" s="92"/>
      <c r="Q687" s="147"/>
    </row>
    <row r="688" spans="15:17" ht="15.75" customHeight="1">
      <c r="O688" s="92"/>
      <c r="Q688" s="147"/>
    </row>
    <row r="689" spans="15:17" ht="15.75" customHeight="1">
      <c r="O689" s="92"/>
      <c r="Q689" s="147"/>
    </row>
    <row r="690" spans="15:17" ht="15.75" customHeight="1">
      <c r="O690" s="92"/>
      <c r="Q690" s="147"/>
    </row>
    <row r="691" spans="15:17" ht="15.75" customHeight="1">
      <c r="O691" s="92"/>
      <c r="Q691" s="147"/>
    </row>
    <row r="692" spans="15:17" ht="15.75" customHeight="1">
      <c r="O692" s="92"/>
      <c r="Q692" s="147"/>
    </row>
    <row r="693" spans="15:17" ht="15.75" customHeight="1">
      <c r="O693" s="92"/>
      <c r="Q693" s="147"/>
    </row>
    <row r="694" spans="15:17" ht="15.75" customHeight="1">
      <c r="O694" s="92"/>
      <c r="Q694" s="147"/>
    </row>
    <row r="695" spans="15:17" ht="15.75" customHeight="1">
      <c r="O695" s="92"/>
      <c r="Q695" s="147"/>
    </row>
    <row r="696" spans="15:17" ht="15.75" customHeight="1">
      <c r="O696" s="92"/>
      <c r="Q696" s="147"/>
    </row>
    <row r="697" spans="15:17" ht="15.75" customHeight="1">
      <c r="O697" s="92"/>
      <c r="Q697" s="147"/>
    </row>
    <row r="698" spans="15:17" ht="15.75" customHeight="1">
      <c r="O698" s="92"/>
      <c r="Q698" s="147"/>
    </row>
    <row r="699" spans="15:17" ht="15.75" customHeight="1">
      <c r="O699" s="92"/>
      <c r="Q699" s="147"/>
    </row>
    <row r="700" spans="15:17" ht="15.75" customHeight="1">
      <c r="O700" s="92"/>
      <c r="Q700" s="147"/>
    </row>
    <row r="701" spans="15:17" ht="15.75" customHeight="1">
      <c r="O701" s="92"/>
      <c r="Q701" s="147"/>
    </row>
    <row r="702" spans="15:17" ht="15.75" customHeight="1">
      <c r="O702" s="92"/>
      <c r="Q702" s="147"/>
    </row>
    <row r="703" spans="15:17" ht="15.75" customHeight="1">
      <c r="O703" s="92"/>
      <c r="Q703" s="147"/>
    </row>
    <row r="704" spans="15:17" ht="15.75" customHeight="1">
      <c r="O704" s="92"/>
      <c r="Q704" s="147"/>
    </row>
    <row r="705" spans="15:17" ht="15.75" customHeight="1">
      <c r="O705" s="92"/>
      <c r="Q705" s="147"/>
    </row>
    <row r="706" spans="15:17" ht="15.75" customHeight="1">
      <c r="O706" s="92"/>
      <c r="Q706" s="147"/>
    </row>
    <row r="707" spans="15:17" ht="15.75" customHeight="1">
      <c r="O707" s="92"/>
      <c r="Q707" s="147"/>
    </row>
    <row r="708" spans="15:17" ht="15.75" customHeight="1">
      <c r="O708" s="92"/>
      <c r="Q708" s="147"/>
    </row>
    <row r="709" spans="15:17" ht="15.75" customHeight="1">
      <c r="O709" s="92"/>
      <c r="Q709" s="147"/>
    </row>
    <row r="710" spans="15:17" ht="15.75" customHeight="1">
      <c r="O710" s="92"/>
      <c r="Q710" s="147"/>
    </row>
    <row r="711" spans="15:17" ht="15.75" customHeight="1">
      <c r="O711" s="92"/>
      <c r="Q711" s="147"/>
    </row>
    <row r="712" spans="15:17" ht="15.75" customHeight="1">
      <c r="O712" s="92"/>
      <c r="Q712" s="147"/>
    </row>
    <row r="713" spans="15:17" ht="15.75" customHeight="1">
      <c r="O713" s="92"/>
      <c r="Q713" s="147"/>
    </row>
    <row r="714" spans="15:17" ht="15.75" customHeight="1">
      <c r="O714" s="92"/>
      <c r="Q714" s="147"/>
    </row>
    <row r="715" spans="15:17" ht="15.75" customHeight="1">
      <c r="O715" s="92"/>
      <c r="Q715" s="147"/>
    </row>
    <row r="716" spans="15:17" ht="15.75" customHeight="1">
      <c r="O716" s="92"/>
      <c r="Q716" s="147"/>
    </row>
    <row r="717" spans="15:17" ht="15.75" customHeight="1">
      <c r="O717" s="92"/>
      <c r="Q717" s="147"/>
    </row>
    <row r="718" spans="15:17" ht="15.75" customHeight="1">
      <c r="O718" s="92"/>
      <c r="Q718" s="147"/>
    </row>
    <row r="719" spans="15:17" ht="15.75" customHeight="1">
      <c r="O719" s="92"/>
      <c r="Q719" s="147"/>
    </row>
    <row r="720" spans="15:17" ht="15.75" customHeight="1">
      <c r="O720" s="92"/>
      <c r="Q720" s="147"/>
    </row>
    <row r="721" spans="15:17" ht="15.75" customHeight="1">
      <c r="O721" s="92"/>
      <c r="Q721" s="147"/>
    </row>
    <row r="722" spans="15:17" ht="15.75" customHeight="1">
      <c r="O722" s="92"/>
      <c r="Q722" s="147"/>
    </row>
    <row r="723" spans="15:17" ht="15.75" customHeight="1">
      <c r="O723" s="92"/>
      <c r="Q723" s="147"/>
    </row>
    <row r="724" spans="15:17" ht="15.75" customHeight="1">
      <c r="O724" s="92"/>
      <c r="Q724" s="147"/>
    </row>
    <row r="725" spans="15:17" ht="15.75" customHeight="1">
      <c r="O725" s="92"/>
      <c r="Q725" s="147"/>
    </row>
    <row r="726" spans="15:17" ht="15.75" customHeight="1">
      <c r="O726" s="92"/>
      <c r="Q726" s="147"/>
    </row>
    <row r="727" spans="15:17" ht="15.75" customHeight="1">
      <c r="O727" s="92"/>
      <c r="Q727" s="147"/>
    </row>
    <row r="728" spans="15:17" ht="15.75" customHeight="1">
      <c r="O728" s="92"/>
      <c r="Q728" s="147"/>
    </row>
    <row r="729" spans="15:17" ht="15.75" customHeight="1">
      <c r="O729" s="92"/>
      <c r="Q729" s="147"/>
    </row>
    <row r="730" spans="15:17" ht="15.75" customHeight="1">
      <c r="O730" s="92"/>
      <c r="Q730" s="147"/>
    </row>
    <row r="731" spans="15:17" ht="15.75" customHeight="1">
      <c r="O731" s="92"/>
      <c r="Q731" s="147"/>
    </row>
    <row r="732" spans="15:17" ht="15.75" customHeight="1">
      <c r="O732" s="92"/>
      <c r="Q732" s="147"/>
    </row>
    <row r="733" spans="15:17" ht="15.75" customHeight="1">
      <c r="O733" s="92"/>
      <c r="Q733" s="147"/>
    </row>
    <row r="734" spans="15:17" ht="15.75" customHeight="1">
      <c r="O734" s="92"/>
      <c r="Q734" s="147"/>
    </row>
    <row r="735" spans="15:17" ht="15.75" customHeight="1">
      <c r="O735" s="92"/>
      <c r="Q735" s="147"/>
    </row>
    <row r="736" spans="15:17" ht="15.75" customHeight="1">
      <c r="O736" s="92"/>
      <c r="Q736" s="147"/>
    </row>
    <row r="737" spans="15:17" ht="15.75" customHeight="1">
      <c r="O737" s="92"/>
      <c r="Q737" s="147"/>
    </row>
    <row r="738" spans="15:17" ht="15.75" customHeight="1">
      <c r="O738" s="92"/>
      <c r="Q738" s="147"/>
    </row>
    <row r="739" spans="15:17" ht="15.75" customHeight="1">
      <c r="O739" s="92"/>
      <c r="Q739" s="147"/>
    </row>
    <row r="740" spans="15:17" ht="15.75" customHeight="1">
      <c r="O740" s="92"/>
      <c r="Q740" s="147"/>
    </row>
    <row r="741" spans="15:17" ht="15.75" customHeight="1">
      <c r="O741" s="92"/>
      <c r="Q741" s="147"/>
    </row>
    <row r="742" spans="15:17" ht="15.75" customHeight="1">
      <c r="O742" s="92"/>
      <c r="Q742" s="147"/>
    </row>
    <row r="743" spans="15:17" ht="15.75" customHeight="1">
      <c r="O743" s="92"/>
      <c r="Q743" s="147"/>
    </row>
    <row r="744" spans="15:17" ht="15.75" customHeight="1">
      <c r="O744" s="92"/>
      <c r="Q744" s="147"/>
    </row>
    <row r="745" spans="15:17" ht="15.75" customHeight="1">
      <c r="O745" s="92"/>
      <c r="Q745" s="147"/>
    </row>
    <row r="746" spans="15:17" ht="15.75" customHeight="1">
      <c r="O746" s="92"/>
      <c r="Q746" s="147"/>
    </row>
    <row r="747" spans="15:17" ht="15.75" customHeight="1">
      <c r="O747" s="92"/>
      <c r="Q747" s="147"/>
    </row>
    <row r="748" spans="15:17" ht="15.75" customHeight="1">
      <c r="O748" s="92"/>
      <c r="Q748" s="147"/>
    </row>
    <row r="749" spans="15:17" ht="15.75" customHeight="1">
      <c r="O749" s="92"/>
      <c r="Q749" s="147"/>
    </row>
    <row r="750" spans="15:17" ht="15.75" customHeight="1">
      <c r="O750" s="92"/>
      <c r="Q750" s="147"/>
    </row>
    <row r="751" spans="15:17" ht="15.75" customHeight="1">
      <c r="O751" s="92"/>
      <c r="Q751" s="147"/>
    </row>
    <row r="752" spans="15:17" ht="15.75" customHeight="1">
      <c r="O752" s="92"/>
      <c r="Q752" s="147"/>
    </row>
    <row r="753" spans="15:17" ht="15.75" customHeight="1">
      <c r="O753" s="92"/>
      <c r="Q753" s="147"/>
    </row>
    <row r="754" spans="15:17" ht="15.75" customHeight="1">
      <c r="O754" s="92"/>
      <c r="Q754" s="147"/>
    </row>
    <row r="755" spans="15:17" ht="15.75" customHeight="1">
      <c r="O755" s="92"/>
      <c r="Q755" s="147"/>
    </row>
    <row r="756" spans="15:17" ht="15.75" customHeight="1">
      <c r="O756" s="92"/>
      <c r="Q756" s="147"/>
    </row>
    <row r="757" spans="15:17" ht="15.75" customHeight="1">
      <c r="O757" s="92"/>
      <c r="Q757" s="147"/>
    </row>
    <row r="758" spans="15:17" ht="15.75" customHeight="1">
      <c r="O758" s="92"/>
      <c r="Q758" s="147"/>
    </row>
    <row r="759" spans="15:17" ht="15.75" customHeight="1">
      <c r="O759" s="92"/>
      <c r="Q759" s="147"/>
    </row>
    <row r="760" spans="15:17" ht="15.75" customHeight="1">
      <c r="O760" s="92"/>
      <c r="Q760" s="147"/>
    </row>
    <row r="761" spans="15:17" ht="15.75" customHeight="1">
      <c r="O761" s="92"/>
      <c r="Q761" s="147"/>
    </row>
    <row r="762" spans="15:17" ht="15.75" customHeight="1">
      <c r="O762" s="92"/>
      <c r="Q762" s="147"/>
    </row>
    <row r="763" spans="15:17" ht="15.75" customHeight="1">
      <c r="O763" s="92"/>
      <c r="Q763" s="147"/>
    </row>
    <row r="764" spans="15:17" ht="15.75" customHeight="1">
      <c r="O764" s="92"/>
      <c r="Q764" s="147"/>
    </row>
    <row r="765" spans="15:17" ht="15.75" customHeight="1">
      <c r="O765" s="92"/>
      <c r="Q765" s="147"/>
    </row>
    <row r="766" spans="15:17" ht="15.75" customHeight="1">
      <c r="O766" s="92"/>
      <c r="Q766" s="147"/>
    </row>
    <row r="767" spans="15:17" ht="15.75" customHeight="1">
      <c r="O767" s="92"/>
      <c r="Q767" s="147"/>
    </row>
    <row r="768" spans="15:17" ht="15.75" customHeight="1">
      <c r="O768" s="92"/>
      <c r="Q768" s="147"/>
    </row>
    <row r="769" spans="15:17" ht="15.75" customHeight="1">
      <c r="O769" s="92"/>
      <c r="Q769" s="147"/>
    </row>
    <row r="770" spans="15:17" ht="15.75" customHeight="1">
      <c r="O770" s="92"/>
      <c r="Q770" s="147"/>
    </row>
    <row r="771" spans="15:17" ht="15.75" customHeight="1">
      <c r="O771" s="92"/>
      <c r="Q771" s="147"/>
    </row>
    <row r="772" spans="15:17" ht="15.75" customHeight="1">
      <c r="O772" s="92"/>
      <c r="Q772" s="147"/>
    </row>
    <row r="773" spans="15:17" ht="15.75" customHeight="1">
      <c r="O773" s="92"/>
      <c r="Q773" s="147"/>
    </row>
    <row r="774" spans="15:17" ht="15.75" customHeight="1">
      <c r="O774" s="92"/>
      <c r="Q774" s="147"/>
    </row>
    <row r="775" spans="15:17" ht="15.75" customHeight="1">
      <c r="O775" s="92"/>
      <c r="Q775" s="147"/>
    </row>
    <row r="776" spans="15:17" ht="15.75" customHeight="1">
      <c r="O776" s="92"/>
      <c r="Q776" s="147"/>
    </row>
    <row r="777" spans="15:17" ht="15.75" customHeight="1">
      <c r="O777" s="92"/>
      <c r="Q777" s="147"/>
    </row>
    <row r="778" spans="15:17" ht="15.75" customHeight="1">
      <c r="O778" s="92"/>
      <c r="Q778" s="147"/>
    </row>
    <row r="779" spans="15:17" ht="15.75" customHeight="1">
      <c r="O779" s="92"/>
      <c r="Q779" s="147"/>
    </row>
    <row r="780" spans="15:17" ht="15.75" customHeight="1">
      <c r="O780" s="92"/>
      <c r="Q780" s="147"/>
    </row>
    <row r="781" spans="15:17" ht="15.75" customHeight="1">
      <c r="O781" s="92"/>
      <c r="Q781" s="147"/>
    </row>
    <row r="782" spans="15:17" ht="15.75" customHeight="1">
      <c r="O782" s="92"/>
      <c r="Q782" s="147"/>
    </row>
    <row r="783" spans="15:17" ht="15.75" customHeight="1">
      <c r="O783" s="92"/>
      <c r="Q783" s="147"/>
    </row>
    <row r="784" spans="15:17" ht="15.75" customHeight="1">
      <c r="O784" s="92"/>
      <c r="Q784" s="147"/>
    </row>
    <row r="785" spans="15:17" ht="15.75" customHeight="1">
      <c r="O785" s="92"/>
      <c r="Q785" s="147"/>
    </row>
    <row r="786" spans="15:17" ht="15.75" customHeight="1">
      <c r="O786" s="92"/>
      <c r="Q786" s="147"/>
    </row>
    <row r="787" spans="15:17" ht="15.75" customHeight="1">
      <c r="O787" s="92"/>
      <c r="Q787" s="147"/>
    </row>
    <row r="788" spans="15:17" ht="15.75" customHeight="1">
      <c r="O788" s="92"/>
      <c r="Q788" s="147"/>
    </row>
    <row r="789" spans="15:17" ht="15.75" customHeight="1">
      <c r="O789" s="92"/>
      <c r="Q789" s="147"/>
    </row>
    <row r="790" spans="15:17" ht="15.75" customHeight="1">
      <c r="O790" s="92"/>
      <c r="Q790" s="147"/>
    </row>
    <row r="791" spans="15:17" ht="15.75" customHeight="1">
      <c r="O791" s="92"/>
      <c r="Q791" s="147"/>
    </row>
    <row r="792" spans="15:17" ht="15.75" customHeight="1">
      <c r="O792" s="92"/>
      <c r="Q792" s="147"/>
    </row>
    <row r="793" spans="15:17" ht="15.75" customHeight="1">
      <c r="O793" s="92"/>
      <c r="Q793" s="147"/>
    </row>
    <row r="794" spans="15:17" ht="15.75" customHeight="1">
      <c r="O794" s="92"/>
      <c r="Q794" s="147"/>
    </row>
    <row r="795" spans="15:17" ht="15.75" customHeight="1">
      <c r="O795" s="92"/>
      <c r="Q795" s="147"/>
    </row>
    <row r="796" spans="15:17" ht="15.75" customHeight="1">
      <c r="O796" s="92"/>
      <c r="Q796" s="147"/>
    </row>
    <row r="797" spans="15:17" ht="15.75" customHeight="1">
      <c r="O797" s="92"/>
      <c r="Q797" s="147"/>
    </row>
    <row r="798" spans="15:17" ht="15.75" customHeight="1">
      <c r="O798" s="92"/>
      <c r="Q798" s="147"/>
    </row>
    <row r="799" spans="15:17" ht="15.75" customHeight="1">
      <c r="O799" s="92"/>
      <c r="Q799" s="147"/>
    </row>
    <row r="800" spans="15:17" ht="15.75" customHeight="1">
      <c r="O800" s="92"/>
      <c r="Q800" s="147"/>
    </row>
    <row r="801" spans="15:17" ht="15.75" customHeight="1">
      <c r="O801" s="92"/>
      <c r="Q801" s="147"/>
    </row>
    <row r="802" spans="15:17" ht="15.75" customHeight="1">
      <c r="O802" s="92"/>
      <c r="Q802" s="147"/>
    </row>
    <row r="803" spans="15:17" ht="15.75" customHeight="1">
      <c r="O803" s="92"/>
      <c r="Q803" s="147"/>
    </row>
    <row r="804" spans="15:17" ht="15.75" customHeight="1">
      <c r="O804" s="92"/>
      <c r="Q804" s="147"/>
    </row>
    <row r="805" spans="15:17" ht="15.75" customHeight="1">
      <c r="O805" s="92"/>
      <c r="Q805" s="147"/>
    </row>
    <row r="806" spans="15:17" ht="15.75" customHeight="1">
      <c r="O806" s="92"/>
      <c r="Q806" s="147"/>
    </row>
    <row r="807" spans="15:17" ht="15.75" customHeight="1">
      <c r="O807" s="92"/>
      <c r="Q807" s="147"/>
    </row>
    <row r="808" spans="15:17" ht="15.75" customHeight="1">
      <c r="O808" s="92"/>
      <c r="Q808" s="147"/>
    </row>
    <row r="809" spans="15:17" ht="15.75" customHeight="1">
      <c r="O809" s="92"/>
      <c r="Q809" s="147"/>
    </row>
    <row r="810" spans="15:17" ht="15.75" customHeight="1">
      <c r="O810" s="92"/>
      <c r="Q810" s="147"/>
    </row>
    <row r="811" spans="15:17" ht="15.75" customHeight="1">
      <c r="O811" s="92"/>
      <c r="Q811" s="147"/>
    </row>
    <row r="812" spans="15:17" ht="15.75" customHeight="1">
      <c r="O812" s="92"/>
      <c r="Q812" s="147"/>
    </row>
    <row r="813" spans="15:17" ht="15.75" customHeight="1">
      <c r="O813" s="92"/>
      <c r="Q813" s="147"/>
    </row>
    <row r="814" spans="15:17" ht="15.75" customHeight="1">
      <c r="O814" s="92"/>
      <c r="Q814" s="147"/>
    </row>
    <row r="815" spans="15:17" ht="15.75" customHeight="1">
      <c r="O815" s="92"/>
      <c r="Q815" s="147"/>
    </row>
    <row r="816" spans="15:17" ht="15.75" customHeight="1">
      <c r="O816" s="92"/>
      <c r="Q816" s="147"/>
    </row>
    <row r="817" spans="15:17" ht="15.75" customHeight="1">
      <c r="O817" s="92"/>
      <c r="Q817" s="147"/>
    </row>
    <row r="818" spans="15:17" ht="15.75" customHeight="1">
      <c r="O818" s="92"/>
      <c r="Q818" s="147"/>
    </row>
    <row r="819" spans="15:17" ht="15.75" customHeight="1">
      <c r="O819" s="92"/>
      <c r="Q819" s="147"/>
    </row>
    <row r="820" spans="15:17" ht="15.75" customHeight="1">
      <c r="O820" s="92"/>
      <c r="Q820" s="147"/>
    </row>
    <row r="821" spans="15:17" ht="15.75" customHeight="1">
      <c r="O821" s="92"/>
      <c r="Q821" s="147"/>
    </row>
    <row r="822" spans="15:17" ht="15.75" customHeight="1">
      <c r="O822" s="92"/>
      <c r="Q822" s="147"/>
    </row>
    <row r="823" spans="15:17" ht="15.75" customHeight="1">
      <c r="O823" s="92"/>
      <c r="Q823" s="147"/>
    </row>
    <row r="824" spans="15:17" ht="15.75" customHeight="1">
      <c r="O824" s="92"/>
      <c r="Q824" s="147"/>
    </row>
    <row r="825" spans="15:17" ht="15.75" customHeight="1">
      <c r="O825" s="92"/>
      <c r="Q825" s="147"/>
    </row>
    <row r="826" spans="15:17" ht="15.75" customHeight="1">
      <c r="O826" s="92"/>
      <c r="Q826" s="147"/>
    </row>
    <row r="827" spans="15:17" ht="15.75" customHeight="1">
      <c r="O827" s="92"/>
      <c r="Q827" s="147"/>
    </row>
    <row r="828" spans="15:17" ht="15.75" customHeight="1">
      <c r="O828" s="92"/>
      <c r="Q828" s="147"/>
    </row>
    <row r="829" spans="15:17" ht="15.75" customHeight="1">
      <c r="O829" s="92"/>
      <c r="Q829" s="147"/>
    </row>
    <row r="830" spans="15:17" ht="15.75" customHeight="1">
      <c r="O830" s="92"/>
      <c r="Q830" s="147"/>
    </row>
    <row r="831" spans="15:17" ht="15.75" customHeight="1">
      <c r="O831" s="92"/>
      <c r="Q831" s="147"/>
    </row>
    <row r="832" spans="15:17" ht="15.75" customHeight="1">
      <c r="O832" s="92"/>
      <c r="Q832" s="147"/>
    </row>
    <row r="833" spans="15:17" ht="15.75" customHeight="1">
      <c r="O833" s="92"/>
      <c r="Q833" s="147"/>
    </row>
    <row r="834" spans="15:17" ht="15.75" customHeight="1">
      <c r="O834" s="92"/>
      <c r="Q834" s="147"/>
    </row>
    <row r="835" spans="15:17" ht="15.75" customHeight="1">
      <c r="O835" s="92"/>
      <c r="Q835" s="147"/>
    </row>
    <row r="836" spans="15:17" ht="15.75" customHeight="1">
      <c r="O836" s="92"/>
      <c r="Q836" s="147"/>
    </row>
    <row r="837" spans="15:17" ht="15.75" customHeight="1">
      <c r="O837" s="92"/>
      <c r="Q837" s="147"/>
    </row>
    <row r="838" spans="15:17" ht="15.75" customHeight="1">
      <c r="O838" s="92"/>
      <c r="Q838" s="147"/>
    </row>
    <row r="839" spans="15:17" ht="15.75" customHeight="1">
      <c r="O839" s="92"/>
      <c r="Q839" s="147"/>
    </row>
    <row r="840" spans="15:17" ht="15.75" customHeight="1">
      <c r="O840" s="92"/>
      <c r="Q840" s="147"/>
    </row>
    <row r="841" spans="15:17" ht="15.75" customHeight="1">
      <c r="O841" s="92"/>
      <c r="Q841" s="147"/>
    </row>
    <row r="842" spans="15:17" ht="15.75" customHeight="1">
      <c r="O842" s="92"/>
      <c r="Q842" s="147"/>
    </row>
    <row r="843" spans="15:17" ht="15.75" customHeight="1">
      <c r="O843" s="92"/>
      <c r="Q843" s="147"/>
    </row>
    <row r="844" spans="15:17" ht="15.75" customHeight="1">
      <c r="O844" s="92"/>
      <c r="Q844" s="147"/>
    </row>
    <row r="845" spans="15:17" ht="15.75" customHeight="1">
      <c r="O845" s="92"/>
      <c r="Q845" s="147"/>
    </row>
    <row r="846" spans="15:17" ht="15.75" customHeight="1">
      <c r="O846" s="92"/>
      <c r="Q846" s="147"/>
    </row>
    <row r="847" spans="15:17" ht="15.75" customHeight="1">
      <c r="O847" s="92"/>
      <c r="Q847" s="147"/>
    </row>
    <row r="848" spans="15:17" ht="15.75" customHeight="1">
      <c r="O848" s="92"/>
      <c r="Q848" s="147"/>
    </row>
    <row r="849" spans="15:17" ht="15.75" customHeight="1">
      <c r="O849" s="92"/>
      <c r="Q849" s="147"/>
    </row>
    <row r="850" spans="15:17" ht="15.75" customHeight="1">
      <c r="O850" s="92"/>
      <c r="Q850" s="147"/>
    </row>
    <row r="851" spans="15:17" ht="15.75" customHeight="1">
      <c r="O851" s="92"/>
      <c r="Q851" s="147"/>
    </row>
    <row r="852" spans="15:17" ht="15.75" customHeight="1">
      <c r="O852" s="92"/>
      <c r="Q852" s="147"/>
    </row>
    <row r="853" spans="15:17" ht="15.75" customHeight="1">
      <c r="O853" s="92"/>
      <c r="Q853" s="147"/>
    </row>
    <row r="854" spans="15:17" ht="15.75" customHeight="1">
      <c r="O854" s="92"/>
      <c r="Q854" s="147"/>
    </row>
    <row r="855" spans="15:17" ht="15.75" customHeight="1">
      <c r="O855" s="92"/>
      <c r="Q855" s="147"/>
    </row>
    <row r="856" spans="15:17" ht="15.75" customHeight="1">
      <c r="O856" s="92"/>
      <c r="Q856" s="147"/>
    </row>
    <row r="857" spans="15:17" ht="15.75" customHeight="1">
      <c r="O857" s="92"/>
      <c r="Q857" s="147"/>
    </row>
    <row r="858" spans="15:17" ht="15.75" customHeight="1">
      <c r="O858" s="92"/>
      <c r="Q858" s="147"/>
    </row>
    <row r="859" spans="15:17" ht="15.75" customHeight="1">
      <c r="O859" s="92"/>
      <c r="Q859" s="147"/>
    </row>
    <row r="860" spans="15:17" ht="15.75" customHeight="1">
      <c r="O860" s="92"/>
      <c r="Q860" s="147"/>
    </row>
    <row r="861" spans="15:17" ht="15.75" customHeight="1">
      <c r="O861" s="92"/>
      <c r="Q861" s="147"/>
    </row>
    <row r="862" spans="15:17" ht="15.75" customHeight="1">
      <c r="O862" s="92"/>
      <c r="Q862" s="147"/>
    </row>
    <row r="863" spans="15:17" ht="15.75" customHeight="1">
      <c r="O863" s="92"/>
      <c r="Q863" s="147"/>
    </row>
    <row r="864" spans="15:17" ht="15.75" customHeight="1">
      <c r="O864" s="92"/>
      <c r="Q864" s="147"/>
    </row>
    <row r="865" spans="15:17" ht="15.75" customHeight="1">
      <c r="O865" s="92"/>
      <c r="Q865" s="147"/>
    </row>
    <row r="866" spans="15:17" ht="15.75" customHeight="1">
      <c r="O866" s="92"/>
      <c r="Q866" s="147"/>
    </row>
    <row r="867" spans="15:17" ht="15.75" customHeight="1">
      <c r="O867" s="92"/>
      <c r="Q867" s="147"/>
    </row>
    <row r="868" spans="15:17" ht="15.75" customHeight="1">
      <c r="O868" s="92"/>
      <c r="Q868" s="147"/>
    </row>
    <row r="869" spans="15:17" ht="15.75" customHeight="1">
      <c r="O869" s="92"/>
      <c r="Q869" s="147"/>
    </row>
    <row r="870" spans="15:17" ht="15.75" customHeight="1">
      <c r="O870" s="92"/>
      <c r="Q870" s="147"/>
    </row>
    <row r="871" spans="15:17" ht="15.75" customHeight="1">
      <c r="O871" s="92"/>
      <c r="Q871" s="147"/>
    </row>
    <row r="872" spans="15:17" ht="15.75" customHeight="1">
      <c r="O872" s="92"/>
      <c r="Q872" s="147"/>
    </row>
    <row r="873" spans="15:17" ht="15.75" customHeight="1">
      <c r="O873" s="92"/>
      <c r="Q873" s="147"/>
    </row>
    <row r="874" spans="15:17" ht="15.75" customHeight="1">
      <c r="O874" s="92"/>
      <c r="Q874" s="147"/>
    </row>
    <row r="875" spans="15:17" ht="15.75" customHeight="1">
      <c r="O875" s="92"/>
      <c r="Q875" s="147"/>
    </row>
    <row r="876" spans="15:17" ht="15.75" customHeight="1">
      <c r="O876" s="92"/>
      <c r="Q876" s="147"/>
    </row>
    <row r="877" spans="15:17" ht="15.75" customHeight="1">
      <c r="O877" s="92"/>
      <c r="Q877" s="147"/>
    </row>
    <row r="878" spans="15:17" ht="15.75" customHeight="1">
      <c r="O878" s="92"/>
      <c r="Q878" s="147"/>
    </row>
    <row r="879" spans="15:17" ht="15.75" customHeight="1">
      <c r="O879" s="92"/>
      <c r="Q879" s="147"/>
    </row>
    <row r="880" spans="15:17" ht="15.75" customHeight="1">
      <c r="O880" s="92"/>
      <c r="Q880" s="147"/>
    </row>
    <row r="881" spans="15:17" ht="15.75" customHeight="1">
      <c r="O881" s="92"/>
      <c r="Q881" s="147"/>
    </row>
    <row r="882" spans="15:17" ht="15.75" customHeight="1">
      <c r="O882" s="92"/>
      <c r="Q882" s="147"/>
    </row>
    <row r="883" spans="15:17" ht="15.75" customHeight="1">
      <c r="O883" s="92"/>
      <c r="Q883" s="147"/>
    </row>
    <row r="884" spans="15:17" ht="15.75" customHeight="1">
      <c r="O884" s="92"/>
      <c r="Q884" s="147"/>
    </row>
    <row r="885" spans="15:17" ht="15.75" customHeight="1">
      <c r="O885" s="92"/>
      <c r="Q885" s="147"/>
    </row>
    <row r="886" spans="15:17" ht="15.75" customHeight="1">
      <c r="O886" s="92"/>
      <c r="Q886" s="147"/>
    </row>
    <row r="887" spans="15:17" ht="15.75" customHeight="1">
      <c r="O887" s="92"/>
      <c r="Q887" s="147"/>
    </row>
    <row r="888" spans="15:17" ht="15.75" customHeight="1">
      <c r="O888" s="92"/>
      <c r="Q888" s="147"/>
    </row>
    <row r="889" spans="15:17" ht="15.75" customHeight="1">
      <c r="O889" s="92"/>
      <c r="Q889" s="147"/>
    </row>
    <row r="890" spans="15:17" ht="15.75" customHeight="1">
      <c r="O890" s="92"/>
      <c r="Q890" s="147"/>
    </row>
    <row r="891" spans="15:17" ht="15.75" customHeight="1">
      <c r="O891" s="92"/>
      <c r="Q891" s="147"/>
    </row>
    <row r="892" spans="15:17" ht="15.75" customHeight="1">
      <c r="O892" s="92"/>
      <c r="Q892" s="147"/>
    </row>
    <row r="893" spans="15:17" ht="15.75" customHeight="1">
      <c r="O893" s="92"/>
      <c r="Q893" s="147"/>
    </row>
    <row r="894" spans="15:17" ht="15.75" customHeight="1">
      <c r="O894" s="92"/>
      <c r="Q894" s="147"/>
    </row>
    <row r="895" spans="15:17" ht="15.75" customHeight="1">
      <c r="O895" s="92"/>
      <c r="Q895" s="147"/>
    </row>
    <row r="896" spans="15:17" ht="15.75" customHeight="1">
      <c r="O896" s="92"/>
      <c r="Q896" s="147"/>
    </row>
    <row r="897" spans="15:17" ht="15.75" customHeight="1">
      <c r="O897" s="92"/>
      <c r="Q897" s="147"/>
    </row>
    <row r="898" spans="15:17" ht="15.75" customHeight="1">
      <c r="O898" s="92"/>
      <c r="Q898" s="147"/>
    </row>
    <row r="899" spans="15:17" ht="15.75" customHeight="1">
      <c r="O899" s="92"/>
      <c r="Q899" s="147"/>
    </row>
    <row r="900" spans="15:17" ht="15.75" customHeight="1">
      <c r="O900" s="92"/>
      <c r="Q900" s="147"/>
    </row>
    <row r="901" spans="15:17" ht="15.75" customHeight="1">
      <c r="O901" s="92"/>
      <c r="Q901" s="147"/>
    </row>
    <row r="902" spans="15:17" ht="15.75" customHeight="1">
      <c r="O902" s="92"/>
      <c r="Q902" s="147"/>
    </row>
    <row r="903" spans="15:17" ht="15.75" customHeight="1">
      <c r="O903" s="92"/>
      <c r="Q903" s="147"/>
    </row>
    <row r="904" spans="15:17" ht="15.75" customHeight="1">
      <c r="O904" s="92"/>
      <c r="Q904" s="147"/>
    </row>
    <row r="905" spans="15:17" ht="15.75" customHeight="1">
      <c r="O905" s="92"/>
      <c r="Q905" s="147"/>
    </row>
    <row r="906" spans="15:17" ht="15.75" customHeight="1">
      <c r="O906" s="92"/>
      <c r="Q906" s="147"/>
    </row>
    <row r="907" spans="15:17" ht="15.75" customHeight="1">
      <c r="O907" s="92"/>
      <c r="Q907" s="147"/>
    </row>
    <row r="908" spans="15:17" ht="15.75" customHeight="1">
      <c r="O908" s="92"/>
      <c r="Q908" s="147"/>
    </row>
    <row r="909" spans="15:17" ht="15.75" customHeight="1">
      <c r="O909" s="92"/>
      <c r="Q909" s="147"/>
    </row>
    <row r="910" spans="15:17" ht="15.75" customHeight="1">
      <c r="O910" s="92"/>
      <c r="Q910" s="147"/>
    </row>
    <row r="911" spans="15:17" ht="15.75" customHeight="1">
      <c r="O911" s="92"/>
      <c r="Q911" s="147"/>
    </row>
    <row r="912" spans="15:17" ht="15.75" customHeight="1">
      <c r="O912" s="92"/>
      <c r="Q912" s="147"/>
    </row>
    <row r="913" spans="15:17" ht="15.75" customHeight="1">
      <c r="O913" s="92"/>
      <c r="Q913" s="147"/>
    </row>
    <row r="914" spans="15:17" ht="15.75" customHeight="1">
      <c r="O914" s="92"/>
      <c r="Q914" s="147"/>
    </row>
    <row r="915" spans="15:17" ht="15.75" customHeight="1">
      <c r="O915" s="92"/>
      <c r="Q915" s="147"/>
    </row>
    <row r="916" spans="15:17" ht="15.75" customHeight="1">
      <c r="O916" s="92"/>
      <c r="Q916" s="147"/>
    </row>
    <row r="917" spans="15:17" ht="15.75" customHeight="1">
      <c r="O917" s="92"/>
      <c r="Q917" s="147"/>
    </row>
    <row r="918" spans="15:17" ht="15.75" customHeight="1">
      <c r="O918" s="92"/>
      <c r="Q918" s="147"/>
    </row>
    <row r="919" spans="15:17" ht="15.75" customHeight="1">
      <c r="O919" s="92"/>
      <c r="Q919" s="147"/>
    </row>
    <row r="920" spans="15:17" ht="15.75" customHeight="1">
      <c r="O920" s="92"/>
      <c r="Q920" s="147"/>
    </row>
    <row r="921" spans="15:17">
      <c r="Q921" s="147"/>
    </row>
    <row r="922" spans="15:17">
      <c r="Q922" s="147"/>
    </row>
    <row r="923" spans="15:17">
      <c r="Q923" s="147"/>
    </row>
    <row r="924" spans="15:17">
      <c r="Q924" s="147"/>
    </row>
    <row r="925" spans="15:17">
      <c r="Q925" s="147"/>
    </row>
    <row r="926" spans="15:17">
      <c r="Q926" s="147"/>
    </row>
    <row r="927" spans="15:17">
      <c r="Q927" s="147"/>
    </row>
    <row r="928" spans="15:17">
      <c r="Q928" s="147"/>
    </row>
    <row r="929" spans="17:17">
      <c r="Q929" s="147"/>
    </row>
    <row r="930" spans="17:17">
      <c r="Q930" s="147"/>
    </row>
    <row r="931" spans="17:17">
      <c r="Q931" s="147"/>
    </row>
    <row r="932" spans="17:17">
      <c r="Q932" s="147"/>
    </row>
    <row r="933" spans="17:17">
      <c r="Q933" s="147"/>
    </row>
    <row r="934" spans="17:17">
      <c r="Q934" s="147"/>
    </row>
    <row r="935" spans="17:17">
      <c r="Q935" s="147"/>
    </row>
    <row r="936" spans="17:17">
      <c r="Q936" s="147"/>
    </row>
    <row r="937" spans="17:17">
      <c r="Q937" s="147"/>
    </row>
    <row r="938" spans="17:17">
      <c r="Q938" s="147"/>
    </row>
    <row r="939" spans="17:17">
      <c r="Q939" s="147"/>
    </row>
    <row r="940" spans="17:17">
      <c r="Q940" s="147"/>
    </row>
    <row r="941" spans="17:17">
      <c r="Q941" s="147"/>
    </row>
    <row r="942" spans="17:17">
      <c r="Q942" s="147"/>
    </row>
    <row r="943" spans="17:17">
      <c r="Q943" s="147"/>
    </row>
    <row r="944" spans="17:17">
      <c r="Q944" s="147"/>
    </row>
    <row r="945" spans="17:17">
      <c r="Q945" s="147"/>
    </row>
    <row r="946" spans="17:17">
      <c r="Q946" s="147"/>
    </row>
    <row r="947" spans="17:17">
      <c r="Q947" s="147"/>
    </row>
    <row r="948" spans="17:17">
      <c r="Q948" s="147"/>
    </row>
    <row r="949" spans="17:17">
      <c r="Q949" s="147"/>
    </row>
    <row r="950" spans="17:17">
      <c r="Q950" s="147"/>
    </row>
    <row r="951" spans="17:17">
      <c r="Q951" s="147"/>
    </row>
    <row r="952" spans="17:17">
      <c r="Q952" s="147"/>
    </row>
    <row r="953" spans="17:17">
      <c r="Q953" s="147"/>
    </row>
    <row r="954" spans="17:17">
      <c r="Q954" s="147"/>
    </row>
    <row r="955" spans="17:17">
      <c r="Q955" s="147"/>
    </row>
    <row r="956" spans="17:17">
      <c r="Q956" s="147"/>
    </row>
    <row r="957" spans="17:17">
      <c r="Q957" s="147"/>
    </row>
    <row r="958" spans="17:17">
      <c r="Q958" s="147"/>
    </row>
    <row r="959" spans="17:17">
      <c r="Q959" s="147"/>
    </row>
    <row r="960" spans="17:17">
      <c r="Q960" s="147"/>
    </row>
    <row r="961" spans="17:17">
      <c r="Q961" s="147"/>
    </row>
    <row r="962" spans="17:17">
      <c r="Q962" s="147"/>
    </row>
    <row r="963" spans="17:17">
      <c r="Q963" s="147"/>
    </row>
    <row r="964" spans="17:17">
      <c r="Q964" s="147"/>
    </row>
    <row r="965" spans="17:17">
      <c r="Q965" s="147"/>
    </row>
    <row r="966" spans="17:17">
      <c r="Q966" s="147"/>
    </row>
    <row r="967" spans="17:17">
      <c r="Q967" s="147"/>
    </row>
    <row r="968" spans="17:17">
      <c r="Q968" s="147"/>
    </row>
    <row r="969" spans="17:17">
      <c r="Q969" s="147"/>
    </row>
    <row r="970" spans="17:17">
      <c r="Q970" s="147"/>
    </row>
    <row r="971" spans="17:17">
      <c r="Q971" s="147"/>
    </row>
    <row r="972" spans="17:17">
      <c r="Q972" s="147"/>
    </row>
    <row r="973" spans="17:17">
      <c r="Q973" s="147"/>
    </row>
    <row r="974" spans="17:17">
      <c r="Q974" s="147"/>
    </row>
    <row r="975" spans="17:17">
      <c r="Q975" s="147"/>
    </row>
    <row r="976" spans="17:17">
      <c r="Q976" s="147"/>
    </row>
    <row r="977" spans="17:17">
      <c r="Q977" s="147"/>
    </row>
  </sheetData>
  <customSheetViews>
    <customSheetView guid="{76FE80B7-048A-4848-BCC4-616193A540D1}" filter="1" showAutoFilter="1">
      <pageMargins left="0.7" right="0.7" top="0.75" bottom="0.75" header="0.3" footer="0.3"/>
      <autoFilter ref="C8:X164" xr:uid="{A035687E-F58A-704C-AE48-C000D3F9096C}">
        <filterColumn colId="13">
          <filters>
            <filter val="TRUE"/>
          </filters>
        </filterColumn>
        <filterColumn colId="16">
          <filters blank="1">
            <filter val="FALSE"/>
          </filters>
        </filterColumn>
      </autoFilter>
    </customSheetView>
  </customSheetViews>
  <mergeCells count="7">
    <mergeCell ref="U8:V8"/>
    <mergeCell ref="W8:X8"/>
    <mergeCell ref="A1:T1"/>
    <mergeCell ref="L8:M8"/>
    <mergeCell ref="N8:O8"/>
    <mergeCell ref="P8:Q8"/>
    <mergeCell ref="S8:T8"/>
  </mergeCells>
  <conditionalFormatting sqref="E2 E7:E8 B8:D8 H8:I8 K8:W8">
    <cfRule type="notContainsBlanks" dxfId="18" priority="1">
      <formula>LEN(TRIM(E2))&gt;0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76"/>
  <sheetViews>
    <sheetView workbookViewId="0">
      <pane ySplit="6" topLeftCell="A55" activePane="bottomLeft" state="frozen"/>
      <selection pane="bottomLeft" activeCell="M70" sqref="M70"/>
    </sheetView>
  </sheetViews>
  <sheetFormatPr baseColWidth="10" defaultColWidth="14.5" defaultRowHeight="15" customHeight="1"/>
  <cols>
    <col min="1" max="1" width="4.5" customWidth="1"/>
    <col min="2" max="2" width="0.5" customWidth="1"/>
    <col min="3" max="3" width="16" customWidth="1"/>
    <col min="7" max="7" width="63.83203125" customWidth="1"/>
    <col min="8" max="8" width="11.5" customWidth="1"/>
    <col min="9" max="9" width="7.1640625" customWidth="1"/>
    <col min="10" max="10" width="13.1640625" customWidth="1"/>
    <col min="11" max="11" width="13" customWidth="1"/>
    <col min="12" max="12" width="4.5" customWidth="1"/>
    <col min="13" max="13" width="12.5" customWidth="1"/>
    <col min="14" max="15" width="5.5" customWidth="1"/>
    <col min="16" max="16" width="4.83203125" customWidth="1"/>
    <col min="17" max="17" width="13.83203125" customWidth="1"/>
    <col min="18" max="18" width="20.1640625" customWidth="1"/>
    <col min="19" max="19" width="6.1640625" customWidth="1"/>
    <col min="20" max="20" width="23.33203125" customWidth="1"/>
  </cols>
  <sheetData>
    <row r="1" spans="1:26" ht="86.25" customHeight="1">
      <c r="A1" s="535"/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28"/>
      <c r="U1" s="1"/>
    </row>
    <row r="2" spans="1:26" ht="16">
      <c r="A2" s="1"/>
      <c r="B2" s="3"/>
      <c r="C2" s="93" t="s">
        <v>1</v>
      </c>
      <c r="D2" s="14">
        <v>639475</v>
      </c>
      <c r="E2" s="6">
        <f>D3/D2</f>
        <v>1.0283404355135071</v>
      </c>
      <c r="F2" s="148">
        <v>45505</v>
      </c>
      <c r="G2" s="7">
        <v>45322</v>
      </c>
      <c r="H2" s="1"/>
      <c r="I2" s="1"/>
      <c r="J2" s="8"/>
      <c r="K2" s="8"/>
      <c r="L2" s="8"/>
      <c r="M2" s="8"/>
      <c r="N2" s="8"/>
      <c r="O2" s="8"/>
      <c r="P2" s="8"/>
      <c r="Q2" s="126"/>
      <c r="R2" s="1"/>
      <c r="S2" s="1"/>
      <c r="T2" s="1"/>
      <c r="U2" s="1"/>
    </row>
    <row r="3" spans="1:26" ht="16">
      <c r="A3" s="1"/>
      <c r="B3" s="11"/>
      <c r="C3" s="94" t="s">
        <v>2</v>
      </c>
      <c r="D3" s="14">
        <f>SUM(K10:K158)</f>
        <v>657598</v>
      </c>
      <c r="E3" s="14" t="s">
        <v>3</v>
      </c>
      <c r="F3" s="14" t="s">
        <v>3</v>
      </c>
      <c r="G3" s="7">
        <v>45323</v>
      </c>
      <c r="H3" s="1"/>
      <c r="I3" s="1"/>
      <c r="J3" s="8"/>
      <c r="K3" s="8"/>
      <c r="L3" s="1"/>
      <c r="M3" s="1"/>
      <c r="N3" s="9"/>
      <c r="O3" s="10"/>
      <c r="P3" s="1"/>
      <c r="Q3" s="126"/>
      <c r="R3" s="1"/>
      <c r="S3" s="1"/>
      <c r="T3" s="1"/>
      <c r="U3" s="1"/>
    </row>
    <row r="4" spans="1:26" ht="16">
      <c r="A4" s="1"/>
      <c r="B4" s="1"/>
      <c r="C4" s="177" t="s">
        <v>4</v>
      </c>
      <c r="D4" s="177">
        <f ca="1">(E5-TODAY())</f>
        <v>-369</v>
      </c>
      <c r="E4" s="178" t="s">
        <v>5</v>
      </c>
      <c r="F4" s="1"/>
      <c r="G4" s="1"/>
      <c r="H4" s="1"/>
      <c r="I4" s="1"/>
      <c r="J4" s="8"/>
      <c r="K4" s="8"/>
      <c r="L4" s="1"/>
      <c r="M4" s="1"/>
      <c r="N4" s="9"/>
      <c r="O4" s="10"/>
      <c r="P4" s="1"/>
      <c r="Q4" s="126"/>
      <c r="R4" s="1"/>
      <c r="S4" s="1"/>
      <c r="T4" s="1"/>
      <c r="U4" s="1"/>
    </row>
    <row r="5" spans="1:26" ht="16">
      <c r="A5" s="1"/>
      <c r="B5" s="1"/>
      <c r="C5" s="179" t="s">
        <v>6</v>
      </c>
      <c r="D5" s="180">
        <f ca="1">TODAY()</f>
        <v>46026</v>
      </c>
      <c r="E5" s="181">
        <v>45657</v>
      </c>
      <c r="F5" s="1"/>
      <c r="G5" s="7">
        <v>45325</v>
      </c>
      <c r="H5" s="1"/>
      <c r="I5" s="1"/>
      <c r="J5" s="8"/>
      <c r="K5" s="8"/>
      <c r="L5" s="1"/>
      <c r="M5" s="1"/>
      <c r="N5" s="9"/>
      <c r="O5" s="10"/>
      <c r="P5" s="1"/>
      <c r="Q5" s="126"/>
      <c r="R5" s="1"/>
      <c r="S5" s="1"/>
      <c r="T5" s="1"/>
      <c r="U5" s="1"/>
    </row>
    <row r="6" spans="1:26" ht="22">
      <c r="A6" s="1"/>
      <c r="B6" s="22" t="s">
        <v>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  <c r="P6" s="23"/>
      <c r="Q6" s="127"/>
      <c r="R6" s="26"/>
      <c r="S6" s="26"/>
      <c r="T6" s="27"/>
      <c r="U6" s="1"/>
    </row>
    <row r="7" spans="1:26" ht="16">
      <c r="A7" s="1"/>
      <c r="B7" s="182"/>
      <c r="C7" s="183"/>
      <c r="D7" s="184"/>
      <c r="E7" s="31"/>
      <c r="F7" s="1"/>
      <c r="G7" s="18"/>
      <c r="H7" s="1"/>
      <c r="I7" s="1"/>
      <c r="J7" s="8"/>
      <c r="K7" s="8"/>
      <c r="L7" s="1"/>
      <c r="M7" s="1"/>
      <c r="N7" s="9"/>
      <c r="O7" s="10"/>
      <c r="P7" s="1"/>
      <c r="Q7" s="126"/>
      <c r="R7" s="1"/>
      <c r="S7" s="1"/>
      <c r="T7" s="1"/>
      <c r="U7" s="1"/>
    </row>
    <row r="8" spans="1:26">
      <c r="A8" s="1"/>
      <c r="B8" s="32"/>
      <c r="C8" s="31"/>
      <c r="D8" s="33"/>
      <c r="E8" s="31" t="s">
        <v>9</v>
      </c>
      <c r="F8" s="31"/>
      <c r="G8" s="18"/>
      <c r="H8" s="31"/>
      <c r="I8" s="31"/>
      <c r="J8" s="34"/>
      <c r="K8" s="31"/>
      <c r="L8" s="531" t="s">
        <v>10</v>
      </c>
      <c r="M8" s="528"/>
      <c r="N8" s="532" t="s">
        <v>11</v>
      </c>
      <c r="O8" s="528"/>
      <c r="P8" s="533" t="s">
        <v>12</v>
      </c>
      <c r="Q8" s="528"/>
      <c r="R8" s="35" t="s">
        <v>13</v>
      </c>
      <c r="S8" s="527" t="s">
        <v>14</v>
      </c>
      <c r="T8" s="528"/>
      <c r="U8" s="527" t="s">
        <v>15</v>
      </c>
      <c r="V8" s="528"/>
      <c r="W8" s="527" t="s">
        <v>16</v>
      </c>
      <c r="X8" s="528"/>
    </row>
    <row r="9" spans="1:26" ht="14.25" customHeight="1">
      <c r="A9" s="98"/>
      <c r="B9" s="99"/>
      <c r="C9" s="38" t="s">
        <v>18</v>
      </c>
      <c r="D9" s="38" t="s">
        <v>19</v>
      </c>
      <c r="E9" s="38" t="s">
        <v>20</v>
      </c>
      <c r="F9" s="38" t="s">
        <v>21</v>
      </c>
      <c r="G9" s="38" t="s">
        <v>2018</v>
      </c>
      <c r="H9" s="38" t="s">
        <v>22</v>
      </c>
      <c r="I9" s="38"/>
      <c r="J9" s="40"/>
      <c r="K9" s="41" t="s">
        <v>23</v>
      </c>
      <c r="L9" s="42"/>
      <c r="M9" s="43"/>
      <c r="N9" s="43"/>
      <c r="O9" s="44"/>
      <c r="P9" s="45"/>
      <c r="Q9" s="128"/>
      <c r="R9" s="46"/>
      <c r="S9" s="47"/>
      <c r="T9" s="61"/>
      <c r="U9" s="100" t="s">
        <v>24</v>
      </c>
      <c r="V9" s="100" t="s">
        <v>25</v>
      </c>
      <c r="W9" s="49"/>
      <c r="X9" s="49"/>
    </row>
    <row r="10" spans="1:26">
      <c r="A10" s="1"/>
      <c r="B10" s="32"/>
      <c r="C10" s="71" t="s">
        <v>1795</v>
      </c>
      <c r="D10" s="53" t="s">
        <v>104</v>
      </c>
      <c r="E10" s="53" t="s">
        <v>1689</v>
      </c>
      <c r="F10" s="66" t="s">
        <v>1021</v>
      </c>
      <c r="G10" s="69" t="s">
        <v>1690</v>
      </c>
      <c r="H10" s="69" t="s">
        <v>30</v>
      </c>
      <c r="I10" s="69">
        <v>1</v>
      </c>
      <c r="J10" s="70">
        <v>25000</v>
      </c>
      <c r="K10" s="54">
        <f t="shared" ref="K10:K68" si="0">I10*J10</f>
        <v>25000</v>
      </c>
      <c r="L10" s="55" t="b">
        <v>1</v>
      </c>
      <c r="M10" s="56">
        <v>10820240945</v>
      </c>
      <c r="N10" s="57" t="b">
        <v>1</v>
      </c>
      <c r="O10" s="58" t="s">
        <v>529</v>
      </c>
      <c r="P10" s="59" t="b">
        <v>1</v>
      </c>
      <c r="Q10" s="129" t="s">
        <v>1796</v>
      </c>
      <c r="R10" s="60"/>
      <c r="S10" s="47" t="b">
        <v>1</v>
      </c>
      <c r="T10" s="61" t="s">
        <v>1797</v>
      </c>
      <c r="U10" s="54"/>
      <c r="V10" s="54"/>
      <c r="W10" s="49"/>
      <c r="X10" s="49"/>
    </row>
    <row r="11" spans="1:26">
      <c r="A11" s="1"/>
      <c r="B11" s="32"/>
      <c r="C11" s="82">
        <v>45505</v>
      </c>
      <c r="D11" s="53" t="s">
        <v>1165</v>
      </c>
      <c r="E11" s="53" t="s">
        <v>47</v>
      </c>
      <c r="F11" s="53" t="s">
        <v>48</v>
      </c>
      <c r="G11" s="53" t="s">
        <v>1798</v>
      </c>
      <c r="H11" s="53" t="s">
        <v>30</v>
      </c>
      <c r="I11" s="66">
        <v>20</v>
      </c>
      <c r="J11" s="54">
        <v>695</v>
      </c>
      <c r="K11" s="54">
        <f t="shared" si="0"/>
        <v>13900</v>
      </c>
      <c r="L11" s="55" t="b">
        <v>1</v>
      </c>
      <c r="M11" s="56">
        <v>10820240945</v>
      </c>
      <c r="N11" s="57" t="b">
        <v>1</v>
      </c>
      <c r="O11" s="58" t="s">
        <v>31</v>
      </c>
      <c r="P11" s="59" t="b">
        <v>1</v>
      </c>
      <c r="Q11" s="129"/>
      <c r="R11" s="60"/>
      <c r="S11" s="47" t="b">
        <v>1</v>
      </c>
      <c r="T11" s="61" t="s">
        <v>1799</v>
      </c>
      <c r="U11" s="54"/>
      <c r="V11" s="54"/>
      <c r="W11" s="49"/>
      <c r="X11" s="49"/>
    </row>
    <row r="12" spans="1:26">
      <c r="A12" s="18"/>
      <c r="B12" s="163"/>
      <c r="C12" s="76">
        <v>45505</v>
      </c>
      <c r="D12" s="66" t="s">
        <v>144</v>
      </c>
      <c r="E12" s="66" t="s">
        <v>145</v>
      </c>
      <c r="F12" s="66" t="s">
        <v>1771</v>
      </c>
      <c r="G12" s="66" t="s">
        <v>1800</v>
      </c>
      <c r="H12" s="66" t="s">
        <v>30</v>
      </c>
      <c r="I12" s="66">
        <v>20</v>
      </c>
      <c r="J12" s="75">
        <v>865</v>
      </c>
      <c r="K12" s="75">
        <f t="shared" si="0"/>
        <v>17300</v>
      </c>
      <c r="L12" s="55" t="b">
        <v>1</v>
      </c>
      <c r="M12" s="154">
        <v>10820241217</v>
      </c>
      <c r="N12" s="57" t="b">
        <v>1</v>
      </c>
      <c r="O12" s="58" t="s">
        <v>31</v>
      </c>
      <c r="P12" s="59" t="b">
        <v>1</v>
      </c>
      <c r="Q12" s="164"/>
      <c r="R12" s="57"/>
      <c r="S12" s="47" t="b">
        <v>1</v>
      </c>
      <c r="T12" s="61" t="s">
        <v>1801</v>
      </c>
      <c r="U12" s="75"/>
      <c r="V12" s="75"/>
      <c r="W12" s="166"/>
      <c r="X12" s="166"/>
      <c r="Y12" s="167"/>
      <c r="Z12" s="167"/>
    </row>
    <row r="13" spans="1:26">
      <c r="A13" s="1"/>
      <c r="B13" s="32"/>
      <c r="C13" s="52">
        <v>45505</v>
      </c>
      <c r="D13" s="53" t="s">
        <v>144</v>
      </c>
      <c r="E13" s="53" t="s">
        <v>145</v>
      </c>
      <c r="F13" s="53" t="s">
        <v>1771</v>
      </c>
      <c r="G13" s="53" t="s">
        <v>1800</v>
      </c>
      <c r="H13" s="53" t="s">
        <v>30</v>
      </c>
      <c r="I13" s="53">
        <v>10</v>
      </c>
      <c r="J13" s="54">
        <v>865</v>
      </c>
      <c r="K13" s="54">
        <f t="shared" si="0"/>
        <v>8650</v>
      </c>
      <c r="L13" s="55" t="b">
        <v>1</v>
      </c>
      <c r="M13" s="56"/>
      <c r="N13" s="57" t="b">
        <v>1</v>
      </c>
      <c r="O13" s="58"/>
      <c r="P13" s="59" t="b">
        <v>1</v>
      </c>
      <c r="Q13" s="129"/>
      <c r="R13" s="60"/>
      <c r="S13" s="47" t="b">
        <v>1</v>
      </c>
      <c r="T13" s="61" t="s">
        <v>1802</v>
      </c>
      <c r="U13" s="54"/>
      <c r="V13" s="54"/>
      <c r="W13" s="49"/>
      <c r="X13" s="49"/>
    </row>
    <row r="14" spans="1:26">
      <c r="A14" s="1"/>
      <c r="B14" s="32"/>
      <c r="C14" s="52">
        <v>45505</v>
      </c>
      <c r="D14" s="53" t="s">
        <v>51</v>
      </c>
      <c r="E14" s="53" t="s">
        <v>89</v>
      </c>
      <c r="F14" s="53" t="s">
        <v>90</v>
      </c>
      <c r="G14" s="53" t="s">
        <v>1800</v>
      </c>
      <c r="H14" s="53" t="s">
        <v>30</v>
      </c>
      <c r="I14" s="53">
        <v>40</v>
      </c>
      <c r="J14" s="54">
        <v>105</v>
      </c>
      <c r="K14" s="54">
        <f t="shared" si="0"/>
        <v>4200</v>
      </c>
      <c r="L14" s="55" t="b">
        <v>1</v>
      </c>
      <c r="M14" s="56">
        <v>10820241544</v>
      </c>
      <c r="N14" s="57" t="b">
        <v>1</v>
      </c>
      <c r="O14" s="58"/>
      <c r="P14" s="59" t="b">
        <v>1</v>
      </c>
      <c r="Q14" s="129"/>
      <c r="R14" s="60"/>
      <c r="S14" s="47" t="b">
        <v>1</v>
      </c>
      <c r="T14" s="61" t="s">
        <v>1803</v>
      </c>
      <c r="U14" s="54"/>
      <c r="V14" s="54"/>
      <c r="W14" s="49"/>
      <c r="X14" s="49"/>
    </row>
    <row r="15" spans="1:26" ht="17.25" customHeight="1">
      <c r="A15" s="1"/>
      <c r="B15" s="32"/>
      <c r="C15" s="52">
        <v>45506</v>
      </c>
      <c r="D15" s="53" t="s">
        <v>51</v>
      </c>
      <c r="E15" s="53" t="s">
        <v>335</v>
      </c>
      <c r="F15" s="53" t="s">
        <v>1021</v>
      </c>
      <c r="G15" s="74" t="s">
        <v>379</v>
      </c>
      <c r="H15" s="74" t="s">
        <v>30</v>
      </c>
      <c r="I15" s="74">
        <v>2</v>
      </c>
      <c r="J15" s="73">
        <v>4000</v>
      </c>
      <c r="K15" s="54">
        <f t="shared" si="0"/>
        <v>8000</v>
      </c>
      <c r="L15" s="55" t="b">
        <v>1</v>
      </c>
      <c r="M15" s="56">
        <v>20820241312</v>
      </c>
      <c r="N15" s="57" t="b">
        <v>1</v>
      </c>
      <c r="O15" s="152" t="s">
        <v>39</v>
      </c>
      <c r="P15" s="59" t="b">
        <v>1</v>
      </c>
      <c r="Q15" s="152" t="s">
        <v>1804</v>
      </c>
      <c r="R15" s="60"/>
      <c r="S15" s="47" t="b">
        <v>1</v>
      </c>
      <c r="T15" s="61" t="s">
        <v>1805</v>
      </c>
      <c r="U15" s="54">
        <v>3400</v>
      </c>
      <c r="V15" s="54"/>
      <c r="W15" s="49"/>
      <c r="X15" s="49"/>
    </row>
    <row r="16" spans="1:26">
      <c r="A16" s="18"/>
      <c r="B16" s="163"/>
      <c r="C16" s="76">
        <v>45509</v>
      </c>
      <c r="D16" s="66" t="s">
        <v>51</v>
      </c>
      <c r="E16" s="66" t="s">
        <v>201</v>
      </c>
      <c r="F16" s="66" t="s">
        <v>202</v>
      </c>
      <c r="G16" s="66" t="s">
        <v>1806</v>
      </c>
      <c r="H16" s="67" t="s">
        <v>30</v>
      </c>
      <c r="I16" s="67">
        <v>1</v>
      </c>
      <c r="J16" s="68">
        <v>3750</v>
      </c>
      <c r="K16" s="75">
        <f t="shared" si="0"/>
        <v>3750</v>
      </c>
      <c r="L16" s="55" t="b">
        <v>1</v>
      </c>
      <c r="M16" s="154">
        <v>50820240854</v>
      </c>
      <c r="N16" s="57" t="b">
        <v>1</v>
      </c>
      <c r="O16" s="152" t="s">
        <v>39</v>
      </c>
      <c r="P16" s="59" t="b">
        <v>1</v>
      </c>
      <c r="Q16" s="152" t="s">
        <v>1807</v>
      </c>
      <c r="R16" s="57"/>
      <c r="S16" s="47" t="b">
        <v>1</v>
      </c>
      <c r="T16" s="165" t="s">
        <v>1808</v>
      </c>
      <c r="U16" s="75">
        <v>2500</v>
      </c>
      <c r="V16" s="75"/>
      <c r="W16" s="166"/>
      <c r="X16" s="166"/>
      <c r="Y16" s="167"/>
      <c r="Z16" s="167"/>
    </row>
    <row r="17" spans="1:26">
      <c r="A17" s="1"/>
      <c r="B17" s="32"/>
      <c r="C17" s="82">
        <v>45509</v>
      </c>
      <c r="D17" s="66" t="s">
        <v>149</v>
      </c>
      <c r="E17" s="67" t="s">
        <v>130</v>
      </c>
      <c r="F17" s="67" t="s">
        <v>1809</v>
      </c>
      <c r="G17" s="67" t="s">
        <v>101</v>
      </c>
      <c r="H17" s="69" t="s">
        <v>30</v>
      </c>
      <c r="I17" s="69">
        <v>15</v>
      </c>
      <c r="J17" s="70">
        <v>675</v>
      </c>
      <c r="K17" s="54">
        <f t="shared" si="0"/>
        <v>10125</v>
      </c>
      <c r="L17" s="55" t="b">
        <v>1</v>
      </c>
      <c r="M17" s="56">
        <v>50820240856</v>
      </c>
      <c r="N17" s="57" t="b">
        <v>1</v>
      </c>
      <c r="O17" s="185" t="s">
        <v>31</v>
      </c>
      <c r="P17" s="59" t="b">
        <v>1</v>
      </c>
      <c r="Q17" s="129"/>
      <c r="R17" s="60"/>
      <c r="S17" s="47" t="b">
        <v>1</v>
      </c>
      <c r="T17" s="61" t="s">
        <v>1810</v>
      </c>
      <c r="U17" s="54"/>
      <c r="V17" s="54"/>
      <c r="W17" s="49"/>
      <c r="X17" s="49"/>
    </row>
    <row r="18" spans="1:26">
      <c r="A18" s="1"/>
      <c r="B18" s="32"/>
      <c r="C18" s="82">
        <v>45509</v>
      </c>
      <c r="D18" s="66" t="s">
        <v>438</v>
      </c>
      <c r="E18" s="67" t="s">
        <v>883</v>
      </c>
      <c r="F18" s="67" t="s">
        <v>440</v>
      </c>
      <c r="G18" s="67" t="s">
        <v>374</v>
      </c>
      <c r="H18" s="69" t="s">
        <v>30</v>
      </c>
      <c r="I18" s="69">
        <v>150</v>
      </c>
      <c r="J18" s="70">
        <v>30</v>
      </c>
      <c r="K18" s="54">
        <f t="shared" si="0"/>
        <v>4500</v>
      </c>
      <c r="L18" s="55" t="b">
        <v>1</v>
      </c>
      <c r="M18" s="56">
        <v>50820240906</v>
      </c>
      <c r="N18" s="57" t="b">
        <v>1</v>
      </c>
      <c r="O18" s="58" t="s">
        <v>31</v>
      </c>
      <c r="P18" s="59" t="b">
        <v>1</v>
      </c>
      <c r="Q18" s="129"/>
      <c r="R18" s="60"/>
      <c r="S18" s="47" t="b">
        <v>1</v>
      </c>
      <c r="T18" s="61" t="s">
        <v>1811</v>
      </c>
      <c r="U18" s="54"/>
      <c r="V18" s="54"/>
      <c r="W18" s="49"/>
      <c r="X18" s="49"/>
    </row>
    <row r="19" spans="1:26">
      <c r="A19" s="1"/>
      <c r="B19" s="32"/>
      <c r="C19" s="82">
        <v>45509</v>
      </c>
      <c r="D19" s="66" t="s">
        <v>438</v>
      </c>
      <c r="E19" s="67" t="s">
        <v>883</v>
      </c>
      <c r="F19" s="67" t="s">
        <v>440</v>
      </c>
      <c r="G19" s="66" t="s">
        <v>1812</v>
      </c>
      <c r="H19" s="53" t="s">
        <v>30</v>
      </c>
      <c r="I19" s="53">
        <v>4</v>
      </c>
      <c r="J19" s="54">
        <v>165</v>
      </c>
      <c r="K19" s="54">
        <f t="shared" si="0"/>
        <v>660</v>
      </c>
      <c r="L19" s="55" t="b">
        <v>1</v>
      </c>
      <c r="M19" s="56">
        <v>50820240907</v>
      </c>
      <c r="N19" s="57" t="b">
        <v>1</v>
      </c>
      <c r="O19" s="58" t="s">
        <v>31</v>
      </c>
      <c r="P19" s="59" t="b">
        <v>1</v>
      </c>
      <c r="Q19" s="129"/>
      <c r="R19" s="60"/>
      <c r="S19" s="47" t="b">
        <v>1</v>
      </c>
      <c r="T19" s="61" t="s">
        <v>1811</v>
      </c>
      <c r="U19" s="54"/>
      <c r="V19" s="54"/>
      <c r="W19" s="49"/>
      <c r="X19" s="49"/>
    </row>
    <row r="20" spans="1:26">
      <c r="A20" s="1"/>
      <c r="B20" s="32"/>
      <c r="C20" s="82">
        <v>45509</v>
      </c>
      <c r="D20" s="66" t="s">
        <v>438</v>
      </c>
      <c r="E20" s="67" t="s">
        <v>439</v>
      </c>
      <c r="F20" s="67" t="s">
        <v>440</v>
      </c>
      <c r="G20" s="66" t="s">
        <v>1813</v>
      </c>
      <c r="H20" s="53" t="s">
        <v>30</v>
      </c>
      <c r="I20" s="53">
        <v>1</v>
      </c>
      <c r="J20" s="54">
        <v>105</v>
      </c>
      <c r="K20" s="54">
        <f t="shared" si="0"/>
        <v>105</v>
      </c>
      <c r="L20" s="55" t="b">
        <v>1</v>
      </c>
      <c r="M20" s="56">
        <v>50820240908</v>
      </c>
      <c r="N20" s="57" t="b">
        <v>1</v>
      </c>
      <c r="O20" s="58" t="s">
        <v>31</v>
      </c>
      <c r="P20" s="59" t="b">
        <v>1</v>
      </c>
      <c r="Q20" s="129"/>
      <c r="R20" s="60"/>
      <c r="S20" s="47" t="b">
        <v>1</v>
      </c>
      <c r="T20" s="61" t="s">
        <v>1811</v>
      </c>
      <c r="U20" s="54"/>
      <c r="V20" s="54"/>
      <c r="W20" s="49"/>
      <c r="X20" s="49"/>
    </row>
    <row r="21" spans="1:26">
      <c r="A21" s="1"/>
      <c r="B21" s="32"/>
      <c r="C21" s="82">
        <v>45509</v>
      </c>
      <c r="D21" s="66" t="s">
        <v>438</v>
      </c>
      <c r="E21" s="67" t="s">
        <v>439</v>
      </c>
      <c r="F21" s="67" t="s">
        <v>440</v>
      </c>
      <c r="G21" s="67" t="s">
        <v>877</v>
      </c>
      <c r="H21" s="53" t="s">
        <v>30</v>
      </c>
      <c r="I21" s="53">
        <v>2</v>
      </c>
      <c r="J21" s="54">
        <v>875</v>
      </c>
      <c r="K21" s="54">
        <f t="shared" si="0"/>
        <v>1750</v>
      </c>
      <c r="L21" s="55" t="b">
        <v>1</v>
      </c>
      <c r="M21" s="56">
        <v>50820240922</v>
      </c>
      <c r="N21" s="57" t="b">
        <v>1</v>
      </c>
      <c r="O21" s="58" t="s">
        <v>31</v>
      </c>
      <c r="P21" s="59" t="b">
        <v>1</v>
      </c>
      <c r="Q21" s="129"/>
      <c r="R21" s="60"/>
      <c r="S21" s="47" t="b">
        <v>1</v>
      </c>
      <c r="T21" s="61" t="s">
        <v>1811</v>
      </c>
      <c r="U21" s="54"/>
      <c r="V21" s="54"/>
      <c r="W21" s="49"/>
      <c r="X21" s="49"/>
    </row>
    <row r="22" spans="1:26">
      <c r="A22" s="1"/>
      <c r="B22" s="32"/>
      <c r="C22" s="82">
        <v>45509</v>
      </c>
      <c r="D22" s="66" t="s">
        <v>438</v>
      </c>
      <c r="E22" s="67" t="s">
        <v>439</v>
      </c>
      <c r="F22" s="67" t="s">
        <v>440</v>
      </c>
      <c r="G22" s="69" t="s">
        <v>1814</v>
      </c>
      <c r="H22" s="53" t="s">
        <v>30</v>
      </c>
      <c r="I22" s="53">
        <v>2000</v>
      </c>
      <c r="J22" s="54">
        <v>1.5</v>
      </c>
      <c r="K22" s="54">
        <f t="shared" si="0"/>
        <v>3000</v>
      </c>
      <c r="L22" s="55" t="b">
        <v>1</v>
      </c>
      <c r="M22" s="56">
        <v>50820240927</v>
      </c>
      <c r="N22" s="57" t="b">
        <v>1</v>
      </c>
      <c r="O22" s="58" t="s">
        <v>31</v>
      </c>
      <c r="P22" s="59" t="b">
        <v>1</v>
      </c>
      <c r="Q22" s="129"/>
      <c r="R22" s="60"/>
      <c r="S22" s="47" t="b">
        <v>1</v>
      </c>
      <c r="T22" s="61" t="s">
        <v>1811</v>
      </c>
      <c r="U22" s="54"/>
      <c r="V22" s="54"/>
      <c r="W22" s="49"/>
      <c r="X22" s="49"/>
    </row>
    <row r="23" spans="1:26">
      <c r="A23" s="1"/>
      <c r="B23" s="32"/>
      <c r="C23" s="82">
        <v>45509</v>
      </c>
      <c r="D23" s="66" t="s">
        <v>438</v>
      </c>
      <c r="E23" s="67" t="s">
        <v>439</v>
      </c>
      <c r="F23" s="67" t="s">
        <v>440</v>
      </c>
      <c r="G23" s="69" t="s">
        <v>1798</v>
      </c>
      <c r="H23" s="53" t="s">
        <v>30</v>
      </c>
      <c r="I23" s="53">
        <v>3</v>
      </c>
      <c r="J23" s="54">
        <v>795</v>
      </c>
      <c r="K23" s="54">
        <f t="shared" si="0"/>
        <v>2385</v>
      </c>
      <c r="L23" s="55" t="b">
        <v>1</v>
      </c>
      <c r="M23" s="56">
        <v>50820240930</v>
      </c>
      <c r="N23" s="57" t="b">
        <v>1</v>
      </c>
      <c r="O23" s="58" t="s">
        <v>31</v>
      </c>
      <c r="P23" s="59" t="b">
        <v>1</v>
      </c>
      <c r="Q23" s="129"/>
      <c r="R23" s="60"/>
      <c r="S23" s="47" t="b">
        <v>1</v>
      </c>
      <c r="T23" s="61" t="s">
        <v>1811</v>
      </c>
      <c r="U23" s="54"/>
      <c r="V23" s="54"/>
      <c r="W23" s="49"/>
      <c r="X23" s="49"/>
    </row>
    <row r="24" spans="1:26">
      <c r="A24" s="1"/>
      <c r="B24" s="32"/>
      <c r="C24" s="82">
        <v>45509</v>
      </c>
      <c r="D24" s="53" t="s">
        <v>438</v>
      </c>
      <c r="E24" s="53" t="s">
        <v>439</v>
      </c>
      <c r="F24" s="53" t="s">
        <v>440</v>
      </c>
      <c r="G24" s="69" t="s">
        <v>1815</v>
      </c>
      <c r="H24" s="53" t="s">
        <v>30</v>
      </c>
      <c r="I24" s="53">
        <v>5</v>
      </c>
      <c r="J24" s="54">
        <v>650</v>
      </c>
      <c r="K24" s="54">
        <f t="shared" si="0"/>
        <v>3250</v>
      </c>
      <c r="L24" s="55" t="b">
        <v>1</v>
      </c>
      <c r="M24" s="56">
        <v>50820240932</v>
      </c>
      <c r="N24" s="57" t="b">
        <v>1</v>
      </c>
      <c r="O24" s="58" t="s">
        <v>31</v>
      </c>
      <c r="P24" s="59" t="b">
        <v>1</v>
      </c>
      <c r="Q24" s="129"/>
      <c r="R24" s="60"/>
      <c r="S24" s="47" t="b">
        <v>1</v>
      </c>
      <c r="T24" s="61" t="s">
        <v>1811</v>
      </c>
      <c r="U24" s="54"/>
      <c r="V24" s="61"/>
      <c r="W24" s="49"/>
      <c r="X24" s="49"/>
    </row>
    <row r="25" spans="1:26">
      <c r="A25" s="18"/>
      <c r="B25" s="163"/>
      <c r="C25" s="132" t="s">
        <v>1816</v>
      </c>
      <c r="D25" s="66" t="s">
        <v>438</v>
      </c>
      <c r="E25" s="66" t="s">
        <v>883</v>
      </c>
      <c r="F25" s="66" t="s">
        <v>440</v>
      </c>
      <c r="G25" s="66" t="s">
        <v>101</v>
      </c>
      <c r="H25" s="66" t="s">
        <v>30</v>
      </c>
      <c r="I25" s="66">
        <v>5</v>
      </c>
      <c r="J25" s="75">
        <v>875</v>
      </c>
      <c r="K25" s="75">
        <f t="shared" si="0"/>
        <v>4375</v>
      </c>
      <c r="L25" s="55" t="b">
        <v>1</v>
      </c>
      <c r="M25" s="154">
        <v>50820240942</v>
      </c>
      <c r="N25" s="57" t="b">
        <v>1</v>
      </c>
      <c r="O25" s="58" t="s">
        <v>31</v>
      </c>
      <c r="P25" s="59" t="b">
        <v>1</v>
      </c>
      <c r="Q25" s="164"/>
      <c r="R25" s="57"/>
      <c r="S25" s="47" t="b">
        <v>1</v>
      </c>
      <c r="T25" s="61" t="s">
        <v>1817</v>
      </c>
      <c r="U25" s="75"/>
      <c r="V25" s="75"/>
      <c r="W25" s="166"/>
      <c r="X25" s="166"/>
      <c r="Y25" s="167"/>
      <c r="Z25" s="167"/>
    </row>
    <row r="26" spans="1:26">
      <c r="A26" s="1"/>
      <c r="B26" s="32"/>
      <c r="C26" s="71" t="s">
        <v>1816</v>
      </c>
      <c r="D26" s="53" t="s">
        <v>144</v>
      </c>
      <c r="E26" s="53" t="s">
        <v>1818</v>
      </c>
      <c r="F26" s="53" t="s">
        <v>1819</v>
      </c>
      <c r="G26" s="53" t="s">
        <v>1171</v>
      </c>
      <c r="H26" s="53" t="s">
        <v>30</v>
      </c>
      <c r="I26" s="53">
        <v>10</v>
      </c>
      <c r="J26" s="54">
        <v>1495</v>
      </c>
      <c r="K26" s="54">
        <f t="shared" si="0"/>
        <v>14950</v>
      </c>
      <c r="L26" s="55" t="b">
        <v>1</v>
      </c>
      <c r="M26" s="56">
        <v>50820241428</v>
      </c>
      <c r="N26" s="57" t="b">
        <v>1</v>
      </c>
      <c r="O26" s="58" t="s">
        <v>31</v>
      </c>
      <c r="P26" s="59" t="b">
        <v>1</v>
      </c>
      <c r="Q26" s="129"/>
      <c r="R26" s="60"/>
      <c r="S26" s="47" t="b">
        <v>1</v>
      </c>
      <c r="T26" s="61" t="s">
        <v>1820</v>
      </c>
      <c r="U26" s="54"/>
      <c r="V26" s="54"/>
      <c r="W26" s="49"/>
      <c r="X26" s="49"/>
    </row>
    <row r="27" spans="1:26">
      <c r="A27" s="1"/>
      <c r="B27" s="32"/>
      <c r="C27" s="71" t="s">
        <v>1816</v>
      </c>
      <c r="D27" s="53" t="s">
        <v>212</v>
      </c>
      <c r="E27" s="53" t="s">
        <v>311</v>
      </c>
      <c r="F27" s="53" t="s">
        <v>312</v>
      </c>
      <c r="G27" s="53" t="s">
        <v>1821</v>
      </c>
      <c r="H27" s="53" t="s">
        <v>30</v>
      </c>
      <c r="I27" s="53">
        <v>1</v>
      </c>
      <c r="J27" s="54">
        <v>895</v>
      </c>
      <c r="K27" s="54">
        <f t="shared" si="0"/>
        <v>895</v>
      </c>
      <c r="L27" s="55" t="b">
        <v>1</v>
      </c>
      <c r="M27" s="56">
        <v>50820241438</v>
      </c>
      <c r="N27" s="57" t="b">
        <v>1</v>
      </c>
      <c r="O27" s="58" t="s">
        <v>31</v>
      </c>
      <c r="P27" s="59" t="b">
        <v>1</v>
      </c>
      <c r="Q27" s="129"/>
      <c r="R27" s="60"/>
      <c r="S27" s="47" t="b">
        <v>1</v>
      </c>
      <c r="T27" s="61" t="s">
        <v>1822</v>
      </c>
      <c r="U27" s="54"/>
      <c r="V27" s="54"/>
      <c r="W27" s="49"/>
      <c r="X27" s="49"/>
    </row>
    <row r="28" spans="1:26">
      <c r="A28" s="1"/>
      <c r="B28" s="32"/>
      <c r="C28" s="71" t="s">
        <v>1816</v>
      </c>
      <c r="D28" s="53" t="s">
        <v>212</v>
      </c>
      <c r="E28" s="53" t="s">
        <v>311</v>
      </c>
      <c r="F28" s="53" t="s">
        <v>312</v>
      </c>
      <c r="G28" s="53" t="s">
        <v>1823</v>
      </c>
      <c r="H28" s="53" t="s">
        <v>30</v>
      </c>
      <c r="I28" s="53">
        <v>1</v>
      </c>
      <c r="J28" s="54">
        <v>1275</v>
      </c>
      <c r="K28" s="54">
        <f t="shared" si="0"/>
        <v>1275</v>
      </c>
      <c r="L28" s="55" t="b">
        <v>1</v>
      </c>
      <c r="M28" s="56">
        <v>50820241438</v>
      </c>
      <c r="N28" s="57" t="b">
        <v>1</v>
      </c>
      <c r="O28" s="58" t="s">
        <v>31</v>
      </c>
      <c r="P28" s="59" t="b">
        <v>1</v>
      </c>
      <c r="Q28" s="129"/>
      <c r="R28" s="60"/>
      <c r="S28" s="47" t="b">
        <v>1</v>
      </c>
      <c r="T28" s="61" t="s">
        <v>1822</v>
      </c>
      <c r="U28" s="54"/>
      <c r="V28" s="54"/>
      <c r="W28" s="49"/>
      <c r="X28" s="49"/>
    </row>
    <row r="29" spans="1:26">
      <c r="A29" s="18"/>
      <c r="B29" s="163"/>
      <c r="C29" s="132" t="s">
        <v>1816</v>
      </c>
      <c r="D29" s="66" t="s">
        <v>418</v>
      </c>
      <c r="E29" s="66" t="s">
        <v>84</v>
      </c>
      <c r="F29" s="66" t="s">
        <v>85</v>
      </c>
      <c r="G29" s="159" t="s">
        <v>1824</v>
      </c>
      <c r="H29" s="159" t="s">
        <v>30</v>
      </c>
      <c r="I29" s="153">
        <v>1000</v>
      </c>
      <c r="J29" s="160">
        <v>15</v>
      </c>
      <c r="K29" s="75">
        <f t="shared" si="0"/>
        <v>15000</v>
      </c>
      <c r="L29" s="55" t="b">
        <v>1</v>
      </c>
      <c r="M29" s="154">
        <v>50820242000</v>
      </c>
      <c r="N29" s="57" t="b">
        <v>1</v>
      </c>
      <c r="O29" s="58" t="s">
        <v>31</v>
      </c>
      <c r="P29" s="59" t="b">
        <v>1</v>
      </c>
      <c r="Q29" s="164"/>
      <c r="R29" s="57"/>
      <c r="S29" s="47" t="b">
        <v>1</v>
      </c>
      <c r="T29" s="61" t="s">
        <v>1825</v>
      </c>
      <c r="U29" s="75"/>
      <c r="V29" s="75"/>
      <c r="W29" s="166"/>
      <c r="X29" s="166"/>
      <c r="Y29" s="167"/>
      <c r="Z29" s="167"/>
    </row>
    <row r="30" spans="1:26">
      <c r="A30" s="1"/>
      <c r="B30" s="32"/>
      <c r="C30" s="71" t="s">
        <v>1826</v>
      </c>
      <c r="D30" s="53" t="s">
        <v>51</v>
      </c>
      <c r="E30" s="53" t="s">
        <v>66</v>
      </c>
      <c r="F30" s="66" t="s">
        <v>67</v>
      </c>
      <c r="G30" s="69" t="s">
        <v>147</v>
      </c>
      <c r="H30" s="159" t="s">
        <v>30</v>
      </c>
      <c r="I30" s="69">
        <v>1</v>
      </c>
      <c r="J30" s="70">
        <v>700</v>
      </c>
      <c r="K30" s="54">
        <f t="shared" si="0"/>
        <v>700</v>
      </c>
      <c r="L30" s="55" t="b">
        <v>1</v>
      </c>
      <c r="M30" s="56">
        <v>60820241310</v>
      </c>
      <c r="N30" s="57" t="b">
        <v>1</v>
      </c>
      <c r="O30" s="58" t="s">
        <v>31</v>
      </c>
      <c r="P30" s="59" t="b">
        <v>1</v>
      </c>
      <c r="Q30" s="129"/>
      <c r="R30" s="60"/>
      <c r="S30" s="47" t="b">
        <v>1</v>
      </c>
      <c r="T30" s="61" t="s">
        <v>1827</v>
      </c>
      <c r="U30" s="54"/>
      <c r="V30" s="54"/>
      <c r="W30" s="49"/>
      <c r="X30" s="49"/>
    </row>
    <row r="31" spans="1:26">
      <c r="A31" s="1"/>
      <c r="B31" s="32"/>
      <c r="C31" s="71" t="s">
        <v>1826</v>
      </c>
      <c r="D31" s="53" t="s">
        <v>51</v>
      </c>
      <c r="E31" s="53" t="s">
        <v>66</v>
      </c>
      <c r="F31" s="66" t="s">
        <v>67</v>
      </c>
      <c r="G31" s="69" t="s">
        <v>877</v>
      </c>
      <c r="H31" s="69" t="s">
        <v>30</v>
      </c>
      <c r="I31" s="69">
        <v>1</v>
      </c>
      <c r="J31" s="70">
        <v>775</v>
      </c>
      <c r="K31" s="54">
        <f t="shared" si="0"/>
        <v>775</v>
      </c>
      <c r="L31" s="55" t="b">
        <v>1</v>
      </c>
      <c r="M31" s="56">
        <v>60820241310</v>
      </c>
      <c r="N31" s="57" t="b">
        <v>1</v>
      </c>
      <c r="O31" s="58" t="s">
        <v>31</v>
      </c>
      <c r="P31" s="59" t="b">
        <v>1</v>
      </c>
      <c r="Q31" s="129"/>
      <c r="R31" s="60"/>
      <c r="S31" s="47" t="b">
        <v>1</v>
      </c>
      <c r="T31" s="61" t="s">
        <v>1827</v>
      </c>
      <c r="U31" s="54"/>
      <c r="V31" s="54"/>
      <c r="W31" s="49"/>
      <c r="X31" s="49"/>
    </row>
    <row r="32" spans="1:26">
      <c r="A32" s="1"/>
      <c r="B32" s="32"/>
      <c r="C32" s="71" t="s">
        <v>1826</v>
      </c>
      <c r="D32" s="53" t="s">
        <v>144</v>
      </c>
      <c r="E32" s="53" t="s">
        <v>980</v>
      </c>
      <c r="F32" s="66" t="s">
        <v>981</v>
      </c>
      <c r="G32" s="69" t="s">
        <v>177</v>
      </c>
      <c r="H32" s="69" t="s">
        <v>30</v>
      </c>
      <c r="I32" s="69">
        <v>3</v>
      </c>
      <c r="J32" s="70">
        <v>795</v>
      </c>
      <c r="K32" s="54">
        <f t="shared" si="0"/>
        <v>2385</v>
      </c>
      <c r="L32" s="55" t="b">
        <v>1</v>
      </c>
      <c r="M32" s="56">
        <v>60820241310</v>
      </c>
      <c r="N32" s="57" t="b">
        <v>1</v>
      </c>
      <c r="O32" s="58" t="s">
        <v>351</v>
      </c>
      <c r="P32" s="59" t="b">
        <v>1</v>
      </c>
      <c r="Q32" s="129"/>
      <c r="R32" s="60"/>
      <c r="S32" s="47" t="b">
        <v>1</v>
      </c>
      <c r="T32" s="61" t="s">
        <v>1828</v>
      </c>
      <c r="U32" s="54"/>
      <c r="V32" s="54"/>
      <c r="W32" s="49"/>
      <c r="X32" s="49"/>
    </row>
    <row r="33" spans="1:26">
      <c r="A33" s="1"/>
      <c r="B33" s="32"/>
      <c r="C33" s="71" t="s">
        <v>1826</v>
      </c>
      <c r="D33" s="53" t="s">
        <v>144</v>
      </c>
      <c r="E33" s="53" t="s">
        <v>980</v>
      </c>
      <c r="F33" s="66" t="s">
        <v>981</v>
      </c>
      <c r="G33" s="69" t="s">
        <v>1829</v>
      </c>
      <c r="H33" s="69" t="s">
        <v>30</v>
      </c>
      <c r="I33" s="69">
        <v>10</v>
      </c>
      <c r="J33" s="70">
        <v>55</v>
      </c>
      <c r="K33" s="54">
        <f t="shared" si="0"/>
        <v>550</v>
      </c>
      <c r="L33" s="55" t="b">
        <v>1</v>
      </c>
      <c r="M33" s="56">
        <v>60820241310</v>
      </c>
      <c r="N33" s="57" t="b">
        <v>1</v>
      </c>
      <c r="O33" s="58" t="s">
        <v>31</v>
      </c>
      <c r="P33" s="59" t="b">
        <v>1</v>
      </c>
      <c r="Q33" s="129"/>
      <c r="R33" s="60"/>
      <c r="S33" s="47" t="b">
        <v>1</v>
      </c>
      <c r="T33" s="61" t="s">
        <v>1830</v>
      </c>
      <c r="U33" s="54">
        <v>350.46</v>
      </c>
      <c r="V33" s="54"/>
      <c r="W33" s="49"/>
      <c r="X33" s="49"/>
    </row>
    <row r="34" spans="1:26">
      <c r="A34" s="1"/>
      <c r="B34" s="32"/>
      <c r="C34" s="71" t="s">
        <v>1826</v>
      </c>
      <c r="D34" s="53" t="s">
        <v>144</v>
      </c>
      <c r="E34" s="53" t="s">
        <v>980</v>
      </c>
      <c r="F34" s="66" t="s">
        <v>981</v>
      </c>
      <c r="G34" s="69" t="s">
        <v>1831</v>
      </c>
      <c r="H34" s="69" t="s">
        <v>30</v>
      </c>
      <c r="I34" s="69">
        <v>22</v>
      </c>
      <c r="J34" s="70">
        <v>105</v>
      </c>
      <c r="K34" s="54">
        <f t="shared" si="0"/>
        <v>2310</v>
      </c>
      <c r="L34" s="55" t="b">
        <v>1</v>
      </c>
      <c r="M34" s="56">
        <v>60820241310</v>
      </c>
      <c r="N34" s="57" t="b">
        <v>1</v>
      </c>
      <c r="O34" s="58" t="s">
        <v>31</v>
      </c>
      <c r="P34" s="59" t="b">
        <v>1</v>
      </c>
      <c r="Q34" s="129"/>
      <c r="R34" s="60"/>
      <c r="S34" s="47" t="b">
        <v>1</v>
      </c>
      <c r="T34" s="61" t="s">
        <v>1832</v>
      </c>
      <c r="U34" s="54"/>
      <c r="V34" s="54"/>
      <c r="W34" s="49"/>
      <c r="X34" s="49"/>
    </row>
    <row r="35" spans="1:26">
      <c r="A35" s="18"/>
      <c r="B35" s="163"/>
      <c r="C35" s="132" t="s">
        <v>1826</v>
      </c>
      <c r="D35" s="66" t="s">
        <v>144</v>
      </c>
      <c r="E35" s="66" t="s">
        <v>980</v>
      </c>
      <c r="F35" s="66" t="s">
        <v>981</v>
      </c>
      <c r="G35" s="69" t="s">
        <v>1831</v>
      </c>
      <c r="H35" s="69" t="s">
        <v>30</v>
      </c>
      <c r="I35" s="69">
        <v>8</v>
      </c>
      <c r="J35" s="70">
        <v>105</v>
      </c>
      <c r="K35" s="75">
        <f t="shared" si="0"/>
        <v>840</v>
      </c>
      <c r="L35" s="55" t="b">
        <v>1</v>
      </c>
      <c r="M35" s="154"/>
      <c r="N35" s="57" t="b">
        <v>1</v>
      </c>
      <c r="O35" s="58" t="s">
        <v>31</v>
      </c>
      <c r="P35" s="59" t="b">
        <v>1</v>
      </c>
      <c r="Q35" s="164"/>
      <c r="R35" s="165" t="s">
        <v>1833</v>
      </c>
      <c r="S35" s="47" t="b">
        <v>1</v>
      </c>
      <c r="T35" s="61" t="s">
        <v>1834</v>
      </c>
      <c r="U35" s="75"/>
      <c r="V35" s="75"/>
      <c r="W35" s="166"/>
      <c r="X35" s="166"/>
      <c r="Y35" s="167"/>
      <c r="Z35" s="167"/>
    </row>
    <row r="36" spans="1:26">
      <c r="A36" s="1"/>
      <c r="B36" s="32"/>
      <c r="C36" s="71" t="s">
        <v>1826</v>
      </c>
      <c r="D36" s="53" t="s">
        <v>144</v>
      </c>
      <c r="E36" s="53" t="s">
        <v>980</v>
      </c>
      <c r="F36" s="66" t="s">
        <v>981</v>
      </c>
      <c r="G36" s="69" t="s">
        <v>83</v>
      </c>
      <c r="H36" s="69" t="s">
        <v>30</v>
      </c>
      <c r="I36" s="69">
        <v>1000</v>
      </c>
      <c r="J36" s="70">
        <v>1.5</v>
      </c>
      <c r="K36" s="54">
        <f t="shared" si="0"/>
        <v>1500</v>
      </c>
      <c r="L36" s="55" t="b">
        <v>1</v>
      </c>
      <c r="M36" s="56">
        <v>60820241310</v>
      </c>
      <c r="N36" s="57" t="b">
        <v>1</v>
      </c>
      <c r="O36" s="58"/>
      <c r="P36" s="59" t="b">
        <v>1</v>
      </c>
      <c r="Q36" s="129"/>
      <c r="R36" s="60"/>
      <c r="S36" s="47" t="b">
        <v>1</v>
      </c>
      <c r="T36" s="61" t="s">
        <v>1832</v>
      </c>
      <c r="U36" s="54"/>
      <c r="V36" s="54"/>
      <c r="W36" s="49"/>
      <c r="X36" s="49"/>
    </row>
    <row r="37" spans="1:26">
      <c r="A37" s="1"/>
      <c r="B37" s="32"/>
      <c r="C37" s="71" t="s">
        <v>1826</v>
      </c>
      <c r="D37" s="53" t="s">
        <v>144</v>
      </c>
      <c r="E37" s="53" t="s">
        <v>980</v>
      </c>
      <c r="F37" s="66" t="s">
        <v>981</v>
      </c>
      <c r="G37" s="69" t="s">
        <v>1835</v>
      </c>
      <c r="H37" s="69" t="s">
        <v>30</v>
      </c>
      <c r="I37" s="69">
        <v>29</v>
      </c>
      <c r="J37" s="70">
        <v>105</v>
      </c>
      <c r="K37" s="54">
        <f t="shared" si="0"/>
        <v>3045</v>
      </c>
      <c r="L37" s="55" t="b">
        <v>1</v>
      </c>
      <c r="M37" s="56">
        <v>60820241310</v>
      </c>
      <c r="N37" s="57" t="b">
        <v>1</v>
      </c>
      <c r="O37" s="58" t="s">
        <v>31</v>
      </c>
      <c r="P37" s="59" t="b">
        <v>1</v>
      </c>
      <c r="Q37" s="129"/>
      <c r="R37" s="60"/>
      <c r="S37" s="47" t="b">
        <v>1</v>
      </c>
      <c r="T37" s="61" t="s">
        <v>1832</v>
      </c>
      <c r="U37" s="54"/>
      <c r="V37" s="54"/>
      <c r="W37" s="49"/>
      <c r="X37" s="49"/>
    </row>
    <row r="38" spans="1:26">
      <c r="A38" s="1"/>
      <c r="B38" s="32"/>
      <c r="C38" s="71" t="s">
        <v>1826</v>
      </c>
      <c r="D38" s="53" t="s">
        <v>144</v>
      </c>
      <c r="E38" s="53" t="s">
        <v>980</v>
      </c>
      <c r="F38" s="66" t="s">
        <v>981</v>
      </c>
      <c r="G38" s="69" t="s">
        <v>1836</v>
      </c>
      <c r="H38" s="69" t="s">
        <v>30</v>
      </c>
      <c r="I38" s="69">
        <v>4</v>
      </c>
      <c r="J38" s="70">
        <v>105</v>
      </c>
      <c r="K38" s="54">
        <f t="shared" si="0"/>
        <v>420</v>
      </c>
      <c r="L38" s="55" t="b">
        <v>1</v>
      </c>
      <c r="M38" s="56"/>
      <c r="N38" s="57" t="b">
        <v>1</v>
      </c>
      <c r="O38" s="58" t="s">
        <v>31</v>
      </c>
      <c r="P38" s="59" t="b">
        <v>1</v>
      </c>
      <c r="Q38" s="129"/>
      <c r="R38" s="60"/>
      <c r="S38" s="47" t="b">
        <v>1</v>
      </c>
      <c r="T38" s="61" t="s">
        <v>1830</v>
      </c>
      <c r="U38" s="54"/>
      <c r="V38" s="54"/>
      <c r="W38" s="49"/>
      <c r="X38" s="49"/>
    </row>
    <row r="39" spans="1:26">
      <c r="A39" s="1"/>
      <c r="B39" s="32"/>
      <c r="C39" s="132" t="s">
        <v>1826</v>
      </c>
      <c r="D39" s="67" t="s">
        <v>144</v>
      </c>
      <c r="E39" s="67" t="s">
        <v>980</v>
      </c>
      <c r="F39" s="67" t="s">
        <v>981</v>
      </c>
      <c r="G39" s="67" t="s">
        <v>1197</v>
      </c>
      <c r="H39" s="67" t="s">
        <v>30</v>
      </c>
      <c r="I39" s="67">
        <v>7</v>
      </c>
      <c r="J39" s="68">
        <v>700</v>
      </c>
      <c r="K39" s="54">
        <f t="shared" si="0"/>
        <v>4900</v>
      </c>
      <c r="L39" s="55" t="b">
        <v>1</v>
      </c>
      <c r="M39" s="56">
        <v>60820241310</v>
      </c>
      <c r="N39" s="57" t="b">
        <v>1</v>
      </c>
      <c r="O39" s="58" t="s">
        <v>31</v>
      </c>
      <c r="P39" s="59" t="b">
        <v>1</v>
      </c>
      <c r="Q39" s="129"/>
      <c r="R39" s="60"/>
      <c r="S39" s="47" t="b">
        <v>1</v>
      </c>
      <c r="T39" s="61" t="s">
        <v>1830</v>
      </c>
      <c r="U39" s="54"/>
      <c r="V39" s="54"/>
      <c r="W39" s="49"/>
      <c r="X39" s="49"/>
    </row>
    <row r="40" spans="1:26">
      <c r="A40" s="18"/>
      <c r="B40" s="163"/>
      <c r="C40" s="133" t="s">
        <v>1826</v>
      </c>
      <c r="D40" s="69" t="s">
        <v>345</v>
      </c>
      <c r="E40" s="69" t="s">
        <v>342</v>
      </c>
      <c r="F40" s="67" t="s">
        <v>927</v>
      </c>
      <c r="G40" s="69" t="s">
        <v>1837</v>
      </c>
      <c r="H40" s="69" t="s">
        <v>30</v>
      </c>
      <c r="I40" s="69">
        <v>2</v>
      </c>
      <c r="J40" s="70">
        <v>400</v>
      </c>
      <c r="K40" s="75">
        <f t="shared" si="0"/>
        <v>800</v>
      </c>
      <c r="L40" s="55" t="b">
        <v>1</v>
      </c>
      <c r="M40" s="154">
        <v>60820241405</v>
      </c>
      <c r="N40" s="57" t="b">
        <v>1</v>
      </c>
      <c r="O40" s="58"/>
      <c r="P40" s="59" t="b">
        <v>1</v>
      </c>
      <c r="Q40" s="164"/>
      <c r="R40" s="57"/>
      <c r="S40" s="47" t="b">
        <v>1</v>
      </c>
      <c r="T40" s="61" t="s">
        <v>1838</v>
      </c>
      <c r="U40" s="75"/>
      <c r="V40" s="75"/>
      <c r="W40" s="166"/>
      <c r="X40" s="166"/>
      <c r="Y40" s="167"/>
      <c r="Z40" s="167"/>
    </row>
    <row r="41" spans="1:26">
      <c r="A41" s="1"/>
      <c r="B41" s="32"/>
      <c r="C41" s="71" t="s">
        <v>1826</v>
      </c>
      <c r="D41" s="53" t="s">
        <v>144</v>
      </c>
      <c r="E41" s="53" t="s">
        <v>1033</v>
      </c>
      <c r="F41" s="66" t="s">
        <v>1819</v>
      </c>
      <c r="G41" s="69" t="s">
        <v>1839</v>
      </c>
      <c r="H41" s="69" t="s">
        <v>30</v>
      </c>
      <c r="I41" s="69">
        <v>10</v>
      </c>
      <c r="J41" s="70">
        <v>1495</v>
      </c>
      <c r="K41" s="54">
        <f t="shared" si="0"/>
        <v>14950</v>
      </c>
      <c r="L41" s="55" t="b">
        <v>1</v>
      </c>
      <c r="M41" s="56">
        <v>60820241440</v>
      </c>
      <c r="N41" s="57" t="b">
        <v>1</v>
      </c>
      <c r="O41" s="58" t="s">
        <v>351</v>
      </c>
      <c r="P41" s="59" t="b">
        <v>1</v>
      </c>
      <c r="Q41" s="129"/>
      <c r="R41" s="60"/>
      <c r="S41" s="47" t="b">
        <v>1</v>
      </c>
      <c r="T41" s="61" t="s">
        <v>1840</v>
      </c>
      <c r="U41" s="54"/>
      <c r="V41" s="54"/>
      <c r="W41" s="49"/>
      <c r="X41" s="49"/>
    </row>
    <row r="42" spans="1:26">
      <c r="A42" s="1"/>
      <c r="B42" s="32"/>
      <c r="C42" s="71" t="s">
        <v>1826</v>
      </c>
      <c r="D42" s="53" t="s">
        <v>194</v>
      </c>
      <c r="E42" s="53" t="s">
        <v>195</v>
      </c>
      <c r="F42" s="66" t="s">
        <v>196</v>
      </c>
      <c r="G42" s="69" t="s">
        <v>1841</v>
      </c>
      <c r="H42" s="69" t="s">
        <v>30</v>
      </c>
      <c r="I42" s="69">
        <v>1500</v>
      </c>
      <c r="J42" s="70">
        <v>1.25</v>
      </c>
      <c r="K42" s="54">
        <f t="shared" si="0"/>
        <v>1875</v>
      </c>
      <c r="L42" s="55" t="b">
        <v>1</v>
      </c>
      <c r="M42" s="56">
        <v>60820241646</v>
      </c>
      <c r="N42" s="57" t="b">
        <v>1</v>
      </c>
      <c r="O42" s="58" t="s">
        <v>31</v>
      </c>
      <c r="P42" s="59" t="b">
        <v>1</v>
      </c>
      <c r="Q42" s="129"/>
      <c r="R42" s="60"/>
      <c r="S42" s="47" t="b">
        <v>1</v>
      </c>
      <c r="T42" s="61" t="s">
        <v>1842</v>
      </c>
      <c r="U42" s="54"/>
      <c r="V42" s="54"/>
      <c r="W42" s="49"/>
      <c r="X42" s="49"/>
    </row>
    <row r="43" spans="1:26">
      <c r="A43" s="1"/>
      <c r="B43" s="32"/>
      <c r="C43" s="71" t="s">
        <v>1826</v>
      </c>
      <c r="D43" s="53" t="s">
        <v>194</v>
      </c>
      <c r="E43" s="53" t="s">
        <v>195</v>
      </c>
      <c r="F43" s="66" t="s">
        <v>196</v>
      </c>
      <c r="G43" s="69" t="s">
        <v>1843</v>
      </c>
      <c r="H43" s="69" t="s">
        <v>30</v>
      </c>
      <c r="I43" s="69">
        <v>6</v>
      </c>
      <c r="J43" s="70">
        <v>175</v>
      </c>
      <c r="K43" s="54">
        <f t="shared" si="0"/>
        <v>1050</v>
      </c>
      <c r="L43" s="55" t="b">
        <v>1</v>
      </c>
      <c r="M43" s="56">
        <v>60820241646</v>
      </c>
      <c r="N43" s="57" t="b">
        <v>1</v>
      </c>
      <c r="O43" s="58" t="s">
        <v>31</v>
      </c>
      <c r="P43" s="59" t="b">
        <v>1</v>
      </c>
      <c r="Q43" s="129"/>
      <c r="R43" s="60"/>
      <c r="S43" s="47" t="b">
        <v>1</v>
      </c>
      <c r="T43" s="61" t="s">
        <v>1842</v>
      </c>
      <c r="U43" s="54"/>
      <c r="V43" s="54"/>
      <c r="W43" s="49"/>
      <c r="X43" s="49"/>
    </row>
    <row r="44" spans="1:26">
      <c r="A44" s="101"/>
      <c r="B44" s="102"/>
      <c r="C44" s="71" t="s">
        <v>1844</v>
      </c>
      <c r="D44" s="53" t="s">
        <v>418</v>
      </c>
      <c r="E44" s="53" t="s">
        <v>84</v>
      </c>
      <c r="F44" s="66" t="s">
        <v>85</v>
      </c>
      <c r="G44" s="69" t="s">
        <v>83</v>
      </c>
      <c r="H44" s="69" t="s">
        <v>30</v>
      </c>
      <c r="I44" s="69">
        <v>1000</v>
      </c>
      <c r="J44" s="70">
        <v>1.5</v>
      </c>
      <c r="K44" s="54">
        <f t="shared" si="0"/>
        <v>1500</v>
      </c>
      <c r="L44" s="55" t="b">
        <v>1</v>
      </c>
      <c r="M44" s="56">
        <v>70820240910</v>
      </c>
      <c r="N44" s="57" t="b">
        <v>1</v>
      </c>
      <c r="O44" s="58"/>
      <c r="P44" s="59" t="b">
        <v>1</v>
      </c>
      <c r="Q44" s="129"/>
      <c r="R44" s="60"/>
      <c r="S44" s="47" t="b">
        <v>1</v>
      </c>
      <c r="T44" s="61" t="s">
        <v>1845</v>
      </c>
      <c r="U44" s="54"/>
      <c r="V44" s="54"/>
      <c r="W44" s="49"/>
      <c r="X44" s="49"/>
    </row>
    <row r="45" spans="1:26">
      <c r="A45" s="101"/>
      <c r="B45" s="102"/>
      <c r="C45" s="71" t="s">
        <v>1844</v>
      </c>
      <c r="D45" s="53" t="s">
        <v>418</v>
      </c>
      <c r="E45" s="53" t="s">
        <v>84</v>
      </c>
      <c r="F45" s="66" t="s">
        <v>85</v>
      </c>
      <c r="G45" s="69" t="s">
        <v>1798</v>
      </c>
      <c r="H45" s="69" t="s">
        <v>30</v>
      </c>
      <c r="I45" s="69">
        <v>10</v>
      </c>
      <c r="J45" s="70">
        <v>795</v>
      </c>
      <c r="K45" s="54">
        <f t="shared" si="0"/>
        <v>7950</v>
      </c>
      <c r="L45" s="55" t="b">
        <v>1</v>
      </c>
      <c r="M45" s="56">
        <v>70820240910</v>
      </c>
      <c r="N45" s="57" t="b">
        <v>1</v>
      </c>
      <c r="O45" s="58" t="s">
        <v>31</v>
      </c>
      <c r="P45" s="59" t="b">
        <v>1</v>
      </c>
      <c r="Q45" s="129"/>
      <c r="R45" s="60"/>
      <c r="S45" s="47" t="b">
        <v>1</v>
      </c>
      <c r="T45" s="61" t="s">
        <v>1845</v>
      </c>
      <c r="U45" s="54"/>
      <c r="V45" s="54"/>
      <c r="W45" s="49"/>
      <c r="X45" s="49"/>
    </row>
    <row r="46" spans="1:26">
      <c r="A46" s="162"/>
      <c r="B46" s="163"/>
      <c r="C46" s="132" t="s">
        <v>1844</v>
      </c>
      <c r="D46" s="66" t="s">
        <v>418</v>
      </c>
      <c r="E46" s="66" t="s">
        <v>84</v>
      </c>
      <c r="F46" s="66" t="s">
        <v>85</v>
      </c>
      <c r="G46" s="69" t="s">
        <v>1846</v>
      </c>
      <c r="H46" s="69" t="s">
        <v>30</v>
      </c>
      <c r="I46" s="69">
        <v>100</v>
      </c>
      <c r="J46" s="70">
        <v>7</v>
      </c>
      <c r="K46" s="75">
        <f t="shared" si="0"/>
        <v>700</v>
      </c>
      <c r="L46" s="55" t="b">
        <v>1</v>
      </c>
      <c r="M46" s="154">
        <v>70820240910</v>
      </c>
      <c r="N46" s="57" t="b">
        <v>1</v>
      </c>
      <c r="O46" s="58" t="s">
        <v>39</v>
      </c>
      <c r="P46" s="59" t="b">
        <v>1</v>
      </c>
      <c r="Q46" s="164" t="s">
        <v>1847</v>
      </c>
      <c r="R46" s="57"/>
      <c r="S46" s="47" t="b">
        <v>1</v>
      </c>
      <c r="T46" s="61" t="s">
        <v>1825</v>
      </c>
      <c r="U46" s="75"/>
      <c r="V46" s="75"/>
      <c r="W46" s="166"/>
      <c r="X46" s="166"/>
      <c r="Y46" s="167"/>
      <c r="Z46" s="167"/>
    </row>
    <row r="47" spans="1:26">
      <c r="A47" s="162"/>
      <c r="B47" s="163"/>
      <c r="C47" s="132" t="s">
        <v>1844</v>
      </c>
      <c r="D47" s="66" t="s">
        <v>418</v>
      </c>
      <c r="E47" s="66" t="s">
        <v>84</v>
      </c>
      <c r="F47" s="66" t="s">
        <v>85</v>
      </c>
      <c r="G47" s="69" t="s">
        <v>1848</v>
      </c>
      <c r="H47" s="69" t="s">
        <v>30</v>
      </c>
      <c r="I47" s="69">
        <v>20</v>
      </c>
      <c r="J47" s="70">
        <v>255</v>
      </c>
      <c r="K47" s="75">
        <f t="shared" si="0"/>
        <v>5100</v>
      </c>
      <c r="L47" s="55" t="b">
        <v>1</v>
      </c>
      <c r="M47" s="154">
        <v>70820240910</v>
      </c>
      <c r="N47" s="57" t="b">
        <v>1</v>
      </c>
      <c r="O47" s="58" t="s">
        <v>31</v>
      </c>
      <c r="P47" s="59" t="b">
        <v>1</v>
      </c>
      <c r="Q47" s="164"/>
      <c r="R47" s="57"/>
      <c r="S47" s="47" t="b">
        <v>1</v>
      </c>
      <c r="T47" s="61" t="s">
        <v>1825</v>
      </c>
      <c r="U47" s="75"/>
      <c r="V47" s="75"/>
      <c r="W47" s="166"/>
      <c r="X47" s="166"/>
      <c r="Y47" s="167"/>
      <c r="Z47" s="167"/>
    </row>
    <row r="48" spans="1:26">
      <c r="A48" s="101"/>
      <c r="B48" s="32"/>
      <c r="C48" s="71" t="s">
        <v>1844</v>
      </c>
      <c r="D48" s="53" t="s">
        <v>418</v>
      </c>
      <c r="E48" s="53" t="s">
        <v>84</v>
      </c>
      <c r="F48" s="66" t="s">
        <v>85</v>
      </c>
      <c r="G48" s="69" t="s">
        <v>1849</v>
      </c>
      <c r="H48" s="69" t="s">
        <v>30</v>
      </c>
      <c r="I48" s="69">
        <v>24</v>
      </c>
      <c r="J48" s="70">
        <v>215</v>
      </c>
      <c r="K48" s="54">
        <f t="shared" si="0"/>
        <v>5160</v>
      </c>
      <c r="L48" s="55" t="b">
        <v>1</v>
      </c>
      <c r="M48" s="56">
        <v>70820240910</v>
      </c>
      <c r="N48" s="57" t="b">
        <v>1</v>
      </c>
      <c r="O48" s="58" t="s">
        <v>31</v>
      </c>
      <c r="P48" s="59" t="b">
        <v>1</v>
      </c>
      <c r="Q48" s="129"/>
      <c r="R48" s="60"/>
      <c r="S48" s="47" t="b">
        <v>1</v>
      </c>
      <c r="T48" s="61" t="s">
        <v>1845</v>
      </c>
      <c r="U48" s="54"/>
      <c r="V48" s="54"/>
      <c r="W48" s="49"/>
      <c r="X48" s="49"/>
    </row>
    <row r="49" spans="1:26">
      <c r="A49" s="101"/>
      <c r="B49" s="32"/>
      <c r="C49" s="71" t="s">
        <v>1844</v>
      </c>
      <c r="D49" s="53" t="s">
        <v>144</v>
      </c>
      <c r="E49" s="53" t="s">
        <v>980</v>
      </c>
      <c r="F49" s="66" t="s">
        <v>981</v>
      </c>
      <c r="G49" s="69" t="s">
        <v>1507</v>
      </c>
      <c r="H49" s="69" t="s">
        <v>30</v>
      </c>
      <c r="I49" s="69">
        <v>200</v>
      </c>
      <c r="J49" s="70">
        <v>8.4</v>
      </c>
      <c r="K49" s="54">
        <f t="shared" si="0"/>
        <v>1680</v>
      </c>
      <c r="L49" s="55" t="b">
        <v>1</v>
      </c>
      <c r="M49" s="56">
        <v>70820240915</v>
      </c>
      <c r="N49" s="57" t="b">
        <v>1</v>
      </c>
      <c r="O49" s="58" t="s">
        <v>31</v>
      </c>
      <c r="P49" s="59" t="b">
        <v>1</v>
      </c>
      <c r="Q49" s="129"/>
      <c r="R49" s="60"/>
      <c r="S49" s="47" t="b">
        <v>1</v>
      </c>
      <c r="T49" s="61" t="s">
        <v>1850</v>
      </c>
      <c r="U49" s="54"/>
      <c r="V49" s="54"/>
      <c r="W49" s="49"/>
      <c r="X49" s="49"/>
    </row>
    <row r="50" spans="1:26">
      <c r="A50" s="101"/>
      <c r="B50" s="32"/>
      <c r="C50" s="71" t="s">
        <v>1844</v>
      </c>
      <c r="D50" s="53" t="s">
        <v>144</v>
      </c>
      <c r="E50" s="53" t="s">
        <v>980</v>
      </c>
      <c r="F50" s="66" t="s">
        <v>981</v>
      </c>
      <c r="G50" s="66" t="s">
        <v>83</v>
      </c>
      <c r="H50" s="53" t="s">
        <v>30</v>
      </c>
      <c r="I50" s="53">
        <v>1000</v>
      </c>
      <c r="J50" s="54">
        <v>1.5</v>
      </c>
      <c r="K50" s="54">
        <f t="shared" si="0"/>
        <v>1500</v>
      </c>
      <c r="L50" s="55" t="b">
        <v>1</v>
      </c>
      <c r="M50" s="56">
        <v>70820240915</v>
      </c>
      <c r="N50" s="57" t="b">
        <v>1</v>
      </c>
      <c r="O50" s="58" t="s">
        <v>31</v>
      </c>
      <c r="P50" s="59" t="b">
        <v>1</v>
      </c>
      <c r="Q50" s="129"/>
      <c r="R50" s="60"/>
      <c r="S50" s="47" t="b">
        <v>1</v>
      </c>
      <c r="T50" s="61" t="s">
        <v>1832</v>
      </c>
      <c r="U50" s="54"/>
      <c r="V50" s="54"/>
      <c r="W50" s="49"/>
      <c r="X50" s="49"/>
    </row>
    <row r="51" spans="1:26">
      <c r="A51" s="162"/>
      <c r="B51" s="163"/>
      <c r="C51" s="132" t="s">
        <v>1851</v>
      </c>
      <c r="D51" s="66" t="s">
        <v>104</v>
      </c>
      <c r="E51" s="66" t="s">
        <v>342</v>
      </c>
      <c r="F51" s="66" t="s">
        <v>866</v>
      </c>
      <c r="G51" s="69" t="s">
        <v>1852</v>
      </c>
      <c r="H51" s="69" t="s">
        <v>30</v>
      </c>
      <c r="I51" s="69">
        <v>2</v>
      </c>
      <c r="J51" s="70">
        <v>1800</v>
      </c>
      <c r="K51" s="75">
        <f t="shared" si="0"/>
        <v>3600</v>
      </c>
      <c r="L51" s="55" t="b">
        <v>1</v>
      </c>
      <c r="M51" s="154">
        <v>80820240900</v>
      </c>
      <c r="N51" s="57" t="b">
        <v>1</v>
      </c>
      <c r="O51" s="58" t="s">
        <v>31</v>
      </c>
      <c r="P51" s="59" t="b">
        <v>1</v>
      </c>
      <c r="Q51" s="164"/>
      <c r="R51" s="57"/>
      <c r="S51" s="47" t="b">
        <v>1</v>
      </c>
      <c r="T51" s="61" t="s">
        <v>1853</v>
      </c>
      <c r="U51" s="75"/>
      <c r="V51" s="75"/>
      <c r="W51" s="166"/>
      <c r="X51" s="166"/>
      <c r="Y51" s="167"/>
      <c r="Z51" s="167"/>
    </row>
    <row r="52" spans="1:26">
      <c r="A52" s="162"/>
      <c r="B52" s="163"/>
      <c r="C52" s="132" t="s">
        <v>1851</v>
      </c>
      <c r="D52" s="66" t="s">
        <v>104</v>
      </c>
      <c r="E52" s="66" t="s">
        <v>342</v>
      </c>
      <c r="F52" s="66" t="s">
        <v>866</v>
      </c>
      <c r="G52" s="69" t="s">
        <v>1798</v>
      </c>
      <c r="H52" s="69" t="s">
        <v>30</v>
      </c>
      <c r="I52" s="69">
        <v>10</v>
      </c>
      <c r="J52" s="70">
        <v>795</v>
      </c>
      <c r="K52" s="75">
        <f t="shared" si="0"/>
        <v>7950</v>
      </c>
      <c r="L52" s="55" t="b">
        <v>1</v>
      </c>
      <c r="M52" s="154">
        <v>80820240811</v>
      </c>
      <c r="N52" s="57" t="b">
        <v>1</v>
      </c>
      <c r="O52" s="58" t="s">
        <v>31</v>
      </c>
      <c r="P52" s="59" t="b">
        <v>1</v>
      </c>
      <c r="Q52" s="164"/>
      <c r="R52" s="57"/>
      <c r="S52" s="47" t="b">
        <v>1</v>
      </c>
      <c r="T52" s="61" t="s">
        <v>1853</v>
      </c>
      <c r="U52" s="75"/>
      <c r="V52" s="75"/>
      <c r="W52" s="166"/>
      <c r="X52" s="166"/>
      <c r="Y52" s="167"/>
      <c r="Z52" s="167"/>
    </row>
    <row r="53" spans="1:26">
      <c r="A53" s="162"/>
      <c r="B53" s="163"/>
      <c r="C53" s="132" t="s">
        <v>1851</v>
      </c>
      <c r="D53" s="66" t="s">
        <v>104</v>
      </c>
      <c r="E53" s="66" t="s">
        <v>342</v>
      </c>
      <c r="F53" s="66" t="s">
        <v>866</v>
      </c>
      <c r="G53" s="69" t="s">
        <v>1854</v>
      </c>
      <c r="H53" s="69" t="s">
        <v>30</v>
      </c>
      <c r="I53" s="69">
        <v>1000</v>
      </c>
      <c r="J53" s="70">
        <v>2.8</v>
      </c>
      <c r="K53" s="75">
        <f t="shared" si="0"/>
        <v>2800</v>
      </c>
      <c r="L53" s="55" t="b">
        <v>1</v>
      </c>
      <c r="M53" s="154">
        <v>80820241000</v>
      </c>
      <c r="N53" s="57" t="b">
        <v>1</v>
      </c>
      <c r="O53" s="58" t="s">
        <v>39</v>
      </c>
      <c r="P53" s="59" t="b">
        <v>1</v>
      </c>
      <c r="Q53" s="164"/>
      <c r="R53" s="57"/>
      <c r="S53" s="47" t="b">
        <v>1</v>
      </c>
      <c r="T53" s="61" t="s">
        <v>1855</v>
      </c>
      <c r="U53" s="75"/>
      <c r="V53" s="75"/>
      <c r="W53" s="166"/>
      <c r="X53" s="166"/>
      <c r="Y53" s="167"/>
      <c r="Z53" s="167"/>
    </row>
    <row r="54" spans="1:26">
      <c r="A54" s="162"/>
      <c r="B54" s="163"/>
      <c r="C54" s="132" t="s">
        <v>1851</v>
      </c>
      <c r="D54" s="66" t="s">
        <v>438</v>
      </c>
      <c r="E54" s="66" t="s">
        <v>439</v>
      </c>
      <c r="F54" s="66" t="s">
        <v>440</v>
      </c>
      <c r="G54" s="69" t="s">
        <v>321</v>
      </c>
      <c r="H54" s="69" t="s">
        <v>30</v>
      </c>
      <c r="I54" s="69">
        <v>84</v>
      </c>
      <c r="J54" s="70">
        <v>35</v>
      </c>
      <c r="K54" s="75">
        <f t="shared" si="0"/>
        <v>2940</v>
      </c>
      <c r="L54" s="55" t="b">
        <v>1</v>
      </c>
      <c r="M54" s="154">
        <v>90820240841</v>
      </c>
      <c r="N54" s="57" t="b">
        <v>1</v>
      </c>
      <c r="O54" s="58"/>
      <c r="P54" s="59" t="b">
        <v>1</v>
      </c>
      <c r="Q54" s="164"/>
      <c r="R54" s="57"/>
      <c r="S54" s="47" t="b">
        <v>1</v>
      </c>
      <c r="T54" s="61" t="s">
        <v>1817</v>
      </c>
      <c r="U54" s="75"/>
      <c r="V54" s="75"/>
      <c r="W54" s="166"/>
      <c r="X54" s="166"/>
      <c r="Y54" s="167"/>
      <c r="Z54" s="167"/>
    </row>
    <row r="55" spans="1:26">
      <c r="A55" s="162"/>
      <c r="B55" s="163"/>
      <c r="C55" s="132" t="s">
        <v>1856</v>
      </c>
      <c r="D55" s="66" t="s">
        <v>1857</v>
      </c>
      <c r="E55" s="66" t="s">
        <v>137</v>
      </c>
      <c r="F55" s="66" t="s">
        <v>268</v>
      </c>
      <c r="G55" s="69" t="s">
        <v>321</v>
      </c>
      <c r="H55" s="69" t="s">
        <v>30</v>
      </c>
      <c r="I55" s="69">
        <v>84</v>
      </c>
      <c r="J55" s="70">
        <v>35</v>
      </c>
      <c r="K55" s="75">
        <f t="shared" si="0"/>
        <v>2940</v>
      </c>
      <c r="L55" s="55" t="b">
        <v>1</v>
      </c>
      <c r="M55" s="154">
        <v>90820242000</v>
      </c>
      <c r="N55" s="57" t="b">
        <v>1</v>
      </c>
      <c r="O55" s="58"/>
      <c r="P55" s="59" t="b">
        <v>1</v>
      </c>
      <c r="Q55" s="164"/>
      <c r="R55" s="57"/>
      <c r="S55" s="47" t="b">
        <v>1</v>
      </c>
      <c r="T55" s="61" t="s">
        <v>1858</v>
      </c>
      <c r="U55" s="75"/>
      <c r="V55" s="75"/>
      <c r="W55" s="166"/>
      <c r="X55" s="166"/>
      <c r="Y55" s="167"/>
      <c r="Z55" s="167"/>
    </row>
    <row r="56" spans="1:26">
      <c r="A56" s="162"/>
      <c r="B56" s="163"/>
      <c r="C56" s="132" t="s">
        <v>1859</v>
      </c>
      <c r="D56" s="66" t="s">
        <v>1857</v>
      </c>
      <c r="E56" s="66" t="s">
        <v>137</v>
      </c>
      <c r="F56" s="66" t="s">
        <v>268</v>
      </c>
      <c r="G56" s="69" t="s">
        <v>1841</v>
      </c>
      <c r="H56" s="69" t="s">
        <v>30</v>
      </c>
      <c r="I56" s="69">
        <v>1.25</v>
      </c>
      <c r="J56" s="70">
        <v>1500</v>
      </c>
      <c r="K56" s="75">
        <f t="shared" si="0"/>
        <v>1875</v>
      </c>
      <c r="L56" s="55" t="b">
        <v>1</v>
      </c>
      <c r="M56" s="154">
        <v>100820241138</v>
      </c>
      <c r="N56" s="57" t="b">
        <v>1</v>
      </c>
      <c r="O56" s="58" t="s">
        <v>31</v>
      </c>
      <c r="P56" s="59" t="b">
        <v>1</v>
      </c>
      <c r="Q56" s="164"/>
      <c r="R56" s="57"/>
      <c r="S56" s="47" t="b">
        <v>1</v>
      </c>
      <c r="T56" s="61" t="s">
        <v>1858</v>
      </c>
      <c r="U56" s="75"/>
      <c r="V56" s="75"/>
      <c r="W56" s="166"/>
      <c r="X56" s="166"/>
      <c r="Y56" s="167"/>
      <c r="Z56" s="167"/>
    </row>
    <row r="57" spans="1:26">
      <c r="A57" s="101"/>
      <c r="B57" s="32"/>
      <c r="C57" s="71" t="s">
        <v>1860</v>
      </c>
      <c r="D57" s="53" t="s">
        <v>212</v>
      </c>
      <c r="E57" s="53" t="s">
        <v>311</v>
      </c>
      <c r="F57" s="66" t="s">
        <v>312</v>
      </c>
      <c r="G57" s="69" t="s">
        <v>1861</v>
      </c>
      <c r="H57" s="69" t="s">
        <v>30</v>
      </c>
      <c r="I57" s="69">
        <v>11</v>
      </c>
      <c r="J57" s="70">
        <v>1275</v>
      </c>
      <c r="K57" s="54">
        <f t="shared" si="0"/>
        <v>14025</v>
      </c>
      <c r="L57" s="55" t="b">
        <v>1</v>
      </c>
      <c r="M57" s="56">
        <v>120820241000</v>
      </c>
      <c r="N57" s="57" t="b">
        <v>1</v>
      </c>
      <c r="O57" s="58"/>
      <c r="P57" s="59" t="b">
        <v>1</v>
      </c>
      <c r="Q57" s="129"/>
      <c r="R57" s="60"/>
      <c r="S57" s="47" t="b">
        <v>1</v>
      </c>
      <c r="T57" s="61" t="s">
        <v>1862</v>
      </c>
      <c r="U57" s="54"/>
      <c r="V57" s="54"/>
      <c r="W57" s="49"/>
      <c r="X57" s="49"/>
    </row>
    <row r="58" spans="1:26">
      <c r="A58" s="101"/>
      <c r="B58" s="32"/>
      <c r="C58" s="71" t="s">
        <v>1860</v>
      </c>
      <c r="D58" s="53" t="s">
        <v>212</v>
      </c>
      <c r="E58" s="53" t="s">
        <v>311</v>
      </c>
      <c r="F58" s="66" t="s">
        <v>312</v>
      </c>
      <c r="G58" s="69" t="s">
        <v>1863</v>
      </c>
      <c r="H58" s="69" t="s">
        <v>30</v>
      </c>
      <c r="I58" s="69">
        <v>3</v>
      </c>
      <c r="J58" s="70">
        <v>895</v>
      </c>
      <c r="K58" s="54">
        <f t="shared" si="0"/>
        <v>2685</v>
      </c>
      <c r="L58" s="55" t="b">
        <v>1</v>
      </c>
      <c r="M58" s="56">
        <v>120820241000</v>
      </c>
      <c r="N58" s="57" t="b">
        <v>1</v>
      </c>
      <c r="O58" s="58"/>
      <c r="P58" s="59" t="b">
        <v>1</v>
      </c>
      <c r="Q58" s="129"/>
      <c r="R58" s="60"/>
      <c r="S58" s="47" t="b">
        <v>1</v>
      </c>
      <c r="T58" s="61" t="s">
        <v>1862</v>
      </c>
      <c r="U58" s="54"/>
      <c r="V58" s="54"/>
      <c r="W58" s="49"/>
      <c r="X58" s="49"/>
    </row>
    <row r="59" spans="1:26">
      <c r="A59" s="162"/>
      <c r="B59" s="163"/>
      <c r="C59" s="132" t="s">
        <v>1860</v>
      </c>
      <c r="D59" s="66" t="s">
        <v>51</v>
      </c>
      <c r="E59" s="66" t="s">
        <v>89</v>
      </c>
      <c r="F59" s="66" t="s">
        <v>90</v>
      </c>
      <c r="G59" s="69" t="s">
        <v>147</v>
      </c>
      <c r="H59" s="69" t="s">
        <v>30</v>
      </c>
      <c r="I59" s="69">
        <v>1</v>
      </c>
      <c r="J59" s="70">
        <v>800</v>
      </c>
      <c r="K59" s="75">
        <f t="shared" si="0"/>
        <v>800</v>
      </c>
      <c r="L59" s="55" t="b">
        <v>1</v>
      </c>
      <c r="M59" s="154">
        <v>120820241000</v>
      </c>
      <c r="N59" s="57" t="b">
        <v>1</v>
      </c>
      <c r="O59" s="58"/>
      <c r="P59" s="59" t="b">
        <v>1</v>
      </c>
      <c r="Q59" s="164"/>
      <c r="R59" s="57"/>
      <c r="S59" s="47" t="b">
        <v>1</v>
      </c>
      <c r="T59" s="61" t="s">
        <v>1864</v>
      </c>
      <c r="U59" s="75"/>
      <c r="V59" s="75"/>
      <c r="W59" s="166"/>
      <c r="X59" s="166"/>
      <c r="Y59" s="167"/>
      <c r="Z59" s="167"/>
    </row>
    <row r="60" spans="1:26">
      <c r="A60" s="162"/>
      <c r="B60" s="163"/>
      <c r="C60" s="132" t="s">
        <v>1860</v>
      </c>
      <c r="D60" s="66" t="s">
        <v>418</v>
      </c>
      <c r="E60" s="66" t="s">
        <v>1865</v>
      </c>
      <c r="F60" s="66" t="s">
        <v>420</v>
      </c>
      <c r="G60" s="66" t="s">
        <v>668</v>
      </c>
      <c r="H60" s="69" t="s">
        <v>30</v>
      </c>
      <c r="I60" s="69">
        <v>5</v>
      </c>
      <c r="J60" s="70">
        <v>100</v>
      </c>
      <c r="K60" s="75">
        <f t="shared" si="0"/>
        <v>500</v>
      </c>
      <c r="L60" s="55" t="b">
        <v>1</v>
      </c>
      <c r="M60" s="154">
        <v>120820241000</v>
      </c>
      <c r="N60" s="57" t="b">
        <v>1</v>
      </c>
      <c r="O60" s="58" t="s">
        <v>31</v>
      </c>
      <c r="P60" s="59" t="b">
        <v>1</v>
      </c>
      <c r="Q60" s="164"/>
      <c r="R60" s="57"/>
      <c r="S60" s="47" t="b">
        <v>1</v>
      </c>
      <c r="T60" s="61" t="s">
        <v>1866</v>
      </c>
      <c r="U60" s="75"/>
      <c r="V60" s="75"/>
      <c r="W60" s="166"/>
      <c r="X60" s="166"/>
      <c r="Y60" s="167"/>
      <c r="Z60" s="167"/>
    </row>
    <row r="61" spans="1:26">
      <c r="A61" s="101"/>
      <c r="B61" s="32"/>
      <c r="C61" s="71" t="s">
        <v>1860</v>
      </c>
      <c r="D61" s="53" t="s">
        <v>418</v>
      </c>
      <c r="E61" s="53" t="s">
        <v>1865</v>
      </c>
      <c r="F61" s="66" t="s">
        <v>420</v>
      </c>
      <c r="G61" s="69" t="s">
        <v>1812</v>
      </c>
      <c r="H61" s="69" t="s">
        <v>30</v>
      </c>
      <c r="I61" s="69">
        <v>4</v>
      </c>
      <c r="J61" s="70">
        <v>165</v>
      </c>
      <c r="K61" s="54">
        <f t="shared" si="0"/>
        <v>660</v>
      </c>
      <c r="L61" s="55" t="b">
        <v>1</v>
      </c>
      <c r="M61" s="56">
        <v>120820241013</v>
      </c>
      <c r="N61" s="57" t="b">
        <v>1</v>
      </c>
      <c r="O61" s="58" t="s">
        <v>31</v>
      </c>
      <c r="P61" s="59" t="b">
        <v>1</v>
      </c>
      <c r="Q61" s="129"/>
      <c r="R61" s="60"/>
      <c r="S61" s="47" t="b">
        <v>1</v>
      </c>
      <c r="T61" s="61" t="s">
        <v>1867</v>
      </c>
      <c r="U61" s="54"/>
      <c r="V61" s="54"/>
      <c r="W61" s="49"/>
      <c r="X61" s="49"/>
    </row>
    <row r="62" spans="1:26">
      <c r="A62" s="101"/>
      <c r="B62" s="32"/>
      <c r="C62" s="71" t="s">
        <v>1860</v>
      </c>
      <c r="D62" s="53" t="s">
        <v>418</v>
      </c>
      <c r="E62" s="53" t="s">
        <v>1865</v>
      </c>
      <c r="F62" s="66" t="s">
        <v>420</v>
      </c>
      <c r="G62" s="69" t="s">
        <v>663</v>
      </c>
      <c r="H62" s="69" t="s">
        <v>30</v>
      </c>
      <c r="I62" s="69">
        <v>1</v>
      </c>
      <c r="J62" s="70">
        <v>875</v>
      </c>
      <c r="K62" s="54">
        <f t="shared" si="0"/>
        <v>875</v>
      </c>
      <c r="L62" s="55" t="b">
        <v>1</v>
      </c>
      <c r="M62" s="56">
        <v>120820241013</v>
      </c>
      <c r="N62" s="57" t="b">
        <v>1</v>
      </c>
      <c r="O62" s="58" t="s">
        <v>31</v>
      </c>
      <c r="P62" s="59" t="b">
        <v>1</v>
      </c>
      <c r="Q62" s="129"/>
      <c r="R62" s="60"/>
      <c r="S62" s="47" t="b">
        <v>1</v>
      </c>
      <c r="T62" s="61" t="s">
        <v>1867</v>
      </c>
      <c r="U62" s="54"/>
      <c r="V62" s="54"/>
      <c r="W62" s="49"/>
      <c r="X62" s="49"/>
    </row>
    <row r="63" spans="1:26">
      <c r="A63" s="101"/>
      <c r="B63" s="32"/>
      <c r="C63" s="71" t="s">
        <v>1860</v>
      </c>
      <c r="D63" s="53" t="s">
        <v>438</v>
      </c>
      <c r="E63" s="53" t="s">
        <v>883</v>
      </c>
      <c r="F63" s="66" t="s">
        <v>440</v>
      </c>
      <c r="G63" s="69" t="s">
        <v>1868</v>
      </c>
      <c r="H63" s="69" t="s">
        <v>30</v>
      </c>
      <c r="I63" s="69">
        <v>1</v>
      </c>
      <c r="J63" s="70">
        <v>775</v>
      </c>
      <c r="K63" s="54">
        <f t="shared" si="0"/>
        <v>775</v>
      </c>
      <c r="L63" s="55" t="b">
        <v>1</v>
      </c>
      <c r="M63" s="56">
        <v>120820241020</v>
      </c>
      <c r="N63" s="57" t="b">
        <v>1</v>
      </c>
      <c r="O63" s="58" t="s">
        <v>39</v>
      </c>
      <c r="P63" s="59" t="b">
        <v>1</v>
      </c>
      <c r="Q63" s="129"/>
      <c r="R63" s="60"/>
      <c r="S63" s="47" t="b">
        <v>1</v>
      </c>
      <c r="T63" s="186" t="s">
        <v>1869</v>
      </c>
      <c r="U63" s="54"/>
      <c r="V63" s="54"/>
      <c r="W63" s="49"/>
      <c r="X63" s="49"/>
    </row>
    <row r="64" spans="1:26">
      <c r="A64" s="162"/>
      <c r="B64" s="163"/>
      <c r="C64" s="132" t="s">
        <v>1860</v>
      </c>
      <c r="D64" s="66" t="s">
        <v>438</v>
      </c>
      <c r="E64" s="66" t="s">
        <v>883</v>
      </c>
      <c r="F64" s="66" t="s">
        <v>440</v>
      </c>
      <c r="G64" s="69" t="s">
        <v>1870</v>
      </c>
      <c r="H64" s="69" t="s">
        <v>30</v>
      </c>
      <c r="I64" s="69">
        <v>1</v>
      </c>
      <c r="J64" s="70">
        <v>300</v>
      </c>
      <c r="K64" s="75">
        <f t="shared" si="0"/>
        <v>300</v>
      </c>
      <c r="L64" s="55" t="b">
        <v>1</v>
      </c>
      <c r="M64" s="154">
        <v>120820241020</v>
      </c>
      <c r="N64" s="57" t="b">
        <v>1</v>
      </c>
      <c r="O64" s="58" t="s">
        <v>31</v>
      </c>
      <c r="P64" s="59" t="b">
        <v>1</v>
      </c>
      <c r="Q64" s="164"/>
      <c r="R64" s="57"/>
      <c r="S64" s="47" t="b">
        <v>1</v>
      </c>
      <c r="T64" s="61" t="s">
        <v>1871</v>
      </c>
      <c r="U64" s="75"/>
      <c r="V64" s="75"/>
      <c r="W64" s="166"/>
      <c r="X64" s="166"/>
      <c r="Y64" s="167"/>
      <c r="Z64" s="167"/>
    </row>
    <row r="65" spans="1:26">
      <c r="A65" s="162"/>
      <c r="B65" s="163"/>
      <c r="C65" s="132" t="s">
        <v>1860</v>
      </c>
      <c r="D65" s="66" t="s">
        <v>438</v>
      </c>
      <c r="E65" s="66" t="s">
        <v>883</v>
      </c>
      <c r="F65" s="66" t="s">
        <v>440</v>
      </c>
      <c r="G65" s="69" t="s">
        <v>68</v>
      </c>
      <c r="H65" s="69" t="s">
        <v>30</v>
      </c>
      <c r="I65" s="69">
        <v>1</v>
      </c>
      <c r="J65" s="70">
        <v>2350</v>
      </c>
      <c r="K65" s="75">
        <f t="shared" si="0"/>
        <v>2350</v>
      </c>
      <c r="L65" s="55" t="b">
        <v>1</v>
      </c>
      <c r="M65" s="154">
        <v>120820241026</v>
      </c>
      <c r="N65" s="57" t="b">
        <v>1</v>
      </c>
      <c r="O65" s="58" t="s">
        <v>31</v>
      </c>
      <c r="P65" s="59" t="b">
        <v>1</v>
      </c>
      <c r="Q65" s="164"/>
      <c r="R65" s="57"/>
      <c r="S65" s="47" t="b">
        <v>1</v>
      </c>
      <c r="T65" s="61" t="s">
        <v>1817</v>
      </c>
      <c r="U65" s="75"/>
      <c r="V65" s="75"/>
      <c r="W65" s="166"/>
      <c r="X65" s="166"/>
      <c r="Y65" s="167"/>
      <c r="Z65" s="167"/>
    </row>
    <row r="66" spans="1:26">
      <c r="A66" s="162"/>
      <c r="B66" s="163"/>
      <c r="C66" s="132" t="s">
        <v>1860</v>
      </c>
      <c r="D66" s="66" t="s">
        <v>51</v>
      </c>
      <c r="E66" s="66" t="s">
        <v>89</v>
      </c>
      <c r="F66" s="66" t="s">
        <v>1872</v>
      </c>
      <c r="G66" s="69" t="s">
        <v>68</v>
      </c>
      <c r="H66" s="69" t="s">
        <v>30</v>
      </c>
      <c r="I66" s="69">
        <v>5</v>
      </c>
      <c r="J66" s="70">
        <v>2350</v>
      </c>
      <c r="K66" s="75">
        <f t="shared" si="0"/>
        <v>11750</v>
      </c>
      <c r="L66" s="55" t="b">
        <v>1</v>
      </c>
      <c r="M66" s="154">
        <v>120820241026</v>
      </c>
      <c r="N66" s="57" t="b">
        <v>1</v>
      </c>
      <c r="O66" s="58" t="s">
        <v>31</v>
      </c>
      <c r="P66" s="59" t="b">
        <v>1</v>
      </c>
      <c r="Q66" s="164"/>
      <c r="R66" s="57"/>
      <c r="S66" s="47" t="b">
        <v>1</v>
      </c>
      <c r="T66" s="61" t="s">
        <v>1864</v>
      </c>
      <c r="U66" s="75"/>
      <c r="V66" s="75"/>
      <c r="W66" s="166"/>
      <c r="X66" s="166"/>
      <c r="Y66" s="167"/>
      <c r="Z66" s="167"/>
    </row>
    <row r="67" spans="1:26">
      <c r="A67" s="162"/>
      <c r="B67" s="163"/>
      <c r="C67" s="132" t="s">
        <v>1860</v>
      </c>
      <c r="D67" s="66" t="s">
        <v>51</v>
      </c>
      <c r="E67" s="66" t="s">
        <v>89</v>
      </c>
      <c r="F67" s="66" t="s">
        <v>1872</v>
      </c>
      <c r="G67" s="69" t="s">
        <v>1873</v>
      </c>
      <c r="H67" s="69" t="s">
        <v>30</v>
      </c>
      <c r="I67" s="69">
        <v>5</v>
      </c>
      <c r="J67" s="70">
        <v>320</v>
      </c>
      <c r="K67" s="75">
        <f t="shared" si="0"/>
        <v>1600</v>
      </c>
      <c r="L67" s="55" t="b">
        <v>1</v>
      </c>
      <c r="M67" s="154">
        <v>120820241026</v>
      </c>
      <c r="N67" s="57" t="b">
        <v>1</v>
      </c>
      <c r="O67" s="58" t="s">
        <v>31</v>
      </c>
      <c r="P67" s="59" t="b">
        <v>1</v>
      </c>
      <c r="Q67" s="164"/>
      <c r="R67" s="57"/>
      <c r="S67" s="47" t="b">
        <v>1</v>
      </c>
      <c r="T67" s="61" t="s">
        <v>1864</v>
      </c>
      <c r="U67" s="75"/>
      <c r="V67" s="75"/>
      <c r="W67" s="166"/>
      <c r="X67" s="166"/>
      <c r="Y67" s="167"/>
      <c r="Z67" s="167"/>
    </row>
    <row r="68" spans="1:26">
      <c r="A68" s="162"/>
      <c r="B68" s="163"/>
      <c r="C68" s="132" t="s">
        <v>1860</v>
      </c>
      <c r="D68" s="66" t="s">
        <v>51</v>
      </c>
      <c r="E68" s="66" t="s">
        <v>89</v>
      </c>
      <c r="F68" s="66" t="s">
        <v>1872</v>
      </c>
      <c r="G68" s="69" t="s">
        <v>49</v>
      </c>
      <c r="H68" s="69" t="s">
        <v>30</v>
      </c>
      <c r="I68" s="69">
        <v>1</v>
      </c>
      <c r="J68" s="70">
        <v>795</v>
      </c>
      <c r="K68" s="75">
        <f t="shared" si="0"/>
        <v>795</v>
      </c>
      <c r="L68" s="55" t="b">
        <v>1</v>
      </c>
      <c r="M68" s="154">
        <v>120820241026</v>
      </c>
      <c r="N68" s="57" t="b">
        <v>1</v>
      </c>
      <c r="O68" s="58" t="s">
        <v>31</v>
      </c>
      <c r="P68" s="59" t="b">
        <v>1</v>
      </c>
      <c r="Q68" s="164"/>
      <c r="R68" s="57"/>
      <c r="S68" s="47" t="b">
        <v>1</v>
      </c>
      <c r="T68" s="61" t="s">
        <v>1864</v>
      </c>
      <c r="U68" s="75"/>
      <c r="V68" s="75"/>
      <c r="W68" s="166"/>
      <c r="X68" s="166"/>
      <c r="Y68" s="167"/>
      <c r="Z68" s="167"/>
    </row>
    <row r="69" spans="1:26">
      <c r="A69" s="162"/>
      <c r="B69" s="163"/>
      <c r="C69" s="132" t="s">
        <v>1860</v>
      </c>
      <c r="D69" s="66" t="s">
        <v>51</v>
      </c>
      <c r="E69" s="66" t="s">
        <v>89</v>
      </c>
      <c r="F69" s="66" t="s">
        <v>1872</v>
      </c>
      <c r="G69" s="69" t="s">
        <v>1841</v>
      </c>
      <c r="H69" s="69" t="s">
        <v>30</v>
      </c>
      <c r="I69" s="69">
        <v>1</v>
      </c>
      <c r="J69" s="70">
        <v>1500</v>
      </c>
      <c r="K69" s="75">
        <v>1500</v>
      </c>
      <c r="L69" s="55" t="b">
        <v>1</v>
      </c>
      <c r="M69" s="154">
        <v>120820241026</v>
      </c>
      <c r="N69" s="57" t="b">
        <v>1</v>
      </c>
      <c r="O69" s="58" t="s">
        <v>31</v>
      </c>
      <c r="P69" s="59" t="b">
        <v>1</v>
      </c>
      <c r="Q69" s="164"/>
      <c r="R69" s="57"/>
      <c r="S69" s="47" t="b">
        <v>1</v>
      </c>
      <c r="T69" s="61" t="s">
        <v>1864</v>
      </c>
      <c r="U69" s="75"/>
      <c r="V69" s="75"/>
      <c r="W69" s="166"/>
      <c r="X69" s="166"/>
      <c r="Y69" s="167"/>
      <c r="Z69" s="167"/>
    </row>
    <row r="70" spans="1:26">
      <c r="A70" s="162"/>
      <c r="B70" s="163"/>
      <c r="C70" s="132" t="s">
        <v>1860</v>
      </c>
      <c r="D70" s="66" t="s">
        <v>93</v>
      </c>
      <c r="E70" s="66" t="s">
        <v>137</v>
      </c>
      <c r="F70" s="66" t="s">
        <v>1874</v>
      </c>
      <c r="G70" s="69" t="s">
        <v>49</v>
      </c>
      <c r="H70" s="69" t="s">
        <v>30</v>
      </c>
      <c r="I70" s="69">
        <v>2</v>
      </c>
      <c r="J70" s="70">
        <v>795</v>
      </c>
      <c r="K70" s="75">
        <f t="shared" ref="K70:K159" si="1">I70*J70</f>
        <v>1590</v>
      </c>
      <c r="L70" s="55" t="b">
        <v>1</v>
      </c>
      <c r="M70" s="154">
        <v>120820141454</v>
      </c>
      <c r="N70" s="57" t="b">
        <v>1</v>
      </c>
      <c r="O70" s="58" t="s">
        <v>31</v>
      </c>
      <c r="P70" s="59" t="b">
        <v>1</v>
      </c>
      <c r="Q70" s="164"/>
      <c r="R70" s="57"/>
      <c r="S70" s="47" t="b">
        <v>1</v>
      </c>
      <c r="T70" s="61" t="s">
        <v>1858</v>
      </c>
      <c r="U70" s="75"/>
      <c r="V70" s="75"/>
      <c r="W70" s="166"/>
      <c r="X70" s="166"/>
      <c r="Y70" s="167"/>
      <c r="Z70" s="167"/>
    </row>
    <row r="71" spans="1:26">
      <c r="A71" s="162"/>
      <c r="B71" s="163"/>
      <c r="C71" s="132" t="s">
        <v>1860</v>
      </c>
      <c r="D71" s="66" t="s">
        <v>93</v>
      </c>
      <c r="E71" s="66" t="s">
        <v>137</v>
      </c>
      <c r="F71" s="66" t="s">
        <v>1874</v>
      </c>
      <c r="G71" s="69" t="s">
        <v>83</v>
      </c>
      <c r="H71" s="69" t="s">
        <v>30</v>
      </c>
      <c r="I71" s="69">
        <v>1000</v>
      </c>
      <c r="J71" s="70">
        <v>1.5</v>
      </c>
      <c r="K71" s="75">
        <f t="shared" si="1"/>
        <v>1500</v>
      </c>
      <c r="L71" s="55" t="b">
        <v>1</v>
      </c>
      <c r="M71" s="154">
        <v>120820241454</v>
      </c>
      <c r="N71" s="57" t="b">
        <v>1</v>
      </c>
      <c r="O71" s="58" t="s">
        <v>31</v>
      </c>
      <c r="P71" s="59" t="b">
        <v>1</v>
      </c>
      <c r="Q71" s="164"/>
      <c r="R71" s="57"/>
      <c r="S71" s="47" t="b">
        <v>1</v>
      </c>
      <c r="T71" s="61" t="s">
        <v>1858</v>
      </c>
      <c r="U71" s="75"/>
      <c r="V71" s="75"/>
      <c r="W71" s="166"/>
      <c r="X71" s="166"/>
      <c r="Y71" s="167"/>
      <c r="Z71" s="167"/>
    </row>
    <row r="72" spans="1:26">
      <c r="A72" s="101"/>
      <c r="B72" s="32"/>
      <c r="C72" s="71" t="s">
        <v>1875</v>
      </c>
      <c r="D72" s="53" t="s">
        <v>104</v>
      </c>
      <c r="E72" s="53" t="s">
        <v>61</v>
      </c>
      <c r="F72" s="66" t="s">
        <v>333</v>
      </c>
      <c r="G72" s="69" t="s">
        <v>442</v>
      </c>
      <c r="H72" s="69" t="s">
        <v>30</v>
      </c>
      <c r="I72" s="69">
        <v>24</v>
      </c>
      <c r="J72" s="70">
        <v>53</v>
      </c>
      <c r="K72" s="54">
        <f t="shared" si="1"/>
        <v>1272</v>
      </c>
      <c r="L72" s="55" t="b">
        <v>1</v>
      </c>
      <c r="M72" s="56">
        <v>130820241342</v>
      </c>
      <c r="N72" s="57" t="b">
        <v>1</v>
      </c>
      <c r="O72" s="58" t="s">
        <v>31</v>
      </c>
      <c r="P72" s="59" t="b">
        <v>1</v>
      </c>
      <c r="Q72" s="129"/>
      <c r="R72" s="60"/>
      <c r="S72" s="47" t="b">
        <v>1</v>
      </c>
      <c r="T72" s="61" t="s">
        <v>1876</v>
      </c>
      <c r="U72" s="54"/>
      <c r="V72" s="54"/>
      <c r="W72" s="49"/>
      <c r="X72" s="49"/>
    </row>
    <row r="73" spans="1:26">
      <c r="A73" s="101"/>
      <c r="B73" s="32"/>
      <c r="C73" s="71" t="s">
        <v>1875</v>
      </c>
      <c r="D73" s="53" t="s">
        <v>98</v>
      </c>
      <c r="E73" s="53" t="s">
        <v>99</v>
      </c>
      <c r="F73" s="66" t="s">
        <v>1877</v>
      </c>
      <c r="G73" s="69" t="s">
        <v>1843</v>
      </c>
      <c r="H73" s="69" t="s">
        <v>30</v>
      </c>
      <c r="I73" s="69">
        <v>12</v>
      </c>
      <c r="J73" s="70">
        <v>145</v>
      </c>
      <c r="K73" s="54">
        <f t="shared" si="1"/>
        <v>1740</v>
      </c>
      <c r="L73" s="55" t="b">
        <v>1</v>
      </c>
      <c r="M73" s="56">
        <v>130820241445</v>
      </c>
      <c r="N73" s="57" t="b">
        <v>1</v>
      </c>
      <c r="O73" s="58" t="s">
        <v>31</v>
      </c>
      <c r="P73" s="59" t="b">
        <v>1</v>
      </c>
      <c r="Q73" s="129"/>
      <c r="R73" s="60"/>
      <c r="S73" s="47" t="b">
        <v>1</v>
      </c>
      <c r="T73" s="61" t="s">
        <v>1878</v>
      </c>
      <c r="U73" s="54"/>
      <c r="V73" s="54"/>
      <c r="W73" s="49"/>
      <c r="X73" s="49"/>
    </row>
    <row r="74" spans="1:26">
      <c r="A74" s="162"/>
      <c r="B74" s="163"/>
      <c r="C74" s="132" t="s">
        <v>1875</v>
      </c>
      <c r="D74" s="66" t="s">
        <v>51</v>
      </c>
      <c r="E74" s="66" t="s">
        <v>89</v>
      </c>
      <c r="F74" s="66" t="s">
        <v>777</v>
      </c>
      <c r="G74" s="69" t="s">
        <v>1824</v>
      </c>
      <c r="H74" s="69" t="s">
        <v>30</v>
      </c>
      <c r="I74" s="161">
        <v>200</v>
      </c>
      <c r="J74" s="70">
        <v>15</v>
      </c>
      <c r="K74" s="75">
        <f t="shared" si="1"/>
        <v>3000</v>
      </c>
      <c r="L74" s="55" t="b">
        <v>1</v>
      </c>
      <c r="M74" s="154">
        <v>130820241446</v>
      </c>
      <c r="N74" s="57" t="b">
        <v>1</v>
      </c>
      <c r="O74" s="58" t="s">
        <v>31</v>
      </c>
      <c r="P74" s="59" t="b">
        <v>1</v>
      </c>
      <c r="Q74" s="164"/>
      <c r="R74" s="57"/>
      <c r="S74" s="47" t="b">
        <v>1</v>
      </c>
      <c r="T74" s="61" t="s">
        <v>1864</v>
      </c>
      <c r="U74" s="75"/>
      <c r="V74" s="75"/>
      <c r="W74" s="166"/>
      <c r="X74" s="166"/>
      <c r="Y74" s="167"/>
      <c r="Z74" s="167"/>
    </row>
    <row r="75" spans="1:26">
      <c r="A75" s="101"/>
      <c r="B75" s="32"/>
      <c r="C75" s="71" t="s">
        <v>1875</v>
      </c>
      <c r="D75" s="53" t="s">
        <v>51</v>
      </c>
      <c r="E75" s="53" t="s">
        <v>475</v>
      </c>
      <c r="F75" s="66" t="s">
        <v>168</v>
      </c>
      <c r="G75" s="69" t="s">
        <v>1879</v>
      </c>
      <c r="H75" s="69" t="s">
        <v>30</v>
      </c>
      <c r="I75" s="69">
        <v>1</v>
      </c>
      <c r="J75" s="70">
        <v>4000</v>
      </c>
      <c r="K75" s="54">
        <f t="shared" si="1"/>
        <v>4000</v>
      </c>
      <c r="L75" s="55" t="b">
        <v>1</v>
      </c>
      <c r="M75" s="56">
        <v>130820241648</v>
      </c>
      <c r="N75" s="57" t="b">
        <v>1</v>
      </c>
      <c r="O75" s="58" t="s">
        <v>31</v>
      </c>
      <c r="P75" s="59" t="b">
        <v>1</v>
      </c>
      <c r="Q75" s="129"/>
      <c r="R75" s="60"/>
      <c r="S75" s="47" t="b">
        <v>1</v>
      </c>
      <c r="T75" s="61" t="s">
        <v>1880</v>
      </c>
      <c r="U75" s="54"/>
      <c r="V75" s="54"/>
      <c r="W75" s="49"/>
      <c r="X75" s="49"/>
    </row>
    <row r="76" spans="1:26">
      <c r="A76" s="101"/>
      <c r="B76" s="32"/>
      <c r="C76" s="71" t="s">
        <v>1881</v>
      </c>
      <c r="D76" s="53" t="s">
        <v>212</v>
      </c>
      <c r="E76" s="53" t="s">
        <v>1882</v>
      </c>
      <c r="F76" s="66" t="s">
        <v>312</v>
      </c>
      <c r="G76" s="69" t="s">
        <v>1883</v>
      </c>
      <c r="H76" s="69" t="s">
        <v>30</v>
      </c>
      <c r="I76" s="69">
        <v>2</v>
      </c>
      <c r="J76" s="70">
        <v>895</v>
      </c>
      <c r="K76" s="54">
        <f t="shared" si="1"/>
        <v>1790</v>
      </c>
      <c r="L76" s="55" t="b">
        <v>1</v>
      </c>
      <c r="M76" s="56">
        <v>140820241147</v>
      </c>
      <c r="N76" s="57" t="b">
        <v>1</v>
      </c>
      <c r="O76" s="58" t="s">
        <v>31</v>
      </c>
      <c r="P76" s="59" t="b">
        <v>1</v>
      </c>
      <c r="Q76" s="129"/>
      <c r="R76" s="60"/>
      <c r="S76" s="47" t="b">
        <v>1</v>
      </c>
      <c r="T76" s="61" t="s">
        <v>1862</v>
      </c>
      <c r="U76" s="54"/>
      <c r="V76" s="54"/>
      <c r="W76" s="49"/>
      <c r="X76" s="49"/>
    </row>
    <row r="77" spans="1:26">
      <c r="A77" s="101"/>
      <c r="B77" s="32"/>
      <c r="C77" s="71" t="s">
        <v>1881</v>
      </c>
      <c r="D77" s="53" t="s">
        <v>104</v>
      </c>
      <c r="E77" s="53" t="s">
        <v>1791</v>
      </c>
      <c r="F77" s="66" t="s">
        <v>1021</v>
      </c>
      <c r="G77" s="69" t="s">
        <v>1884</v>
      </c>
      <c r="H77" s="69" t="s">
        <v>30</v>
      </c>
      <c r="I77" s="69">
        <v>10</v>
      </c>
      <c r="J77" s="70">
        <v>85</v>
      </c>
      <c r="K77" s="54">
        <f t="shared" si="1"/>
        <v>850</v>
      </c>
      <c r="L77" s="55" t="b">
        <v>1</v>
      </c>
      <c r="M77" s="56">
        <v>140820241359</v>
      </c>
      <c r="N77" s="57" t="b">
        <v>1</v>
      </c>
      <c r="O77" s="58" t="s">
        <v>31</v>
      </c>
      <c r="P77" s="59" t="b">
        <v>1</v>
      </c>
      <c r="Q77" s="129"/>
      <c r="R77" s="60"/>
      <c r="S77" s="47" t="b">
        <v>1</v>
      </c>
      <c r="T77" s="61" t="s">
        <v>1885</v>
      </c>
      <c r="U77" s="54"/>
      <c r="V77" s="54"/>
      <c r="W77" s="49"/>
      <c r="X77" s="49"/>
    </row>
    <row r="78" spans="1:26">
      <c r="A78" s="101"/>
      <c r="B78" s="32"/>
      <c r="C78" s="71" t="s">
        <v>1881</v>
      </c>
      <c r="D78" s="53" t="s">
        <v>1886</v>
      </c>
      <c r="E78" s="53" t="s">
        <v>434</v>
      </c>
      <c r="F78" s="66" t="s">
        <v>1754</v>
      </c>
      <c r="G78" s="69" t="s">
        <v>49</v>
      </c>
      <c r="H78" s="69" t="s">
        <v>30</v>
      </c>
      <c r="I78" s="69">
        <v>5</v>
      </c>
      <c r="J78" s="70">
        <v>795</v>
      </c>
      <c r="K78" s="54">
        <f t="shared" si="1"/>
        <v>3975</v>
      </c>
      <c r="L78" s="55" t="b">
        <v>1</v>
      </c>
      <c r="M78" s="56">
        <v>140820241549</v>
      </c>
      <c r="N78" s="57" t="b">
        <v>1</v>
      </c>
      <c r="O78" s="58" t="s">
        <v>31</v>
      </c>
      <c r="P78" s="59" t="b">
        <v>1</v>
      </c>
      <c r="Q78" s="129"/>
      <c r="R78" s="60"/>
      <c r="S78" s="47" t="b">
        <v>1</v>
      </c>
      <c r="T78" s="61" t="s">
        <v>1887</v>
      </c>
      <c r="U78" s="54"/>
      <c r="V78" s="54"/>
      <c r="W78" s="49"/>
      <c r="X78" s="49"/>
    </row>
    <row r="79" spans="1:26">
      <c r="A79" s="101"/>
      <c r="B79" s="32"/>
      <c r="C79" s="71" t="s">
        <v>1881</v>
      </c>
      <c r="D79" s="53" t="s">
        <v>463</v>
      </c>
      <c r="E79" s="53" t="s">
        <v>463</v>
      </c>
      <c r="F79" s="66" t="s">
        <v>579</v>
      </c>
      <c r="G79" s="69" t="s">
        <v>68</v>
      </c>
      <c r="H79" s="69" t="s">
        <v>30</v>
      </c>
      <c r="I79" s="69">
        <v>1</v>
      </c>
      <c r="J79" s="70">
        <v>2350</v>
      </c>
      <c r="K79" s="54">
        <f t="shared" si="1"/>
        <v>2350</v>
      </c>
      <c r="L79" s="55" t="b">
        <v>1</v>
      </c>
      <c r="M79" s="56">
        <v>140820241724</v>
      </c>
      <c r="N79" s="57" t="b">
        <v>1</v>
      </c>
      <c r="O79" s="58" t="s">
        <v>31</v>
      </c>
      <c r="P79" s="59" t="b">
        <v>1</v>
      </c>
      <c r="Q79" s="129"/>
      <c r="R79" s="60"/>
      <c r="S79" s="47" t="b">
        <v>1</v>
      </c>
      <c r="T79" s="61" t="s">
        <v>1888</v>
      </c>
      <c r="U79" s="54"/>
      <c r="V79" s="54"/>
      <c r="W79" s="49"/>
      <c r="X79" s="49"/>
    </row>
    <row r="80" spans="1:26">
      <c r="A80" s="101"/>
      <c r="B80" s="32"/>
      <c r="C80" s="71" t="s">
        <v>1881</v>
      </c>
      <c r="D80" s="53" t="s">
        <v>345</v>
      </c>
      <c r="E80" s="53" t="s">
        <v>342</v>
      </c>
      <c r="F80" s="66" t="s">
        <v>927</v>
      </c>
      <c r="G80" s="69" t="s">
        <v>68</v>
      </c>
      <c r="H80" s="69" t="s">
        <v>30</v>
      </c>
      <c r="I80" s="69">
        <v>1</v>
      </c>
      <c r="J80" s="70">
        <v>2350</v>
      </c>
      <c r="K80" s="54">
        <f t="shared" si="1"/>
        <v>2350</v>
      </c>
      <c r="L80" s="55" t="b">
        <v>1</v>
      </c>
      <c r="M80" s="56">
        <v>140820241725</v>
      </c>
      <c r="N80" s="57" t="b">
        <v>1</v>
      </c>
      <c r="O80" s="58" t="s">
        <v>31</v>
      </c>
      <c r="P80" s="59" t="b">
        <v>1</v>
      </c>
      <c r="Q80" s="129"/>
      <c r="R80" s="60"/>
      <c r="S80" s="47" t="b">
        <v>1</v>
      </c>
      <c r="T80" s="61" t="s">
        <v>1889</v>
      </c>
      <c r="U80" s="54"/>
      <c r="V80" s="54"/>
      <c r="W80" s="49"/>
      <c r="X80" s="49"/>
    </row>
    <row r="81" spans="1:26">
      <c r="A81" s="101"/>
      <c r="B81" s="32"/>
      <c r="C81" s="71" t="s">
        <v>1890</v>
      </c>
      <c r="D81" s="53" t="s">
        <v>51</v>
      </c>
      <c r="E81" s="53" t="s">
        <v>201</v>
      </c>
      <c r="F81" s="66" t="s">
        <v>202</v>
      </c>
      <c r="G81" s="69" t="s">
        <v>1841</v>
      </c>
      <c r="H81" s="69" t="s">
        <v>30</v>
      </c>
      <c r="I81" s="69">
        <v>3000</v>
      </c>
      <c r="J81" s="70">
        <v>1.25</v>
      </c>
      <c r="K81" s="54">
        <f t="shared" si="1"/>
        <v>3750</v>
      </c>
      <c r="L81" s="55" t="b">
        <v>1</v>
      </c>
      <c r="M81" s="56">
        <v>150820241133</v>
      </c>
      <c r="N81" s="57" t="b">
        <v>1</v>
      </c>
      <c r="O81" s="58" t="s">
        <v>31</v>
      </c>
      <c r="P81" s="59" t="b">
        <v>1</v>
      </c>
      <c r="Q81" s="129"/>
      <c r="R81" s="60"/>
      <c r="S81" s="47" t="b">
        <v>1</v>
      </c>
      <c r="T81" s="61" t="s">
        <v>1891</v>
      </c>
      <c r="U81" s="54"/>
      <c r="V81" s="54"/>
      <c r="W81" s="49"/>
      <c r="X81" s="49"/>
    </row>
    <row r="82" spans="1:26">
      <c r="A82" s="162"/>
      <c r="B82" s="163"/>
      <c r="C82" s="132" t="s">
        <v>1890</v>
      </c>
      <c r="D82" s="66" t="s">
        <v>26</v>
      </c>
      <c r="E82" s="66" t="s">
        <v>27</v>
      </c>
      <c r="F82" s="66" t="s">
        <v>1590</v>
      </c>
      <c r="G82" s="69" t="s">
        <v>1892</v>
      </c>
      <c r="H82" s="69" t="s">
        <v>30</v>
      </c>
      <c r="I82" s="69">
        <v>6</v>
      </c>
      <c r="J82" s="70">
        <v>550</v>
      </c>
      <c r="K82" s="75">
        <f t="shared" si="1"/>
        <v>3300</v>
      </c>
      <c r="L82" s="55" t="b">
        <v>1</v>
      </c>
      <c r="M82" s="154">
        <v>150820241325</v>
      </c>
      <c r="N82" s="57" t="b">
        <v>1</v>
      </c>
      <c r="O82" s="58" t="s">
        <v>31</v>
      </c>
      <c r="P82" s="59" t="b">
        <v>1</v>
      </c>
      <c r="Q82" s="164"/>
      <c r="R82" s="57"/>
      <c r="S82" s="47" t="b">
        <v>1</v>
      </c>
      <c r="T82" s="61" t="s">
        <v>1893</v>
      </c>
      <c r="U82" s="75"/>
      <c r="V82" s="75"/>
      <c r="W82" s="166"/>
      <c r="X82" s="166"/>
      <c r="Y82" s="167"/>
      <c r="Z82" s="167"/>
    </row>
    <row r="83" spans="1:26">
      <c r="A83" s="101"/>
      <c r="B83" s="32"/>
      <c r="C83" s="71" t="s">
        <v>1890</v>
      </c>
      <c r="D83" s="53" t="s">
        <v>212</v>
      </c>
      <c r="E83" s="53" t="s">
        <v>1894</v>
      </c>
      <c r="F83" s="151" t="s">
        <v>1895</v>
      </c>
      <c r="G83" s="69" t="s">
        <v>49</v>
      </c>
      <c r="H83" s="69" t="s">
        <v>30</v>
      </c>
      <c r="I83" s="69">
        <v>5</v>
      </c>
      <c r="J83" s="70">
        <v>795</v>
      </c>
      <c r="K83" s="54">
        <f t="shared" si="1"/>
        <v>3975</v>
      </c>
      <c r="L83" s="55" t="b">
        <v>1</v>
      </c>
      <c r="M83" s="56">
        <v>150820241423</v>
      </c>
      <c r="N83" s="57" t="b">
        <v>1</v>
      </c>
      <c r="O83" s="58" t="s">
        <v>31</v>
      </c>
      <c r="P83" s="59" t="b">
        <v>1</v>
      </c>
      <c r="Q83" s="129"/>
      <c r="R83" s="60"/>
      <c r="S83" s="47" t="b">
        <v>1</v>
      </c>
      <c r="T83" s="61" t="s">
        <v>1896</v>
      </c>
      <c r="U83" s="54"/>
      <c r="V83" s="54"/>
      <c r="W83" s="49"/>
      <c r="X83" s="49"/>
    </row>
    <row r="84" spans="1:26">
      <c r="A84" s="162"/>
      <c r="B84" s="163"/>
      <c r="C84" s="132" t="s">
        <v>1890</v>
      </c>
      <c r="D84" s="66" t="s">
        <v>144</v>
      </c>
      <c r="E84" s="66" t="s">
        <v>145</v>
      </c>
      <c r="F84" s="66" t="s">
        <v>1542</v>
      </c>
      <c r="G84" s="69" t="s">
        <v>1831</v>
      </c>
      <c r="H84" s="69" t="s">
        <v>30</v>
      </c>
      <c r="I84" s="69">
        <v>30</v>
      </c>
      <c r="J84" s="70">
        <v>105</v>
      </c>
      <c r="K84" s="75">
        <f t="shared" si="1"/>
        <v>3150</v>
      </c>
      <c r="L84" s="55" t="b">
        <v>1</v>
      </c>
      <c r="M84" s="154">
        <v>150820241424</v>
      </c>
      <c r="N84" s="57" t="b">
        <v>1</v>
      </c>
      <c r="O84" s="58" t="s">
        <v>31</v>
      </c>
      <c r="P84" s="59" t="b">
        <v>1</v>
      </c>
      <c r="Q84" s="164"/>
      <c r="R84" s="165" t="s">
        <v>1897</v>
      </c>
      <c r="S84" s="47" t="b">
        <v>1</v>
      </c>
      <c r="T84" s="61" t="s">
        <v>1898</v>
      </c>
      <c r="U84" s="75"/>
      <c r="V84" s="75"/>
      <c r="W84" s="166"/>
      <c r="X84" s="166"/>
      <c r="Y84" s="167"/>
      <c r="Z84" s="167"/>
    </row>
    <row r="85" spans="1:26">
      <c r="A85" s="101"/>
      <c r="B85" s="32"/>
      <c r="C85" s="71" t="s">
        <v>1890</v>
      </c>
      <c r="D85" s="53" t="s">
        <v>1899</v>
      </c>
      <c r="E85" s="53" t="s">
        <v>137</v>
      </c>
      <c r="F85" s="53" t="s">
        <v>137</v>
      </c>
      <c r="G85" s="69" t="s">
        <v>447</v>
      </c>
      <c r="H85" s="69" t="s">
        <v>30</v>
      </c>
      <c r="I85" s="69">
        <v>50</v>
      </c>
      <c r="J85" s="70">
        <v>17.5</v>
      </c>
      <c r="K85" s="54">
        <f t="shared" si="1"/>
        <v>875</v>
      </c>
      <c r="L85" s="55" t="b">
        <v>1</v>
      </c>
      <c r="M85" s="56">
        <v>150820241729</v>
      </c>
      <c r="N85" s="57" t="b">
        <v>1</v>
      </c>
      <c r="O85" s="58" t="s">
        <v>39</v>
      </c>
      <c r="P85" s="59" t="b">
        <v>1</v>
      </c>
      <c r="Q85" s="129" t="s">
        <v>1900</v>
      </c>
      <c r="R85" s="61" t="s">
        <v>1901</v>
      </c>
      <c r="S85" s="47" t="b">
        <v>1</v>
      </c>
      <c r="T85" s="61" t="s">
        <v>1902</v>
      </c>
      <c r="U85" s="54"/>
      <c r="V85" s="54"/>
      <c r="W85" s="49"/>
      <c r="X85" s="49"/>
    </row>
    <row r="86" spans="1:26">
      <c r="A86" s="162"/>
      <c r="B86" s="163"/>
      <c r="C86" s="132" t="s">
        <v>1903</v>
      </c>
      <c r="D86" s="66" t="s">
        <v>26</v>
      </c>
      <c r="E86" s="66" t="s">
        <v>220</v>
      </c>
      <c r="F86" s="66" t="s">
        <v>1904</v>
      </c>
      <c r="G86" s="69" t="s">
        <v>677</v>
      </c>
      <c r="H86" s="69" t="s">
        <v>30</v>
      </c>
      <c r="I86" s="69">
        <v>20</v>
      </c>
      <c r="J86" s="70">
        <v>105</v>
      </c>
      <c r="K86" s="75">
        <f t="shared" si="1"/>
        <v>2100</v>
      </c>
      <c r="L86" s="55" t="b">
        <v>1</v>
      </c>
      <c r="M86" s="154">
        <v>160820241421</v>
      </c>
      <c r="N86" s="57" t="b">
        <v>1</v>
      </c>
      <c r="O86" s="58" t="s">
        <v>31</v>
      </c>
      <c r="P86" s="59" t="b">
        <v>1</v>
      </c>
      <c r="Q86" s="164"/>
      <c r="R86" s="165" t="s">
        <v>1905</v>
      </c>
      <c r="S86" s="47" t="b">
        <v>1</v>
      </c>
      <c r="T86" s="61" t="s">
        <v>1906</v>
      </c>
      <c r="U86" s="75"/>
      <c r="V86" s="75"/>
      <c r="W86" s="166"/>
      <c r="X86" s="166"/>
      <c r="Y86" s="167"/>
      <c r="Z86" s="167"/>
    </row>
    <row r="87" spans="1:26">
      <c r="A87" s="101"/>
      <c r="B87" s="32"/>
      <c r="C87" s="71" t="s">
        <v>1903</v>
      </c>
      <c r="D87" s="53" t="s">
        <v>171</v>
      </c>
      <c r="E87" s="53" t="s">
        <v>137</v>
      </c>
      <c r="F87" s="151" t="s">
        <v>1545</v>
      </c>
      <c r="G87" s="69" t="s">
        <v>1907</v>
      </c>
      <c r="H87" s="69" t="s">
        <v>30</v>
      </c>
      <c r="I87" s="69">
        <v>50</v>
      </c>
      <c r="J87" s="70">
        <v>125</v>
      </c>
      <c r="K87" s="54">
        <f t="shared" si="1"/>
        <v>6250</v>
      </c>
      <c r="L87" s="55" t="b">
        <v>1</v>
      </c>
      <c r="M87" s="56">
        <v>160820241826</v>
      </c>
      <c r="N87" s="57" t="b">
        <v>1</v>
      </c>
      <c r="O87" s="58" t="s">
        <v>31</v>
      </c>
      <c r="P87" s="59" t="b">
        <v>1</v>
      </c>
      <c r="Q87" s="129"/>
      <c r="R87" s="60"/>
      <c r="S87" s="47" t="b">
        <v>1</v>
      </c>
      <c r="T87" s="61" t="s">
        <v>1908</v>
      </c>
      <c r="U87" s="54"/>
      <c r="V87" s="54"/>
      <c r="W87" s="49"/>
      <c r="X87" s="49"/>
    </row>
    <row r="88" spans="1:26">
      <c r="A88" s="101"/>
      <c r="B88" s="32"/>
      <c r="C88" s="71" t="s">
        <v>1903</v>
      </c>
      <c r="D88" s="53" t="s">
        <v>26</v>
      </c>
      <c r="E88" s="53" t="s">
        <v>27</v>
      </c>
      <c r="F88" s="66" t="s">
        <v>1590</v>
      </c>
      <c r="G88" s="69" t="s">
        <v>442</v>
      </c>
      <c r="H88" s="69" t="s">
        <v>30</v>
      </c>
      <c r="I88" s="69">
        <v>24</v>
      </c>
      <c r="J88" s="70">
        <v>54</v>
      </c>
      <c r="K88" s="54">
        <f t="shared" si="1"/>
        <v>1296</v>
      </c>
      <c r="L88" s="55" t="b">
        <v>1</v>
      </c>
      <c r="M88" s="56">
        <v>160820241921</v>
      </c>
      <c r="N88" s="57" t="b">
        <v>1</v>
      </c>
      <c r="O88" s="58" t="s">
        <v>31</v>
      </c>
      <c r="P88" s="59" t="b">
        <v>1</v>
      </c>
      <c r="Q88" s="129"/>
      <c r="R88" s="60"/>
      <c r="S88" s="47" t="b">
        <v>1</v>
      </c>
      <c r="T88" s="61" t="s">
        <v>1909</v>
      </c>
      <c r="U88" s="54"/>
      <c r="V88" s="54"/>
      <c r="W88" s="49"/>
      <c r="X88" s="49"/>
    </row>
    <row r="89" spans="1:26">
      <c r="A89" s="101"/>
      <c r="B89" s="32"/>
      <c r="C89" s="71" t="s">
        <v>1910</v>
      </c>
      <c r="D89" s="53" t="s">
        <v>41</v>
      </c>
      <c r="E89" s="53" t="s">
        <v>42</v>
      </c>
      <c r="F89" s="66" t="s">
        <v>209</v>
      </c>
      <c r="G89" s="69" t="s">
        <v>1351</v>
      </c>
      <c r="H89" s="69" t="s">
        <v>30</v>
      </c>
      <c r="I89" s="69">
        <v>5</v>
      </c>
      <c r="J89" s="70">
        <v>105</v>
      </c>
      <c r="K89" s="54">
        <f t="shared" si="1"/>
        <v>525</v>
      </c>
      <c r="L89" s="55" t="b">
        <v>1</v>
      </c>
      <c r="M89" s="56">
        <v>190820240910</v>
      </c>
      <c r="N89" s="57" t="b">
        <v>1</v>
      </c>
      <c r="O89" s="58" t="s">
        <v>31</v>
      </c>
      <c r="P89" s="59" t="b">
        <v>1</v>
      </c>
      <c r="Q89" s="129"/>
      <c r="R89" s="60"/>
      <c r="S89" s="47" t="b">
        <v>1</v>
      </c>
      <c r="T89" s="61" t="s">
        <v>1911</v>
      </c>
      <c r="U89" s="54"/>
      <c r="V89" s="54"/>
      <c r="W89" s="49"/>
      <c r="X89" s="49"/>
    </row>
    <row r="90" spans="1:26">
      <c r="A90" s="101"/>
      <c r="B90" s="32"/>
      <c r="C90" s="71" t="s">
        <v>1910</v>
      </c>
      <c r="D90" s="53" t="s">
        <v>418</v>
      </c>
      <c r="E90" s="53" t="s">
        <v>42</v>
      </c>
      <c r="F90" s="66" t="s">
        <v>209</v>
      </c>
      <c r="G90" s="69" t="s">
        <v>1912</v>
      </c>
      <c r="H90" s="69" t="s">
        <v>30</v>
      </c>
      <c r="I90" s="69">
        <v>4</v>
      </c>
      <c r="J90" s="70">
        <v>85</v>
      </c>
      <c r="K90" s="54">
        <f t="shared" si="1"/>
        <v>340</v>
      </c>
      <c r="L90" s="55" t="b">
        <v>1</v>
      </c>
      <c r="M90" s="56">
        <v>190820240916</v>
      </c>
      <c r="N90" s="57" t="b">
        <v>1</v>
      </c>
      <c r="O90" s="58" t="s">
        <v>31</v>
      </c>
      <c r="P90" s="59" t="b">
        <v>1</v>
      </c>
      <c r="Q90" s="129"/>
      <c r="R90" s="60"/>
      <c r="S90" s="47" t="b">
        <v>1</v>
      </c>
      <c r="T90" s="61" t="s">
        <v>1911</v>
      </c>
      <c r="U90" s="54"/>
      <c r="V90" s="54"/>
      <c r="W90" s="49"/>
      <c r="X90" s="49"/>
    </row>
    <row r="91" spans="1:26">
      <c r="A91" s="101"/>
      <c r="B91" s="32"/>
      <c r="C91" s="71" t="s">
        <v>1910</v>
      </c>
      <c r="D91" s="53" t="s">
        <v>104</v>
      </c>
      <c r="E91" s="53" t="s">
        <v>1143</v>
      </c>
      <c r="F91" s="66" t="s">
        <v>1727</v>
      </c>
      <c r="G91" s="69" t="s">
        <v>49</v>
      </c>
      <c r="H91" s="69" t="s">
        <v>30</v>
      </c>
      <c r="I91" s="69">
        <v>10</v>
      </c>
      <c r="J91" s="70">
        <v>795</v>
      </c>
      <c r="K91" s="54">
        <f t="shared" si="1"/>
        <v>7950</v>
      </c>
      <c r="L91" s="55" t="b">
        <v>1</v>
      </c>
      <c r="M91" s="56">
        <v>190820240918</v>
      </c>
      <c r="N91" s="57" t="b">
        <v>1</v>
      </c>
      <c r="O91" s="58" t="s">
        <v>31</v>
      </c>
      <c r="P91" s="59" t="b">
        <v>1</v>
      </c>
      <c r="Q91" s="129"/>
      <c r="R91" s="60"/>
      <c r="S91" s="47" t="b">
        <v>1</v>
      </c>
      <c r="T91" s="61" t="s">
        <v>1913</v>
      </c>
      <c r="U91" s="54"/>
      <c r="V91" s="54"/>
      <c r="W91" s="49"/>
      <c r="X91" s="49"/>
    </row>
    <row r="92" spans="1:26">
      <c r="A92" s="162"/>
      <c r="B92" s="163"/>
      <c r="C92" s="132" t="s">
        <v>1910</v>
      </c>
      <c r="D92" s="66" t="s">
        <v>104</v>
      </c>
      <c r="E92" s="66" t="s">
        <v>1143</v>
      </c>
      <c r="F92" s="66" t="s">
        <v>1727</v>
      </c>
      <c r="G92" s="159" t="s">
        <v>1912</v>
      </c>
      <c r="H92" s="69" t="s">
        <v>30</v>
      </c>
      <c r="I92" s="69">
        <v>50</v>
      </c>
      <c r="J92" s="70">
        <v>85</v>
      </c>
      <c r="K92" s="75">
        <f t="shared" si="1"/>
        <v>4250</v>
      </c>
      <c r="L92" s="55" t="b">
        <v>1</v>
      </c>
      <c r="M92" s="154">
        <v>190820240918</v>
      </c>
      <c r="N92" s="57" t="b">
        <v>1</v>
      </c>
      <c r="O92" s="58" t="s">
        <v>31</v>
      </c>
      <c r="P92" s="59" t="b">
        <v>1</v>
      </c>
      <c r="Q92" s="164"/>
      <c r="R92" s="57"/>
      <c r="S92" s="47" t="b">
        <v>1</v>
      </c>
      <c r="T92" s="61" t="s">
        <v>1914</v>
      </c>
      <c r="U92" s="75"/>
      <c r="V92" s="75"/>
      <c r="W92" s="166"/>
      <c r="X92" s="166"/>
      <c r="Y92" s="167"/>
      <c r="Z92" s="167"/>
    </row>
    <row r="93" spans="1:26">
      <c r="A93" s="162"/>
      <c r="B93" s="163"/>
      <c r="C93" s="132" t="s">
        <v>1910</v>
      </c>
      <c r="D93" s="66" t="s">
        <v>104</v>
      </c>
      <c r="E93" s="66" t="s">
        <v>1143</v>
      </c>
      <c r="F93" s="66" t="s">
        <v>1727</v>
      </c>
      <c r="G93" s="69" t="s">
        <v>1915</v>
      </c>
      <c r="H93" s="69" t="s">
        <v>30</v>
      </c>
      <c r="I93" s="69">
        <v>72</v>
      </c>
      <c r="J93" s="70">
        <v>105</v>
      </c>
      <c r="K93" s="75">
        <f t="shared" si="1"/>
        <v>7560</v>
      </c>
      <c r="L93" s="55" t="b">
        <v>1</v>
      </c>
      <c r="M93" s="154">
        <v>190820240918</v>
      </c>
      <c r="N93" s="57" t="b">
        <v>1</v>
      </c>
      <c r="O93" s="58" t="s">
        <v>31</v>
      </c>
      <c r="P93" s="59" t="b">
        <v>1</v>
      </c>
      <c r="Q93" s="164"/>
      <c r="R93" s="57"/>
      <c r="S93" s="47" t="b">
        <v>1</v>
      </c>
      <c r="T93" s="61" t="s">
        <v>1914</v>
      </c>
      <c r="U93" s="75"/>
      <c r="V93" s="75">
        <f t="shared" ref="V93:V118" si="2">K93-U93</f>
        <v>7560</v>
      </c>
      <c r="W93" s="166"/>
      <c r="X93" s="166"/>
      <c r="Y93" s="167"/>
      <c r="Z93" s="167"/>
    </row>
    <row r="94" spans="1:26">
      <c r="A94" s="101"/>
      <c r="B94" s="32"/>
      <c r="C94" s="71" t="s">
        <v>1910</v>
      </c>
      <c r="D94" s="53" t="s">
        <v>55</v>
      </c>
      <c r="E94" s="53" t="s">
        <v>56</v>
      </c>
      <c r="F94" s="66" t="s">
        <v>303</v>
      </c>
      <c r="G94" s="69" t="s">
        <v>366</v>
      </c>
      <c r="H94" s="69" t="s">
        <v>30</v>
      </c>
      <c r="I94" s="69">
        <v>12</v>
      </c>
      <c r="J94" s="70">
        <v>145</v>
      </c>
      <c r="K94" s="54">
        <f t="shared" si="1"/>
        <v>1740</v>
      </c>
      <c r="L94" s="55" t="b">
        <v>1</v>
      </c>
      <c r="M94" s="56">
        <v>190820240944</v>
      </c>
      <c r="N94" s="57" t="b">
        <v>1</v>
      </c>
      <c r="O94" s="58" t="s">
        <v>31</v>
      </c>
      <c r="P94" s="59" t="b">
        <v>1</v>
      </c>
      <c r="Q94" s="129"/>
      <c r="R94" s="61" t="s">
        <v>1916</v>
      </c>
      <c r="S94" s="47" t="b">
        <v>1</v>
      </c>
      <c r="T94" s="61" t="s">
        <v>1917</v>
      </c>
      <c r="U94" s="54"/>
      <c r="V94" s="54">
        <f t="shared" si="2"/>
        <v>1740</v>
      </c>
      <c r="W94" s="49"/>
      <c r="X94" s="49"/>
    </row>
    <row r="95" spans="1:26">
      <c r="A95" s="101"/>
      <c r="B95" s="32"/>
      <c r="C95" s="71" t="s">
        <v>1918</v>
      </c>
      <c r="D95" s="53" t="s">
        <v>144</v>
      </c>
      <c r="E95" s="53" t="s">
        <v>980</v>
      </c>
      <c r="F95" s="66" t="s">
        <v>1919</v>
      </c>
      <c r="G95" s="69" t="s">
        <v>1197</v>
      </c>
      <c r="H95" s="69" t="s">
        <v>30</v>
      </c>
      <c r="I95" s="69">
        <v>2</v>
      </c>
      <c r="J95" s="70">
        <v>725</v>
      </c>
      <c r="K95" s="54">
        <f t="shared" si="1"/>
        <v>1450</v>
      </c>
      <c r="L95" s="55" t="b">
        <v>1</v>
      </c>
      <c r="M95" s="56">
        <v>200820241255</v>
      </c>
      <c r="N95" s="57" t="b">
        <v>1</v>
      </c>
      <c r="O95" s="58" t="s">
        <v>31</v>
      </c>
      <c r="P95" s="59" t="b">
        <v>1</v>
      </c>
      <c r="Q95" s="129"/>
      <c r="R95" s="60"/>
      <c r="S95" s="47" t="b">
        <v>1</v>
      </c>
      <c r="T95" s="61" t="s">
        <v>1920</v>
      </c>
      <c r="U95" s="54"/>
      <c r="V95" s="54">
        <f t="shared" si="2"/>
        <v>1450</v>
      </c>
      <c r="W95" s="49"/>
      <c r="X95" s="49"/>
    </row>
    <row r="96" spans="1:26">
      <c r="A96" s="162"/>
      <c r="B96" s="163"/>
      <c r="C96" s="132" t="s">
        <v>1918</v>
      </c>
      <c r="D96" s="66" t="s">
        <v>144</v>
      </c>
      <c r="E96" s="66" t="s">
        <v>980</v>
      </c>
      <c r="F96" s="66" t="s">
        <v>1919</v>
      </c>
      <c r="G96" s="69" t="s">
        <v>1197</v>
      </c>
      <c r="H96" s="69" t="s">
        <v>30</v>
      </c>
      <c r="I96" s="69">
        <v>3</v>
      </c>
      <c r="J96" s="70">
        <v>725</v>
      </c>
      <c r="K96" s="75">
        <f t="shared" si="1"/>
        <v>2175</v>
      </c>
      <c r="L96" s="55" t="b">
        <v>1</v>
      </c>
      <c r="M96" s="154">
        <v>200820241255</v>
      </c>
      <c r="N96" s="57" t="b">
        <v>1</v>
      </c>
      <c r="O96" s="58" t="s">
        <v>31</v>
      </c>
      <c r="P96" s="59" t="b">
        <v>1</v>
      </c>
      <c r="Q96" s="164"/>
      <c r="R96" s="57"/>
      <c r="S96" s="47" t="b">
        <v>1</v>
      </c>
      <c r="T96" s="61" t="s">
        <v>1921</v>
      </c>
      <c r="U96" s="75"/>
      <c r="V96" s="75">
        <f t="shared" si="2"/>
        <v>2175</v>
      </c>
      <c r="W96" s="166"/>
      <c r="X96" s="166"/>
      <c r="Y96" s="167"/>
      <c r="Z96" s="167"/>
    </row>
    <row r="97" spans="1:26">
      <c r="A97" s="162"/>
      <c r="B97" s="163"/>
      <c r="C97" s="132" t="s">
        <v>1918</v>
      </c>
      <c r="D97" s="66" t="s">
        <v>144</v>
      </c>
      <c r="E97" s="66" t="s">
        <v>980</v>
      </c>
      <c r="F97" s="66" t="s">
        <v>1919</v>
      </c>
      <c r="G97" s="69" t="s">
        <v>1912</v>
      </c>
      <c r="H97" s="69" t="s">
        <v>30</v>
      </c>
      <c r="I97" s="69">
        <v>10</v>
      </c>
      <c r="J97" s="70">
        <v>85</v>
      </c>
      <c r="K97" s="75">
        <f t="shared" si="1"/>
        <v>850</v>
      </c>
      <c r="L97" s="55" t="b">
        <v>1</v>
      </c>
      <c r="M97" s="154">
        <v>200820241410</v>
      </c>
      <c r="N97" s="57" t="b">
        <v>1</v>
      </c>
      <c r="O97" s="58" t="s">
        <v>31</v>
      </c>
      <c r="P97" s="59" t="b">
        <v>1</v>
      </c>
      <c r="Q97" s="164"/>
      <c r="R97" s="57"/>
      <c r="S97" s="47" t="b">
        <v>1</v>
      </c>
      <c r="T97" s="61" t="s">
        <v>1921</v>
      </c>
      <c r="U97" s="75"/>
      <c r="V97" s="75">
        <f t="shared" si="2"/>
        <v>850</v>
      </c>
      <c r="W97" s="166"/>
      <c r="X97" s="166"/>
      <c r="Y97" s="167"/>
      <c r="Z97" s="167"/>
    </row>
    <row r="98" spans="1:26">
      <c r="A98" s="162"/>
      <c r="B98" s="187"/>
      <c r="C98" s="132" t="s">
        <v>1918</v>
      </c>
      <c r="D98" s="66" t="s">
        <v>51</v>
      </c>
      <c r="E98" s="66" t="s">
        <v>89</v>
      </c>
      <c r="F98" s="66" t="s">
        <v>777</v>
      </c>
      <c r="G98" s="66" t="s">
        <v>1922</v>
      </c>
      <c r="H98" s="69" t="s">
        <v>30</v>
      </c>
      <c r="I98" s="69">
        <v>20</v>
      </c>
      <c r="J98" s="70">
        <v>300</v>
      </c>
      <c r="K98" s="75">
        <f t="shared" si="1"/>
        <v>6000</v>
      </c>
      <c r="L98" s="55" t="b">
        <v>1</v>
      </c>
      <c r="M98" s="154">
        <v>200820241411</v>
      </c>
      <c r="N98" s="57" t="b">
        <v>1</v>
      </c>
      <c r="O98" s="58" t="s">
        <v>31</v>
      </c>
      <c r="P98" s="59" t="b">
        <v>1</v>
      </c>
      <c r="Q98" s="164"/>
      <c r="R98" s="57"/>
      <c r="S98" s="47" t="b">
        <v>1</v>
      </c>
      <c r="T98" s="61" t="s">
        <v>1923</v>
      </c>
      <c r="U98" s="75"/>
      <c r="V98" s="75">
        <f t="shared" si="2"/>
        <v>6000</v>
      </c>
      <c r="W98" s="166"/>
      <c r="X98" s="166"/>
      <c r="Y98" s="167"/>
      <c r="Z98" s="167"/>
    </row>
    <row r="99" spans="1:26">
      <c r="A99" s="162"/>
      <c r="B99" s="187"/>
      <c r="C99" s="132" t="s">
        <v>1918</v>
      </c>
      <c r="D99" s="66" t="s">
        <v>51</v>
      </c>
      <c r="E99" s="66" t="s">
        <v>89</v>
      </c>
      <c r="F99" s="66" t="s">
        <v>777</v>
      </c>
      <c r="G99" s="69" t="s">
        <v>760</v>
      </c>
      <c r="H99" s="69" t="s">
        <v>30</v>
      </c>
      <c r="I99" s="69">
        <v>25</v>
      </c>
      <c r="J99" s="70">
        <v>125</v>
      </c>
      <c r="K99" s="75">
        <f t="shared" si="1"/>
        <v>3125</v>
      </c>
      <c r="L99" s="55" t="b">
        <v>1</v>
      </c>
      <c r="M99" s="154">
        <v>200820241411</v>
      </c>
      <c r="N99" s="57" t="b">
        <v>1</v>
      </c>
      <c r="O99" s="58" t="s">
        <v>31</v>
      </c>
      <c r="P99" s="59" t="b">
        <v>1</v>
      </c>
      <c r="Q99" s="164"/>
      <c r="R99" s="57"/>
      <c r="S99" s="47" t="b">
        <v>1</v>
      </c>
      <c r="T99" s="61" t="s">
        <v>1923</v>
      </c>
      <c r="U99" s="75"/>
      <c r="V99" s="75">
        <f t="shared" si="2"/>
        <v>3125</v>
      </c>
      <c r="W99" s="166"/>
      <c r="X99" s="166"/>
      <c r="Y99" s="167"/>
      <c r="Z99" s="167"/>
    </row>
    <row r="100" spans="1:26">
      <c r="A100" s="101"/>
      <c r="B100" s="124"/>
      <c r="C100" s="71" t="s">
        <v>1918</v>
      </c>
      <c r="D100" s="53" t="s">
        <v>26</v>
      </c>
      <c r="E100" s="53" t="s">
        <v>27</v>
      </c>
      <c r="F100" s="66" t="s">
        <v>1590</v>
      </c>
      <c r="G100" s="69" t="s">
        <v>49</v>
      </c>
      <c r="H100" s="69" t="s">
        <v>30</v>
      </c>
      <c r="I100" s="69">
        <v>10</v>
      </c>
      <c r="J100" s="70">
        <v>795</v>
      </c>
      <c r="K100" s="54">
        <f t="shared" si="1"/>
        <v>7950</v>
      </c>
      <c r="L100" s="55" t="b">
        <v>1</v>
      </c>
      <c r="M100" s="56">
        <v>200820241724</v>
      </c>
      <c r="N100" s="57" t="b">
        <v>1</v>
      </c>
      <c r="O100" s="58" t="s">
        <v>31</v>
      </c>
      <c r="P100" s="59" t="b">
        <v>1</v>
      </c>
      <c r="Q100" s="129"/>
      <c r="R100" s="60"/>
      <c r="S100" s="47" t="b">
        <v>1</v>
      </c>
      <c r="T100" s="61" t="s">
        <v>1924</v>
      </c>
      <c r="U100" s="54"/>
      <c r="V100" s="54">
        <f t="shared" si="2"/>
        <v>7950</v>
      </c>
      <c r="W100" s="49"/>
      <c r="X100" s="49"/>
    </row>
    <row r="101" spans="1:26">
      <c r="A101" s="162"/>
      <c r="B101" s="187"/>
      <c r="C101" s="132" t="s">
        <v>1925</v>
      </c>
      <c r="D101" s="66" t="s">
        <v>51</v>
      </c>
      <c r="E101" s="66" t="s">
        <v>201</v>
      </c>
      <c r="F101" s="66" t="s">
        <v>395</v>
      </c>
      <c r="G101" s="69" t="s">
        <v>68</v>
      </c>
      <c r="H101" s="69" t="s">
        <v>30</v>
      </c>
      <c r="I101" s="69">
        <v>3</v>
      </c>
      <c r="J101" s="70">
        <v>2350</v>
      </c>
      <c r="K101" s="75">
        <f t="shared" si="1"/>
        <v>7050</v>
      </c>
      <c r="L101" s="55" t="b">
        <v>1</v>
      </c>
      <c r="M101" s="154">
        <v>210820241501</v>
      </c>
      <c r="N101" s="57" t="b">
        <v>1</v>
      </c>
      <c r="O101" s="58" t="s">
        <v>31</v>
      </c>
      <c r="P101" s="59" t="b">
        <v>1</v>
      </c>
      <c r="Q101" s="164"/>
      <c r="R101" s="57"/>
      <c r="S101" s="47" t="b">
        <v>1</v>
      </c>
      <c r="T101" s="61" t="s">
        <v>1926</v>
      </c>
      <c r="U101" s="75"/>
      <c r="V101" s="75">
        <f t="shared" si="2"/>
        <v>7050</v>
      </c>
      <c r="W101" s="166"/>
      <c r="X101" s="166"/>
      <c r="Y101" s="167"/>
      <c r="Z101" s="167"/>
    </row>
    <row r="102" spans="1:26">
      <c r="A102" s="162"/>
      <c r="B102" s="187"/>
      <c r="C102" s="132" t="s">
        <v>1927</v>
      </c>
      <c r="D102" s="66" t="s">
        <v>463</v>
      </c>
      <c r="E102" s="66" t="s">
        <v>463</v>
      </c>
      <c r="F102" s="66" t="s">
        <v>579</v>
      </c>
      <c r="G102" s="69" t="s">
        <v>103</v>
      </c>
      <c r="H102" s="69" t="s">
        <v>30</v>
      </c>
      <c r="I102" s="69">
        <v>30</v>
      </c>
      <c r="J102" s="70">
        <v>235</v>
      </c>
      <c r="K102" s="75">
        <f t="shared" si="1"/>
        <v>7050</v>
      </c>
      <c r="L102" s="55" t="b">
        <v>1</v>
      </c>
      <c r="M102" s="154">
        <v>220820241120</v>
      </c>
      <c r="N102" s="57" t="b">
        <v>1</v>
      </c>
      <c r="O102" s="58" t="s">
        <v>31</v>
      </c>
      <c r="P102" s="59" t="b">
        <v>1</v>
      </c>
      <c r="Q102" s="164"/>
      <c r="R102" s="165" t="s">
        <v>1928</v>
      </c>
      <c r="S102" s="47" t="b">
        <v>1</v>
      </c>
      <c r="T102" s="61" t="s">
        <v>1929</v>
      </c>
      <c r="U102" s="75"/>
      <c r="V102" s="75">
        <f t="shared" si="2"/>
        <v>7050</v>
      </c>
      <c r="W102" s="166"/>
      <c r="X102" s="166"/>
      <c r="Y102" s="167"/>
      <c r="Z102" s="167"/>
    </row>
    <row r="103" spans="1:26">
      <c r="A103" s="162"/>
      <c r="B103" s="187"/>
      <c r="C103" s="132" t="s">
        <v>1927</v>
      </c>
      <c r="D103" s="66" t="s">
        <v>26</v>
      </c>
      <c r="E103" s="66" t="s">
        <v>158</v>
      </c>
      <c r="F103" s="66" t="s">
        <v>1014</v>
      </c>
      <c r="G103" s="69" t="s">
        <v>321</v>
      </c>
      <c r="H103" s="69" t="s">
        <v>30</v>
      </c>
      <c r="I103" s="69">
        <v>84</v>
      </c>
      <c r="J103" s="70">
        <v>35</v>
      </c>
      <c r="K103" s="75">
        <f t="shared" si="1"/>
        <v>2940</v>
      </c>
      <c r="L103" s="55" t="b">
        <v>1</v>
      </c>
      <c r="M103" s="154">
        <v>220820241127</v>
      </c>
      <c r="N103" s="57" t="b">
        <v>1</v>
      </c>
      <c r="O103" s="58" t="s">
        <v>31</v>
      </c>
      <c r="P103" s="59" t="b">
        <v>1</v>
      </c>
      <c r="Q103" s="164"/>
      <c r="R103" s="165" t="s">
        <v>1930</v>
      </c>
      <c r="S103" s="47" t="b">
        <v>1</v>
      </c>
      <c r="T103" s="61" t="s">
        <v>1931</v>
      </c>
      <c r="U103" s="75"/>
      <c r="V103" s="75">
        <f t="shared" si="2"/>
        <v>2940</v>
      </c>
      <c r="W103" s="166"/>
      <c r="X103" s="166"/>
      <c r="Y103" s="167"/>
      <c r="Z103" s="167"/>
    </row>
    <row r="104" spans="1:26">
      <c r="A104" s="162"/>
      <c r="B104" s="163"/>
      <c r="C104" s="132" t="s">
        <v>1927</v>
      </c>
      <c r="D104" s="66" t="s">
        <v>26</v>
      </c>
      <c r="E104" s="66" t="s">
        <v>158</v>
      </c>
      <c r="F104" s="66" t="s">
        <v>1014</v>
      </c>
      <c r="G104" s="69" t="s">
        <v>1932</v>
      </c>
      <c r="H104" s="69" t="s">
        <v>30</v>
      </c>
      <c r="I104" s="69">
        <v>12</v>
      </c>
      <c r="J104" s="70">
        <v>145</v>
      </c>
      <c r="K104" s="75">
        <f t="shared" si="1"/>
        <v>1740</v>
      </c>
      <c r="L104" s="55" t="b">
        <v>1</v>
      </c>
      <c r="M104" s="154">
        <v>220820241127</v>
      </c>
      <c r="N104" s="57" t="b">
        <v>1</v>
      </c>
      <c r="O104" s="58" t="s">
        <v>31</v>
      </c>
      <c r="P104" s="59" t="b">
        <v>1</v>
      </c>
      <c r="Q104" s="164"/>
      <c r="R104" s="165"/>
      <c r="S104" s="47" t="b">
        <v>1</v>
      </c>
      <c r="T104" s="61" t="s">
        <v>1931</v>
      </c>
      <c r="U104" s="75"/>
      <c r="V104" s="75">
        <f t="shared" si="2"/>
        <v>1740</v>
      </c>
      <c r="W104" s="166"/>
      <c r="X104" s="166"/>
      <c r="Y104" s="167"/>
      <c r="Z104" s="167"/>
    </row>
    <row r="105" spans="1:26">
      <c r="A105" s="162"/>
      <c r="B105" s="163"/>
      <c r="C105" s="132" t="s">
        <v>1927</v>
      </c>
      <c r="D105" s="66" t="s">
        <v>26</v>
      </c>
      <c r="E105" s="66" t="s">
        <v>158</v>
      </c>
      <c r="F105" s="66" t="s">
        <v>1014</v>
      </c>
      <c r="G105" s="69" t="s">
        <v>1933</v>
      </c>
      <c r="H105" s="69" t="s">
        <v>30</v>
      </c>
      <c r="I105" s="69">
        <v>84</v>
      </c>
      <c r="J105" s="70">
        <v>30</v>
      </c>
      <c r="K105" s="75">
        <f t="shared" si="1"/>
        <v>2520</v>
      </c>
      <c r="L105" s="55" t="b">
        <v>1</v>
      </c>
      <c r="M105" s="154">
        <v>220820241127</v>
      </c>
      <c r="N105" s="57" t="b">
        <v>1</v>
      </c>
      <c r="O105" s="58" t="s">
        <v>31</v>
      </c>
      <c r="P105" s="59" t="b">
        <v>1</v>
      </c>
      <c r="Q105" s="164"/>
      <c r="R105" s="57"/>
      <c r="S105" s="47" t="b">
        <v>1</v>
      </c>
      <c r="T105" s="61" t="s">
        <v>1931</v>
      </c>
      <c r="U105" s="75"/>
      <c r="V105" s="75">
        <f t="shared" si="2"/>
        <v>2520</v>
      </c>
      <c r="W105" s="166"/>
      <c r="X105" s="166"/>
      <c r="Y105" s="167"/>
      <c r="Z105" s="167"/>
    </row>
    <row r="106" spans="1:26">
      <c r="A106" s="162"/>
      <c r="B106" s="163"/>
      <c r="C106" s="132" t="s">
        <v>1927</v>
      </c>
      <c r="D106" s="66" t="s">
        <v>51</v>
      </c>
      <c r="E106" s="66" t="s">
        <v>201</v>
      </c>
      <c r="F106" s="66" t="s">
        <v>202</v>
      </c>
      <c r="G106" s="69" t="s">
        <v>512</v>
      </c>
      <c r="H106" s="69" t="s">
        <v>30</v>
      </c>
      <c r="I106" s="69">
        <v>10</v>
      </c>
      <c r="J106" s="70">
        <v>525</v>
      </c>
      <c r="K106" s="75">
        <f t="shared" si="1"/>
        <v>5250</v>
      </c>
      <c r="L106" s="55" t="b">
        <v>1</v>
      </c>
      <c r="M106" s="154">
        <v>220820241159</v>
      </c>
      <c r="N106" s="57" t="b">
        <v>1</v>
      </c>
      <c r="O106" s="58" t="s">
        <v>31</v>
      </c>
      <c r="P106" s="59" t="b">
        <v>1</v>
      </c>
      <c r="Q106" s="164"/>
      <c r="R106" s="57"/>
      <c r="S106" s="47" t="b">
        <v>1</v>
      </c>
      <c r="T106" s="61" t="s">
        <v>1934</v>
      </c>
      <c r="U106" s="75"/>
      <c r="V106" s="75">
        <f t="shared" si="2"/>
        <v>5250</v>
      </c>
      <c r="W106" s="166"/>
      <c r="X106" s="166"/>
      <c r="Y106" s="167"/>
      <c r="Z106" s="167"/>
    </row>
    <row r="107" spans="1:26">
      <c r="A107" s="162"/>
      <c r="B107" s="163"/>
      <c r="C107" s="132" t="s">
        <v>1927</v>
      </c>
      <c r="D107" s="66" t="s">
        <v>51</v>
      </c>
      <c r="E107" s="66" t="s">
        <v>201</v>
      </c>
      <c r="F107" s="66" t="s">
        <v>202</v>
      </c>
      <c r="G107" s="66" t="s">
        <v>202</v>
      </c>
      <c r="H107" s="69" t="s">
        <v>30</v>
      </c>
      <c r="I107" s="69">
        <v>30</v>
      </c>
      <c r="J107" s="70">
        <v>145</v>
      </c>
      <c r="K107" s="75">
        <f t="shared" si="1"/>
        <v>4350</v>
      </c>
      <c r="L107" s="55" t="b">
        <v>1</v>
      </c>
      <c r="M107" s="154">
        <v>220820241159</v>
      </c>
      <c r="N107" s="57" t="b">
        <v>1</v>
      </c>
      <c r="O107" s="58" t="s">
        <v>31</v>
      </c>
      <c r="P107" s="59" t="b">
        <v>1</v>
      </c>
      <c r="Q107" s="164"/>
      <c r="R107" s="57"/>
      <c r="S107" s="47" t="b">
        <v>1</v>
      </c>
      <c r="T107" s="61" t="s">
        <v>1934</v>
      </c>
      <c r="U107" s="75"/>
      <c r="V107" s="75">
        <f t="shared" si="2"/>
        <v>4350</v>
      </c>
      <c r="W107" s="166"/>
      <c r="X107" s="166"/>
      <c r="Y107" s="167"/>
      <c r="Z107" s="167"/>
    </row>
    <row r="108" spans="1:26">
      <c r="A108" s="162"/>
      <c r="B108" s="163"/>
      <c r="C108" s="132" t="s">
        <v>1935</v>
      </c>
      <c r="D108" s="66" t="s">
        <v>51</v>
      </c>
      <c r="E108" s="66" t="s">
        <v>52</v>
      </c>
      <c r="F108" s="66" t="s">
        <v>1936</v>
      </c>
      <c r="G108" s="69" t="s">
        <v>1937</v>
      </c>
      <c r="H108" s="69" t="s">
        <v>30</v>
      </c>
      <c r="I108" s="69">
        <v>1</v>
      </c>
      <c r="J108" s="70">
        <v>3500</v>
      </c>
      <c r="K108" s="75">
        <f t="shared" si="1"/>
        <v>3500</v>
      </c>
      <c r="L108" s="55" t="b">
        <v>1</v>
      </c>
      <c r="M108" s="154">
        <v>230820241034</v>
      </c>
      <c r="N108" s="57" t="b">
        <v>1</v>
      </c>
      <c r="O108" s="58" t="s">
        <v>31</v>
      </c>
      <c r="P108" s="59" t="b">
        <v>1</v>
      </c>
      <c r="Q108" s="164"/>
      <c r="R108" s="57"/>
      <c r="S108" s="47" t="b">
        <v>1</v>
      </c>
      <c r="T108" s="61" t="s">
        <v>1938</v>
      </c>
      <c r="U108" s="75"/>
      <c r="V108" s="75">
        <f t="shared" si="2"/>
        <v>3500</v>
      </c>
      <c r="W108" s="166"/>
      <c r="X108" s="166"/>
      <c r="Y108" s="167"/>
      <c r="Z108" s="167"/>
    </row>
    <row r="109" spans="1:26">
      <c r="A109" s="162"/>
      <c r="B109" s="163"/>
      <c r="C109" s="132" t="s">
        <v>1935</v>
      </c>
      <c r="D109" s="66" t="s">
        <v>51</v>
      </c>
      <c r="E109" s="66" t="s">
        <v>52</v>
      </c>
      <c r="F109" s="66" t="s">
        <v>1936</v>
      </c>
      <c r="G109" s="69" t="s">
        <v>1939</v>
      </c>
      <c r="H109" s="69" t="s">
        <v>30</v>
      </c>
      <c r="I109" s="69">
        <v>1</v>
      </c>
      <c r="J109" s="70">
        <v>1750</v>
      </c>
      <c r="K109" s="75">
        <f t="shared" si="1"/>
        <v>1750</v>
      </c>
      <c r="L109" s="55" t="b">
        <v>1</v>
      </c>
      <c r="M109" s="154">
        <v>230820241034</v>
      </c>
      <c r="N109" s="57" t="b">
        <v>1</v>
      </c>
      <c r="O109" s="58" t="s">
        <v>31</v>
      </c>
      <c r="P109" s="59" t="b">
        <v>1</v>
      </c>
      <c r="Q109" s="164"/>
      <c r="R109" s="57"/>
      <c r="S109" s="47" t="b">
        <v>1</v>
      </c>
      <c r="T109" s="61" t="s">
        <v>1938</v>
      </c>
      <c r="U109" s="75"/>
      <c r="V109" s="75">
        <f t="shared" si="2"/>
        <v>1750</v>
      </c>
      <c r="W109" s="166"/>
      <c r="X109" s="166"/>
      <c r="Y109" s="167"/>
      <c r="Z109" s="167"/>
    </row>
    <row r="110" spans="1:26">
      <c r="A110" s="101"/>
      <c r="B110" s="32"/>
      <c r="C110" s="71" t="s">
        <v>1935</v>
      </c>
      <c r="D110" s="53" t="s">
        <v>144</v>
      </c>
      <c r="E110" s="53" t="s">
        <v>1033</v>
      </c>
      <c r="F110" s="66" t="s">
        <v>582</v>
      </c>
      <c r="G110" s="69" t="s">
        <v>83</v>
      </c>
      <c r="H110" s="69" t="s">
        <v>30</v>
      </c>
      <c r="I110" s="69">
        <v>1000</v>
      </c>
      <c r="J110" s="70">
        <v>1.25</v>
      </c>
      <c r="K110" s="54">
        <f t="shared" si="1"/>
        <v>1250</v>
      </c>
      <c r="L110" s="55" t="b">
        <v>1</v>
      </c>
      <c r="M110" s="56">
        <v>230820241034</v>
      </c>
      <c r="N110" s="57" t="b">
        <v>1</v>
      </c>
      <c r="O110" s="58" t="s">
        <v>31</v>
      </c>
      <c r="P110" s="59" t="b">
        <v>1</v>
      </c>
      <c r="Q110" s="129"/>
      <c r="R110" s="60"/>
      <c r="S110" s="47" t="b">
        <v>1</v>
      </c>
      <c r="T110" s="61" t="s">
        <v>1940</v>
      </c>
      <c r="U110" s="54"/>
      <c r="V110" s="54">
        <f t="shared" si="2"/>
        <v>1250</v>
      </c>
      <c r="W110" s="49"/>
      <c r="X110" s="49"/>
    </row>
    <row r="111" spans="1:26">
      <c r="A111" s="101"/>
      <c r="B111" s="32"/>
      <c r="C111" s="71" t="s">
        <v>1935</v>
      </c>
      <c r="D111" s="53" t="s">
        <v>104</v>
      </c>
      <c r="E111" s="53" t="s">
        <v>1941</v>
      </c>
      <c r="F111" s="66" t="s">
        <v>1942</v>
      </c>
      <c r="G111" s="69" t="s">
        <v>1943</v>
      </c>
      <c r="H111" s="69" t="s">
        <v>30</v>
      </c>
      <c r="I111" s="69">
        <v>4</v>
      </c>
      <c r="J111" s="70">
        <v>550</v>
      </c>
      <c r="K111" s="54">
        <f t="shared" si="1"/>
        <v>2200</v>
      </c>
      <c r="L111" s="55" t="b">
        <v>1</v>
      </c>
      <c r="M111" s="56">
        <v>230820241733</v>
      </c>
      <c r="N111" s="57" t="b">
        <v>1</v>
      </c>
      <c r="O111" s="58" t="s">
        <v>31</v>
      </c>
      <c r="P111" s="59" t="b">
        <v>1</v>
      </c>
      <c r="Q111" s="129"/>
      <c r="R111" s="60"/>
      <c r="S111" s="47" t="b">
        <v>1</v>
      </c>
      <c r="T111" s="61" t="s">
        <v>1944</v>
      </c>
      <c r="U111" s="54"/>
      <c r="V111" s="54">
        <f t="shared" si="2"/>
        <v>2200</v>
      </c>
      <c r="W111" s="49"/>
      <c r="X111" s="49"/>
    </row>
    <row r="112" spans="1:26">
      <c r="A112" s="101"/>
      <c r="B112" s="32"/>
      <c r="C112" s="71" t="s">
        <v>1935</v>
      </c>
      <c r="D112" s="53" t="s">
        <v>104</v>
      </c>
      <c r="E112" s="53" t="s">
        <v>1941</v>
      </c>
      <c r="F112" s="66" t="s">
        <v>1942</v>
      </c>
      <c r="G112" s="69" t="s">
        <v>1945</v>
      </c>
      <c r="H112" s="69" t="s">
        <v>30</v>
      </c>
      <c r="I112" s="69">
        <v>5</v>
      </c>
      <c r="J112" s="70">
        <v>585</v>
      </c>
      <c r="K112" s="54">
        <f t="shared" si="1"/>
        <v>2925</v>
      </c>
      <c r="L112" s="55" t="b">
        <v>1</v>
      </c>
      <c r="M112" s="56">
        <v>230820241733</v>
      </c>
      <c r="N112" s="57" t="b">
        <v>1</v>
      </c>
      <c r="O112" s="58" t="s">
        <v>31</v>
      </c>
      <c r="P112" s="59" t="b">
        <v>1</v>
      </c>
      <c r="Q112" s="129"/>
      <c r="R112" s="60"/>
      <c r="S112" s="47" t="b">
        <v>1</v>
      </c>
      <c r="T112" s="61" t="s">
        <v>1946</v>
      </c>
      <c r="U112" s="54"/>
      <c r="V112" s="54">
        <f t="shared" si="2"/>
        <v>2925</v>
      </c>
      <c r="W112" s="49"/>
      <c r="X112" s="49"/>
    </row>
    <row r="113" spans="1:26">
      <c r="A113" s="162"/>
      <c r="B113" s="163"/>
      <c r="C113" s="132" t="s">
        <v>1947</v>
      </c>
      <c r="D113" s="66" t="s">
        <v>144</v>
      </c>
      <c r="E113" s="66" t="s">
        <v>1948</v>
      </c>
      <c r="F113" s="66" t="s">
        <v>488</v>
      </c>
      <c r="G113" s="69" t="s">
        <v>49</v>
      </c>
      <c r="H113" s="69" t="s">
        <v>30</v>
      </c>
      <c r="I113" s="69">
        <v>10</v>
      </c>
      <c r="J113" s="70">
        <v>795</v>
      </c>
      <c r="K113" s="75">
        <f t="shared" si="1"/>
        <v>7950</v>
      </c>
      <c r="L113" s="55" t="b">
        <v>1</v>
      </c>
      <c r="M113" s="154">
        <v>260820241104</v>
      </c>
      <c r="N113" s="57" t="b">
        <v>1</v>
      </c>
      <c r="O113" s="58" t="s">
        <v>31</v>
      </c>
      <c r="P113" s="59" t="b">
        <v>1</v>
      </c>
      <c r="Q113" s="164"/>
      <c r="R113" s="57"/>
      <c r="S113" s="47" t="b">
        <v>1</v>
      </c>
      <c r="T113" s="61" t="s">
        <v>1949</v>
      </c>
      <c r="U113" s="75"/>
      <c r="V113" s="75">
        <f t="shared" si="2"/>
        <v>7950</v>
      </c>
      <c r="W113" s="166"/>
      <c r="X113" s="166"/>
      <c r="Y113" s="167"/>
      <c r="Z113" s="167"/>
    </row>
    <row r="114" spans="1:26">
      <c r="A114" s="162"/>
      <c r="B114" s="163"/>
      <c r="C114" s="132" t="s">
        <v>1947</v>
      </c>
      <c r="D114" s="66" t="s">
        <v>51</v>
      </c>
      <c r="E114" s="66" t="s">
        <v>201</v>
      </c>
      <c r="F114" s="66" t="s">
        <v>202</v>
      </c>
      <c r="G114" s="69" t="s">
        <v>442</v>
      </c>
      <c r="H114" s="69" t="s">
        <v>30</v>
      </c>
      <c r="I114" s="69">
        <v>24</v>
      </c>
      <c r="J114" s="70">
        <v>55</v>
      </c>
      <c r="K114" s="75">
        <f t="shared" si="1"/>
        <v>1320</v>
      </c>
      <c r="L114" s="55" t="b">
        <v>1</v>
      </c>
      <c r="M114" s="154">
        <v>260820241117</v>
      </c>
      <c r="N114" s="57" t="b">
        <v>1</v>
      </c>
      <c r="O114" s="58" t="s">
        <v>31</v>
      </c>
      <c r="P114" s="59" t="b">
        <v>1</v>
      </c>
      <c r="Q114" s="164"/>
      <c r="R114" s="57"/>
      <c r="S114" s="47" t="b">
        <v>1</v>
      </c>
      <c r="T114" s="61" t="s">
        <v>1950</v>
      </c>
      <c r="U114" s="75"/>
      <c r="V114" s="75">
        <f t="shared" si="2"/>
        <v>1320</v>
      </c>
      <c r="W114" s="166"/>
      <c r="X114" s="166"/>
      <c r="Y114" s="167"/>
      <c r="Z114" s="167"/>
    </row>
    <row r="115" spans="1:26">
      <c r="A115" s="162"/>
      <c r="B115" s="163"/>
      <c r="C115" s="132" t="s">
        <v>1947</v>
      </c>
      <c r="D115" s="66" t="s">
        <v>51</v>
      </c>
      <c r="E115" s="66" t="s">
        <v>201</v>
      </c>
      <c r="F115" s="66" t="s">
        <v>202</v>
      </c>
      <c r="G115" s="159" t="s">
        <v>1565</v>
      </c>
      <c r="H115" s="69" t="s">
        <v>30</v>
      </c>
      <c r="I115" s="69">
        <v>18</v>
      </c>
      <c r="J115" s="70">
        <v>1275</v>
      </c>
      <c r="K115" s="75">
        <f t="shared" si="1"/>
        <v>22950</v>
      </c>
      <c r="L115" s="55" t="b">
        <v>1</v>
      </c>
      <c r="M115" s="154">
        <v>260820241226</v>
      </c>
      <c r="N115" s="57" t="b">
        <v>1</v>
      </c>
      <c r="O115" s="58"/>
      <c r="P115" s="59" t="b">
        <v>1</v>
      </c>
      <c r="Q115" s="164"/>
      <c r="R115" s="167"/>
      <c r="S115" s="47" t="b">
        <v>1</v>
      </c>
      <c r="T115" s="61" t="s">
        <v>1951</v>
      </c>
      <c r="U115" s="75"/>
      <c r="V115" s="75">
        <f t="shared" si="2"/>
        <v>22950</v>
      </c>
      <c r="W115" s="166"/>
      <c r="X115" s="166"/>
      <c r="Y115" s="167"/>
      <c r="Z115" s="167"/>
    </row>
    <row r="116" spans="1:26">
      <c r="A116" s="18"/>
      <c r="B116" s="18"/>
      <c r="C116" s="132" t="s">
        <v>1947</v>
      </c>
      <c r="D116" s="66" t="s">
        <v>418</v>
      </c>
      <c r="E116" s="66" t="s">
        <v>565</v>
      </c>
      <c r="F116" s="66" t="s">
        <v>43</v>
      </c>
      <c r="G116" s="69" t="s">
        <v>1952</v>
      </c>
      <c r="H116" s="69" t="s">
        <v>30</v>
      </c>
      <c r="I116" s="69">
        <v>3</v>
      </c>
      <c r="J116" s="70">
        <v>475</v>
      </c>
      <c r="K116" s="75">
        <f t="shared" si="1"/>
        <v>1425</v>
      </c>
      <c r="L116" s="55" t="b">
        <v>1</v>
      </c>
      <c r="M116" s="154">
        <v>260920241327</v>
      </c>
      <c r="N116" s="57" t="b">
        <v>1</v>
      </c>
      <c r="O116" s="58" t="s">
        <v>31</v>
      </c>
      <c r="P116" s="59" t="b">
        <v>1</v>
      </c>
      <c r="Q116" s="164"/>
      <c r="R116" s="57"/>
      <c r="S116" s="47" t="b">
        <v>1</v>
      </c>
      <c r="T116" s="61" t="s">
        <v>1953</v>
      </c>
      <c r="U116" s="75"/>
      <c r="V116" s="75">
        <f t="shared" si="2"/>
        <v>1425</v>
      </c>
      <c r="W116" s="166"/>
      <c r="X116" s="166"/>
      <c r="Y116" s="167"/>
      <c r="Z116" s="167"/>
    </row>
    <row r="117" spans="1:26">
      <c r="A117" s="18"/>
      <c r="B117" s="18"/>
      <c r="C117" s="132" t="s">
        <v>1947</v>
      </c>
      <c r="D117" s="66" t="s">
        <v>55</v>
      </c>
      <c r="E117" s="66" t="s">
        <v>56</v>
      </c>
      <c r="F117" s="66" t="s">
        <v>57</v>
      </c>
      <c r="G117" s="69" t="s">
        <v>1952</v>
      </c>
      <c r="H117" s="69" t="s">
        <v>30</v>
      </c>
      <c r="I117" s="69">
        <v>10</v>
      </c>
      <c r="J117" s="70">
        <v>475</v>
      </c>
      <c r="K117" s="75">
        <f t="shared" si="1"/>
        <v>4750</v>
      </c>
      <c r="L117" s="55" t="b">
        <v>1</v>
      </c>
      <c r="M117" s="154">
        <v>260820241418</v>
      </c>
      <c r="N117" s="57" t="b">
        <v>1</v>
      </c>
      <c r="O117" s="58"/>
      <c r="P117" s="59" t="b">
        <v>1</v>
      </c>
      <c r="Q117" s="164"/>
      <c r="R117" s="57"/>
      <c r="S117" s="47" t="b">
        <v>1</v>
      </c>
      <c r="T117" s="61" t="s">
        <v>1954</v>
      </c>
      <c r="U117" s="75"/>
      <c r="V117" s="75">
        <f t="shared" si="2"/>
        <v>4750</v>
      </c>
      <c r="W117" s="166"/>
      <c r="X117" s="166"/>
      <c r="Y117" s="167"/>
      <c r="Z117" s="167"/>
    </row>
    <row r="118" spans="1:26">
      <c r="A118" s="18"/>
      <c r="B118" s="18"/>
      <c r="C118" s="132" t="s">
        <v>1947</v>
      </c>
      <c r="D118" s="66" t="s">
        <v>51</v>
      </c>
      <c r="E118" s="66" t="s">
        <v>89</v>
      </c>
      <c r="F118" s="66" t="s">
        <v>1699</v>
      </c>
      <c r="G118" s="69" t="s">
        <v>1955</v>
      </c>
      <c r="H118" s="69" t="s">
        <v>30</v>
      </c>
      <c r="I118" s="69">
        <v>4</v>
      </c>
      <c r="J118" s="70">
        <v>5750</v>
      </c>
      <c r="K118" s="75">
        <f t="shared" si="1"/>
        <v>23000</v>
      </c>
      <c r="L118" s="55" t="b">
        <v>1</v>
      </c>
      <c r="M118" s="154">
        <v>260820241418</v>
      </c>
      <c r="N118" s="57" t="b">
        <v>1</v>
      </c>
      <c r="O118" s="58" t="s">
        <v>31</v>
      </c>
      <c r="P118" s="59" t="b">
        <v>1</v>
      </c>
      <c r="Q118" s="167"/>
      <c r="R118" s="57"/>
      <c r="S118" s="47" t="b">
        <v>1</v>
      </c>
      <c r="T118" s="61" t="s">
        <v>1956</v>
      </c>
      <c r="U118" s="75"/>
      <c r="V118" s="75">
        <f t="shared" si="2"/>
        <v>23000</v>
      </c>
      <c r="W118" s="166"/>
      <c r="X118" s="166"/>
      <c r="Y118" s="167"/>
      <c r="Z118" s="167"/>
    </row>
    <row r="119" spans="1:26">
      <c r="A119" s="18"/>
      <c r="B119" s="18"/>
      <c r="C119" s="132" t="s">
        <v>1947</v>
      </c>
      <c r="D119" s="66" t="s">
        <v>51</v>
      </c>
      <c r="E119" s="66" t="s">
        <v>89</v>
      </c>
      <c r="F119" s="66" t="s">
        <v>1699</v>
      </c>
      <c r="G119" s="69" t="s">
        <v>1957</v>
      </c>
      <c r="H119" s="69" t="s">
        <v>30</v>
      </c>
      <c r="I119" s="69">
        <v>6</v>
      </c>
      <c r="J119" s="70">
        <v>450</v>
      </c>
      <c r="K119" s="75">
        <f t="shared" si="1"/>
        <v>2700</v>
      </c>
      <c r="L119" s="55" t="b">
        <v>1</v>
      </c>
      <c r="M119" s="154">
        <v>260820241418</v>
      </c>
      <c r="N119" s="57" t="b">
        <v>1</v>
      </c>
      <c r="O119" s="58" t="s">
        <v>31</v>
      </c>
      <c r="P119" s="59" t="b">
        <v>1</v>
      </c>
      <c r="Q119" s="167"/>
      <c r="R119" s="57"/>
      <c r="S119" s="47" t="b">
        <v>1</v>
      </c>
      <c r="T119" s="61" t="s">
        <v>1958</v>
      </c>
      <c r="U119" s="75"/>
      <c r="V119" s="75"/>
      <c r="W119" s="166"/>
      <c r="X119" s="166"/>
      <c r="Y119" s="167"/>
      <c r="Z119" s="167"/>
    </row>
    <row r="120" spans="1:26">
      <c r="A120" s="132"/>
      <c r="B120" s="66"/>
      <c r="C120" s="66" t="s">
        <v>1947</v>
      </c>
      <c r="D120" s="66" t="s">
        <v>1194</v>
      </c>
      <c r="E120" s="66" t="s">
        <v>1959</v>
      </c>
      <c r="F120" s="69"/>
      <c r="G120" s="69" t="s">
        <v>1960</v>
      </c>
      <c r="H120" s="70" t="s">
        <v>30</v>
      </c>
      <c r="I120" s="69">
        <v>1</v>
      </c>
      <c r="J120" s="70">
        <v>14475</v>
      </c>
      <c r="K120" s="54">
        <f t="shared" si="1"/>
        <v>14475</v>
      </c>
      <c r="L120" s="55" t="b">
        <v>1</v>
      </c>
      <c r="M120" s="56">
        <v>260820241530</v>
      </c>
      <c r="N120" s="57" t="b">
        <v>1</v>
      </c>
      <c r="O120" s="58" t="s">
        <v>31</v>
      </c>
      <c r="P120" s="59" t="b">
        <v>1</v>
      </c>
      <c r="R120" s="60"/>
      <c r="S120" s="47" t="b">
        <v>1</v>
      </c>
      <c r="T120" s="61" t="s">
        <v>1961</v>
      </c>
      <c r="U120" s="54"/>
      <c r="V120" s="54">
        <f t="shared" ref="V120:V159" si="3">K120-U120</f>
        <v>14475</v>
      </c>
      <c r="W120" s="49"/>
      <c r="X120" s="49"/>
    </row>
    <row r="121" spans="1:26">
      <c r="A121" s="132"/>
      <c r="B121" s="66"/>
      <c r="C121" s="76">
        <v>45530</v>
      </c>
      <c r="D121" s="66" t="s">
        <v>171</v>
      </c>
      <c r="E121" s="69" t="s">
        <v>137</v>
      </c>
      <c r="F121" s="69" t="s">
        <v>1962</v>
      </c>
      <c r="G121" s="69" t="s">
        <v>1963</v>
      </c>
      <c r="H121" s="70" t="s">
        <v>30</v>
      </c>
      <c r="I121" s="69">
        <v>7</v>
      </c>
      <c r="J121" s="70">
        <v>125</v>
      </c>
      <c r="K121" s="75">
        <f t="shared" si="1"/>
        <v>875</v>
      </c>
      <c r="L121" s="55" t="b">
        <v>1</v>
      </c>
      <c r="M121" s="154">
        <v>260820241530</v>
      </c>
      <c r="N121" s="57" t="b">
        <v>1</v>
      </c>
      <c r="O121" s="58" t="s">
        <v>31</v>
      </c>
      <c r="P121" s="59" t="b">
        <v>1</v>
      </c>
      <c r="Q121" s="164"/>
      <c r="R121" s="57"/>
      <c r="S121" s="47" t="b">
        <v>1</v>
      </c>
      <c r="T121" s="61" t="s">
        <v>1964</v>
      </c>
      <c r="U121" s="75"/>
      <c r="V121" s="75">
        <f t="shared" si="3"/>
        <v>875</v>
      </c>
      <c r="W121" s="166"/>
      <c r="X121" s="166"/>
      <c r="Y121" s="167"/>
      <c r="Z121" s="167"/>
    </row>
    <row r="122" spans="1:26">
      <c r="A122" s="132"/>
      <c r="B122" s="66"/>
      <c r="C122" s="76">
        <v>45530</v>
      </c>
      <c r="D122" s="66" t="s">
        <v>171</v>
      </c>
      <c r="E122" s="69" t="s">
        <v>137</v>
      </c>
      <c r="F122" s="69" t="s">
        <v>1965</v>
      </c>
      <c r="G122" s="69" t="s">
        <v>758</v>
      </c>
      <c r="H122" s="70" t="s">
        <v>30</v>
      </c>
      <c r="I122" s="69">
        <v>10</v>
      </c>
      <c r="J122" s="70">
        <v>300</v>
      </c>
      <c r="K122" s="75">
        <f t="shared" si="1"/>
        <v>3000</v>
      </c>
      <c r="L122" s="55" t="b">
        <v>1</v>
      </c>
      <c r="M122" s="154">
        <v>260820241530</v>
      </c>
      <c r="N122" s="57" t="b">
        <v>1</v>
      </c>
      <c r="O122" s="58" t="s">
        <v>31</v>
      </c>
      <c r="P122" s="59" t="b">
        <v>1</v>
      </c>
      <c r="Q122" s="164"/>
      <c r="R122" s="57"/>
      <c r="S122" s="47" t="b">
        <v>1</v>
      </c>
      <c r="T122" s="61" t="s">
        <v>1964</v>
      </c>
      <c r="U122" s="75"/>
      <c r="V122" s="75">
        <f t="shared" si="3"/>
        <v>3000</v>
      </c>
      <c r="W122" s="166"/>
      <c r="X122" s="166"/>
      <c r="Y122" s="167"/>
      <c r="Z122" s="167"/>
    </row>
    <row r="123" spans="1:26">
      <c r="A123" s="132"/>
      <c r="B123" s="66"/>
      <c r="C123" s="76">
        <v>45531</v>
      </c>
      <c r="D123" s="66" t="s">
        <v>194</v>
      </c>
      <c r="E123" s="69" t="s">
        <v>195</v>
      </c>
      <c r="F123" s="69" t="s">
        <v>196</v>
      </c>
      <c r="G123" s="69" t="s">
        <v>1966</v>
      </c>
      <c r="H123" s="70" t="s">
        <v>30</v>
      </c>
      <c r="I123" s="69">
        <v>10</v>
      </c>
      <c r="J123" s="70">
        <v>475</v>
      </c>
      <c r="K123" s="75">
        <f t="shared" si="1"/>
        <v>4750</v>
      </c>
      <c r="L123" s="55" t="b">
        <v>1</v>
      </c>
      <c r="M123" s="154">
        <v>270820241027</v>
      </c>
      <c r="N123" s="57" t="b">
        <v>1</v>
      </c>
      <c r="O123" s="58" t="s">
        <v>31</v>
      </c>
      <c r="P123" s="59" t="b">
        <v>1</v>
      </c>
      <c r="Q123" s="164"/>
      <c r="R123" s="57"/>
      <c r="S123" s="47" t="b">
        <v>1</v>
      </c>
      <c r="T123" s="61" t="s">
        <v>1967</v>
      </c>
      <c r="U123" s="75"/>
      <c r="V123" s="75">
        <f t="shared" si="3"/>
        <v>4750</v>
      </c>
      <c r="W123" s="166"/>
      <c r="X123" s="166"/>
      <c r="Y123" s="167"/>
      <c r="Z123" s="167"/>
    </row>
    <row r="124" spans="1:26">
      <c r="A124" s="132"/>
      <c r="B124" s="66"/>
      <c r="C124" s="76">
        <v>45531</v>
      </c>
      <c r="D124" s="66" t="s">
        <v>1968</v>
      </c>
      <c r="E124" s="69" t="s">
        <v>1723</v>
      </c>
      <c r="F124" s="69" t="s">
        <v>1439</v>
      </c>
      <c r="G124" s="69" t="s">
        <v>1969</v>
      </c>
      <c r="H124" s="70" t="s">
        <v>30</v>
      </c>
      <c r="I124" s="69">
        <v>6</v>
      </c>
      <c r="J124" s="70">
        <v>5500</v>
      </c>
      <c r="K124" s="75">
        <f t="shared" si="1"/>
        <v>33000</v>
      </c>
      <c r="L124" s="55" t="b">
        <v>1</v>
      </c>
      <c r="M124" s="154">
        <v>270820241050</v>
      </c>
      <c r="N124" s="57" t="b">
        <v>1</v>
      </c>
      <c r="O124" s="58" t="s">
        <v>351</v>
      </c>
      <c r="P124" s="59" t="b">
        <v>1</v>
      </c>
      <c r="Q124" s="164"/>
      <c r="R124" s="57"/>
      <c r="S124" s="47" t="b">
        <v>1</v>
      </c>
      <c r="T124" s="61" t="s">
        <v>1970</v>
      </c>
      <c r="U124" s="75"/>
      <c r="V124" s="75">
        <f t="shared" si="3"/>
        <v>33000</v>
      </c>
      <c r="W124" s="166"/>
      <c r="X124" s="166"/>
      <c r="Y124" s="167"/>
      <c r="Z124" s="167"/>
    </row>
    <row r="125" spans="1:26">
      <c r="A125" s="132"/>
      <c r="B125" s="66"/>
      <c r="C125" s="76">
        <v>45531</v>
      </c>
      <c r="D125" s="66" t="s">
        <v>1133</v>
      </c>
      <c r="E125" s="69" t="s">
        <v>1971</v>
      </c>
      <c r="F125" s="69" t="s">
        <v>1439</v>
      </c>
      <c r="G125" s="69" t="s">
        <v>72</v>
      </c>
      <c r="H125" s="70" t="s">
        <v>30</v>
      </c>
      <c r="I125" s="69">
        <v>1</v>
      </c>
      <c r="J125" s="70">
        <v>4250</v>
      </c>
      <c r="K125" s="75">
        <f t="shared" si="1"/>
        <v>4250</v>
      </c>
      <c r="L125" s="55" t="b">
        <v>1</v>
      </c>
      <c r="M125" s="154">
        <v>270820241051</v>
      </c>
      <c r="N125" s="57" t="b">
        <v>1</v>
      </c>
      <c r="O125" s="58" t="s">
        <v>31</v>
      </c>
      <c r="P125" s="59" t="b">
        <v>1</v>
      </c>
      <c r="Q125" s="164"/>
      <c r="R125" s="57"/>
      <c r="S125" s="47" t="b">
        <v>1</v>
      </c>
      <c r="T125" s="61" t="s">
        <v>1970</v>
      </c>
      <c r="U125" s="75"/>
      <c r="V125" s="75">
        <f t="shared" si="3"/>
        <v>4250</v>
      </c>
      <c r="W125" s="166"/>
      <c r="X125" s="166"/>
      <c r="Y125" s="167"/>
      <c r="Z125" s="167"/>
    </row>
    <row r="126" spans="1:26">
      <c r="A126" s="132"/>
      <c r="B126" s="66"/>
      <c r="C126" s="76">
        <v>45531</v>
      </c>
      <c r="D126" s="66" t="s">
        <v>212</v>
      </c>
      <c r="E126" s="69" t="s">
        <v>1894</v>
      </c>
      <c r="F126" s="69" t="s">
        <v>1972</v>
      </c>
      <c r="G126" s="69" t="s">
        <v>1952</v>
      </c>
      <c r="H126" s="70" t="s">
        <v>30</v>
      </c>
      <c r="I126" s="69">
        <v>10</v>
      </c>
      <c r="J126" s="70">
        <v>475</v>
      </c>
      <c r="K126" s="75">
        <f t="shared" si="1"/>
        <v>4750</v>
      </c>
      <c r="L126" s="55" t="b">
        <v>1</v>
      </c>
      <c r="M126" s="154">
        <v>270820241142</v>
      </c>
      <c r="N126" s="57" t="b">
        <v>1</v>
      </c>
      <c r="O126" s="58" t="s">
        <v>31</v>
      </c>
      <c r="P126" s="59" t="b">
        <v>1</v>
      </c>
      <c r="Q126" s="164"/>
      <c r="R126" s="57"/>
      <c r="S126" s="47" t="b">
        <v>1</v>
      </c>
      <c r="T126" s="61" t="s">
        <v>1973</v>
      </c>
      <c r="U126" s="75"/>
      <c r="V126" s="75">
        <f t="shared" si="3"/>
        <v>4750</v>
      </c>
      <c r="W126" s="166"/>
      <c r="X126" s="166"/>
      <c r="Y126" s="167"/>
      <c r="Z126" s="167"/>
    </row>
    <row r="127" spans="1:26">
      <c r="A127" s="132"/>
      <c r="B127" s="66"/>
      <c r="C127" s="76">
        <v>45531</v>
      </c>
      <c r="D127" s="66" t="s">
        <v>282</v>
      </c>
      <c r="E127" s="69" t="s">
        <v>282</v>
      </c>
      <c r="F127" s="69" t="s">
        <v>365</v>
      </c>
      <c r="G127" s="69" t="s">
        <v>236</v>
      </c>
      <c r="H127" s="70" t="s">
        <v>30</v>
      </c>
      <c r="I127" s="69">
        <v>24</v>
      </c>
      <c r="J127" s="70">
        <v>145</v>
      </c>
      <c r="K127" s="75">
        <f t="shared" si="1"/>
        <v>3480</v>
      </c>
      <c r="L127" s="55" t="b">
        <v>1</v>
      </c>
      <c r="M127" s="154">
        <v>270820241357</v>
      </c>
      <c r="N127" s="57" t="b">
        <v>1</v>
      </c>
      <c r="O127" s="58" t="s">
        <v>31</v>
      </c>
      <c r="P127" s="59" t="b">
        <v>1</v>
      </c>
      <c r="Q127" s="164"/>
      <c r="R127" s="57"/>
      <c r="S127" s="47" t="b">
        <v>1</v>
      </c>
      <c r="T127" s="61" t="s">
        <v>1974</v>
      </c>
      <c r="U127" s="75"/>
      <c r="V127" s="75">
        <f t="shared" si="3"/>
        <v>3480</v>
      </c>
      <c r="W127" s="166"/>
      <c r="X127" s="166"/>
      <c r="Y127" s="167"/>
      <c r="Z127" s="167"/>
    </row>
    <row r="128" spans="1:26">
      <c r="A128" s="71"/>
      <c r="B128" s="53"/>
      <c r="C128" s="52">
        <v>45531</v>
      </c>
      <c r="D128" s="66" t="s">
        <v>51</v>
      </c>
      <c r="E128" s="159" t="s">
        <v>66</v>
      </c>
      <c r="F128" s="69" t="s">
        <v>67</v>
      </c>
      <c r="G128" s="69" t="s">
        <v>68</v>
      </c>
      <c r="H128" s="70" t="s">
        <v>30</v>
      </c>
      <c r="I128" s="69">
        <v>3</v>
      </c>
      <c r="J128" s="70">
        <v>2350</v>
      </c>
      <c r="K128" s="54">
        <f t="shared" si="1"/>
        <v>7050</v>
      </c>
      <c r="L128" s="55" t="b">
        <v>1</v>
      </c>
      <c r="M128" s="56">
        <v>270820241358</v>
      </c>
      <c r="N128" s="57" t="b">
        <v>1</v>
      </c>
      <c r="O128" s="58" t="s">
        <v>31</v>
      </c>
      <c r="P128" s="59" t="b">
        <v>1</v>
      </c>
      <c r="Q128" s="129"/>
      <c r="R128" s="60"/>
      <c r="S128" s="47" t="b">
        <v>1</v>
      </c>
      <c r="T128" s="61" t="s">
        <v>1975</v>
      </c>
      <c r="U128" s="54"/>
      <c r="V128" s="54">
        <f t="shared" si="3"/>
        <v>7050</v>
      </c>
      <c r="W128" s="49"/>
      <c r="X128" s="49"/>
    </row>
    <row r="129" spans="1:26">
      <c r="A129" s="132"/>
      <c r="B129" s="66"/>
      <c r="C129" s="76">
        <v>45531</v>
      </c>
      <c r="D129" s="66" t="s">
        <v>26</v>
      </c>
      <c r="E129" s="69" t="s">
        <v>1976</v>
      </c>
      <c r="F129" s="69" t="s">
        <v>1977</v>
      </c>
      <c r="G129" s="69" t="s">
        <v>101</v>
      </c>
      <c r="H129" s="70" t="s">
        <v>30</v>
      </c>
      <c r="I129" s="69">
        <v>12</v>
      </c>
      <c r="J129" s="70">
        <v>875</v>
      </c>
      <c r="K129" s="75">
        <f t="shared" si="1"/>
        <v>10500</v>
      </c>
      <c r="L129" s="55" t="b">
        <v>1</v>
      </c>
      <c r="M129" s="154">
        <v>270820241646</v>
      </c>
      <c r="N129" s="57" t="b">
        <v>1</v>
      </c>
      <c r="O129" s="58" t="s">
        <v>31</v>
      </c>
      <c r="P129" s="59" t="b">
        <v>1</v>
      </c>
      <c r="Q129" s="164"/>
      <c r="R129" s="57"/>
      <c r="S129" s="47" t="b">
        <v>1</v>
      </c>
      <c r="T129" s="61" t="s">
        <v>1978</v>
      </c>
      <c r="U129" s="75"/>
      <c r="V129" s="75">
        <f t="shared" si="3"/>
        <v>10500</v>
      </c>
      <c r="W129" s="166"/>
      <c r="X129" s="166"/>
      <c r="Y129" s="167"/>
      <c r="Z129" s="167"/>
    </row>
    <row r="130" spans="1:26">
      <c r="A130" s="132"/>
      <c r="B130" s="66"/>
      <c r="C130" s="76">
        <v>45531</v>
      </c>
      <c r="D130" s="66" t="s">
        <v>1133</v>
      </c>
      <c r="E130" s="69" t="s">
        <v>1234</v>
      </c>
      <c r="F130" s="69" t="s">
        <v>1439</v>
      </c>
      <c r="G130" s="69" t="s">
        <v>1952</v>
      </c>
      <c r="H130" s="70" t="s">
        <v>30</v>
      </c>
      <c r="I130" s="69">
        <v>5</v>
      </c>
      <c r="J130" s="70">
        <v>475</v>
      </c>
      <c r="K130" s="75">
        <f t="shared" si="1"/>
        <v>2375</v>
      </c>
      <c r="L130" s="55" t="b">
        <v>1</v>
      </c>
      <c r="M130" s="154">
        <v>270820241817</v>
      </c>
      <c r="N130" s="57" t="b">
        <v>1</v>
      </c>
      <c r="O130" s="58" t="s">
        <v>31</v>
      </c>
      <c r="P130" s="59" t="b">
        <v>1</v>
      </c>
      <c r="Q130" s="164"/>
      <c r="R130" s="57"/>
      <c r="S130" s="47" t="b">
        <v>1</v>
      </c>
      <c r="T130" s="61" t="s">
        <v>1979</v>
      </c>
      <c r="U130" s="75"/>
      <c r="V130" s="75">
        <f t="shared" si="3"/>
        <v>2375</v>
      </c>
      <c r="W130" s="166"/>
      <c r="X130" s="166"/>
      <c r="Y130" s="167"/>
      <c r="Z130" s="167"/>
    </row>
    <row r="131" spans="1:26">
      <c r="A131" s="132"/>
      <c r="B131" s="66"/>
      <c r="C131" s="76">
        <v>45532</v>
      </c>
      <c r="D131" s="66" t="s">
        <v>263</v>
      </c>
      <c r="E131" s="69" t="s">
        <v>263</v>
      </c>
      <c r="F131" s="69" t="s">
        <v>1980</v>
      </c>
      <c r="G131" s="69" t="s">
        <v>1952</v>
      </c>
      <c r="H131" s="70" t="s">
        <v>30</v>
      </c>
      <c r="I131" s="69">
        <v>60</v>
      </c>
      <c r="J131" s="70">
        <v>475</v>
      </c>
      <c r="K131" s="75">
        <f t="shared" si="1"/>
        <v>28500</v>
      </c>
      <c r="L131" s="55" t="b">
        <v>1</v>
      </c>
      <c r="M131" s="154">
        <v>280820241444</v>
      </c>
      <c r="N131" s="57" t="b">
        <v>1</v>
      </c>
      <c r="O131" s="58" t="s">
        <v>31</v>
      </c>
      <c r="P131" s="59" t="b">
        <v>1</v>
      </c>
      <c r="Q131" s="164"/>
      <c r="R131" s="165"/>
      <c r="S131" s="47" t="b">
        <v>1</v>
      </c>
      <c r="T131" s="61" t="s">
        <v>1981</v>
      </c>
      <c r="U131" s="75"/>
      <c r="V131" s="75">
        <f t="shared" si="3"/>
        <v>28500</v>
      </c>
      <c r="W131" s="166"/>
      <c r="X131" s="166"/>
      <c r="Y131" s="167"/>
      <c r="Z131" s="167"/>
    </row>
    <row r="132" spans="1:26">
      <c r="A132" s="18"/>
      <c r="B132" s="18"/>
      <c r="C132" s="132" t="s">
        <v>1982</v>
      </c>
      <c r="D132" s="66" t="s">
        <v>263</v>
      </c>
      <c r="E132" s="66" t="s">
        <v>263</v>
      </c>
      <c r="F132" s="66" t="s">
        <v>1980</v>
      </c>
      <c r="G132" s="69" t="s">
        <v>1841</v>
      </c>
      <c r="H132" s="69" t="s">
        <v>30</v>
      </c>
      <c r="I132" s="69">
        <v>3000</v>
      </c>
      <c r="J132" s="70">
        <v>1.1499999999999999</v>
      </c>
      <c r="K132" s="75">
        <f t="shared" si="1"/>
        <v>3449.9999999999995</v>
      </c>
      <c r="L132" s="55" t="b">
        <v>1</v>
      </c>
      <c r="M132" s="154">
        <v>280820241445</v>
      </c>
      <c r="N132" s="57" t="b">
        <v>1</v>
      </c>
      <c r="O132" s="58" t="s">
        <v>31</v>
      </c>
      <c r="P132" s="59" t="b">
        <v>1</v>
      </c>
      <c r="Q132" s="164"/>
      <c r="R132" s="165"/>
      <c r="S132" s="47" t="b">
        <v>1</v>
      </c>
      <c r="T132" s="61" t="s">
        <v>1983</v>
      </c>
      <c r="U132" s="75"/>
      <c r="V132" s="75">
        <f t="shared" si="3"/>
        <v>3449.9999999999995</v>
      </c>
      <c r="W132" s="166"/>
      <c r="X132" s="166"/>
      <c r="Y132" s="167"/>
      <c r="Z132" s="167"/>
    </row>
    <row r="133" spans="1:26">
      <c r="A133" s="18"/>
      <c r="B133" s="18"/>
      <c r="C133" s="132" t="s">
        <v>1982</v>
      </c>
      <c r="D133" s="66" t="s">
        <v>108</v>
      </c>
      <c r="E133" s="66" t="s">
        <v>109</v>
      </c>
      <c r="F133" s="66" t="s">
        <v>110</v>
      </c>
      <c r="G133" s="69" t="s">
        <v>1984</v>
      </c>
      <c r="H133" s="69" t="s">
        <v>30</v>
      </c>
      <c r="I133" s="69">
        <v>28</v>
      </c>
      <c r="J133" s="70">
        <v>105</v>
      </c>
      <c r="K133" s="75">
        <f t="shared" si="1"/>
        <v>2940</v>
      </c>
      <c r="L133" s="55" t="b">
        <v>1</v>
      </c>
      <c r="M133" s="154">
        <v>280820241550</v>
      </c>
      <c r="N133" s="57" t="b">
        <v>1</v>
      </c>
      <c r="O133" s="58"/>
      <c r="P133" s="59" t="b">
        <v>1</v>
      </c>
      <c r="Q133" s="164"/>
      <c r="R133" s="165"/>
      <c r="S133" s="47" t="b">
        <v>1</v>
      </c>
      <c r="T133" s="61" t="s">
        <v>1985</v>
      </c>
      <c r="U133" s="75"/>
      <c r="V133" s="75">
        <f t="shared" si="3"/>
        <v>2940</v>
      </c>
      <c r="W133" s="166"/>
      <c r="X133" s="166"/>
      <c r="Y133" s="167"/>
      <c r="Z133" s="167"/>
    </row>
    <row r="134" spans="1:26">
      <c r="A134" s="18"/>
      <c r="B134" s="18"/>
      <c r="C134" s="132" t="s">
        <v>1982</v>
      </c>
      <c r="D134" s="66" t="s">
        <v>108</v>
      </c>
      <c r="E134" s="66" t="s">
        <v>109</v>
      </c>
      <c r="F134" s="66" t="s">
        <v>110</v>
      </c>
      <c r="G134" s="69" t="s">
        <v>1912</v>
      </c>
      <c r="H134" s="69" t="s">
        <v>30</v>
      </c>
      <c r="I134" s="69">
        <v>10</v>
      </c>
      <c r="J134" s="70">
        <v>90</v>
      </c>
      <c r="K134" s="75">
        <f t="shared" si="1"/>
        <v>900</v>
      </c>
      <c r="L134" s="55" t="b">
        <v>1</v>
      </c>
      <c r="M134" s="154">
        <v>280820241550</v>
      </c>
      <c r="N134" s="57" t="b">
        <v>1</v>
      </c>
      <c r="O134" s="58"/>
      <c r="P134" s="59" t="b">
        <v>1</v>
      </c>
      <c r="Q134" s="164"/>
      <c r="R134" s="165"/>
      <c r="S134" s="47" t="b">
        <v>1</v>
      </c>
      <c r="T134" s="61" t="s">
        <v>1986</v>
      </c>
      <c r="U134" s="75"/>
      <c r="V134" s="75">
        <f t="shared" si="3"/>
        <v>900</v>
      </c>
      <c r="W134" s="166"/>
      <c r="X134" s="166"/>
      <c r="Y134" s="167"/>
      <c r="Z134" s="167"/>
    </row>
    <row r="135" spans="1:26">
      <c r="A135" s="18"/>
      <c r="B135" s="18"/>
      <c r="C135" s="132" t="s">
        <v>1982</v>
      </c>
      <c r="D135" s="66" t="s">
        <v>55</v>
      </c>
      <c r="E135" s="66" t="s">
        <v>1987</v>
      </c>
      <c r="F135" s="66" t="s">
        <v>1552</v>
      </c>
      <c r="G135" s="69" t="s">
        <v>1781</v>
      </c>
      <c r="H135" s="69" t="s">
        <v>30</v>
      </c>
      <c r="I135" s="69">
        <v>84</v>
      </c>
      <c r="J135" s="70">
        <v>35</v>
      </c>
      <c r="K135" s="75">
        <f t="shared" si="1"/>
        <v>2940</v>
      </c>
      <c r="L135" s="55" t="b">
        <v>1</v>
      </c>
      <c r="M135" s="154">
        <v>280820241602</v>
      </c>
      <c r="N135" s="57" t="b">
        <v>1</v>
      </c>
      <c r="O135" s="58"/>
      <c r="P135" s="59" t="b">
        <v>1</v>
      </c>
      <c r="Q135" s="164"/>
      <c r="R135" s="165" t="s">
        <v>1988</v>
      </c>
      <c r="S135" s="47" t="b">
        <v>1</v>
      </c>
      <c r="T135" s="61" t="s">
        <v>1989</v>
      </c>
      <c r="U135" s="75"/>
      <c r="V135" s="75">
        <f t="shared" si="3"/>
        <v>2940</v>
      </c>
      <c r="W135" s="166"/>
      <c r="X135" s="166"/>
      <c r="Y135" s="167"/>
      <c r="Z135" s="167"/>
    </row>
    <row r="136" spans="1:26">
      <c r="A136" s="18"/>
      <c r="B136" s="18"/>
      <c r="C136" s="132" t="s">
        <v>1982</v>
      </c>
      <c r="D136" s="66" t="s">
        <v>418</v>
      </c>
      <c r="E136" s="66" t="s">
        <v>230</v>
      </c>
      <c r="F136" s="66" t="s">
        <v>1990</v>
      </c>
      <c r="G136" s="69" t="s">
        <v>1952</v>
      </c>
      <c r="H136" s="69" t="s">
        <v>30</v>
      </c>
      <c r="I136" s="69">
        <v>10</v>
      </c>
      <c r="J136" s="70">
        <v>475</v>
      </c>
      <c r="K136" s="75">
        <f t="shared" si="1"/>
        <v>4750</v>
      </c>
      <c r="L136" s="55" t="b">
        <v>1</v>
      </c>
      <c r="M136" s="154">
        <v>280820241606</v>
      </c>
      <c r="N136" s="57" t="b">
        <v>1</v>
      </c>
      <c r="O136" s="58" t="s">
        <v>31</v>
      </c>
      <c r="P136" s="59" t="b">
        <v>1</v>
      </c>
      <c r="Q136" s="164"/>
      <c r="R136" s="165"/>
      <c r="S136" s="47" t="b">
        <v>1</v>
      </c>
      <c r="T136" s="61" t="s">
        <v>1991</v>
      </c>
      <c r="U136" s="75"/>
      <c r="V136" s="75">
        <f t="shared" si="3"/>
        <v>4750</v>
      </c>
      <c r="W136" s="166"/>
      <c r="X136" s="166"/>
      <c r="Y136" s="167"/>
      <c r="Z136" s="167"/>
    </row>
    <row r="137" spans="1:26">
      <c r="A137" s="18"/>
      <c r="B137" s="18"/>
      <c r="C137" s="132" t="s">
        <v>1982</v>
      </c>
      <c r="D137" s="66" t="s">
        <v>55</v>
      </c>
      <c r="E137" s="66" t="s">
        <v>1992</v>
      </c>
      <c r="F137" s="66" t="s">
        <v>1552</v>
      </c>
      <c r="G137" s="69" t="s">
        <v>1952</v>
      </c>
      <c r="H137" s="69" t="s">
        <v>30</v>
      </c>
      <c r="I137" s="69">
        <v>5</v>
      </c>
      <c r="J137" s="70">
        <v>475</v>
      </c>
      <c r="K137" s="75">
        <f t="shared" si="1"/>
        <v>2375</v>
      </c>
      <c r="L137" s="55" t="b">
        <v>1</v>
      </c>
      <c r="M137" s="154">
        <v>280820241622</v>
      </c>
      <c r="N137" s="57" t="b">
        <v>1</v>
      </c>
      <c r="O137" s="58" t="s">
        <v>31</v>
      </c>
      <c r="P137" s="59" t="b">
        <v>1</v>
      </c>
      <c r="Q137" s="164"/>
      <c r="R137" s="165"/>
      <c r="S137" s="47" t="b">
        <v>1</v>
      </c>
      <c r="T137" s="61" t="s">
        <v>1989</v>
      </c>
      <c r="U137" s="75"/>
      <c r="V137" s="75">
        <f t="shared" si="3"/>
        <v>2375</v>
      </c>
      <c r="W137" s="166"/>
      <c r="X137" s="166"/>
      <c r="Y137" s="167"/>
      <c r="Z137" s="167"/>
    </row>
    <row r="138" spans="1:26">
      <c r="A138" s="18"/>
      <c r="B138" s="18"/>
      <c r="C138" s="132" t="s">
        <v>1982</v>
      </c>
      <c r="D138" s="66" t="s">
        <v>397</v>
      </c>
      <c r="E138" s="66" t="s">
        <v>61</v>
      </c>
      <c r="F138" s="66" t="s">
        <v>1993</v>
      </c>
      <c r="G138" s="69" t="s">
        <v>1952</v>
      </c>
      <c r="H138" s="69" t="s">
        <v>30</v>
      </c>
      <c r="I138" s="69">
        <v>10</v>
      </c>
      <c r="J138" s="70">
        <v>475</v>
      </c>
      <c r="K138" s="75">
        <f t="shared" si="1"/>
        <v>4750</v>
      </c>
      <c r="L138" s="55" t="b">
        <v>1</v>
      </c>
      <c r="M138" s="154">
        <v>280820241636</v>
      </c>
      <c r="N138" s="57" t="b">
        <v>1</v>
      </c>
      <c r="O138" s="58" t="s">
        <v>31</v>
      </c>
      <c r="P138" s="59" t="b">
        <v>1</v>
      </c>
      <c r="Q138" s="164"/>
      <c r="R138" s="165"/>
      <c r="S138" s="47" t="b">
        <v>1</v>
      </c>
      <c r="T138" s="61" t="s">
        <v>1994</v>
      </c>
      <c r="U138" s="75"/>
      <c r="V138" s="75">
        <f t="shared" si="3"/>
        <v>4750</v>
      </c>
      <c r="W138" s="166"/>
      <c r="X138" s="166"/>
      <c r="Y138" s="167"/>
      <c r="Z138" s="167"/>
    </row>
    <row r="139" spans="1:26">
      <c r="A139" s="18"/>
      <c r="B139" s="18"/>
      <c r="C139" s="132" t="s">
        <v>1982</v>
      </c>
      <c r="D139" s="66" t="s">
        <v>282</v>
      </c>
      <c r="E139" s="66" t="s">
        <v>282</v>
      </c>
      <c r="F139" s="66" t="s">
        <v>365</v>
      </c>
      <c r="G139" s="69" t="s">
        <v>1952</v>
      </c>
      <c r="H139" s="69" t="s">
        <v>30</v>
      </c>
      <c r="I139" s="69">
        <v>5</v>
      </c>
      <c r="J139" s="70">
        <v>475</v>
      </c>
      <c r="K139" s="75">
        <f t="shared" si="1"/>
        <v>2375</v>
      </c>
      <c r="L139" s="55" t="b">
        <v>1</v>
      </c>
      <c r="M139" s="154">
        <v>280820241811</v>
      </c>
      <c r="N139" s="57" t="b">
        <v>1</v>
      </c>
      <c r="O139" s="58" t="s">
        <v>31</v>
      </c>
      <c r="P139" s="59" t="b">
        <v>1</v>
      </c>
      <c r="Q139" s="164"/>
      <c r="R139" s="165"/>
      <c r="S139" s="47" t="b">
        <v>1</v>
      </c>
      <c r="T139" s="61" t="s">
        <v>1995</v>
      </c>
      <c r="U139" s="75"/>
      <c r="V139" s="75">
        <f t="shared" si="3"/>
        <v>2375</v>
      </c>
      <c r="W139" s="166"/>
      <c r="X139" s="166"/>
      <c r="Y139" s="167"/>
      <c r="Z139" s="167"/>
    </row>
    <row r="140" spans="1:26">
      <c r="A140" s="18"/>
      <c r="B140" s="18"/>
      <c r="C140" s="132" t="s">
        <v>1996</v>
      </c>
      <c r="D140" s="66" t="s">
        <v>225</v>
      </c>
      <c r="E140" s="66" t="s">
        <v>61</v>
      </c>
      <c r="F140" s="66" t="s">
        <v>1997</v>
      </c>
      <c r="G140" s="69" t="s">
        <v>58</v>
      </c>
      <c r="H140" s="69" t="s">
        <v>30</v>
      </c>
      <c r="I140" s="69">
        <v>84</v>
      </c>
      <c r="J140" s="70">
        <v>35</v>
      </c>
      <c r="K140" s="75">
        <f t="shared" si="1"/>
        <v>2940</v>
      </c>
      <c r="L140" s="55" t="b">
        <v>1</v>
      </c>
      <c r="M140" s="154">
        <v>290820241149</v>
      </c>
      <c r="N140" s="57" t="b">
        <v>1</v>
      </c>
      <c r="O140" s="58"/>
      <c r="P140" s="59" t="b">
        <v>1</v>
      </c>
      <c r="Q140" s="164"/>
      <c r="R140" s="165" t="s">
        <v>1998</v>
      </c>
      <c r="S140" s="47" t="b">
        <v>1</v>
      </c>
      <c r="T140" s="61" t="s">
        <v>1999</v>
      </c>
      <c r="U140" s="75"/>
      <c r="V140" s="75">
        <f t="shared" si="3"/>
        <v>2940</v>
      </c>
      <c r="W140" s="166"/>
      <c r="X140" s="166"/>
      <c r="Y140" s="167"/>
      <c r="Z140" s="167"/>
    </row>
    <row r="141" spans="1:26">
      <c r="A141" s="18"/>
      <c r="B141" s="18"/>
      <c r="C141" s="132" t="s">
        <v>1996</v>
      </c>
      <c r="D141" s="66" t="s">
        <v>104</v>
      </c>
      <c r="E141" s="66" t="s">
        <v>61</v>
      </c>
      <c r="F141" s="66" t="s">
        <v>1997</v>
      </c>
      <c r="G141" s="69" t="s">
        <v>142</v>
      </c>
      <c r="H141" s="69" t="s">
        <v>30</v>
      </c>
      <c r="I141" s="69">
        <v>3000</v>
      </c>
      <c r="J141" s="70">
        <v>1.25</v>
      </c>
      <c r="K141" s="75">
        <f t="shared" si="1"/>
        <v>3750</v>
      </c>
      <c r="L141" s="55" t="b">
        <v>1</v>
      </c>
      <c r="M141" s="154">
        <v>290820241200</v>
      </c>
      <c r="N141" s="57" t="b">
        <v>1</v>
      </c>
      <c r="O141" s="58"/>
      <c r="P141" s="59" t="b">
        <v>1</v>
      </c>
      <c r="Q141" s="164"/>
      <c r="R141" s="165" t="s">
        <v>2000</v>
      </c>
      <c r="S141" s="47" t="b">
        <v>1</v>
      </c>
      <c r="T141" s="61" t="s">
        <v>1999</v>
      </c>
      <c r="U141" s="75"/>
      <c r="V141" s="75">
        <f t="shared" si="3"/>
        <v>3750</v>
      </c>
      <c r="W141" s="166"/>
      <c r="X141" s="166"/>
      <c r="Y141" s="167"/>
      <c r="Z141" s="167"/>
    </row>
    <row r="142" spans="1:26">
      <c r="A142" s="18"/>
      <c r="B142" s="18"/>
      <c r="C142" s="132" t="s">
        <v>1996</v>
      </c>
      <c r="D142" s="66" t="s">
        <v>104</v>
      </c>
      <c r="E142" s="66" t="s">
        <v>61</v>
      </c>
      <c r="F142" s="66" t="s">
        <v>1997</v>
      </c>
      <c r="G142" s="69" t="s">
        <v>545</v>
      </c>
      <c r="H142" s="69" t="s">
        <v>30</v>
      </c>
      <c r="I142" s="69">
        <v>6</v>
      </c>
      <c r="J142" s="70">
        <v>145</v>
      </c>
      <c r="K142" s="75">
        <f t="shared" si="1"/>
        <v>870</v>
      </c>
      <c r="L142" s="55" t="b">
        <v>1</v>
      </c>
      <c r="M142" s="154">
        <v>290820241200</v>
      </c>
      <c r="N142" s="57" t="b">
        <v>1</v>
      </c>
      <c r="O142" s="58"/>
      <c r="P142" s="59" t="b">
        <v>1</v>
      </c>
      <c r="Q142" s="164"/>
      <c r="R142" s="165"/>
      <c r="S142" s="47" t="b">
        <v>1</v>
      </c>
      <c r="T142" s="61" t="s">
        <v>1999</v>
      </c>
      <c r="U142" s="75"/>
      <c r="V142" s="75">
        <f t="shared" si="3"/>
        <v>870</v>
      </c>
      <c r="W142" s="166"/>
      <c r="X142" s="166"/>
      <c r="Y142" s="167"/>
      <c r="Z142" s="167"/>
    </row>
    <row r="143" spans="1:26">
      <c r="A143" s="18"/>
      <c r="B143" s="18"/>
      <c r="C143" s="132" t="s">
        <v>1996</v>
      </c>
      <c r="D143" s="66" t="s">
        <v>104</v>
      </c>
      <c r="E143" s="66" t="s">
        <v>61</v>
      </c>
      <c r="F143" s="66" t="s">
        <v>1997</v>
      </c>
      <c r="G143" s="69" t="s">
        <v>442</v>
      </c>
      <c r="H143" s="69" t="s">
        <v>30</v>
      </c>
      <c r="I143" s="69">
        <v>24</v>
      </c>
      <c r="J143" s="70">
        <v>55</v>
      </c>
      <c r="K143" s="75">
        <f t="shared" si="1"/>
        <v>1320</v>
      </c>
      <c r="L143" s="55" t="b">
        <v>1</v>
      </c>
      <c r="M143" s="154">
        <v>290820241200</v>
      </c>
      <c r="N143" s="57" t="b">
        <v>1</v>
      </c>
      <c r="O143" s="58"/>
      <c r="P143" s="59" t="b">
        <v>1</v>
      </c>
      <c r="Q143" s="164"/>
      <c r="R143" s="165" t="s">
        <v>2001</v>
      </c>
      <c r="S143" s="47" t="b">
        <v>1</v>
      </c>
      <c r="T143" s="61" t="s">
        <v>1999</v>
      </c>
      <c r="U143" s="75"/>
      <c r="V143" s="75">
        <f t="shared" si="3"/>
        <v>1320</v>
      </c>
      <c r="W143" s="166"/>
      <c r="X143" s="166"/>
      <c r="Y143" s="167"/>
      <c r="Z143" s="167"/>
    </row>
    <row r="144" spans="1:26">
      <c r="A144" s="18"/>
      <c r="B144" s="18"/>
      <c r="C144" s="132" t="s">
        <v>1996</v>
      </c>
      <c r="D144" s="66" t="s">
        <v>104</v>
      </c>
      <c r="E144" s="66" t="s">
        <v>61</v>
      </c>
      <c r="F144" s="66" t="s">
        <v>1997</v>
      </c>
      <c r="G144" s="69" t="s">
        <v>2002</v>
      </c>
      <c r="H144" s="69" t="s">
        <v>30</v>
      </c>
      <c r="I144" s="69">
        <v>24</v>
      </c>
      <c r="J144" s="70">
        <v>215</v>
      </c>
      <c r="K144" s="75">
        <f t="shared" si="1"/>
        <v>5160</v>
      </c>
      <c r="L144" s="55" t="b">
        <v>1</v>
      </c>
      <c r="M144" s="154">
        <v>2908120241209</v>
      </c>
      <c r="N144" s="57" t="b">
        <v>1</v>
      </c>
      <c r="O144" s="58"/>
      <c r="P144" s="59" t="b">
        <v>1</v>
      </c>
      <c r="Q144" s="164"/>
      <c r="R144" s="165" t="s">
        <v>2001</v>
      </c>
      <c r="S144" s="47" t="b">
        <v>1</v>
      </c>
      <c r="T144" s="61" t="s">
        <v>1999</v>
      </c>
      <c r="U144" s="75"/>
      <c r="V144" s="75">
        <f t="shared" si="3"/>
        <v>5160</v>
      </c>
      <c r="W144" s="166"/>
      <c r="X144" s="166"/>
      <c r="Y144" s="167"/>
      <c r="Z144" s="167"/>
    </row>
    <row r="145" spans="1:26">
      <c r="A145" s="18"/>
      <c r="B145" s="18"/>
      <c r="C145" s="132" t="s">
        <v>1996</v>
      </c>
      <c r="D145" s="66" t="s">
        <v>51</v>
      </c>
      <c r="E145" s="66" t="s">
        <v>52</v>
      </c>
      <c r="F145" s="66" t="s">
        <v>237</v>
      </c>
      <c r="G145" s="69" t="s">
        <v>1228</v>
      </c>
      <c r="H145" s="69" t="s">
        <v>30</v>
      </c>
      <c r="I145" s="69">
        <v>59</v>
      </c>
      <c r="J145" s="70">
        <v>105</v>
      </c>
      <c r="K145" s="75">
        <f t="shared" si="1"/>
        <v>6195</v>
      </c>
      <c r="L145" s="55" t="b">
        <v>1</v>
      </c>
      <c r="M145" s="154">
        <v>290920241628</v>
      </c>
      <c r="N145" s="57" t="b">
        <v>1</v>
      </c>
      <c r="O145" s="58"/>
      <c r="P145" s="59" t="b">
        <v>1</v>
      </c>
      <c r="Q145" s="164"/>
      <c r="R145" s="165"/>
      <c r="S145" s="47" t="b">
        <v>1</v>
      </c>
      <c r="T145" s="61" t="s">
        <v>2003</v>
      </c>
      <c r="U145" s="75"/>
      <c r="V145" s="75">
        <f t="shared" si="3"/>
        <v>6195</v>
      </c>
      <c r="W145" s="166"/>
      <c r="X145" s="166"/>
      <c r="Y145" s="167"/>
      <c r="Z145" s="167"/>
    </row>
    <row r="146" spans="1:26">
      <c r="A146" s="18"/>
      <c r="B146" s="18"/>
      <c r="C146" s="132" t="s">
        <v>2004</v>
      </c>
      <c r="D146" s="66" t="s">
        <v>51</v>
      </c>
      <c r="E146" s="66" t="s">
        <v>201</v>
      </c>
      <c r="F146" s="66" t="s">
        <v>202</v>
      </c>
      <c r="G146" s="69" t="s">
        <v>374</v>
      </c>
      <c r="H146" s="69" t="s">
        <v>30</v>
      </c>
      <c r="I146" s="69">
        <v>200</v>
      </c>
      <c r="J146" s="70">
        <v>30</v>
      </c>
      <c r="K146" s="75">
        <f t="shared" si="1"/>
        <v>6000</v>
      </c>
      <c r="L146" s="55" t="b">
        <v>1</v>
      </c>
      <c r="M146" s="154">
        <v>300820241922</v>
      </c>
      <c r="N146" s="57" t="b">
        <v>1</v>
      </c>
      <c r="O146" s="58" t="s">
        <v>31</v>
      </c>
      <c r="P146" s="59" t="b">
        <v>1</v>
      </c>
      <c r="Q146" s="164"/>
      <c r="R146" s="165"/>
      <c r="S146" s="47" t="b">
        <v>1</v>
      </c>
      <c r="T146" s="61" t="s">
        <v>2005</v>
      </c>
      <c r="U146" s="75"/>
      <c r="V146" s="75">
        <f t="shared" si="3"/>
        <v>6000</v>
      </c>
      <c r="W146" s="166"/>
      <c r="X146" s="166"/>
      <c r="Y146" s="167"/>
      <c r="Z146" s="167"/>
    </row>
    <row r="147" spans="1:26">
      <c r="A147" s="18"/>
      <c r="B147" s="18"/>
      <c r="C147" s="132" t="s">
        <v>2004</v>
      </c>
      <c r="D147" s="66" t="s">
        <v>51</v>
      </c>
      <c r="E147" s="66" t="s">
        <v>201</v>
      </c>
      <c r="F147" s="66" t="s">
        <v>202</v>
      </c>
      <c r="G147" s="69" t="s">
        <v>139</v>
      </c>
      <c r="H147" s="69" t="s">
        <v>30</v>
      </c>
      <c r="I147" s="69">
        <v>100</v>
      </c>
      <c r="J147" s="70">
        <v>29</v>
      </c>
      <c r="K147" s="75">
        <f t="shared" si="1"/>
        <v>2900</v>
      </c>
      <c r="L147" s="55" t="b">
        <v>1</v>
      </c>
      <c r="M147" s="154">
        <v>300820241923</v>
      </c>
      <c r="N147" s="57" t="b">
        <v>1</v>
      </c>
      <c r="O147" s="58" t="s">
        <v>31</v>
      </c>
      <c r="P147" s="59" t="b">
        <v>1</v>
      </c>
      <c r="Q147" s="164"/>
      <c r="R147" s="165"/>
      <c r="S147" s="47" t="b">
        <v>1</v>
      </c>
      <c r="T147" s="61" t="s">
        <v>2006</v>
      </c>
      <c r="U147" s="75"/>
      <c r="V147" s="75">
        <f t="shared" si="3"/>
        <v>2900</v>
      </c>
      <c r="W147" s="166"/>
      <c r="X147" s="166"/>
      <c r="Y147" s="167"/>
      <c r="Z147" s="167"/>
    </row>
    <row r="148" spans="1:26">
      <c r="A148" s="18"/>
      <c r="B148" s="18"/>
      <c r="C148" s="132" t="s">
        <v>2004</v>
      </c>
      <c r="D148" s="66" t="s">
        <v>569</v>
      </c>
      <c r="E148" s="66" t="s">
        <v>569</v>
      </c>
      <c r="F148" s="66" t="s">
        <v>2007</v>
      </c>
      <c r="G148" s="69" t="s">
        <v>1952</v>
      </c>
      <c r="H148" s="69" t="s">
        <v>30</v>
      </c>
      <c r="I148" s="69">
        <v>10</v>
      </c>
      <c r="J148" s="70">
        <v>475</v>
      </c>
      <c r="K148" s="75">
        <f t="shared" si="1"/>
        <v>4750</v>
      </c>
      <c r="L148" s="55" t="b">
        <v>1</v>
      </c>
      <c r="M148" s="154">
        <v>300820241924</v>
      </c>
      <c r="N148" s="57" t="b">
        <v>1</v>
      </c>
      <c r="O148" s="58" t="s">
        <v>31</v>
      </c>
      <c r="P148" s="59" t="b">
        <v>1</v>
      </c>
      <c r="Q148" s="164"/>
      <c r="R148" s="165"/>
      <c r="S148" s="47" t="b">
        <v>1</v>
      </c>
      <c r="T148" s="61" t="s">
        <v>2008</v>
      </c>
      <c r="U148" s="75"/>
      <c r="V148" s="75">
        <f t="shared" si="3"/>
        <v>4750</v>
      </c>
      <c r="W148" s="166"/>
      <c r="X148" s="166"/>
      <c r="Y148" s="167"/>
      <c r="Z148" s="167"/>
    </row>
    <row r="149" spans="1:26">
      <c r="A149" s="18"/>
      <c r="B149" s="18"/>
      <c r="C149" s="132" t="s">
        <v>2004</v>
      </c>
      <c r="D149" s="66" t="s">
        <v>569</v>
      </c>
      <c r="E149" s="66" t="s">
        <v>569</v>
      </c>
      <c r="F149" s="66" t="s">
        <v>2007</v>
      </c>
      <c r="G149" s="69" t="s">
        <v>83</v>
      </c>
      <c r="H149" s="69" t="s">
        <v>30</v>
      </c>
      <c r="I149" s="69">
        <v>1000</v>
      </c>
      <c r="J149" s="70">
        <v>1.5</v>
      </c>
      <c r="K149" s="75">
        <f t="shared" si="1"/>
        <v>1500</v>
      </c>
      <c r="L149" s="55" t="b">
        <v>1</v>
      </c>
      <c r="M149" s="154">
        <v>300820241924</v>
      </c>
      <c r="N149" s="57" t="b">
        <v>1</v>
      </c>
      <c r="O149" s="58"/>
      <c r="P149" s="59" t="b">
        <v>1</v>
      </c>
      <c r="Q149" s="164"/>
      <c r="R149" s="165" t="s">
        <v>2009</v>
      </c>
      <c r="S149" s="47" t="b">
        <v>1</v>
      </c>
      <c r="T149" s="61" t="s">
        <v>2010</v>
      </c>
      <c r="U149" s="75"/>
      <c r="V149" s="75">
        <f t="shared" si="3"/>
        <v>1500</v>
      </c>
      <c r="W149" s="166"/>
      <c r="X149" s="166"/>
      <c r="Y149" s="167"/>
      <c r="Z149" s="167"/>
    </row>
    <row r="150" spans="1:26">
      <c r="A150" s="18"/>
      <c r="B150" s="18"/>
      <c r="C150" s="132" t="s">
        <v>2011</v>
      </c>
      <c r="D150" s="66" t="s">
        <v>51</v>
      </c>
      <c r="E150" s="66" t="s">
        <v>52</v>
      </c>
      <c r="F150" s="66" t="s">
        <v>237</v>
      </c>
      <c r="G150" s="69" t="s">
        <v>1966</v>
      </c>
      <c r="H150" s="69" t="s">
        <v>30</v>
      </c>
      <c r="I150" s="69">
        <v>10</v>
      </c>
      <c r="J150" s="70">
        <v>475</v>
      </c>
      <c r="K150" s="75">
        <f t="shared" si="1"/>
        <v>4750</v>
      </c>
      <c r="L150" s="55" t="b">
        <v>1</v>
      </c>
      <c r="M150" s="154">
        <v>310820241319</v>
      </c>
      <c r="N150" s="57" t="b">
        <v>1</v>
      </c>
      <c r="O150" s="58" t="s">
        <v>31</v>
      </c>
      <c r="P150" s="59" t="b">
        <v>1</v>
      </c>
      <c r="Q150" s="164"/>
      <c r="R150" s="165"/>
      <c r="S150" s="47" t="b">
        <v>1</v>
      </c>
      <c r="T150" s="61" t="s">
        <v>2012</v>
      </c>
      <c r="U150" s="75"/>
      <c r="V150" s="75">
        <f t="shared" si="3"/>
        <v>4750</v>
      </c>
      <c r="W150" s="166"/>
      <c r="X150" s="166"/>
      <c r="Y150" s="167"/>
      <c r="Z150" s="167"/>
    </row>
    <row r="151" spans="1:26">
      <c r="A151" s="18"/>
      <c r="B151" s="18"/>
      <c r="C151" s="132" t="s">
        <v>2011</v>
      </c>
      <c r="D151" s="66" t="s">
        <v>51</v>
      </c>
      <c r="E151" s="66" t="s">
        <v>594</v>
      </c>
      <c r="F151" s="66" t="s">
        <v>2013</v>
      </c>
      <c r="G151" s="69" t="s">
        <v>1966</v>
      </c>
      <c r="H151" s="69" t="s">
        <v>30</v>
      </c>
      <c r="I151" s="69">
        <v>10</v>
      </c>
      <c r="J151" s="70">
        <v>475</v>
      </c>
      <c r="K151" s="75">
        <f t="shared" si="1"/>
        <v>4750</v>
      </c>
      <c r="L151" s="55" t="b">
        <v>1</v>
      </c>
      <c r="M151" s="154">
        <v>310820241324</v>
      </c>
      <c r="N151" s="57" t="b">
        <v>1</v>
      </c>
      <c r="O151" s="58" t="s">
        <v>31</v>
      </c>
      <c r="P151" s="59" t="b">
        <v>1</v>
      </c>
      <c r="Q151" s="164"/>
      <c r="R151" s="165"/>
      <c r="S151" s="47" t="b">
        <v>1</v>
      </c>
      <c r="T151" s="61" t="s">
        <v>2014</v>
      </c>
      <c r="U151" s="75"/>
      <c r="V151" s="75">
        <f t="shared" si="3"/>
        <v>4750</v>
      </c>
      <c r="W151" s="166"/>
      <c r="X151" s="166"/>
      <c r="Y151" s="167"/>
      <c r="Z151" s="167"/>
    </row>
    <row r="152" spans="1:26">
      <c r="A152" s="1"/>
      <c r="B152" s="1"/>
      <c r="C152" s="71" t="s">
        <v>2011</v>
      </c>
      <c r="D152" s="53" t="s">
        <v>51</v>
      </c>
      <c r="E152" s="53" t="s">
        <v>89</v>
      </c>
      <c r="F152" s="53" t="s">
        <v>777</v>
      </c>
      <c r="G152" s="131" t="s">
        <v>1966</v>
      </c>
      <c r="H152" s="131" t="s">
        <v>30</v>
      </c>
      <c r="I152" s="131">
        <v>10</v>
      </c>
      <c r="J152" s="188">
        <v>475</v>
      </c>
      <c r="K152" s="54">
        <f t="shared" si="1"/>
        <v>4750</v>
      </c>
      <c r="L152" s="189" t="b">
        <v>1</v>
      </c>
      <c r="M152" s="56">
        <v>310820241329</v>
      </c>
      <c r="N152" s="60" t="b">
        <v>1</v>
      </c>
      <c r="O152" s="190" t="s">
        <v>31</v>
      </c>
      <c r="P152" s="191" t="b">
        <v>1</v>
      </c>
      <c r="Q152" s="129"/>
      <c r="R152" s="165"/>
      <c r="S152" s="150" t="b">
        <v>1</v>
      </c>
      <c r="T152" s="61" t="s">
        <v>2015</v>
      </c>
      <c r="U152" s="54"/>
      <c r="V152" s="54">
        <f t="shared" si="3"/>
        <v>4750</v>
      </c>
      <c r="W152" s="192"/>
      <c r="X152" s="192"/>
      <c r="Y152" s="193"/>
      <c r="Z152" s="193"/>
    </row>
    <row r="153" spans="1:26">
      <c r="A153" s="18"/>
      <c r="B153" s="18"/>
      <c r="C153" s="132" t="s">
        <v>2011</v>
      </c>
      <c r="D153" s="66" t="s">
        <v>51</v>
      </c>
      <c r="E153" s="66" t="s">
        <v>594</v>
      </c>
      <c r="F153" s="66" t="s">
        <v>2013</v>
      </c>
      <c r="G153" s="69" t="s">
        <v>147</v>
      </c>
      <c r="H153" s="69" t="s">
        <v>30</v>
      </c>
      <c r="I153" s="69">
        <v>2</v>
      </c>
      <c r="J153" s="70">
        <v>800</v>
      </c>
      <c r="K153" s="75">
        <f t="shared" si="1"/>
        <v>1600</v>
      </c>
      <c r="L153" s="55" t="b">
        <v>1</v>
      </c>
      <c r="M153" s="154">
        <v>310820241335</v>
      </c>
      <c r="N153" s="57" t="b">
        <v>1</v>
      </c>
      <c r="O153" s="58"/>
      <c r="P153" s="59" t="b">
        <v>1</v>
      </c>
      <c r="Q153" s="164"/>
      <c r="R153" s="165" t="s">
        <v>2016</v>
      </c>
      <c r="S153" s="47" t="b">
        <v>1</v>
      </c>
      <c r="T153" s="61" t="s">
        <v>2017</v>
      </c>
      <c r="U153" s="75"/>
      <c r="V153" s="75">
        <f t="shared" si="3"/>
        <v>1600</v>
      </c>
      <c r="W153" s="166"/>
      <c r="X153" s="166"/>
      <c r="Y153" s="167"/>
      <c r="Z153" s="167"/>
    </row>
    <row r="154" spans="1:26">
      <c r="A154" s="18"/>
      <c r="B154" s="18"/>
      <c r="C154" s="132" t="s">
        <v>2011</v>
      </c>
      <c r="D154" s="66" t="s">
        <v>51</v>
      </c>
      <c r="E154" s="66" t="s">
        <v>594</v>
      </c>
      <c r="F154" s="66" t="s">
        <v>2013</v>
      </c>
      <c r="G154" s="69" t="s">
        <v>877</v>
      </c>
      <c r="H154" s="69" t="s">
        <v>30</v>
      </c>
      <c r="I154" s="69">
        <v>2</v>
      </c>
      <c r="J154" s="70">
        <v>875</v>
      </c>
      <c r="K154" s="75">
        <f t="shared" si="1"/>
        <v>1750</v>
      </c>
      <c r="L154" s="55" t="b">
        <v>1</v>
      </c>
      <c r="M154" s="154">
        <v>310820241335</v>
      </c>
      <c r="N154" s="57" t="b">
        <v>1</v>
      </c>
      <c r="O154" s="58"/>
      <c r="P154" s="59" t="b">
        <v>1</v>
      </c>
      <c r="Q154" s="164"/>
      <c r="R154" s="165" t="s">
        <v>2016</v>
      </c>
      <c r="S154" s="47" t="b">
        <v>1</v>
      </c>
      <c r="T154" s="61" t="s">
        <v>2017</v>
      </c>
      <c r="U154" s="75"/>
      <c r="V154" s="75">
        <f t="shared" si="3"/>
        <v>1750</v>
      </c>
      <c r="W154" s="166"/>
      <c r="X154" s="166"/>
      <c r="Y154" s="167"/>
      <c r="Z154" s="167"/>
    </row>
    <row r="155" spans="1:26">
      <c r="A155" s="1"/>
      <c r="B155" s="1"/>
      <c r="C155" s="71"/>
      <c r="D155" s="53"/>
      <c r="E155" s="53"/>
      <c r="F155" s="66"/>
      <c r="G155" s="69"/>
      <c r="H155" s="69"/>
      <c r="I155" s="69"/>
      <c r="J155" s="70"/>
      <c r="K155" s="54">
        <f t="shared" si="1"/>
        <v>0</v>
      </c>
      <c r="L155" s="55" t="b">
        <v>0</v>
      </c>
      <c r="M155" s="56"/>
      <c r="N155" s="57" t="b">
        <v>0</v>
      </c>
      <c r="O155" s="58"/>
      <c r="P155" s="59" t="b">
        <v>0</v>
      </c>
      <c r="Q155" s="129"/>
      <c r="R155" s="165"/>
      <c r="S155" s="47" t="b">
        <v>0</v>
      </c>
      <c r="T155" s="61"/>
      <c r="U155" s="54"/>
      <c r="V155" s="54">
        <f t="shared" si="3"/>
        <v>0</v>
      </c>
      <c r="W155" s="49"/>
      <c r="X155" s="49"/>
    </row>
    <row r="156" spans="1:26">
      <c r="A156" s="1"/>
      <c r="B156" s="1"/>
      <c r="C156" s="71"/>
      <c r="D156" s="53"/>
      <c r="E156" s="53"/>
      <c r="F156" s="66"/>
      <c r="G156" s="69"/>
      <c r="H156" s="69"/>
      <c r="I156" s="69"/>
      <c r="J156" s="70"/>
      <c r="K156" s="54">
        <f t="shared" si="1"/>
        <v>0</v>
      </c>
      <c r="L156" s="55" t="b">
        <v>0</v>
      </c>
      <c r="M156" s="56"/>
      <c r="N156" s="57" t="b">
        <v>0</v>
      </c>
      <c r="O156" s="58"/>
      <c r="P156" s="59" t="b">
        <v>0</v>
      </c>
      <c r="Q156" s="129"/>
      <c r="R156" s="165"/>
      <c r="S156" s="47" t="b">
        <v>0</v>
      </c>
      <c r="T156" s="61"/>
      <c r="U156" s="54"/>
      <c r="V156" s="54">
        <f t="shared" si="3"/>
        <v>0</v>
      </c>
      <c r="W156" s="49"/>
      <c r="X156" s="49"/>
    </row>
    <row r="157" spans="1:26">
      <c r="A157" s="1"/>
      <c r="B157" s="1"/>
      <c r="C157" s="71"/>
      <c r="D157" s="53"/>
      <c r="E157" s="53"/>
      <c r="F157" s="66"/>
      <c r="G157" s="69"/>
      <c r="H157" s="69"/>
      <c r="I157" s="69"/>
      <c r="J157" s="70"/>
      <c r="K157" s="54">
        <f t="shared" si="1"/>
        <v>0</v>
      </c>
      <c r="L157" s="55" t="b">
        <v>0</v>
      </c>
      <c r="M157" s="56"/>
      <c r="N157" s="57" t="b">
        <v>0</v>
      </c>
      <c r="O157" s="58"/>
      <c r="P157" s="59" t="b">
        <v>0</v>
      </c>
      <c r="Q157" s="129"/>
      <c r="R157" s="165"/>
      <c r="S157" s="47" t="b">
        <v>0</v>
      </c>
      <c r="T157" s="165"/>
      <c r="U157" s="54"/>
      <c r="V157" s="54">
        <f t="shared" si="3"/>
        <v>0</v>
      </c>
      <c r="W157" s="49"/>
      <c r="X157" s="49"/>
    </row>
    <row r="158" spans="1:26">
      <c r="A158" s="1"/>
      <c r="B158" s="1"/>
      <c r="C158" s="71"/>
      <c r="D158" s="53"/>
      <c r="E158" s="53"/>
      <c r="F158" s="66"/>
      <c r="G158" s="69"/>
      <c r="H158" s="69"/>
      <c r="I158" s="69"/>
      <c r="J158" s="70"/>
      <c r="K158" s="54">
        <f t="shared" si="1"/>
        <v>0</v>
      </c>
      <c r="L158" s="55" t="b">
        <v>0</v>
      </c>
      <c r="M158" s="56"/>
      <c r="N158" s="57" t="b">
        <v>0</v>
      </c>
      <c r="O158" s="58"/>
      <c r="P158" s="59" t="b">
        <v>0</v>
      </c>
      <c r="Q158" s="129"/>
      <c r="R158" s="60"/>
      <c r="S158" s="47" t="b">
        <v>0</v>
      </c>
      <c r="T158" s="165"/>
      <c r="U158" s="54"/>
      <c r="V158" s="54">
        <f t="shared" si="3"/>
        <v>0</v>
      </c>
      <c r="W158" s="49"/>
      <c r="X158" s="49"/>
    </row>
    <row r="159" spans="1:26">
      <c r="A159" s="1"/>
      <c r="B159" s="1"/>
      <c r="C159" s="71"/>
      <c r="D159" s="53"/>
      <c r="E159" s="53"/>
      <c r="F159" s="66"/>
      <c r="G159" s="69"/>
      <c r="H159" s="69"/>
      <c r="I159" s="69"/>
      <c r="J159" s="70"/>
      <c r="K159" s="54">
        <f t="shared" si="1"/>
        <v>0</v>
      </c>
      <c r="L159" s="55" t="b">
        <v>0</v>
      </c>
      <c r="M159" s="56"/>
      <c r="N159" s="57" t="b">
        <v>0</v>
      </c>
      <c r="O159" s="58"/>
      <c r="P159" s="59" t="b">
        <v>0</v>
      </c>
      <c r="Q159" s="129"/>
      <c r="R159" s="60"/>
      <c r="S159" s="47" t="b">
        <v>0</v>
      </c>
      <c r="T159" s="165"/>
      <c r="U159" s="54"/>
      <c r="V159" s="54">
        <f t="shared" si="3"/>
        <v>0</v>
      </c>
      <c r="W159" s="49"/>
      <c r="X159" s="49"/>
    </row>
    <row r="160" spans="1:26">
      <c r="A160" s="1"/>
      <c r="B160" s="1"/>
      <c r="C160" s="71"/>
      <c r="D160" s="53"/>
      <c r="E160" s="53"/>
      <c r="F160" s="66"/>
      <c r="G160" s="69"/>
      <c r="H160" s="69"/>
      <c r="I160" s="69"/>
      <c r="J160" s="70"/>
      <c r="K160" s="54"/>
      <c r="L160" s="55"/>
      <c r="M160" s="56"/>
      <c r="N160" s="57"/>
      <c r="O160" s="58"/>
      <c r="P160" s="59"/>
      <c r="Q160" s="129"/>
      <c r="R160" s="60"/>
      <c r="S160" s="47"/>
      <c r="T160" s="61"/>
      <c r="U160" s="54"/>
      <c r="V160" s="54"/>
      <c r="W160" s="49"/>
      <c r="X160" s="49"/>
    </row>
    <row r="161" spans="1:24">
      <c r="A161" s="1"/>
      <c r="B161" s="1"/>
      <c r="C161" s="71"/>
      <c r="D161" s="53"/>
      <c r="E161" s="53"/>
      <c r="F161" s="66"/>
      <c r="G161" s="69"/>
      <c r="H161" s="69"/>
      <c r="I161" s="69"/>
      <c r="J161" s="70"/>
      <c r="K161" s="54"/>
      <c r="L161" s="55"/>
      <c r="M161" s="56"/>
      <c r="N161" s="57"/>
      <c r="O161" s="58"/>
      <c r="P161" s="59"/>
      <c r="Q161" s="129"/>
      <c r="R161" s="60"/>
      <c r="S161" s="47"/>
      <c r="T161" s="61"/>
      <c r="U161" s="54"/>
      <c r="V161" s="54"/>
      <c r="W161" s="49"/>
      <c r="X161" s="49"/>
    </row>
    <row r="162" spans="1:24">
      <c r="A162" s="1"/>
      <c r="B162" s="1"/>
      <c r="C162" s="71"/>
      <c r="D162" s="53"/>
      <c r="E162" s="53"/>
      <c r="F162" s="66"/>
      <c r="G162" s="69"/>
      <c r="H162" s="69"/>
      <c r="I162" s="69"/>
      <c r="J162" s="70"/>
      <c r="K162" s="54"/>
      <c r="L162" s="55"/>
      <c r="M162" s="56"/>
      <c r="N162" s="57"/>
      <c r="O162" s="58"/>
      <c r="P162" s="59"/>
      <c r="Q162" s="129"/>
      <c r="R162" s="60"/>
      <c r="S162" s="47"/>
      <c r="T162" s="61"/>
      <c r="U162" s="54"/>
      <c r="V162" s="54"/>
      <c r="W162" s="49"/>
      <c r="X162" s="49"/>
    </row>
    <row r="163" spans="1:24">
      <c r="A163" s="1"/>
      <c r="B163" s="1"/>
      <c r="C163" s="71"/>
      <c r="D163" s="53"/>
      <c r="E163" s="53"/>
      <c r="F163" s="66"/>
      <c r="G163" s="69"/>
      <c r="H163" s="69"/>
      <c r="I163" s="69"/>
      <c r="J163" s="70"/>
      <c r="K163" s="54"/>
      <c r="L163" s="55"/>
      <c r="M163" s="56"/>
      <c r="N163" s="57"/>
      <c r="O163" s="58"/>
      <c r="P163" s="59"/>
      <c r="Q163" s="129"/>
      <c r="R163" s="60"/>
      <c r="S163" s="47"/>
      <c r="T163" s="61"/>
      <c r="U163" s="54"/>
      <c r="V163" s="54"/>
      <c r="W163" s="49"/>
      <c r="X163" s="49"/>
    </row>
    <row r="164" spans="1:24">
      <c r="A164" s="1"/>
      <c r="B164" s="1"/>
      <c r="C164" s="71"/>
      <c r="D164" s="53"/>
      <c r="E164" s="53"/>
      <c r="F164" s="66"/>
      <c r="G164" s="69"/>
      <c r="H164" s="69"/>
      <c r="I164" s="69"/>
      <c r="J164" s="70"/>
      <c r="K164" s="54"/>
      <c r="L164" s="55"/>
      <c r="M164" s="56"/>
      <c r="N164" s="57"/>
      <c r="O164" s="58"/>
      <c r="P164" s="59"/>
      <c r="Q164" s="129"/>
      <c r="R164" s="60"/>
      <c r="S164" s="47"/>
      <c r="T164" s="61"/>
      <c r="U164" s="54"/>
      <c r="V164" s="54"/>
      <c r="W164" s="49"/>
      <c r="X164" s="49"/>
    </row>
    <row r="165" spans="1:24">
      <c r="A165" s="1"/>
      <c r="B165" s="1"/>
      <c r="C165" s="71"/>
      <c r="D165" s="53"/>
      <c r="E165" s="53"/>
      <c r="F165" s="66"/>
      <c r="G165" s="69"/>
      <c r="H165" s="69"/>
      <c r="I165" s="69"/>
      <c r="J165" s="70"/>
      <c r="K165" s="54"/>
      <c r="L165" s="55"/>
      <c r="M165" s="56"/>
      <c r="N165" s="57"/>
      <c r="O165" s="58"/>
      <c r="P165" s="59"/>
      <c r="Q165" s="129"/>
      <c r="R165" s="60"/>
      <c r="S165" s="47"/>
      <c r="T165" s="61"/>
      <c r="U165" s="54"/>
      <c r="V165" s="54"/>
      <c r="W165" s="49"/>
      <c r="X165" s="49"/>
    </row>
    <row r="166" spans="1:24">
      <c r="A166" s="1"/>
      <c r="B166" s="1"/>
      <c r="C166" s="1"/>
      <c r="D166" s="1"/>
      <c r="E166" s="1"/>
      <c r="F166" s="1"/>
      <c r="G166" s="18"/>
      <c r="H166" s="1"/>
      <c r="I166" s="69"/>
      <c r="J166" s="8"/>
      <c r="K166" s="8"/>
      <c r="L166" s="1"/>
      <c r="M166" s="1"/>
      <c r="N166" s="9"/>
      <c r="O166" s="10"/>
      <c r="P166" s="1"/>
      <c r="Q166" s="126"/>
      <c r="R166" s="1"/>
      <c r="S166" s="1"/>
      <c r="T166" s="1"/>
      <c r="U166" s="1"/>
    </row>
    <row r="167" spans="1:24">
      <c r="A167" s="1"/>
      <c r="B167" s="1"/>
      <c r="C167" s="1"/>
      <c r="D167" s="1"/>
      <c r="E167" s="1"/>
      <c r="F167" s="1"/>
      <c r="G167" s="18"/>
      <c r="H167" s="1"/>
      <c r="I167" s="1"/>
      <c r="J167" s="8"/>
      <c r="K167" s="8"/>
      <c r="L167" s="1"/>
      <c r="M167" s="1"/>
      <c r="N167" s="9"/>
      <c r="O167" s="10"/>
      <c r="P167" s="1"/>
      <c r="Q167" s="126"/>
      <c r="R167" s="1"/>
      <c r="S167" s="1"/>
      <c r="T167" s="1"/>
      <c r="U167" s="1"/>
    </row>
    <row r="176" spans="1:24">
      <c r="C176" s="194"/>
    </row>
  </sheetData>
  <mergeCells count="7">
    <mergeCell ref="U8:V8"/>
    <mergeCell ref="W8:X8"/>
    <mergeCell ref="A1:T1"/>
    <mergeCell ref="L8:M8"/>
    <mergeCell ref="N8:O8"/>
    <mergeCell ref="P8:Q8"/>
    <mergeCell ref="S8:T8"/>
  </mergeCells>
  <conditionalFormatting sqref="E2 E7:E8 B8:D8 F8 H8:I8 K8:W8">
    <cfRule type="notContainsBlanks" dxfId="17" priority="1">
      <formula>LEN(TRIM(E2))&gt;0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6"/>
  <sheetViews>
    <sheetView topLeftCell="A51" workbookViewId="0">
      <selection activeCell="C90" sqref="C90"/>
    </sheetView>
  </sheetViews>
  <sheetFormatPr baseColWidth="10" defaultColWidth="14.5" defaultRowHeight="15" customHeight="1"/>
  <cols>
    <col min="1" max="2" width="0.5" customWidth="1"/>
    <col min="3" max="3" width="13.5" customWidth="1"/>
    <col min="4" max="4" width="13.6640625" customWidth="1"/>
    <col min="5" max="5" width="13.83203125" customWidth="1"/>
    <col min="6" max="6" width="16.83203125" customWidth="1"/>
    <col min="7" max="7" width="62" customWidth="1"/>
    <col min="8" max="8" width="8.5" customWidth="1"/>
    <col min="9" max="9" width="5.5" customWidth="1"/>
    <col min="10" max="10" width="10.5" customWidth="1"/>
    <col min="11" max="11" width="11.6640625" customWidth="1"/>
    <col min="12" max="12" width="4.5" customWidth="1"/>
    <col min="13" max="13" width="12.5" customWidth="1"/>
    <col min="14" max="14" width="5.5" customWidth="1"/>
    <col min="15" max="15" width="4.5" customWidth="1"/>
    <col min="16" max="16" width="4.83203125" customWidth="1"/>
    <col min="17" max="17" width="28.83203125" customWidth="1"/>
    <col min="18" max="18" width="17.6640625" customWidth="1"/>
    <col min="19" max="19" width="6.1640625" customWidth="1"/>
    <col min="20" max="20" width="23.33203125" customWidth="1"/>
  </cols>
  <sheetData>
    <row r="1" spans="1:26" ht="86.25" customHeight="1">
      <c r="A1" s="535"/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28"/>
      <c r="U1" s="1"/>
    </row>
    <row r="2" spans="1:26" ht="16">
      <c r="A2" s="1"/>
      <c r="B2" s="3"/>
      <c r="C2" s="93" t="s">
        <v>1</v>
      </c>
      <c r="D2" s="14">
        <v>686000</v>
      </c>
      <c r="E2" s="6">
        <f>D3/D2</f>
        <v>0.82750145772594752</v>
      </c>
      <c r="F2" s="148">
        <v>45538</v>
      </c>
      <c r="G2" s="7">
        <v>45322</v>
      </c>
      <c r="H2" s="1"/>
      <c r="I2" s="1"/>
      <c r="J2" s="8"/>
      <c r="K2" s="8"/>
      <c r="L2" s="8"/>
      <c r="M2" s="8"/>
      <c r="N2" s="8"/>
      <c r="O2" s="8"/>
      <c r="P2" s="8"/>
      <c r="Q2" s="126"/>
      <c r="R2" s="1"/>
      <c r="S2" s="1"/>
      <c r="T2" s="195"/>
      <c r="U2" s="1"/>
    </row>
    <row r="3" spans="1:26" ht="16">
      <c r="A3" s="1"/>
      <c r="B3" s="11"/>
      <c r="C3" s="94" t="s">
        <v>2</v>
      </c>
      <c r="D3" s="14">
        <f>SUM(K10:K161)</f>
        <v>567666</v>
      </c>
      <c r="E3" s="14" t="s">
        <v>3</v>
      </c>
      <c r="F3" s="14" t="s">
        <v>3</v>
      </c>
      <c r="G3" s="7">
        <v>45323</v>
      </c>
      <c r="H3" s="1"/>
      <c r="I3" s="1"/>
      <c r="J3" s="8"/>
      <c r="K3" s="8"/>
      <c r="L3" s="1"/>
      <c r="M3" s="1"/>
      <c r="N3" s="9"/>
      <c r="O3" s="10"/>
      <c r="P3" s="1"/>
      <c r="Q3" s="126"/>
      <c r="R3" s="1"/>
      <c r="S3" s="1"/>
      <c r="T3" s="195"/>
      <c r="U3" s="1"/>
    </row>
    <row r="4" spans="1:26" ht="16">
      <c r="A4" s="1"/>
      <c r="B4" s="1"/>
      <c r="C4" s="177" t="s">
        <v>4</v>
      </c>
      <c r="D4" s="177">
        <f ca="1">(E5-TODAY())</f>
        <v>-461</v>
      </c>
      <c r="E4" s="178" t="s">
        <v>5</v>
      </c>
      <c r="F4" s="1"/>
      <c r="G4" s="7">
        <v>45324</v>
      </c>
      <c r="H4" s="1"/>
      <c r="I4" s="1"/>
      <c r="J4" s="8"/>
      <c r="K4" s="8"/>
      <c r="L4" s="1"/>
      <c r="M4" s="1"/>
      <c r="N4" s="9"/>
      <c r="O4" s="10"/>
      <c r="P4" s="1"/>
      <c r="Q4" s="126"/>
      <c r="R4" s="1"/>
      <c r="S4" s="1"/>
      <c r="T4" s="195"/>
      <c r="U4" s="1"/>
    </row>
    <row r="5" spans="1:26" ht="16">
      <c r="A5" s="1"/>
      <c r="B5" s="1"/>
      <c r="C5" s="179" t="s">
        <v>6</v>
      </c>
      <c r="D5" s="180">
        <f ca="1">TODAY()</f>
        <v>46026</v>
      </c>
      <c r="E5" s="181">
        <v>45565</v>
      </c>
      <c r="F5" s="1"/>
      <c r="G5" s="7">
        <v>45325</v>
      </c>
      <c r="H5" s="1"/>
      <c r="I5" s="1"/>
      <c r="J5" s="8"/>
      <c r="K5" s="8"/>
      <c r="L5" s="1"/>
      <c r="M5" s="1"/>
      <c r="N5" s="9"/>
      <c r="O5" s="10"/>
      <c r="P5" s="1"/>
      <c r="Q5" s="126"/>
      <c r="R5" s="1"/>
      <c r="S5" s="1"/>
      <c r="T5" s="195"/>
      <c r="U5" s="1"/>
    </row>
    <row r="6" spans="1:26" ht="22">
      <c r="A6" s="1"/>
      <c r="B6" s="22" t="s">
        <v>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  <c r="P6" s="23"/>
      <c r="Q6" s="127"/>
      <c r="R6" s="26"/>
      <c r="S6" s="26"/>
      <c r="T6" s="196"/>
      <c r="U6" s="1"/>
    </row>
    <row r="7" spans="1:26" ht="16">
      <c r="A7" s="1"/>
      <c r="B7" s="28"/>
      <c r="C7" s="169"/>
      <c r="D7" s="170"/>
      <c r="E7" s="31"/>
      <c r="F7" s="1"/>
      <c r="G7" s="18"/>
      <c r="H7" s="1"/>
      <c r="I7" s="1"/>
      <c r="J7" s="8"/>
      <c r="K7" s="8"/>
      <c r="L7" s="1"/>
      <c r="M7" s="1"/>
      <c r="N7" s="9"/>
      <c r="O7" s="10"/>
      <c r="P7" s="1"/>
      <c r="Q7" s="126"/>
      <c r="R7" s="1"/>
      <c r="S7" s="1"/>
      <c r="T7" s="195"/>
      <c r="U7" s="1"/>
    </row>
    <row r="8" spans="1:26">
      <c r="A8" s="1"/>
      <c r="B8" s="32"/>
      <c r="C8" s="31"/>
      <c r="D8" s="33"/>
      <c r="E8" s="31" t="s">
        <v>9</v>
      </c>
      <c r="F8" s="31"/>
      <c r="G8" s="18"/>
      <c r="H8" s="31"/>
      <c r="I8" s="31"/>
      <c r="J8" s="34"/>
      <c r="K8" s="31"/>
      <c r="L8" s="531" t="s">
        <v>10</v>
      </c>
      <c r="M8" s="528"/>
      <c r="N8" s="532" t="s">
        <v>11</v>
      </c>
      <c r="O8" s="528"/>
      <c r="P8" s="533" t="s">
        <v>12</v>
      </c>
      <c r="Q8" s="528"/>
      <c r="R8" s="35" t="s">
        <v>13</v>
      </c>
      <c r="S8" s="527" t="s">
        <v>14</v>
      </c>
      <c r="T8" s="528"/>
      <c r="U8" s="527" t="s">
        <v>15</v>
      </c>
      <c r="V8" s="528"/>
      <c r="W8" s="527" t="s">
        <v>16</v>
      </c>
      <c r="X8" s="528"/>
    </row>
    <row r="9" spans="1:26" ht="14.25" customHeight="1">
      <c r="A9" s="98"/>
      <c r="B9" s="99"/>
      <c r="C9" s="38" t="s">
        <v>18</v>
      </c>
      <c r="D9" s="38" t="s">
        <v>19</v>
      </c>
      <c r="E9" s="38" t="s">
        <v>20</v>
      </c>
      <c r="F9" s="38" t="s">
        <v>21</v>
      </c>
      <c r="G9" s="38" t="s">
        <v>2018</v>
      </c>
      <c r="H9" s="38" t="s">
        <v>22</v>
      </c>
      <c r="I9" s="38"/>
      <c r="J9" s="40"/>
      <c r="K9" s="41" t="s">
        <v>23</v>
      </c>
      <c r="L9" s="42"/>
      <c r="M9" s="43"/>
      <c r="N9" s="43"/>
      <c r="O9" s="44"/>
      <c r="P9" s="45"/>
      <c r="Q9" s="128"/>
      <c r="R9" s="165"/>
      <c r="S9" s="47"/>
      <c r="T9" s="61"/>
      <c r="U9" s="100" t="s">
        <v>24</v>
      </c>
      <c r="V9" s="100" t="s">
        <v>25</v>
      </c>
      <c r="W9" s="49"/>
      <c r="X9" s="49"/>
    </row>
    <row r="10" spans="1:26">
      <c r="A10" s="1"/>
      <c r="B10" s="32"/>
      <c r="C10" s="71" t="s">
        <v>2019</v>
      </c>
      <c r="D10" s="53" t="s">
        <v>104</v>
      </c>
      <c r="E10" s="53" t="s">
        <v>1689</v>
      </c>
      <c r="F10" s="66" t="s">
        <v>1021</v>
      </c>
      <c r="G10" s="69" t="s">
        <v>1690</v>
      </c>
      <c r="H10" s="69" t="s">
        <v>30</v>
      </c>
      <c r="I10" s="69">
        <v>1</v>
      </c>
      <c r="J10" s="70">
        <v>13675</v>
      </c>
      <c r="K10" s="54">
        <f t="shared" ref="K10:K19" si="0">I10*J10</f>
        <v>13675</v>
      </c>
      <c r="L10" s="55" t="b">
        <v>1</v>
      </c>
      <c r="M10" s="56">
        <v>170720241200</v>
      </c>
      <c r="N10" s="57" t="b">
        <v>1</v>
      </c>
      <c r="O10" s="58"/>
      <c r="P10" s="59" t="b">
        <v>1</v>
      </c>
      <c r="Q10" s="129"/>
      <c r="R10" s="165"/>
      <c r="S10" s="47" t="b">
        <v>1</v>
      </c>
      <c r="T10" s="165" t="s">
        <v>2020</v>
      </c>
      <c r="U10" s="54"/>
      <c r="V10" s="54"/>
      <c r="W10" s="49"/>
      <c r="X10" s="49"/>
    </row>
    <row r="11" spans="1:26">
      <c r="A11" s="1"/>
      <c r="B11" s="32"/>
      <c r="C11" s="82">
        <v>45536</v>
      </c>
      <c r="D11" s="53" t="s">
        <v>51</v>
      </c>
      <c r="E11" s="53" t="s">
        <v>52</v>
      </c>
      <c r="F11" s="53" t="s">
        <v>807</v>
      </c>
      <c r="G11" s="53" t="s">
        <v>2021</v>
      </c>
      <c r="H11" s="53" t="s">
        <v>30</v>
      </c>
      <c r="I11" s="53">
        <v>2</v>
      </c>
      <c r="J11" s="54">
        <v>17750</v>
      </c>
      <c r="K11" s="54">
        <f t="shared" si="0"/>
        <v>35500</v>
      </c>
      <c r="L11" s="55" t="b">
        <v>1</v>
      </c>
      <c r="M11" s="56">
        <v>220720241245</v>
      </c>
      <c r="N11" s="57" t="b">
        <v>1</v>
      </c>
      <c r="O11" s="58"/>
      <c r="P11" s="59" t="b">
        <v>1</v>
      </c>
      <c r="Q11" s="129" t="s">
        <v>2022</v>
      </c>
      <c r="R11" s="165"/>
      <c r="S11" s="47" t="b">
        <v>1</v>
      </c>
      <c r="T11" s="165" t="s">
        <v>2023</v>
      </c>
      <c r="U11" s="54"/>
      <c r="V11" s="54"/>
      <c r="W11" s="49"/>
      <c r="X11" s="49"/>
    </row>
    <row r="12" spans="1:26">
      <c r="A12" s="18"/>
      <c r="B12" s="163"/>
      <c r="C12" s="197">
        <v>45506</v>
      </c>
      <c r="D12" s="66" t="s">
        <v>51</v>
      </c>
      <c r="E12" s="66" t="s">
        <v>372</v>
      </c>
      <c r="F12" s="66" t="s">
        <v>373</v>
      </c>
      <c r="G12" s="66" t="s">
        <v>1952</v>
      </c>
      <c r="H12" s="66" t="s">
        <v>30</v>
      </c>
      <c r="I12" s="66">
        <v>10</v>
      </c>
      <c r="J12" s="75">
        <v>495</v>
      </c>
      <c r="K12" s="75">
        <f t="shared" si="0"/>
        <v>4950</v>
      </c>
      <c r="L12" s="55" t="b">
        <v>1</v>
      </c>
      <c r="M12" s="154">
        <v>20920240908</v>
      </c>
      <c r="N12" s="57" t="b">
        <v>1</v>
      </c>
      <c r="O12" s="58" t="s">
        <v>31</v>
      </c>
      <c r="P12" s="59" t="b">
        <v>1</v>
      </c>
      <c r="Q12" s="164"/>
      <c r="R12" s="165"/>
      <c r="S12" s="47" t="b">
        <v>1</v>
      </c>
      <c r="T12" s="165" t="s">
        <v>2024</v>
      </c>
      <c r="U12" s="75"/>
      <c r="V12" s="75"/>
      <c r="W12" s="166"/>
      <c r="X12" s="166"/>
      <c r="Y12" s="167"/>
      <c r="Z12" s="167"/>
    </row>
    <row r="13" spans="1:26">
      <c r="A13" s="18"/>
      <c r="B13" s="163"/>
      <c r="C13" s="197">
        <v>45537</v>
      </c>
      <c r="D13" s="66" t="s">
        <v>282</v>
      </c>
      <c r="E13" s="66" t="s">
        <v>282</v>
      </c>
      <c r="F13" s="66" t="s">
        <v>365</v>
      </c>
      <c r="G13" s="66" t="s">
        <v>2025</v>
      </c>
      <c r="H13" s="66" t="s">
        <v>30</v>
      </c>
      <c r="I13" s="66">
        <v>20</v>
      </c>
      <c r="J13" s="75">
        <v>90</v>
      </c>
      <c r="K13" s="75">
        <f t="shared" si="0"/>
        <v>1800</v>
      </c>
      <c r="L13" s="55" t="b">
        <v>1</v>
      </c>
      <c r="M13" s="154">
        <v>20920240910</v>
      </c>
      <c r="N13" s="57" t="b">
        <v>1</v>
      </c>
      <c r="O13" s="58" t="s">
        <v>31</v>
      </c>
      <c r="P13" s="59" t="b">
        <v>1</v>
      </c>
      <c r="Q13" s="164"/>
      <c r="R13" s="165"/>
      <c r="S13" s="47" t="b">
        <v>1</v>
      </c>
      <c r="T13" s="165" t="s">
        <v>2026</v>
      </c>
      <c r="U13" s="75"/>
      <c r="V13" s="75"/>
      <c r="W13" s="166"/>
      <c r="X13" s="166"/>
      <c r="Y13" s="167"/>
      <c r="Z13" s="167"/>
    </row>
    <row r="14" spans="1:26">
      <c r="A14" s="1"/>
      <c r="B14" s="32"/>
      <c r="C14" s="76">
        <v>45506</v>
      </c>
      <c r="D14" s="66" t="s">
        <v>51</v>
      </c>
      <c r="E14" s="66" t="s">
        <v>475</v>
      </c>
      <c r="F14" s="66" t="s">
        <v>168</v>
      </c>
      <c r="G14" s="66" t="s">
        <v>1952</v>
      </c>
      <c r="H14" s="66" t="s">
        <v>30</v>
      </c>
      <c r="I14" s="66">
        <v>10</v>
      </c>
      <c r="J14" s="75">
        <v>475</v>
      </c>
      <c r="K14" s="75">
        <f t="shared" si="0"/>
        <v>4750</v>
      </c>
      <c r="L14" s="55" t="b">
        <v>1</v>
      </c>
      <c r="M14" s="154">
        <v>20920240911</v>
      </c>
      <c r="N14" s="57" t="b">
        <v>1</v>
      </c>
      <c r="O14" s="58" t="s">
        <v>31</v>
      </c>
      <c r="P14" s="59" t="b">
        <v>1</v>
      </c>
      <c r="Q14" s="164"/>
      <c r="R14" s="165"/>
      <c r="S14" s="47" t="b">
        <v>1</v>
      </c>
      <c r="T14" s="165" t="s">
        <v>2027</v>
      </c>
      <c r="U14" s="54"/>
      <c r="V14" s="54"/>
      <c r="W14" s="49"/>
      <c r="X14" s="49"/>
    </row>
    <row r="15" spans="1:26">
      <c r="A15" s="1"/>
      <c r="B15" s="32"/>
      <c r="C15" s="82">
        <v>45537</v>
      </c>
      <c r="D15" s="53" t="s">
        <v>51</v>
      </c>
      <c r="E15" s="53" t="s">
        <v>475</v>
      </c>
      <c r="F15" s="53" t="s">
        <v>168</v>
      </c>
      <c r="G15" s="53" t="s">
        <v>2025</v>
      </c>
      <c r="H15" s="53" t="s">
        <v>30</v>
      </c>
      <c r="I15" s="53">
        <v>18</v>
      </c>
      <c r="J15" s="54">
        <v>90</v>
      </c>
      <c r="K15" s="54">
        <f t="shared" si="0"/>
        <v>1620</v>
      </c>
      <c r="L15" s="55" t="b">
        <v>1</v>
      </c>
      <c r="M15" s="56">
        <v>20920240912</v>
      </c>
      <c r="N15" s="57" t="b">
        <v>1</v>
      </c>
      <c r="O15" s="58" t="s">
        <v>31</v>
      </c>
      <c r="P15" s="59" t="b">
        <v>1</v>
      </c>
      <c r="Q15" s="129"/>
      <c r="R15" s="165"/>
      <c r="S15" s="47" t="b">
        <v>1</v>
      </c>
      <c r="T15" s="165" t="s">
        <v>2028</v>
      </c>
      <c r="U15" s="54"/>
      <c r="V15" s="54"/>
      <c r="W15" s="49"/>
      <c r="X15" s="49"/>
    </row>
    <row r="16" spans="1:26">
      <c r="A16" s="18"/>
      <c r="B16" s="163"/>
      <c r="C16" s="197">
        <v>45537</v>
      </c>
      <c r="D16" s="66" t="s">
        <v>104</v>
      </c>
      <c r="E16" s="66" t="s">
        <v>61</v>
      </c>
      <c r="F16" s="66" t="s">
        <v>1997</v>
      </c>
      <c r="G16" s="67" t="s">
        <v>2029</v>
      </c>
      <c r="H16" s="67" t="s">
        <v>30</v>
      </c>
      <c r="I16" s="67">
        <v>4</v>
      </c>
      <c r="J16" s="68">
        <v>300</v>
      </c>
      <c r="K16" s="75">
        <f t="shared" si="0"/>
        <v>1200</v>
      </c>
      <c r="L16" s="55" t="b">
        <v>1</v>
      </c>
      <c r="M16" s="154">
        <v>20920240929</v>
      </c>
      <c r="N16" s="57" t="b">
        <v>1</v>
      </c>
      <c r="O16" s="58" t="s">
        <v>31</v>
      </c>
      <c r="P16" s="59" t="b">
        <v>1</v>
      </c>
      <c r="Q16" s="164"/>
      <c r="R16" s="165" t="s">
        <v>2030</v>
      </c>
      <c r="S16" s="47" t="b">
        <v>1</v>
      </c>
      <c r="T16" s="165" t="s">
        <v>2031</v>
      </c>
      <c r="U16" s="75"/>
      <c r="V16" s="75"/>
      <c r="W16" s="166"/>
      <c r="X16" s="166"/>
      <c r="Y16" s="167"/>
      <c r="Z16" s="167"/>
    </row>
    <row r="17" spans="1:26">
      <c r="A17" s="18"/>
      <c r="B17" s="163"/>
      <c r="C17" s="76">
        <v>45537</v>
      </c>
      <c r="D17" s="66" t="s">
        <v>104</v>
      </c>
      <c r="E17" s="66" t="s">
        <v>342</v>
      </c>
      <c r="F17" s="66" t="s">
        <v>2032</v>
      </c>
      <c r="G17" s="66" t="s">
        <v>2033</v>
      </c>
      <c r="H17" s="67" t="s">
        <v>30</v>
      </c>
      <c r="I17" s="67">
        <v>1</v>
      </c>
      <c r="J17" s="68">
        <v>105</v>
      </c>
      <c r="K17" s="75">
        <f t="shared" si="0"/>
        <v>105</v>
      </c>
      <c r="L17" s="55" t="b">
        <v>1</v>
      </c>
      <c r="M17" s="154">
        <v>20920241054</v>
      </c>
      <c r="N17" s="57" t="b">
        <v>1</v>
      </c>
      <c r="O17" s="58"/>
      <c r="P17" s="59" t="b">
        <v>1</v>
      </c>
      <c r="Q17" s="164"/>
      <c r="R17" s="165"/>
      <c r="S17" s="47" t="b">
        <v>1</v>
      </c>
      <c r="T17" s="165" t="s">
        <v>2034</v>
      </c>
      <c r="U17" s="75"/>
      <c r="V17" s="75"/>
      <c r="W17" s="166"/>
      <c r="X17" s="166"/>
      <c r="Y17" s="167"/>
      <c r="Z17" s="167"/>
    </row>
    <row r="18" spans="1:26">
      <c r="A18" s="1"/>
      <c r="B18" s="32"/>
      <c r="C18" s="82">
        <v>45537</v>
      </c>
      <c r="D18" s="66" t="s">
        <v>55</v>
      </c>
      <c r="E18" s="67">
        <v>41</v>
      </c>
      <c r="F18" s="67" t="s">
        <v>1552</v>
      </c>
      <c r="G18" s="67" t="s">
        <v>183</v>
      </c>
      <c r="H18" s="69" t="s">
        <v>30</v>
      </c>
      <c r="I18" s="69">
        <v>6</v>
      </c>
      <c r="J18" s="70">
        <v>150</v>
      </c>
      <c r="K18" s="54">
        <f t="shared" si="0"/>
        <v>900</v>
      </c>
      <c r="L18" s="55" t="b">
        <v>1</v>
      </c>
      <c r="M18" s="56">
        <v>20920241645</v>
      </c>
      <c r="N18" s="57" t="b">
        <v>1</v>
      </c>
      <c r="O18" s="58"/>
      <c r="P18" s="59" t="b">
        <v>1</v>
      </c>
      <c r="Q18" s="129"/>
      <c r="R18" s="165"/>
      <c r="S18" s="47" t="b">
        <v>1</v>
      </c>
      <c r="T18" s="165" t="s">
        <v>2035</v>
      </c>
      <c r="U18" s="54"/>
      <c r="V18" s="54"/>
      <c r="W18" s="49"/>
      <c r="X18" s="49"/>
    </row>
    <row r="19" spans="1:26">
      <c r="A19" s="18"/>
      <c r="B19" s="163"/>
      <c r="C19" s="197">
        <v>45538</v>
      </c>
      <c r="D19" s="66" t="s">
        <v>51</v>
      </c>
      <c r="E19" s="67" t="s">
        <v>201</v>
      </c>
      <c r="F19" s="66" t="s">
        <v>202</v>
      </c>
      <c r="G19" s="66" t="s">
        <v>785</v>
      </c>
      <c r="H19" s="66" t="s">
        <v>30</v>
      </c>
      <c r="I19" s="66">
        <v>1</v>
      </c>
      <c r="J19" s="75">
        <v>2750</v>
      </c>
      <c r="K19" s="75">
        <f t="shared" si="0"/>
        <v>2750</v>
      </c>
      <c r="L19" s="55" t="b">
        <v>1</v>
      </c>
      <c r="M19" s="154">
        <v>30920240917</v>
      </c>
      <c r="N19" s="57" t="b">
        <v>1</v>
      </c>
      <c r="O19" s="58"/>
      <c r="P19" s="59" t="b">
        <v>1</v>
      </c>
      <c r="Q19" s="164"/>
      <c r="R19" s="165"/>
      <c r="S19" s="47" t="b">
        <v>1</v>
      </c>
      <c r="T19" s="165" t="s">
        <v>2036</v>
      </c>
      <c r="U19" s="75"/>
      <c r="V19" s="75"/>
      <c r="W19" s="166"/>
      <c r="X19" s="166"/>
      <c r="Y19" s="167"/>
      <c r="Z19" s="167"/>
    </row>
    <row r="20" spans="1:26">
      <c r="A20" s="18"/>
      <c r="B20" s="163"/>
      <c r="C20" s="197">
        <v>45538</v>
      </c>
      <c r="D20" s="66" t="s">
        <v>51</v>
      </c>
      <c r="E20" s="67" t="s">
        <v>201</v>
      </c>
      <c r="F20" s="66" t="s">
        <v>202</v>
      </c>
      <c r="G20" s="66" t="s">
        <v>787</v>
      </c>
      <c r="H20" s="66" t="s">
        <v>30</v>
      </c>
      <c r="I20" s="66">
        <v>1</v>
      </c>
      <c r="J20" s="75">
        <v>3400</v>
      </c>
      <c r="K20" s="75">
        <v>3400</v>
      </c>
      <c r="L20" s="55" t="b">
        <v>1</v>
      </c>
      <c r="M20" s="154">
        <v>30920240917</v>
      </c>
      <c r="N20" s="57" t="b">
        <v>1</v>
      </c>
      <c r="O20" s="58"/>
      <c r="P20" s="59" t="b">
        <v>1</v>
      </c>
      <c r="Q20" s="164"/>
      <c r="R20" s="165"/>
      <c r="S20" s="47" t="b">
        <v>1</v>
      </c>
      <c r="T20" s="165" t="s">
        <v>2036</v>
      </c>
      <c r="U20" s="75"/>
      <c r="V20" s="75"/>
      <c r="W20" s="166"/>
      <c r="X20" s="166"/>
      <c r="Y20" s="167"/>
      <c r="Z20" s="167"/>
    </row>
    <row r="21" spans="1:26">
      <c r="A21" s="198"/>
      <c r="B21" s="198"/>
      <c r="C21" s="82">
        <v>45538</v>
      </c>
      <c r="D21" s="53" t="s">
        <v>463</v>
      </c>
      <c r="E21" s="53" t="s">
        <v>463</v>
      </c>
      <c r="F21" s="53" t="s">
        <v>2037</v>
      </c>
      <c r="G21" s="74" t="s">
        <v>542</v>
      </c>
      <c r="H21" s="74" t="s">
        <v>30</v>
      </c>
      <c r="I21" s="74">
        <v>6</v>
      </c>
      <c r="J21" s="73">
        <v>1390</v>
      </c>
      <c r="K21" s="54">
        <f t="shared" ref="K21:K25" si="1">I21*J21</f>
        <v>8340</v>
      </c>
      <c r="L21" s="189" t="b">
        <v>1</v>
      </c>
      <c r="M21" s="56">
        <v>30920241158</v>
      </c>
      <c r="N21" s="60" t="b">
        <v>1</v>
      </c>
      <c r="O21" s="190"/>
      <c r="P21" s="191" t="b">
        <v>1</v>
      </c>
      <c r="Q21" s="199"/>
      <c r="R21" s="165" t="s">
        <v>2038</v>
      </c>
      <c r="S21" s="150" t="b">
        <v>1</v>
      </c>
      <c r="T21" s="165" t="s">
        <v>2039</v>
      </c>
      <c r="U21" s="200"/>
      <c r="V21" s="200"/>
      <c r="W21" s="199"/>
      <c r="X21" s="199"/>
      <c r="Y21" s="198"/>
      <c r="Z21" s="198"/>
    </row>
    <row r="22" spans="1:26">
      <c r="A22" s="198"/>
      <c r="B22" s="198"/>
      <c r="C22" s="82">
        <v>45538</v>
      </c>
      <c r="D22" s="53" t="s">
        <v>463</v>
      </c>
      <c r="E22" s="53" t="s">
        <v>463</v>
      </c>
      <c r="F22" s="53" t="s">
        <v>2037</v>
      </c>
      <c r="G22" s="74" t="s">
        <v>542</v>
      </c>
      <c r="H22" s="74" t="s">
        <v>30</v>
      </c>
      <c r="I22" s="74">
        <v>2</v>
      </c>
      <c r="J22" s="73">
        <v>1390</v>
      </c>
      <c r="K22" s="54">
        <f t="shared" si="1"/>
        <v>2780</v>
      </c>
      <c r="L22" s="189" t="b">
        <v>1</v>
      </c>
      <c r="M22" s="56">
        <v>30920241158</v>
      </c>
      <c r="N22" s="60" t="b">
        <v>1</v>
      </c>
      <c r="O22" s="190"/>
      <c r="P22" s="191" t="b">
        <v>1</v>
      </c>
      <c r="Q22" s="199"/>
      <c r="R22" s="165"/>
      <c r="S22" s="150" t="b">
        <v>1</v>
      </c>
      <c r="T22" s="165" t="s">
        <v>2040</v>
      </c>
      <c r="U22" s="200"/>
      <c r="V22" s="200"/>
      <c r="W22" s="199"/>
      <c r="X22" s="199"/>
      <c r="Y22" s="198"/>
      <c r="Z22" s="198"/>
    </row>
    <row r="23" spans="1:26">
      <c r="A23" s="198"/>
      <c r="B23" s="198"/>
      <c r="C23" s="82">
        <v>45538</v>
      </c>
      <c r="D23" s="53" t="s">
        <v>51</v>
      </c>
      <c r="E23" s="74" t="s">
        <v>475</v>
      </c>
      <c r="F23" s="74" t="s">
        <v>168</v>
      </c>
      <c r="G23" s="53" t="s">
        <v>321</v>
      </c>
      <c r="H23" s="53" t="s">
        <v>30</v>
      </c>
      <c r="I23" s="53">
        <v>84</v>
      </c>
      <c r="J23" s="54">
        <v>35</v>
      </c>
      <c r="K23" s="54">
        <f t="shared" si="1"/>
        <v>2940</v>
      </c>
      <c r="L23" s="189" t="b">
        <v>1</v>
      </c>
      <c r="M23" s="56">
        <v>30920241201</v>
      </c>
      <c r="N23" s="60" t="b">
        <v>1</v>
      </c>
      <c r="O23" s="58" t="s">
        <v>31</v>
      </c>
      <c r="P23" s="191" t="b">
        <v>1</v>
      </c>
      <c r="Q23" s="199"/>
      <c r="R23" s="165"/>
      <c r="S23" s="150" t="b">
        <v>1</v>
      </c>
      <c r="T23" s="165" t="s">
        <v>2041</v>
      </c>
      <c r="U23" s="200"/>
      <c r="V23" s="200"/>
      <c r="W23" s="199"/>
      <c r="X23" s="199"/>
      <c r="Y23" s="198"/>
      <c r="Z23" s="198"/>
    </row>
    <row r="24" spans="1:26">
      <c r="A24" s="18"/>
      <c r="B24" s="163"/>
      <c r="C24" s="197">
        <v>45539</v>
      </c>
      <c r="D24" s="66" t="s">
        <v>345</v>
      </c>
      <c r="E24" s="67" t="s">
        <v>342</v>
      </c>
      <c r="F24" s="67" t="s">
        <v>343</v>
      </c>
      <c r="G24" s="69" t="s">
        <v>300</v>
      </c>
      <c r="H24" s="66" t="s">
        <v>30</v>
      </c>
      <c r="I24" s="66">
        <v>10</v>
      </c>
      <c r="J24" s="75">
        <v>105</v>
      </c>
      <c r="K24" s="75">
        <f t="shared" si="1"/>
        <v>1050</v>
      </c>
      <c r="L24" s="55" t="b">
        <v>1</v>
      </c>
      <c r="M24" s="154">
        <v>40920241835</v>
      </c>
      <c r="N24" s="57" t="b">
        <v>1</v>
      </c>
      <c r="O24" s="58" t="s">
        <v>31</v>
      </c>
      <c r="P24" s="59" t="b">
        <v>1</v>
      </c>
      <c r="Q24" s="164"/>
      <c r="R24" s="165"/>
      <c r="S24" s="150" t="b">
        <v>1</v>
      </c>
      <c r="T24" s="165" t="s">
        <v>2042</v>
      </c>
      <c r="U24" s="75"/>
      <c r="V24" s="75"/>
      <c r="W24" s="166"/>
      <c r="X24" s="166"/>
      <c r="Y24" s="167"/>
      <c r="Z24" s="167"/>
    </row>
    <row r="25" spans="1:26">
      <c r="A25" s="18"/>
      <c r="B25" s="163"/>
      <c r="C25" s="197">
        <v>45540</v>
      </c>
      <c r="D25" s="66" t="s">
        <v>104</v>
      </c>
      <c r="E25" s="67" t="s">
        <v>736</v>
      </c>
      <c r="F25" s="67" t="s">
        <v>2043</v>
      </c>
      <c r="G25" s="159" t="s">
        <v>101</v>
      </c>
      <c r="H25" s="66" t="s">
        <v>30</v>
      </c>
      <c r="I25" s="66">
        <v>50</v>
      </c>
      <c r="J25" s="75">
        <v>775</v>
      </c>
      <c r="K25" s="75">
        <f t="shared" si="1"/>
        <v>38750</v>
      </c>
      <c r="L25" s="55" t="b">
        <v>1</v>
      </c>
      <c r="M25" s="154">
        <v>50920241248</v>
      </c>
      <c r="N25" s="57" t="b">
        <v>1</v>
      </c>
      <c r="O25" s="58" t="s">
        <v>351</v>
      </c>
      <c r="P25" s="59" t="b">
        <v>1</v>
      </c>
      <c r="Q25" s="164"/>
      <c r="R25" s="167"/>
      <c r="S25" s="47" t="b">
        <v>1</v>
      </c>
      <c r="T25" s="165" t="s">
        <v>2044</v>
      </c>
      <c r="U25" s="75"/>
      <c r="V25" s="75"/>
      <c r="W25" s="166"/>
      <c r="X25" s="166"/>
      <c r="Y25" s="167"/>
      <c r="Z25" s="167"/>
    </row>
    <row r="26" spans="1:26">
      <c r="A26" s="18"/>
      <c r="B26" s="163"/>
      <c r="C26" s="197">
        <v>45540</v>
      </c>
      <c r="D26" s="66" t="s">
        <v>104</v>
      </c>
      <c r="E26" s="67" t="s">
        <v>736</v>
      </c>
      <c r="F26" s="67" t="s">
        <v>2043</v>
      </c>
      <c r="G26" s="159" t="s">
        <v>72</v>
      </c>
      <c r="H26" s="66" t="s">
        <v>30</v>
      </c>
      <c r="I26" s="66">
        <v>1</v>
      </c>
      <c r="J26" s="75">
        <v>1950</v>
      </c>
      <c r="K26" s="75">
        <v>1950</v>
      </c>
      <c r="L26" s="55" t="b">
        <v>1</v>
      </c>
      <c r="M26" s="154"/>
      <c r="N26" s="57" t="b">
        <v>1</v>
      </c>
      <c r="O26" s="58"/>
      <c r="P26" s="59" t="b">
        <v>1</v>
      </c>
      <c r="Q26" s="164"/>
      <c r="R26" s="167"/>
      <c r="S26" s="47" t="b">
        <v>1</v>
      </c>
      <c r="T26" s="165" t="s">
        <v>2045</v>
      </c>
      <c r="U26" s="75"/>
      <c r="V26" s="75"/>
      <c r="W26" s="166"/>
      <c r="X26" s="166"/>
      <c r="Y26" s="167"/>
      <c r="Z26" s="167"/>
    </row>
    <row r="27" spans="1:26">
      <c r="A27" s="18"/>
      <c r="B27" s="163"/>
      <c r="C27" s="197">
        <v>45540</v>
      </c>
      <c r="D27" s="66" t="s">
        <v>104</v>
      </c>
      <c r="E27" s="66" t="s">
        <v>739</v>
      </c>
      <c r="F27" s="66" t="s">
        <v>740</v>
      </c>
      <c r="G27" s="159" t="s">
        <v>101</v>
      </c>
      <c r="H27" s="66" t="s">
        <v>30</v>
      </c>
      <c r="I27" s="66">
        <v>15</v>
      </c>
      <c r="J27" s="75">
        <v>850</v>
      </c>
      <c r="K27" s="75">
        <f>I27*J27</f>
        <v>12750</v>
      </c>
      <c r="L27" s="55" t="b">
        <v>1</v>
      </c>
      <c r="M27" s="154">
        <v>50920241312</v>
      </c>
      <c r="N27" s="57" t="b">
        <v>1</v>
      </c>
      <c r="O27" s="58" t="s">
        <v>351</v>
      </c>
      <c r="P27" s="59" t="b">
        <v>1</v>
      </c>
      <c r="Q27" s="164"/>
      <c r="R27" s="165"/>
      <c r="S27" s="47" t="b">
        <v>1</v>
      </c>
      <c r="T27" s="165" t="s">
        <v>2046</v>
      </c>
      <c r="U27" s="75"/>
      <c r="V27" s="165"/>
      <c r="W27" s="166"/>
      <c r="X27" s="166"/>
      <c r="Y27" s="167"/>
      <c r="Z27" s="167"/>
    </row>
    <row r="28" spans="1:26">
      <c r="A28" s="18"/>
      <c r="B28" s="163"/>
      <c r="C28" s="197">
        <v>45540</v>
      </c>
      <c r="D28" s="66" t="s">
        <v>104</v>
      </c>
      <c r="E28" s="66" t="s">
        <v>739</v>
      </c>
      <c r="F28" s="66" t="s">
        <v>740</v>
      </c>
      <c r="G28" s="159" t="s">
        <v>72</v>
      </c>
      <c r="H28" s="66" t="s">
        <v>30</v>
      </c>
      <c r="I28" s="66">
        <v>1</v>
      </c>
      <c r="J28" s="75">
        <v>1050</v>
      </c>
      <c r="K28" s="75">
        <v>1050</v>
      </c>
      <c r="L28" s="55" t="b">
        <v>1</v>
      </c>
      <c r="M28" s="154"/>
      <c r="N28" s="57" t="b">
        <v>1</v>
      </c>
      <c r="O28" s="58"/>
      <c r="P28" s="59" t="b">
        <v>1</v>
      </c>
      <c r="Q28" s="164"/>
      <c r="R28" s="165"/>
      <c r="S28" s="47" t="b">
        <v>1</v>
      </c>
      <c r="T28" s="165" t="s">
        <v>2046</v>
      </c>
      <c r="U28" s="75"/>
      <c r="V28" s="165"/>
      <c r="W28" s="166"/>
      <c r="X28" s="166"/>
      <c r="Y28" s="167"/>
      <c r="Z28" s="167"/>
    </row>
    <row r="29" spans="1:26">
      <c r="A29" s="18"/>
      <c r="B29" s="163"/>
      <c r="C29" s="132" t="s">
        <v>2047</v>
      </c>
      <c r="D29" s="66" t="s">
        <v>523</v>
      </c>
      <c r="E29" s="66" t="s">
        <v>523</v>
      </c>
      <c r="F29" s="66" t="s">
        <v>2048</v>
      </c>
      <c r="G29" s="66" t="s">
        <v>2049</v>
      </c>
      <c r="H29" s="66" t="s">
        <v>30</v>
      </c>
      <c r="I29" s="66">
        <v>60</v>
      </c>
      <c r="J29" s="75">
        <v>17.5</v>
      </c>
      <c r="K29" s="75">
        <f t="shared" ref="K29:K81" si="2">I29*J29</f>
        <v>1050</v>
      </c>
      <c r="L29" s="55" t="b">
        <v>1</v>
      </c>
      <c r="M29" s="154">
        <v>50920241619</v>
      </c>
      <c r="N29" s="57" t="b">
        <v>1</v>
      </c>
      <c r="O29" s="58" t="s">
        <v>31</v>
      </c>
      <c r="P29" s="59" t="b">
        <v>1</v>
      </c>
      <c r="Q29" s="164"/>
      <c r="R29" s="165"/>
      <c r="S29" s="47" t="b">
        <v>1</v>
      </c>
      <c r="T29" s="165" t="s">
        <v>2050</v>
      </c>
      <c r="U29" s="75"/>
      <c r="V29" s="75"/>
      <c r="W29" s="166"/>
      <c r="X29" s="166"/>
      <c r="Y29" s="167"/>
      <c r="Z29" s="167"/>
    </row>
    <row r="30" spans="1:26">
      <c r="A30" s="1"/>
      <c r="B30" s="32"/>
      <c r="C30" s="71" t="s">
        <v>2047</v>
      </c>
      <c r="D30" s="53" t="s">
        <v>51</v>
      </c>
      <c r="E30" s="53" t="s">
        <v>66</v>
      </c>
      <c r="F30" s="53" t="s">
        <v>2051</v>
      </c>
      <c r="G30" s="53" t="s">
        <v>2052</v>
      </c>
      <c r="H30" s="53" t="s">
        <v>30</v>
      </c>
      <c r="I30" s="53">
        <v>1</v>
      </c>
      <c r="J30" s="54">
        <v>5250</v>
      </c>
      <c r="K30" s="75">
        <f t="shared" si="2"/>
        <v>5250</v>
      </c>
      <c r="L30" s="55" t="b">
        <v>1</v>
      </c>
      <c r="M30" s="154">
        <v>50920241653</v>
      </c>
      <c r="N30" s="57" t="b">
        <v>1</v>
      </c>
      <c r="O30" s="58"/>
      <c r="P30" s="59" t="b">
        <v>1</v>
      </c>
      <c r="Q30" s="129" t="s">
        <v>2053</v>
      </c>
      <c r="R30" s="60"/>
      <c r="S30" s="150" t="b">
        <v>1</v>
      </c>
      <c r="T30" s="165" t="s">
        <v>2054</v>
      </c>
      <c r="U30" s="54"/>
      <c r="V30" s="54"/>
      <c r="W30" s="49"/>
      <c r="X30" s="49"/>
    </row>
    <row r="31" spans="1:26">
      <c r="A31" s="1"/>
      <c r="B31" s="32"/>
      <c r="C31" s="71" t="s">
        <v>2047</v>
      </c>
      <c r="D31" s="53" t="s">
        <v>144</v>
      </c>
      <c r="E31" s="53" t="s">
        <v>2055</v>
      </c>
      <c r="F31" s="53" t="s">
        <v>2056</v>
      </c>
      <c r="G31" s="53" t="s">
        <v>442</v>
      </c>
      <c r="H31" s="53" t="s">
        <v>30</v>
      </c>
      <c r="I31" s="53">
        <v>24</v>
      </c>
      <c r="J31" s="54">
        <v>55</v>
      </c>
      <c r="K31" s="75">
        <f t="shared" si="2"/>
        <v>1320</v>
      </c>
      <c r="L31" s="55" t="b">
        <v>1</v>
      </c>
      <c r="M31" s="154">
        <v>50920241937</v>
      </c>
      <c r="N31" s="57" t="b">
        <v>1</v>
      </c>
      <c r="O31" s="58"/>
      <c r="P31" s="59" t="b">
        <v>1</v>
      </c>
      <c r="Q31" s="129"/>
      <c r="R31" s="60"/>
      <c r="S31" s="150" t="b">
        <v>1</v>
      </c>
      <c r="T31" s="165" t="s">
        <v>2057</v>
      </c>
      <c r="U31" s="54"/>
      <c r="V31" s="54"/>
      <c r="W31" s="49"/>
      <c r="X31" s="49"/>
    </row>
    <row r="32" spans="1:26" ht="15.75" customHeight="1">
      <c r="A32" s="18"/>
      <c r="B32" s="163"/>
      <c r="C32" s="132" t="s">
        <v>2047</v>
      </c>
      <c r="D32" s="66" t="s">
        <v>51</v>
      </c>
      <c r="E32" s="66" t="s">
        <v>335</v>
      </c>
      <c r="F32" s="66" t="s">
        <v>457</v>
      </c>
      <c r="G32" s="66" t="s">
        <v>147</v>
      </c>
      <c r="H32" s="66" t="s">
        <v>30</v>
      </c>
      <c r="I32" s="66">
        <v>2</v>
      </c>
      <c r="J32" s="75">
        <v>800</v>
      </c>
      <c r="K32" s="75">
        <f t="shared" si="2"/>
        <v>1600</v>
      </c>
      <c r="L32" s="55" t="b">
        <v>1</v>
      </c>
      <c r="M32" s="154">
        <v>50920241937</v>
      </c>
      <c r="N32" s="57" t="b">
        <v>1</v>
      </c>
      <c r="O32" s="58"/>
      <c r="P32" s="59" t="b">
        <v>1</v>
      </c>
      <c r="Q32" s="164"/>
      <c r="R32" s="57"/>
      <c r="S32" s="47" t="b">
        <v>1</v>
      </c>
      <c r="T32" s="165" t="s">
        <v>2058</v>
      </c>
      <c r="U32" s="75"/>
      <c r="V32" s="75"/>
      <c r="W32" s="166"/>
      <c r="X32" s="166"/>
      <c r="Y32" s="167"/>
      <c r="Z32" s="167"/>
    </row>
    <row r="33" spans="1:26">
      <c r="A33" s="18"/>
      <c r="B33" s="163"/>
      <c r="C33" s="132" t="s">
        <v>2047</v>
      </c>
      <c r="D33" s="66" t="s">
        <v>51</v>
      </c>
      <c r="E33" s="66" t="s">
        <v>335</v>
      </c>
      <c r="F33" s="66" t="s">
        <v>457</v>
      </c>
      <c r="G33" s="159" t="s">
        <v>877</v>
      </c>
      <c r="H33" s="159" t="s">
        <v>30</v>
      </c>
      <c r="I33" s="66">
        <v>2</v>
      </c>
      <c r="J33" s="160">
        <v>875</v>
      </c>
      <c r="K33" s="75">
        <f t="shared" si="2"/>
        <v>1750</v>
      </c>
      <c r="L33" s="55" t="b">
        <v>1</v>
      </c>
      <c r="M33" s="154">
        <v>50920241937</v>
      </c>
      <c r="N33" s="57" t="b">
        <v>1</v>
      </c>
      <c r="O33" s="58"/>
      <c r="P33" s="59" t="b">
        <v>1</v>
      </c>
      <c r="Q33" s="164"/>
      <c r="R33" s="57"/>
      <c r="S33" s="47" t="b">
        <v>1</v>
      </c>
      <c r="T33" s="165" t="s">
        <v>2058</v>
      </c>
      <c r="U33" s="75"/>
      <c r="V33" s="75"/>
      <c r="W33" s="166"/>
      <c r="X33" s="166"/>
      <c r="Y33" s="167"/>
      <c r="Z33" s="167"/>
    </row>
    <row r="34" spans="1:26">
      <c r="A34" s="18"/>
      <c r="B34" s="163"/>
      <c r="C34" s="132" t="s">
        <v>2047</v>
      </c>
      <c r="D34" s="66" t="s">
        <v>51</v>
      </c>
      <c r="E34" s="66" t="s">
        <v>52</v>
      </c>
      <c r="F34" s="66" t="s">
        <v>1710</v>
      </c>
      <c r="G34" s="69" t="s">
        <v>677</v>
      </c>
      <c r="H34" s="159" t="s">
        <v>30</v>
      </c>
      <c r="I34" s="66">
        <v>16</v>
      </c>
      <c r="J34" s="70">
        <v>105</v>
      </c>
      <c r="K34" s="75">
        <f t="shared" si="2"/>
        <v>1680</v>
      </c>
      <c r="L34" s="55" t="b">
        <v>1</v>
      </c>
      <c r="M34" s="154">
        <v>50920241937</v>
      </c>
      <c r="N34" s="57" t="b">
        <v>1</v>
      </c>
      <c r="O34" s="58"/>
      <c r="P34" s="59" t="b">
        <v>1</v>
      </c>
      <c r="Q34" s="164"/>
      <c r="R34" s="57"/>
      <c r="S34" s="47" t="b">
        <v>1</v>
      </c>
      <c r="T34" s="165" t="s">
        <v>2059</v>
      </c>
      <c r="U34" s="75"/>
      <c r="V34" s="75"/>
      <c r="W34" s="166"/>
      <c r="X34" s="166"/>
      <c r="Y34" s="167"/>
      <c r="Z34" s="167"/>
    </row>
    <row r="35" spans="1:26">
      <c r="A35" s="18"/>
      <c r="B35" s="163"/>
      <c r="C35" s="132" t="s">
        <v>2047</v>
      </c>
      <c r="D35" s="66" t="s">
        <v>51</v>
      </c>
      <c r="E35" s="66" t="s">
        <v>52</v>
      </c>
      <c r="F35" s="66" t="s">
        <v>1710</v>
      </c>
      <c r="G35" s="69" t="s">
        <v>2060</v>
      </c>
      <c r="H35" s="69" t="s">
        <v>30</v>
      </c>
      <c r="I35" s="66">
        <v>10</v>
      </c>
      <c r="J35" s="70">
        <v>115</v>
      </c>
      <c r="K35" s="75">
        <f t="shared" si="2"/>
        <v>1150</v>
      </c>
      <c r="L35" s="55" t="b">
        <v>1</v>
      </c>
      <c r="M35" s="154">
        <v>50920241937</v>
      </c>
      <c r="N35" s="57" t="b">
        <v>1</v>
      </c>
      <c r="O35" s="58" t="s">
        <v>31</v>
      </c>
      <c r="P35" s="59" t="b">
        <v>1</v>
      </c>
      <c r="Q35" s="164" t="s">
        <v>2061</v>
      </c>
      <c r="R35" s="57"/>
      <c r="S35" s="47" t="b">
        <v>1</v>
      </c>
      <c r="T35" s="165" t="s">
        <v>2062</v>
      </c>
      <c r="U35" s="75"/>
      <c r="V35" s="75"/>
      <c r="W35" s="166"/>
      <c r="X35" s="166"/>
      <c r="Y35" s="167"/>
      <c r="Z35" s="167"/>
    </row>
    <row r="36" spans="1:26">
      <c r="A36" s="18"/>
      <c r="B36" s="163"/>
      <c r="C36" s="132" t="s">
        <v>2047</v>
      </c>
      <c r="D36" s="66" t="s">
        <v>51</v>
      </c>
      <c r="E36" s="66" t="s">
        <v>2063</v>
      </c>
      <c r="F36" s="66" t="s">
        <v>1710</v>
      </c>
      <c r="G36" s="69" t="s">
        <v>2064</v>
      </c>
      <c r="H36" s="69" t="s">
        <v>30</v>
      </c>
      <c r="I36" s="66">
        <v>5</v>
      </c>
      <c r="J36" s="70">
        <v>115</v>
      </c>
      <c r="K36" s="75">
        <f t="shared" si="2"/>
        <v>575</v>
      </c>
      <c r="L36" s="55" t="b">
        <v>1</v>
      </c>
      <c r="M36" s="154">
        <v>50920241937</v>
      </c>
      <c r="N36" s="57" t="b">
        <v>1</v>
      </c>
      <c r="O36" s="58"/>
      <c r="P36" s="59" t="b">
        <v>1</v>
      </c>
      <c r="Q36" s="164"/>
      <c r="R36" s="57"/>
      <c r="S36" s="47" t="b">
        <v>1</v>
      </c>
      <c r="T36" s="165" t="s">
        <v>2059</v>
      </c>
      <c r="U36" s="75"/>
      <c r="V36" s="75"/>
      <c r="W36" s="166"/>
      <c r="X36" s="166"/>
      <c r="Y36" s="167"/>
      <c r="Z36" s="167"/>
    </row>
    <row r="37" spans="1:26">
      <c r="A37" s="18"/>
      <c r="B37" s="163"/>
      <c r="C37" s="132" t="s">
        <v>2047</v>
      </c>
      <c r="D37" s="66" t="s">
        <v>51</v>
      </c>
      <c r="E37" s="66" t="s">
        <v>52</v>
      </c>
      <c r="F37" s="66" t="s">
        <v>1710</v>
      </c>
      <c r="G37" s="69" t="s">
        <v>2065</v>
      </c>
      <c r="H37" s="69" t="s">
        <v>30</v>
      </c>
      <c r="I37" s="66">
        <v>5</v>
      </c>
      <c r="J37" s="70">
        <v>135</v>
      </c>
      <c r="K37" s="75">
        <f t="shared" si="2"/>
        <v>675</v>
      </c>
      <c r="L37" s="55" t="b">
        <v>1</v>
      </c>
      <c r="M37" s="154">
        <v>50920241937</v>
      </c>
      <c r="N37" s="57" t="b">
        <v>1</v>
      </c>
      <c r="O37" s="58"/>
      <c r="P37" s="59" t="b">
        <v>1</v>
      </c>
      <c r="Q37" s="164"/>
      <c r="R37" s="57"/>
      <c r="S37" s="47" t="b">
        <v>1</v>
      </c>
      <c r="T37" s="165" t="s">
        <v>2059</v>
      </c>
      <c r="U37" s="75"/>
      <c r="V37" s="75"/>
      <c r="W37" s="166"/>
      <c r="X37" s="166"/>
      <c r="Y37" s="167"/>
      <c r="Z37" s="167"/>
    </row>
    <row r="38" spans="1:26">
      <c r="A38" s="1"/>
      <c r="B38" s="32"/>
      <c r="C38" s="71" t="s">
        <v>2066</v>
      </c>
      <c r="D38" s="53" t="s">
        <v>51</v>
      </c>
      <c r="E38" s="53" t="s">
        <v>201</v>
      </c>
      <c r="F38" s="66" t="s">
        <v>2067</v>
      </c>
      <c r="G38" s="69" t="s">
        <v>2068</v>
      </c>
      <c r="H38" s="69" t="s">
        <v>30</v>
      </c>
      <c r="I38" s="53">
        <v>2</v>
      </c>
      <c r="J38" s="70">
        <v>1275</v>
      </c>
      <c r="K38" s="75">
        <f t="shared" si="2"/>
        <v>2550</v>
      </c>
      <c r="L38" s="55" t="b">
        <v>1</v>
      </c>
      <c r="M38" s="154">
        <v>70920241130</v>
      </c>
      <c r="N38" s="57" t="b">
        <v>1</v>
      </c>
      <c r="O38" s="58"/>
      <c r="P38" s="59" t="b">
        <v>1</v>
      </c>
      <c r="Q38" s="129"/>
      <c r="R38" s="60"/>
      <c r="S38" s="150" t="b">
        <v>1</v>
      </c>
      <c r="T38" s="165" t="s">
        <v>2069</v>
      </c>
      <c r="U38" s="54"/>
      <c r="V38" s="54"/>
      <c r="W38" s="49"/>
      <c r="X38" s="49"/>
    </row>
    <row r="39" spans="1:26">
      <c r="A39" s="18"/>
      <c r="B39" s="163"/>
      <c r="C39" s="132" t="s">
        <v>2070</v>
      </c>
      <c r="D39" s="66" t="s">
        <v>832</v>
      </c>
      <c r="E39" s="66" t="s">
        <v>833</v>
      </c>
      <c r="F39" s="66" t="s">
        <v>834</v>
      </c>
      <c r="G39" s="69" t="s">
        <v>83</v>
      </c>
      <c r="H39" s="69" t="s">
        <v>30</v>
      </c>
      <c r="I39" s="53">
        <v>1000</v>
      </c>
      <c r="J39" s="70">
        <v>1.5</v>
      </c>
      <c r="K39" s="75">
        <f t="shared" si="2"/>
        <v>1500</v>
      </c>
      <c r="L39" s="55" t="b">
        <v>1</v>
      </c>
      <c r="M39" s="154">
        <v>90920241017</v>
      </c>
      <c r="N39" s="57" t="b">
        <v>1</v>
      </c>
      <c r="O39" s="58" t="s">
        <v>31</v>
      </c>
      <c r="P39" s="59" t="b">
        <v>1</v>
      </c>
      <c r="Q39" s="164"/>
      <c r="R39" s="165"/>
      <c r="S39" s="150" t="b">
        <v>1</v>
      </c>
      <c r="T39" s="165" t="s">
        <v>2071</v>
      </c>
      <c r="U39" s="75"/>
      <c r="V39" s="75"/>
      <c r="W39" s="166"/>
      <c r="X39" s="166"/>
      <c r="Y39" s="167"/>
      <c r="Z39" s="167"/>
    </row>
    <row r="40" spans="1:26">
      <c r="A40" s="18"/>
      <c r="B40" s="163"/>
      <c r="C40" s="132" t="s">
        <v>2070</v>
      </c>
      <c r="D40" s="66" t="s">
        <v>1337</v>
      </c>
      <c r="E40" s="66" t="s">
        <v>137</v>
      </c>
      <c r="F40" s="66" t="s">
        <v>1965</v>
      </c>
      <c r="G40" s="69" t="s">
        <v>1952</v>
      </c>
      <c r="H40" s="69" t="s">
        <v>30</v>
      </c>
      <c r="I40" s="66">
        <v>10</v>
      </c>
      <c r="J40" s="70">
        <v>550</v>
      </c>
      <c r="K40" s="75">
        <f t="shared" si="2"/>
        <v>5500</v>
      </c>
      <c r="L40" s="55" t="b">
        <v>1</v>
      </c>
      <c r="M40" s="154">
        <v>90920241025</v>
      </c>
      <c r="N40" s="57" t="b">
        <v>1</v>
      </c>
      <c r="O40" s="58" t="s">
        <v>31</v>
      </c>
      <c r="P40" s="59" t="b">
        <v>1</v>
      </c>
      <c r="Q40" s="164"/>
      <c r="R40" s="57"/>
      <c r="S40" s="47" t="b">
        <v>1</v>
      </c>
      <c r="T40" s="165" t="s">
        <v>2072</v>
      </c>
      <c r="U40" s="75"/>
      <c r="V40" s="75"/>
      <c r="W40" s="166"/>
      <c r="X40" s="166"/>
      <c r="Y40" s="167"/>
      <c r="Z40" s="167"/>
    </row>
    <row r="41" spans="1:26">
      <c r="A41" s="18"/>
      <c r="B41" s="163"/>
      <c r="C41" s="132" t="s">
        <v>2070</v>
      </c>
      <c r="D41" s="66" t="s">
        <v>1337</v>
      </c>
      <c r="E41" s="66" t="s">
        <v>137</v>
      </c>
      <c r="F41" s="66" t="s">
        <v>1965</v>
      </c>
      <c r="G41" s="69" t="s">
        <v>639</v>
      </c>
      <c r="H41" s="69" t="s">
        <v>30</v>
      </c>
      <c r="I41" s="66">
        <v>25</v>
      </c>
      <c r="J41" s="70">
        <v>215</v>
      </c>
      <c r="K41" s="75">
        <f t="shared" si="2"/>
        <v>5375</v>
      </c>
      <c r="L41" s="55" t="b">
        <v>1</v>
      </c>
      <c r="M41" s="154">
        <v>90920241026</v>
      </c>
      <c r="N41" s="57" t="b">
        <v>1</v>
      </c>
      <c r="O41" s="58" t="s">
        <v>31</v>
      </c>
      <c r="P41" s="59" t="b">
        <v>1</v>
      </c>
      <c r="Q41" s="164"/>
      <c r="R41" s="57"/>
      <c r="S41" s="47" t="b">
        <v>1</v>
      </c>
      <c r="T41" s="165" t="s">
        <v>2072</v>
      </c>
      <c r="U41" s="75"/>
      <c r="V41" s="75"/>
      <c r="W41" s="166"/>
      <c r="X41" s="166"/>
      <c r="Y41" s="167"/>
      <c r="Z41" s="167"/>
    </row>
    <row r="42" spans="1:26">
      <c r="A42" s="18"/>
      <c r="B42" s="163"/>
      <c r="C42" s="132" t="s">
        <v>2070</v>
      </c>
      <c r="D42" s="66" t="s">
        <v>1337</v>
      </c>
      <c r="E42" s="66" t="s">
        <v>137</v>
      </c>
      <c r="F42" s="66" t="s">
        <v>1965</v>
      </c>
      <c r="G42" s="66" t="s">
        <v>1794</v>
      </c>
      <c r="H42" s="69" t="s">
        <v>30</v>
      </c>
      <c r="I42" s="66">
        <v>10</v>
      </c>
      <c r="J42" s="70">
        <v>95</v>
      </c>
      <c r="K42" s="75">
        <f t="shared" si="2"/>
        <v>950</v>
      </c>
      <c r="L42" s="55" t="b">
        <v>1</v>
      </c>
      <c r="M42" s="154">
        <v>90920241026</v>
      </c>
      <c r="N42" s="57" t="b">
        <v>1</v>
      </c>
      <c r="O42" s="58"/>
      <c r="P42" s="59" t="b">
        <v>1</v>
      </c>
      <c r="Q42" s="164"/>
      <c r="R42" s="57"/>
      <c r="S42" s="47" t="b">
        <v>1</v>
      </c>
      <c r="T42" s="165" t="s">
        <v>2072</v>
      </c>
      <c r="U42" s="75"/>
      <c r="V42" s="75"/>
      <c r="W42" s="166"/>
      <c r="X42" s="166"/>
      <c r="Y42" s="167"/>
      <c r="Z42" s="167"/>
    </row>
    <row r="43" spans="1:26">
      <c r="A43" s="18"/>
      <c r="B43" s="163"/>
      <c r="C43" s="132" t="s">
        <v>2070</v>
      </c>
      <c r="D43" s="66" t="s">
        <v>1337</v>
      </c>
      <c r="E43" s="66" t="s">
        <v>137</v>
      </c>
      <c r="F43" s="66" t="s">
        <v>1965</v>
      </c>
      <c r="G43" s="67" t="s">
        <v>2073</v>
      </c>
      <c r="H43" s="67" t="s">
        <v>30</v>
      </c>
      <c r="I43" s="66">
        <v>50</v>
      </c>
      <c r="J43" s="68">
        <v>13.5</v>
      </c>
      <c r="K43" s="75">
        <f t="shared" si="2"/>
        <v>675</v>
      </c>
      <c r="L43" s="55" t="b">
        <v>1</v>
      </c>
      <c r="M43" s="154">
        <v>90920241026</v>
      </c>
      <c r="N43" s="57" t="b">
        <v>1</v>
      </c>
      <c r="O43" s="58" t="s">
        <v>31</v>
      </c>
      <c r="P43" s="59" t="b">
        <v>1</v>
      </c>
      <c r="Q43" s="164"/>
      <c r="R43" s="57"/>
      <c r="S43" s="47" t="b">
        <v>1</v>
      </c>
      <c r="T43" s="165" t="s">
        <v>2074</v>
      </c>
      <c r="U43" s="75"/>
      <c r="V43" s="75"/>
      <c r="W43" s="166"/>
      <c r="X43" s="166"/>
      <c r="Y43" s="167"/>
      <c r="Z43" s="167"/>
    </row>
    <row r="44" spans="1:26">
      <c r="A44" s="18"/>
      <c r="B44" s="163"/>
      <c r="C44" s="132" t="s">
        <v>2070</v>
      </c>
      <c r="D44" s="66" t="s">
        <v>1337</v>
      </c>
      <c r="E44" s="66" t="s">
        <v>137</v>
      </c>
      <c r="F44" s="66" t="s">
        <v>1965</v>
      </c>
      <c r="G44" s="69" t="s">
        <v>2075</v>
      </c>
      <c r="H44" s="69" t="s">
        <v>30</v>
      </c>
      <c r="I44" s="66">
        <v>50</v>
      </c>
      <c r="J44" s="70">
        <v>37.5</v>
      </c>
      <c r="K44" s="75">
        <f t="shared" si="2"/>
        <v>1875</v>
      </c>
      <c r="L44" s="55" t="b">
        <v>1</v>
      </c>
      <c r="M44" s="154">
        <v>90920241026</v>
      </c>
      <c r="N44" s="57" t="b">
        <v>1</v>
      </c>
      <c r="O44" s="58" t="s">
        <v>351</v>
      </c>
      <c r="P44" s="59" t="b">
        <v>1</v>
      </c>
      <c r="Q44" s="164"/>
      <c r="R44" s="57"/>
      <c r="S44" s="47" t="b">
        <v>1</v>
      </c>
      <c r="T44" s="165" t="s">
        <v>2074</v>
      </c>
      <c r="U44" s="75"/>
      <c r="V44" s="75"/>
      <c r="W44" s="166"/>
      <c r="X44" s="166"/>
      <c r="Y44" s="167"/>
      <c r="Z44" s="167"/>
    </row>
    <row r="45" spans="1:26">
      <c r="A45" s="18"/>
      <c r="B45" s="163"/>
      <c r="C45" s="132" t="s">
        <v>2070</v>
      </c>
      <c r="D45" s="66" t="s">
        <v>51</v>
      </c>
      <c r="E45" s="66" t="s">
        <v>89</v>
      </c>
      <c r="F45" s="66" t="s">
        <v>1872</v>
      </c>
      <c r="G45" s="69" t="s">
        <v>321</v>
      </c>
      <c r="H45" s="69" t="s">
        <v>30</v>
      </c>
      <c r="I45" s="66">
        <v>420</v>
      </c>
      <c r="J45" s="75">
        <v>35</v>
      </c>
      <c r="K45" s="75">
        <f t="shared" si="2"/>
        <v>14700</v>
      </c>
      <c r="L45" s="55" t="b">
        <v>1</v>
      </c>
      <c r="M45" s="154">
        <v>90920241454</v>
      </c>
      <c r="N45" s="57" t="b">
        <v>1</v>
      </c>
      <c r="O45" s="58" t="s">
        <v>351</v>
      </c>
      <c r="P45" s="59" t="b">
        <v>1</v>
      </c>
      <c r="Q45" s="164"/>
      <c r="R45" s="57"/>
      <c r="S45" s="47" t="b">
        <v>1</v>
      </c>
      <c r="T45" s="165" t="s">
        <v>2076</v>
      </c>
      <c r="U45" s="75"/>
      <c r="V45" s="75"/>
      <c r="W45" s="166"/>
      <c r="X45" s="166"/>
      <c r="Y45" s="167"/>
      <c r="Z45" s="167"/>
    </row>
    <row r="46" spans="1:26">
      <c r="A46" s="1"/>
      <c r="B46" s="32"/>
      <c r="C46" s="71" t="s">
        <v>2070</v>
      </c>
      <c r="D46" s="53" t="s">
        <v>171</v>
      </c>
      <c r="E46" s="53" t="s">
        <v>137</v>
      </c>
      <c r="F46" s="66" t="s">
        <v>1965</v>
      </c>
      <c r="G46" s="69" t="s">
        <v>2077</v>
      </c>
      <c r="H46" s="69" t="s">
        <v>30</v>
      </c>
      <c r="I46" s="53">
        <v>4</v>
      </c>
      <c r="J46" s="70">
        <v>1350</v>
      </c>
      <c r="K46" s="75">
        <f t="shared" si="2"/>
        <v>5400</v>
      </c>
      <c r="L46" s="55" t="b">
        <v>1</v>
      </c>
      <c r="M46" s="154">
        <v>90920241506</v>
      </c>
      <c r="N46" s="57" t="b">
        <v>1</v>
      </c>
      <c r="O46" s="58" t="s">
        <v>351</v>
      </c>
      <c r="P46" s="59" t="b">
        <v>1</v>
      </c>
      <c r="Q46" s="129"/>
      <c r="R46" s="60"/>
      <c r="S46" s="150" t="b">
        <v>1</v>
      </c>
      <c r="T46" s="165" t="s">
        <v>2078</v>
      </c>
      <c r="U46" s="54"/>
      <c r="V46" s="54"/>
      <c r="W46" s="49"/>
      <c r="X46" s="49"/>
    </row>
    <row r="47" spans="1:26">
      <c r="A47" s="1"/>
      <c r="B47" s="32"/>
      <c r="C47" s="71" t="s">
        <v>2070</v>
      </c>
      <c r="D47" s="53" t="s">
        <v>51</v>
      </c>
      <c r="E47" s="53" t="s">
        <v>594</v>
      </c>
      <c r="F47" s="66" t="s">
        <v>595</v>
      </c>
      <c r="G47" s="69" t="s">
        <v>2079</v>
      </c>
      <c r="H47" s="69" t="s">
        <v>30</v>
      </c>
      <c r="I47" s="53">
        <v>2</v>
      </c>
      <c r="J47" s="70">
        <v>375</v>
      </c>
      <c r="K47" s="75">
        <f t="shared" si="2"/>
        <v>750</v>
      </c>
      <c r="L47" s="55" t="b">
        <v>1</v>
      </c>
      <c r="M47" s="154">
        <v>90920242145</v>
      </c>
      <c r="N47" s="57" t="b">
        <v>1</v>
      </c>
      <c r="O47" s="58" t="s">
        <v>31</v>
      </c>
      <c r="P47" s="59" t="b">
        <v>1</v>
      </c>
      <c r="Q47" s="129"/>
      <c r="R47" s="60"/>
      <c r="S47" s="150" t="b">
        <v>1</v>
      </c>
      <c r="T47" s="165" t="s">
        <v>2080</v>
      </c>
      <c r="U47" s="54"/>
      <c r="V47" s="54"/>
      <c r="W47" s="49"/>
      <c r="X47" s="49"/>
    </row>
    <row r="48" spans="1:26">
      <c r="A48" s="162"/>
      <c r="B48" s="201"/>
      <c r="C48" s="132" t="s">
        <v>2070</v>
      </c>
      <c r="D48" s="66" t="s">
        <v>51</v>
      </c>
      <c r="E48" s="66" t="s">
        <v>201</v>
      </c>
      <c r="F48" s="66" t="s">
        <v>202</v>
      </c>
      <c r="G48" s="69" t="s">
        <v>1774</v>
      </c>
      <c r="H48" s="69" t="s">
        <v>30</v>
      </c>
      <c r="I48" s="66">
        <v>10</v>
      </c>
      <c r="J48" s="70">
        <v>525</v>
      </c>
      <c r="K48" s="75">
        <f t="shared" si="2"/>
        <v>5250</v>
      </c>
      <c r="L48" s="55" t="b">
        <v>1</v>
      </c>
      <c r="M48" s="154">
        <v>90920242146</v>
      </c>
      <c r="N48" s="57" t="b">
        <v>1</v>
      </c>
      <c r="O48" s="58" t="s">
        <v>31</v>
      </c>
      <c r="P48" s="59" t="b">
        <v>1</v>
      </c>
      <c r="Q48" s="164"/>
      <c r="R48" s="57"/>
      <c r="S48" s="47" t="b">
        <v>1</v>
      </c>
      <c r="T48" s="165" t="s">
        <v>2081</v>
      </c>
      <c r="U48" s="75"/>
      <c r="V48" s="75"/>
      <c r="W48" s="166"/>
      <c r="X48" s="166"/>
      <c r="Y48" s="167"/>
      <c r="Z48" s="167"/>
    </row>
    <row r="49" spans="1:26">
      <c r="A49" s="162"/>
      <c r="B49" s="201"/>
      <c r="C49" s="132" t="s">
        <v>2070</v>
      </c>
      <c r="D49" s="66" t="s">
        <v>51</v>
      </c>
      <c r="E49" s="66" t="s">
        <v>201</v>
      </c>
      <c r="F49" s="66" t="s">
        <v>202</v>
      </c>
      <c r="G49" s="69" t="s">
        <v>183</v>
      </c>
      <c r="H49" s="69" t="s">
        <v>30</v>
      </c>
      <c r="I49" s="66">
        <v>30</v>
      </c>
      <c r="J49" s="70">
        <v>150</v>
      </c>
      <c r="K49" s="75">
        <f t="shared" si="2"/>
        <v>4500</v>
      </c>
      <c r="L49" s="55" t="b">
        <v>1</v>
      </c>
      <c r="M49" s="154">
        <v>90920242147</v>
      </c>
      <c r="N49" s="57" t="b">
        <v>1</v>
      </c>
      <c r="O49" s="58" t="s">
        <v>31</v>
      </c>
      <c r="P49" s="59" t="b">
        <v>1</v>
      </c>
      <c r="Q49" s="164"/>
      <c r="R49" s="57"/>
      <c r="S49" s="47" t="b">
        <v>1</v>
      </c>
      <c r="T49" s="165" t="s">
        <v>2081</v>
      </c>
      <c r="U49" s="75"/>
      <c r="V49" s="75"/>
      <c r="W49" s="166"/>
      <c r="X49" s="166"/>
      <c r="Y49" s="167"/>
      <c r="Z49" s="167"/>
    </row>
    <row r="50" spans="1:26">
      <c r="A50" s="162"/>
      <c r="B50" s="163"/>
      <c r="C50" s="132" t="s">
        <v>2070</v>
      </c>
      <c r="D50" s="66" t="s">
        <v>418</v>
      </c>
      <c r="E50" s="66" t="s">
        <v>84</v>
      </c>
      <c r="F50" s="66" t="s">
        <v>85</v>
      </c>
      <c r="G50" s="69" t="s">
        <v>877</v>
      </c>
      <c r="H50" s="69" t="s">
        <v>30</v>
      </c>
      <c r="I50" s="66">
        <v>1</v>
      </c>
      <c r="J50" s="70">
        <v>875</v>
      </c>
      <c r="K50" s="75">
        <f t="shared" si="2"/>
        <v>875</v>
      </c>
      <c r="L50" s="55" t="b">
        <v>1</v>
      </c>
      <c r="M50" s="154">
        <v>90920242147</v>
      </c>
      <c r="N50" s="57" t="b">
        <v>1</v>
      </c>
      <c r="O50" s="58"/>
      <c r="P50" s="59" t="b">
        <v>1</v>
      </c>
      <c r="Q50" s="164"/>
      <c r="R50" s="57"/>
      <c r="S50" s="47" t="b">
        <v>1</v>
      </c>
      <c r="T50" s="165" t="s">
        <v>2082</v>
      </c>
      <c r="U50" s="75"/>
      <c r="V50" s="75"/>
      <c r="W50" s="166"/>
      <c r="X50" s="166"/>
      <c r="Y50" s="167"/>
      <c r="Z50" s="167"/>
    </row>
    <row r="51" spans="1:26">
      <c r="A51" s="162"/>
      <c r="B51" s="163"/>
      <c r="C51" s="132" t="s">
        <v>2070</v>
      </c>
      <c r="D51" s="66" t="s">
        <v>418</v>
      </c>
      <c r="E51" s="66" t="s">
        <v>84</v>
      </c>
      <c r="F51" s="66" t="s">
        <v>85</v>
      </c>
      <c r="G51" s="69" t="s">
        <v>2083</v>
      </c>
      <c r="H51" s="69" t="s">
        <v>30</v>
      </c>
      <c r="I51" s="66">
        <v>1</v>
      </c>
      <c r="J51" s="70">
        <v>2350</v>
      </c>
      <c r="K51" s="75">
        <f t="shared" si="2"/>
        <v>2350</v>
      </c>
      <c r="L51" s="55" t="b">
        <v>1</v>
      </c>
      <c r="M51" s="154">
        <v>90920242147</v>
      </c>
      <c r="N51" s="57" t="b">
        <v>1</v>
      </c>
      <c r="O51" s="58"/>
      <c r="P51" s="59" t="b">
        <v>1</v>
      </c>
      <c r="Q51" s="164"/>
      <c r="R51" s="57"/>
      <c r="S51" s="47" t="b">
        <v>1</v>
      </c>
      <c r="T51" s="165" t="s">
        <v>2082</v>
      </c>
      <c r="U51" s="75"/>
      <c r="V51" s="75"/>
      <c r="W51" s="166"/>
      <c r="X51" s="166"/>
      <c r="Y51" s="167"/>
      <c r="Z51" s="167"/>
    </row>
    <row r="52" spans="1:26">
      <c r="A52" s="101"/>
      <c r="B52" s="32"/>
      <c r="C52" s="71" t="s">
        <v>2070</v>
      </c>
      <c r="D52" s="53" t="s">
        <v>282</v>
      </c>
      <c r="E52" s="53" t="s">
        <v>282</v>
      </c>
      <c r="F52" s="66" t="s">
        <v>365</v>
      </c>
      <c r="G52" s="69" t="s">
        <v>442</v>
      </c>
      <c r="H52" s="69" t="s">
        <v>30</v>
      </c>
      <c r="I52" s="53">
        <v>24</v>
      </c>
      <c r="J52" s="70">
        <v>55</v>
      </c>
      <c r="K52" s="75">
        <f t="shared" si="2"/>
        <v>1320</v>
      </c>
      <c r="L52" s="55" t="b">
        <v>1</v>
      </c>
      <c r="M52" s="154">
        <v>90920242151</v>
      </c>
      <c r="N52" s="57" t="b">
        <v>1</v>
      </c>
      <c r="O52" s="58" t="s">
        <v>31</v>
      </c>
      <c r="P52" s="59" t="b">
        <v>1</v>
      </c>
      <c r="Q52" s="129"/>
      <c r="R52" s="60"/>
      <c r="S52" s="150" t="b">
        <v>1</v>
      </c>
      <c r="T52" s="165" t="s">
        <v>2084</v>
      </c>
      <c r="U52" s="54"/>
      <c r="V52" s="54"/>
      <c r="W52" s="49"/>
      <c r="X52" s="49"/>
    </row>
    <row r="53" spans="1:26">
      <c r="A53" s="162"/>
      <c r="B53" s="163"/>
      <c r="C53" s="132" t="s">
        <v>2070</v>
      </c>
      <c r="D53" s="66" t="s">
        <v>104</v>
      </c>
      <c r="E53" s="66" t="s">
        <v>61</v>
      </c>
      <c r="F53" s="66" t="s">
        <v>1997</v>
      </c>
      <c r="G53" s="69" t="s">
        <v>2085</v>
      </c>
      <c r="H53" s="69" t="s">
        <v>30</v>
      </c>
      <c r="I53" s="66">
        <v>2</v>
      </c>
      <c r="J53" s="70">
        <v>300</v>
      </c>
      <c r="K53" s="75">
        <f t="shared" si="2"/>
        <v>600</v>
      </c>
      <c r="L53" s="55" t="b">
        <v>1</v>
      </c>
      <c r="M53" s="154">
        <v>90920242151</v>
      </c>
      <c r="N53" s="57" t="b">
        <v>1</v>
      </c>
      <c r="O53" s="58" t="s">
        <v>31</v>
      </c>
      <c r="P53" s="59" t="b">
        <v>1</v>
      </c>
      <c r="Q53" s="164"/>
      <c r="R53" s="57"/>
      <c r="S53" s="47" t="b">
        <v>1</v>
      </c>
      <c r="T53" s="165" t="s">
        <v>2086</v>
      </c>
      <c r="U53" s="75"/>
      <c r="V53" s="75"/>
      <c r="W53" s="166"/>
      <c r="X53" s="166"/>
      <c r="Y53" s="167"/>
      <c r="Z53" s="167"/>
    </row>
    <row r="54" spans="1:26">
      <c r="A54" s="162"/>
      <c r="B54" s="163"/>
      <c r="C54" s="132" t="s">
        <v>2087</v>
      </c>
      <c r="D54" s="66" t="s">
        <v>171</v>
      </c>
      <c r="E54" s="66" t="s">
        <v>137</v>
      </c>
      <c r="F54" s="66" t="s">
        <v>681</v>
      </c>
      <c r="G54" s="69" t="s">
        <v>2077</v>
      </c>
      <c r="H54" s="69" t="s">
        <v>30</v>
      </c>
      <c r="I54" s="66">
        <v>6</v>
      </c>
      <c r="J54" s="75">
        <v>1350</v>
      </c>
      <c r="K54" s="75">
        <f t="shared" si="2"/>
        <v>8100</v>
      </c>
      <c r="L54" s="55" t="b">
        <v>1</v>
      </c>
      <c r="M54" s="154">
        <v>90920241717</v>
      </c>
      <c r="N54" s="57" t="b">
        <v>1</v>
      </c>
      <c r="O54" s="58" t="s">
        <v>351</v>
      </c>
      <c r="P54" s="59" t="b">
        <v>1</v>
      </c>
      <c r="Q54" s="164"/>
      <c r="R54" s="57"/>
      <c r="S54" s="47" t="b">
        <v>1</v>
      </c>
      <c r="T54" s="165" t="s">
        <v>2088</v>
      </c>
      <c r="U54" s="75"/>
      <c r="V54" s="75"/>
      <c r="W54" s="166"/>
      <c r="X54" s="166"/>
      <c r="Y54" s="167"/>
      <c r="Z54" s="167"/>
    </row>
    <row r="55" spans="1:26">
      <c r="A55" s="162"/>
      <c r="B55" s="163"/>
      <c r="C55" s="132" t="s">
        <v>2087</v>
      </c>
      <c r="D55" s="66" t="s">
        <v>433</v>
      </c>
      <c r="E55" s="66" t="s">
        <v>434</v>
      </c>
      <c r="F55" s="66" t="s">
        <v>1754</v>
      </c>
      <c r="G55" s="69" t="s">
        <v>1952</v>
      </c>
      <c r="H55" s="69" t="s">
        <v>30</v>
      </c>
      <c r="I55" s="53">
        <v>2</v>
      </c>
      <c r="J55" s="70">
        <v>550</v>
      </c>
      <c r="K55" s="75">
        <f t="shared" si="2"/>
        <v>1100</v>
      </c>
      <c r="L55" s="55" t="b">
        <v>1</v>
      </c>
      <c r="M55" s="154">
        <v>100920241719</v>
      </c>
      <c r="N55" s="57" t="b">
        <v>1</v>
      </c>
      <c r="O55" s="58" t="s">
        <v>31</v>
      </c>
      <c r="P55" s="59" t="b">
        <v>1</v>
      </c>
      <c r="Q55" s="164"/>
      <c r="R55" s="57"/>
      <c r="S55" s="150" t="b">
        <v>1</v>
      </c>
      <c r="T55" s="165" t="s">
        <v>2089</v>
      </c>
      <c r="U55" s="75"/>
      <c r="V55" s="75"/>
      <c r="W55" s="166"/>
      <c r="X55" s="166"/>
      <c r="Y55" s="167"/>
      <c r="Z55" s="167"/>
    </row>
    <row r="56" spans="1:26">
      <c r="A56" s="162"/>
      <c r="B56" s="163"/>
      <c r="C56" s="132" t="s">
        <v>2087</v>
      </c>
      <c r="D56" s="66" t="s">
        <v>51</v>
      </c>
      <c r="E56" s="66" t="s">
        <v>89</v>
      </c>
      <c r="F56" s="66" t="s">
        <v>2090</v>
      </c>
      <c r="G56" s="69" t="s">
        <v>147</v>
      </c>
      <c r="H56" s="69" t="s">
        <v>30</v>
      </c>
      <c r="I56" s="53">
        <v>3</v>
      </c>
      <c r="J56" s="70">
        <v>800</v>
      </c>
      <c r="K56" s="75">
        <f t="shared" si="2"/>
        <v>2400</v>
      </c>
      <c r="L56" s="55" t="b">
        <v>1</v>
      </c>
      <c r="M56" s="154">
        <v>100920241729</v>
      </c>
      <c r="N56" s="57" t="b">
        <v>1</v>
      </c>
      <c r="O56" s="58" t="s">
        <v>31</v>
      </c>
      <c r="P56" s="59" t="b">
        <v>1</v>
      </c>
      <c r="Q56" s="164"/>
      <c r="R56" s="57"/>
      <c r="S56" s="150" t="b">
        <v>1</v>
      </c>
      <c r="T56" s="165" t="s">
        <v>2091</v>
      </c>
      <c r="U56" s="75"/>
      <c r="V56" s="75"/>
      <c r="W56" s="166"/>
      <c r="X56" s="166"/>
      <c r="Y56" s="167"/>
      <c r="Z56" s="167"/>
    </row>
    <row r="57" spans="1:26">
      <c r="A57" s="162"/>
      <c r="B57" s="163"/>
      <c r="C57" s="132" t="s">
        <v>2087</v>
      </c>
      <c r="D57" s="66" t="s">
        <v>51</v>
      </c>
      <c r="E57" s="66" t="s">
        <v>89</v>
      </c>
      <c r="F57" s="66" t="s">
        <v>2090</v>
      </c>
      <c r="G57" s="69" t="s">
        <v>877</v>
      </c>
      <c r="H57" s="69" t="s">
        <v>30</v>
      </c>
      <c r="I57" s="66">
        <v>3</v>
      </c>
      <c r="J57" s="70">
        <v>875</v>
      </c>
      <c r="K57" s="75">
        <f t="shared" si="2"/>
        <v>2625</v>
      </c>
      <c r="L57" s="55" t="b">
        <v>1</v>
      </c>
      <c r="M57" s="154">
        <v>100920241729</v>
      </c>
      <c r="N57" s="57" t="b">
        <v>1</v>
      </c>
      <c r="O57" s="58" t="s">
        <v>31</v>
      </c>
      <c r="P57" s="59" t="b">
        <v>1</v>
      </c>
      <c r="Q57" s="164"/>
      <c r="R57" s="57"/>
      <c r="S57" s="47" t="b">
        <v>1</v>
      </c>
      <c r="T57" s="165" t="s">
        <v>2092</v>
      </c>
      <c r="U57" s="75"/>
      <c r="V57" s="75"/>
      <c r="W57" s="166"/>
      <c r="X57" s="166"/>
      <c r="Y57" s="167"/>
      <c r="Z57" s="167"/>
    </row>
    <row r="58" spans="1:26">
      <c r="A58" s="162"/>
      <c r="B58" s="163"/>
      <c r="C58" s="132" t="s">
        <v>2087</v>
      </c>
      <c r="D58" s="66" t="s">
        <v>26</v>
      </c>
      <c r="E58" s="66" t="s">
        <v>27</v>
      </c>
      <c r="F58" s="66" t="s">
        <v>28</v>
      </c>
      <c r="G58" s="69" t="s">
        <v>2025</v>
      </c>
      <c r="H58" s="69" t="s">
        <v>30</v>
      </c>
      <c r="I58" s="66">
        <v>20</v>
      </c>
      <c r="J58" s="70">
        <v>90</v>
      </c>
      <c r="K58" s="75">
        <f t="shared" si="2"/>
        <v>1800</v>
      </c>
      <c r="L58" s="55" t="b">
        <v>1</v>
      </c>
      <c r="M58" s="154">
        <v>100920241730</v>
      </c>
      <c r="N58" s="57" t="b">
        <v>1</v>
      </c>
      <c r="O58" s="58" t="s">
        <v>31</v>
      </c>
      <c r="P58" s="59" t="b">
        <v>1</v>
      </c>
      <c r="Q58" s="164"/>
      <c r="R58" s="57"/>
      <c r="S58" s="47" t="b">
        <v>1</v>
      </c>
      <c r="T58" s="165" t="s">
        <v>2093</v>
      </c>
      <c r="U58" s="75"/>
      <c r="V58" s="75"/>
      <c r="W58" s="166"/>
      <c r="X58" s="166"/>
      <c r="Y58" s="167"/>
      <c r="Z58" s="167"/>
    </row>
    <row r="59" spans="1:26">
      <c r="A59" s="162"/>
      <c r="B59" s="163"/>
      <c r="C59" s="132" t="s">
        <v>2087</v>
      </c>
      <c r="D59" s="66" t="s">
        <v>26</v>
      </c>
      <c r="E59" s="66" t="s">
        <v>2094</v>
      </c>
      <c r="F59" s="66" t="s">
        <v>28</v>
      </c>
      <c r="G59" s="69" t="s">
        <v>2095</v>
      </c>
      <c r="H59" s="69" t="s">
        <v>30</v>
      </c>
      <c r="I59" s="66">
        <v>18</v>
      </c>
      <c r="J59" s="70">
        <v>105</v>
      </c>
      <c r="K59" s="75">
        <f t="shared" si="2"/>
        <v>1890</v>
      </c>
      <c r="L59" s="55" t="b">
        <v>1</v>
      </c>
      <c r="M59" s="154">
        <v>100920241732</v>
      </c>
      <c r="N59" s="57" t="b">
        <v>1</v>
      </c>
      <c r="O59" s="58" t="s">
        <v>31</v>
      </c>
      <c r="P59" s="59" t="b">
        <v>1</v>
      </c>
      <c r="Q59" s="164"/>
      <c r="R59" s="57"/>
      <c r="S59" s="47" t="b">
        <v>1</v>
      </c>
      <c r="T59" s="165" t="s">
        <v>2096</v>
      </c>
      <c r="U59" s="75"/>
      <c r="V59" s="75"/>
      <c r="W59" s="166"/>
      <c r="X59" s="166"/>
      <c r="Y59" s="167"/>
      <c r="Z59" s="167"/>
    </row>
    <row r="60" spans="1:26">
      <c r="A60" s="162"/>
      <c r="B60" s="163"/>
      <c r="C60" s="132" t="s">
        <v>2087</v>
      </c>
      <c r="D60" s="66" t="s">
        <v>26</v>
      </c>
      <c r="E60" s="66" t="s">
        <v>2094</v>
      </c>
      <c r="F60" s="66" t="s">
        <v>28</v>
      </c>
      <c r="G60" s="69" t="s">
        <v>139</v>
      </c>
      <c r="H60" s="69" t="s">
        <v>30</v>
      </c>
      <c r="I60" s="66">
        <v>200</v>
      </c>
      <c r="J60" s="70">
        <v>28</v>
      </c>
      <c r="K60" s="75">
        <f t="shared" si="2"/>
        <v>5600</v>
      </c>
      <c r="L60" s="55" t="b">
        <v>1</v>
      </c>
      <c r="M60" s="154">
        <v>100920241733</v>
      </c>
      <c r="N60" s="57" t="b">
        <v>1</v>
      </c>
      <c r="O60" s="58" t="s">
        <v>31</v>
      </c>
      <c r="P60" s="59" t="b">
        <v>1</v>
      </c>
      <c r="Q60" s="164"/>
      <c r="R60" s="57"/>
      <c r="S60" s="47" t="b">
        <v>1</v>
      </c>
      <c r="T60" s="165" t="s">
        <v>2097</v>
      </c>
      <c r="U60" s="75"/>
      <c r="V60" s="75"/>
      <c r="W60" s="166"/>
      <c r="X60" s="166"/>
      <c r="Y60" s="167"/>
      <c r="Z60" s="167"/>
    </row>
    <row r="61" spans="1:26">
      <c r="A61" s="162"/>
      <c r="B61" s="163"/>
      <c r="C61" s="132" t="s">
        <v>2087</v>
      </c>
      <c r="D61" s="66" t="s">
        <v>418</v>
      </c>
      <c r="E61" s="66" t="s">
        <v>1069</v>
      </c>
      <c r="F61" s="66" t="s">
        <v>420</v>
      </c>
      <c r="G61" s="202" t="s">
        <v>2098</v>
      </c>
      <c r="H61" s="69" t="s">
        <v>30</v>
      </c>
      <c r="I61" s="66">
        <v>3</v>
      </c>
      <c r="J61" s="70">
        <v>1300</v>
      </c>
      <c r="K61" s="75">
        <f t="shared" si="2"/>
        <v>3900</v>
      </c>
      <c r="L61" s="55" t="b">
        <v>1</v>
      </c>
      <c r="M61" s="154">
        <v>100920241820</v>
      </c>
      <c r="N61" s="57" t="b">
        <v>1</v>
      </c>
      <c r="O61" s="58"/>
      <c r="P61" s="59" t="b">
        <v>1</v>
      </c>
      <c r="Q61" s="129" t="s">
        <v>2061</v>
      </c>
      <c r="R61" s="57"/>
      <c r="S61" s="47" t="b">
        <v>1</v>
      </c>
      <c r="T61" s="165" t="s">
        <v>2099</v>
      </c>
      <c r="U61" s="75"/>
      <c r="V61" s="75"/>
      <c r="W61" s="166"/>
      <c r="X61" s="166"/>
      <c r="Y61" s="167"/>
      <c r="Z61" s="167"/>
    </row>
    <row r="62" spans="1:26">
      <c r="A62" s="162"/>
      <c r="B62" s="163"/>
      <c r="C62" s="132" t="s">
        <v>2087</v>
      </c>
      <c r="D62" s="66" t="s">
        <v>51</v>
      </c>
      <c r="E62" s="66" t="s">
        <v>89</v>
      </c>
      <c r="F62" s="66" t="s">
        <v>1699</v>
      </c>
      <c r="G62" s="69" t="s">
        <v>2100</v>
      </c>
      <c r="H62" s="69" t="s">
        <v>30</v>
      </c>
      <c r="I62" s="66">
        <v>4</v>
      </c>
      <c r="J62" s="70">
        <v>675</v>
      </c>
      <c r="K62" s="75">
        <f t="shared" si="2"/>
        <v>2700</v>
      </c>
      <c r="L62" s="55" t="b">
        <v>1</v>
      </c>
      <c r="M62" s="154">
        <v>100920241942</v>
      </c>
      <c r="N62" s="57" t="b">
        <v>1</v>
      </c>
      <c r="O62" s="58" t="s">
        <v>31</v>
      </c>
      <c r="P62" s="59" t="b">
        <v>1</v>
      </c>
      <c r="Q62" s="164"/>
      <c r="R62" s="57"/>
      <c r="S62" s="47" t="b">
        <v>1</v>
      </c>
      <c r="T62" s="165" t="s">
        <v>2101</v>
      </c>
      <c r="U62" s="75"/>
      <c r="V62" s="75"/>
      <c r="W62" s="166"/>
      <c r="X62" s="166"/>
      <c r="Y62" s="167"/>
      <c r="Z62" s="167"/>
    </row>
    <row r="63" spans="1:26">
      <c r="A63" s="162"/>
      <c r="B63" s="163"/>
      <c r="C63" s="132" t="s">
        <v>2087</v>
      </c>
      <c r="D63" s="66" t="s">
        <v>51</v>
      </c>
      <c r="E63" s="66" t="s">
        <v>89</v>
      </c>
      <c r="F63" s="66" t="s">
        <v>1699</v>
      </c>
      <c r="G63" s="69" t="s">
        <v>2100</v>
      </c>
      <c r="H63" s="69" t="s">
        <v>30</v>
      </c>
      <c r="I63" s="66">
        <v>4</v>
      </c>
      <c r="J63" s="70">
        <v>675</v>
      </c>
      <c r="K63" s="75">
        <f t="shared" si="2"/>
        <v>2700</v>
      </c>
      <c r="L63" s="55" t="b">
        <v>1</v>
      </c>
      <c r="M63" s="154">
        <v>100920241942</v>
      </c>
      <c r="N63" s="57" t="b">
        <v>1</v>
      </c>
      <c r="O63" s="58" t="s">
        <v>31</v>
      </c>
      <c r="P63" s="59" t="b">
        <v>1</v>
      </c>
      <c r="Q63" s="164"/>
      <c r="R63" s="57"/>
      <c r="S63" s="47" t="b">
        <v>1</v>
      </c>
      <c r="T63" s="165" t="s">
        <v>2092</v>
      </c>
      <c r="U63" s="75"/>
      <c r="V63" s="75"/>
      <c r="W63" s="166"/>
      <c r="X63" s="166"/>
      <c r="Y63" s="167"/>
      <c r="Z63" s="167"/>
    </row>
    <row r="64" spans="1:26">
      <c r="A64" s="162"/>
      <c r="B64" s="163"/>
      <c r="C64" s="71" t="s">
        <v>2102</v>
      </c>
      <c r="D64" s="53" t="s">
        <v>51</v>
      </c>
      <c r="E64" s="53" t="s">
        <v>89</v>
      </c>
      <c r="F64" s="66" t="s">
        <v>1872</v>
      </c>
      <c r="G64" s="69" t="s">
        <v>2103</v>
      </c>
      <c r="H64" s="69" t="s">
        <v>30</v>
      </c>
      <c r="I64" s="53">
        <v>4500</v>
      </c>
      <c r="J64" s="70">
        <v>1.25</v>
      </c>
      <c r="K64" s="75">
        <f t="shared" si="2"/>
        <v>5625</v>
      </c>
      <c r="L64" s="55" t="b">
        <v>1</v>
      </c>
      <c r="M64" s="154">
        <v>110920241749</v>
      </c>
      <c r="N64" s="57" t="b">
        <v>1</v>
      </c>
      <c r="O64" s="58" t="s">
        <v>31</v>
      </c>
      <c r="P64" s="59" t="b">
        <v>1</v>
      </c>
      <c r="Q64" s="164"/>
      <c r="R64" s="57"/>
      <c r="S64" s="150" t="b">
        <v>1</v>
      </c>
      <c r="T64" s="165" t="s">
        <v>2091</v>
      </c>
      <c r="U64" s="75"/>
      <c r="V64" s="75"/>
      <c r="W64" s="166"/>
      <c r="X64" s="166"/>
      <c r="Y64" s="167"/>
      <c r="Z64" s="167"/>
    </row>
    <row r="65" spans="1:26">
      <c r="A65" s="162"/>
      <c r="B65" s="163"/>
      <c r="C65" s="132" t="s">
        <v>2104</v>
      </c>
      <c r="D65" s="66" t="s">
        <v>51</v>
      </c>
      <c r="E65" s="66" t="s">
        <v>475</v>
      </c>
      <c r="F65" s="66" t="s">
        <v>2105</v>
      </c>
      <c r="G65" s="66" t="s">
        <v>1613</v>
      </c>
      <c r="H65" s="69" t="s">
        <v>30</v>
      </c>
      <c r="I65" s="66">
        <v>1</v>
      </c>
      <c r="J65" s="70">
        <v>1100</v>
      </c>
      <c r="K65" s="75">
        <f t="shared" si="2"/>
        <v>1100</v>
      </c>
      <c r="L65" s="55" t="b">
        <v>1</v>
      </c>
      <c r="M65" s="154">
        <v>110920241749</v>
      </c>
      <c r="N65" s="57" t="b">
        <v>1</v>
      </c>
      <c r="O65" s="58" t="s">
        <v>31</v>
      </c>
      <c r="P65" s="59" t="b">
        <v>1</v>
      </c>
      <c r="Q65" s="164"/>
      <c r="R65" s="57"/>
      <c r="S65" s="47" t="b">
        <v>1</v>
      </c>
      <c r="T65" s="165" t="s">
        <v>2106</v>
      </c>
      <c r="U65" s="75"/>
      <c r="V65" s="75"/>
      <c r="W65" s="166"/>
      <c r="X65" s="166"/>
      <c r="Y65" s="167"/>
      <c r="Z65" s="167"/>
    </row>
    <row r="66" spans="1:26">
      <c r="A66" s="101"/>
      <c r="B66" s="32"/>
      <c r="C66" s="132" t="s">
        <v>2104</v>
      </c>
      <c r="D66" s="66" t="s">
        <v>51</v>
      </c>
      <c r="E66" s="66" t="s">
        <v>475</v>
      </c>
      <c r="F66" s="66" t="s">
        <v>2105</v>
      </c>
      <c r="G66" s="69" t="s">
        <v>374</v>
      </c>
      <c r="H66" s="69" t="s">
        <v>30</v>
      </c>
      <c r="I66" s="53">
        <v>50</v>
      </c>
      <c r="J66" s="70">
        <v>30</v>
      </c>
      <c r="K66" s="75">
        <f t="shared" si="2"/>
        <v>1500</v>
      </c>
      <c r="L66" s="55" t="b">
        <v>1</v>
      </c>
      <c r="M66" s="154">
        <v>110920241749</v>
      </c>
      <c r="N66" s="57" t="b">
        <v>1</v>
      </c>
      <c r="O66" s="58" t="s">
        <v>31</v>
      </c>
      <c r="P66" s="59" t="b">
        <v>1</v>
      </c>
      <c r="Q66" s="129"/>
      <c r="R66" s="60"/>
      <c r="S66" s="150" t="b">
        <v>1</v>
      </c>
      <c r="T66" s="165" t="s">
        <v>2107</v>
      </c>
      <c r="U66" s="54"/>
      <c r="V66" s="54"/>
      <c r="W66" s="49"/>
      <c r="X66" s="49"/>
    </row>
    <row r="67" spans="1:26">
      <c r="A67" s="101"/>
      <c r="B67" s="32"/>
      <c r="C67" s="132" t="s">
        <v>2104</v>
      </c>
      <c r="D67" s="66" t="s">
        <v>51</v>
      </c>
      <c r="E67" s="66" t="s">
        <v>475</v>
      </c>
      <c r="F67" s="66" t="s">
        <v>2105</v>
      </c>
      <c r="G67" s="69" t="s">
        <v>1700</v>
      </c>
      <c r="H67" s="69" t="s">
        <v>30</v>
      </c>
      <c r="I67" s="53">
        <v>100</v>
      </c>
      <c r="J67" s="70">
        <v>15</v>
      </c>
      <c r="K67" s="75">
        <f t="shared" si="2"/>
        <v>1500</v>
      </c>
      <c r="L67" s="55" t="b">
        <v>1</v>
      </c>
      <c r="M67" s="154">
        <v>110920241749</v>
      </c>
      <c r="N67" s="57" t="b">
        <v>1</v>
      </c>
      <c r="O67" s="58" t="s">
        <v>31</v>
      </c>
      <c r="P67" s="59" t="b">
        <v>1</v>
      </c>
      <c r="Q67" s="129"/>
      <c r="R67" s="60"/>
      <c r="S67" s="150" t="b">
        <v>1</v>
      </c>
      <c r="T67" s="165" t="s">
        <v>2107</v>
      </c>
      <c r="U67" s="54"/>
      <c r="V67" s="54"/>
      <c r="W67" s="49"/>
      <c r="X67" s="49"/>
    </row>
    <row r="68" spans="1:26">
      <c r="A68" s="101"/>
      <c r="B68" s="32"/>
      <c r="C68" s="132" t="s">
        <v>2104</v>
      </c>
      <c r="D68" s="66" t="s">
        <v>1959</v>
      </c>
      <c r="E68" s="66" t="s">
        <v>1959</v>
      </c>
      <c r="F68" s="66" t="s">
        <v>1235</v>
      </c>
      <c r="G68" s="69" t="s">
        <v>1952</v>
      </c>
      <c r="H68" s="69" t="s">
        <v>30</v>
      </c>
      <c r="I68" s="53">
        <v>10</v>
      </c>
      <c r="J68" s="70">
        <v>550</v>
      </c>
      <c r="K68" s="75">
        <f t="shared" si="2"/>
        <v>5500</v>
      </c>
      <c r="L68" s="55" t="b">
        <v>1</v>
      </c>
      <c r="M68" s="154">
        <v>110920242014</v>
      </c>
      <c r="N68" s="57" t="b">
        <v>1</v>
      </c>
      <c r="O68" s="58" t="s">
        <v>31</v>
      </c>
      <c r="P68" s="59" t="b">
        <v>1</v>
      </c>
      <c r="Q68" s="129"/>
      <c r="R68" s="60"/>
      <c r="S68" s="150" t="b">
        <v>1</v>
      </c>
      <c r="T68" s="165" t="s">
        <v>2108</v>
      </c>
      <c r="U68" s="54"/>
      <c r="V68" s="54"/>
      <c r="W68" s="49"/>
      <c r="X68" s="49"/>
    </row>
    <row r="69" spans="1:26">
      <c r="A69" s="162"/>
      <c r="B69" s="163"/>
      <c r="C69" s="132" t="s">
        <v>2109</v>
      </c>
      <c r="D69" s="66" t="s">
        <v>51</v>
      </c>
      <c r="E69" s="66" t="s">
        <v>594</v>
      </c>
      <c r="F69" s="66" t="s">
        <v>595</v>
      </c>
      <c r="G69" s="69" t="s">
        <v>2110</v>
      </c>
      <c r="H69" s="69" t="s">
        <v>30</v>
      </c>
      <c r="I69" s="66">
        <v>2</v>
      </c>
      <c r="J69" s="70">
        <v>300</v>
      </c>
      <c r="K69" s="75">
        <f t="shared" si="2"/>
        <v>600</v>
      </c>
      <c r="L69" s="55" t="b">
        <v>1</v>
      </c>
      <c r="M69" s="154">
        <v>120920240856</v>
      </c>
      <c r="N69" s="57" t="b">
        <v>1</v>
      </c>
      <c r="O69" s="58" t="s">
        <v>31</v>
      </c>
      <c r="P69" s="59" t="b">
        <v>1</v>
      </c>
      <c r="Q69" s="164"/>
      <c r="R69" s="57"/>
      <c r="S69" s="47" t="b">
        <v>1</v>
      </c>
      <c r="T69" s="165" t="s">
        <v>2111</v>
      </c>
      <c r="U69" s="75"/>
      <c r="V69" s="75"/>
      <c r="W69" s="166"/>
      <c r="X69" s="166"/>
      <c r="Y69" s="167"/>
      <c r="Z69" s="167"/>
    </row>
    <row r="70" spans="1:26">
      <c r="A70" s="162"/>
      <c r="B70" s="163"/>
      <c r="C70" s="132" t="s">
        <v>2109</v>
      </c>
      <c r="D70" s="66" t="s">
        <v>51</v>
      </c>
      <c r="E70" s="66" t="s">
        <v>594</v>
      </c>
      <c r="F70" s="66" t="s">
        <v>595</v>
      </c>
      <c r="G70" s="69" t="s">
        <v>2112</v>
      </c>
      <c r="H70" s="69" t="s">
        <v>30</v>
      </c>
      <c r="I70" s="66">
        <v>1</v>
      </c>
      <c r="J70" s="70">
        <v>300</v>
      </c>
      <c r="K70" s="75">
        <f t="shared" si="2"/>
        <v>300</v>
      </c>
      <c r="L70" s="55" t="b">
        <v>1</v>
      </c>
      <c r="M70" s="154">
        <v>120920240856</v>
      </c>
      <c r="N70" s="57" t="b">
        <v>1</v>
      </c>
      <c r="O70" s="58" t="s">
        <v>31</v>
      </c>
      <c r="P70" s="59" t="b">
        <v>1</v>
      </c>
      <c r="Q70" s="164"/>
      <c r="R70" s="57"/>
      <c r="S70" s="47" t="b">
        <v>1</v>
      </c>
      <c r="T70" s="165" t="s">
        <v>2111</v>
      </c>
      <c r="U70" s="75"/>
      <c r="V70" s="75"/>
      <c r="W70" s="166"/>
      <c r="X70" s="166"/>
      <c r="Y70" s="167"/>
      <c r="Z70" s="167"/>
    </row>
    <row r="71" spans="1:26">
      <c r="A71" s="162"/>
      <c r="B71" s="163"/>
      <c r="C71" s="132" t="s">
        <v>2109</v>
      </c>
      <c r="D71" s="66" t="s">
        <v>51</v>
      </c>
      <c r="E71" s="66" t="s">
        <v>201</v>
      </c>
      <c r="F71" s="66" t="s">
        <v>607</v>
      </c>
      <c r="G71" s="69" t="s">
        <v>2113</v>
      </c>
      <c r="H71" s="69" t="s">
        <v>30</v>
      </c>
      <c r="I71" s="53">
        <v>1</v>
      </c>
      <c r="J71" s="70">
        <v>27250</v>
      </c>
      <c r="K71" s="75">
        <f t="shared" si="2"/>
        <v>27250</v>
      </c>
      <c r="L71" s="55" t="b">
        <v>1</v>
      </c>
      <c r="M71" s="154">
        <v>120920240930</v>
      </c>
      <c r="N71" s="57" t="b">
        <v>1</v>
      </c>
      <c r="O71" s="58" t="s">
        <v>31</v>
      </c>
      <c r="P71" s="59" t="b">
        <v>1</v>
      </c>
      <c r="Q71" s="164"/>
      <c r="R71" s="57"/>
      <c r="S71" s="150" t="b">
        <v>1</v>
      </c>
      <c r="T71" s="165" t="s">
        <v>2114</v>
      </c>
      <c r="U71" s="75"/>
      <c r="V71" s="75"/>
      <c r="W71" s="166"/>
      <c r="X71" s="166"/>
      <c r="Y71" s="167"/>
      <c r="Z71" s="167"/>
    </row>
    <row r="72" spans="1:26">
      <c r="A72" s="162"/>
      <c r="B72" s="163"/>
      <c r="C72" s="132" t="s">
        <v>2109</v>
      </c>
      <c r="D72" s="66" t="s">
        <v>144</v>
      </c>
      <c r="E72" s="66" t="s">
        <v>2115</v>
      </c>
      <c r="F72" s="66" t="s">
        <v>1235</v>
      </c>
      <c r="G72" s="69" t="s">
        <v>68</v>
      </c>
      <c r="H72" s="69" t="s">
        <v>30</v>
      </c>
      <c r="I72" s="53">
        <v>1</v>
      </c>
      <c r="J72" s="70">
        <v>2050</v>
      </c>
      <c r="K72" s="75">
        <f t="shared" si="2"/>
        <v>2050</v>
      </c>
      <c r="L72" s="55" t="b">
        <v>1</v>
      </c>
      <c r="M72" s="154">
        <v>120920241106</v>
      </c>
      <c r="N72" s="57" t="b">
        <v>1</v>
      </c>
      <c r="O72" s="58"/>
      <c r="P72" s="59" t="b">
        <v>1</v>
      </c>
      <c r="Q72" s="164"/>
      <c r="R72" s="57"/>
      <c r="S72" s="150" t="b">
        <v>1</v>
      </c>
      <c r="T72" s="165" t="s">
        <v>2108</v>
      </c>
      <c r="U72" s="75"/>
      <c r="V72" s="75"/>
      <c r="W72" s="166"/>
      <c r="X72" s="166"/>
      <c r="Y72" s="167"/>
      <c r="Z72" s="167"/>
    </row>
    <row r="73" spans="1:26">
      <c r="A73" s="162"/>
      <c r="B73" s="163"/>
      <c r="C73" s="132" t="s">
        <v>2109</v>
      </c>
      <c r="D73" s="66" t="s">
        <v>93</v>
      </c>
      <c r="E73" s="66" t="s">
        <v>137</v>
      </c>
      <c r="F73" s="66" t="s">
        <v>268</v>
      </c>
      <c r="G73" s="69" t="s">
        <v>1952</v>
      </c>
      <c r="H73" s="69" t="s">
        <v>30</v>
      </c>
      <c r="I73" s="53">
        <v>20</v>
      </c>
      <c r="J73" s="70">
        <v>550</v>
      </c>
      <c r="K73" s="75">
        <f t="shared" si="2"/>
        <v>11000</v>
      </c>
      <c r="L73" s="55" t="b">
        <v>1</v>
      </c>
      <c r="M73" s="154">
        <v>120820241447</v>
      </c>
      <c r="N73" s="57" t="b">
        <v>1</v>
      </c>
      <c r="O73" s="58" t="s">
        <v>31</v>
      </c>
      <c r="P73" s="59" t="b">
        <v>1</v>
      </c>
      <c r="Q73" s="164"/>
      <c r="R73" s="57"/>
      <c r="S73" s="150" t="b">
        <v>1</v>
      </c>
      <c r="T73" s="165" t="s">
        <v>2116</v>
      </c>
      <c r="U73" s="75"/>
      <c r="V73" s="75"/>
      <c r="W73" s="166"/>
      <c r="X73" s="166"/>
      <c r="Y73" s="167"/>
      <c r="Z73" s="167"/>
    </row>
    <row r="74" spans="1:26">
      <c r="A74" s="162"/>
      <c r="B74" s="163"/>
      <c r="C74" s="132" t="s">
        <v>2109</v>
      </c>
      <c r="D74" s="66" t="s">
        <v>212</v>
      </c>
      <c r="E74" s="66" t="s">
        <v>311</v>
      </c>
      <c r="F74" s="66" t="s">
        <v>312</v>
      </c>
      <c r="G74" s="69" t="s">
        <v>842</v>
      </c>
      <c r="H74" s="69" t="s">
        <v>30</v>
      </c>
      <c r="I74" s="66">
        <v>1</v>
      </c>
      <c r="J74" s="70">
        <v>3750</v>
      </c>
      <c r="K74" s="75">
        <f t="shared" si="2"/>
        <v>3750</v>
      </c>
      <c r="L74" s="55" t="b">
        <v>1</v>
      </c>
      <c r="M74" s="154">
        <v>120920241627</v>
      </c>
      <c r="N74" s="57" t="b">
        <v>1</v>
      </c>
      <c r="O74" s="58" t="s">
        <v>31</v>
      </c>
      <c r="P74" s="59" t="b">
        <v>1</v>
      </c>
      <c r="Q74" s="164"/>
      <c r="R74" s="57"/>
      <c r="S74" s="47" t="b">
        <v>1</v>
      </c>
      <c r="T74" s="165" t="s">
        <v>2117</v>
      </c>
      <c r="U74" s="75"/>
      <c r="V74" s="75"/>
      <c r="W74" s="166"/>
      <c r="X74" s="166"/>
      <c r="Y74" s="167"/>
      <c r="Z74" s="167"/>
    </row>
    <row r="75" spans="1:26">
      <c r="A75" s="162"/>
      <c r="B75" s="163"/>
      <c r="C75" s="132" t="s">
        <v>2109</v>
      </c>
      <c r="D75" s="66" t="s">
        <v>212</v>
      </c>
      <c r="E75" s="66" t="s">
        <v>311</v>
      </c>
      <c r="F75" s="66" t="s">
        <v>312</v>
      </c>
      <c r="G75" s="69" t="s">
        <v>2118</v>
      </c>
      <c r="H75" s="69" t="s">
        <v>30</v>
      </c>
      <c r="I75" s="66">
        <v>2</v>
      </c>
      <c r="J75" s="70">
        <v>1275</v>
      </c>
      <c r="K75" s="75">
        <f t="shared" si="2"/>
        <v>2550</v>
      </c>
      <c r="L75" s="55" t="b">
        <v>1</v>
      </c>
      <c r="M75" s="154">
        <v>120920241632</v>
      </c>
      <c r="N75" s="57" t="b">
        <v>1</v>
      </c>
      <c r="O75" s="58" t="s">
        <v>31</v>
      </c>
      <c r="P75" s="59" t="b">
        <v>1</v>
      </c>
      <c r="Q75" s="164"/>
      <c r="R75" s="57"/>
      <c r="S75" s="47" t="b">
        <v>1</v>
      </c>
      <c r="T75" s="165" t="s">
        <v>2119</v>
      </c>
      <c r="U75" s="75"/>
      <c r="V75" s="75"/>
      <c r="W75" s="166"/>
      <c r="X75" s="166"/>
      <c r="Y75" s="167"/>
      <c r="Z75" s="167"/>
    </row>
    <row r="76" spans="1:26">
      <c r="A76" s="162"/>
      <c r="B76" s="163"/>
      <c r="C76" s="132" t="s">
        <v>2109</v>
      </c>
      <c r="D76" s="66" t="s">
        <v>51</v>
      </c>
      <c r="E76" s="66" t="s">
        <v>475</v>
      </c>
      <c r="F76" s="66" t="s">
        <v>2120</v>
      </c>
      <c r="G76" s="69" t="s">
        <v>2121</v>
      </c>
      <c r="H76" s="69" t="s">
        <v>30</v>
      </c>
      <c r="I76" s="66">
        <v>3</v>
      </c>
      <c r="J76" s="70">
        <v>450</v>
      </c>
      <c r="K76" s="75">
        <f t="shared" si="2"/>
        <v>1350</v>
      </c>
      <c r="L76" s="55" t="b">
        <v>1</v>
      </c>
      <c r="M76" s="154">
        <v>120920242045</v>
      </c>
      <c r="N76" s="57" t="b">
        <v>1</v>
      </c>
      <c r="O76" s="58" t="s">
        <v>31</v>
      </c>
      <c r="P76" s="59" t="b">
        <v>1</v>
      </c>
      <c r="Q76" s="164"/>
      <c r="R76" s="57"/>
      <c r="S76" s="47" t="b">
        <v>1</v>
      </c>
      <c r="T76" s="165" t="s">
        <v>2122</v>
      </c>
      <c r="U76" s="75"/>
      <c r="V76" s="75"/>
      <c r="W76" s="166"/>
      <c r="X76" s="166"/>
      <c r="Y76" s="167"/>
      <c r="Z76" s="167"/>
    </row>
    <row r="77" spans="1:26">
      <c r="A77" s="162"/>
      <c r="B77" s="163"/>
      <c r="C77" s="132" t="s">
        <v>2123</v>
      </c>
      <c r="D77" s="66" t="s">
        <v>26</v>
      </c>
      <c r="E77" s="66" t="s">
        <v>1976</v>
      </c>
      <c r="F77" s="66" t="s">
        <v>2124</v>
      </c>
      <c r="G77" s="69" t="s">
        <v>2125</v>
      </c>
      <c r="H77" s="69" t="s">
        <v>30</v>
      </c>
      <c r="I77" s="66">
        <v>1500</v>
      </c>
      <c r="J77" s="70">
        <v>1.25</v>
      </c>
      <c r="K77" s="75">
        <f t="shared" si="2"/>
        <v>1875</v>
      </c>
      <c r="L77" s="55" t="b">
        <v>1</v>
      </c>
      <c r="M77" s="154">
        <v>130920240926</v>
      </c>
      <c r="N77" s="57" t="b">
        <v>1</v>
      </c>
      <c r="O77" s="58" t="s">
        <v>31</v>
      </c>
      <c r="P77" s="59" t="b">
        <v>1</v>
      </c>
      <c r="Q77" s="164"/>
      <c r="R77" s="57"/>
      <c r="S77" s="47" t="b">
        <v>1</v>
      </c>
      <c r="T77" s="165" t="s">
        <v>2126</v>
      </c>
      <c r="U77" s="75"/>
      <c r="V77" s="75"/>
      <c r="W77" s="166"/>
      <c r="X77" s="166"/>
      <c r="Y77" s="167"/>
      <c r="Z77" s="167"/>
    </row>
    <row r="78" spans="1:26">
      <c r="A78" s="101"/>
      <c r="B78" s="32"/>
      <c r="C78" s="71" t="s">
        <v>2123</v>
      </c>
      <c r="D78" s="53" t="s">
        <v>282</v>
      </c>
      <c r="E78" s="53" t="s">
        <v>282</v>
      </c>
      <c r="F78" s="66" t="s">
        <v>365</v>
      </c>
      <c r="G78" s="203" t="s">
        <v>2127</v>
      </c>
      <c r="H78" s="69" t="s">
        <v>30</v>
      </c>
      <c r="I78" s="53">
        <v>5</v>
      </c>
      <c r="J78" s="70">
        <v>895</v>
      </c>
      <c r="K78" s="75">
        <f t="shared" si="2"/>
        <v>4475</v>
      </c>
      <c r="L78" s="55" t="b">
        <v>1</v>
      </c>
      <c r="M78" s="154">
        <v>130920241753</v>
      </c>
      <c r="N78" s="57" t="b">
        <v>1</v>
      </c>
      <c r="O78" s="58" t="s">
        <v>31</v>
      </c>
      <c r="P78" s="59" t="b">
        <v>1</v>
      </c>
      <c r="Q78" s="129"/>
      <c r="R78" s="60"/>
      <c r="S78" s="150" t="b">
        <v>1</v>
      </c>
      <c r="T78" s="165" t="s">
        <v>2128</v>
      </c>
      <c r="U78" s="54"/>
      <c r="V78" s="54"/>
      <c r="W78" s="49"/>
      <c r="X78" s="49"/>
    </row>
    <row r="79" spans="1:26">
      <c r="A79" s="162"/>
      <c r="B79" s="163"/>
      <c r="C79" s="132" t="s">
        <v>2123</v>
      </c>
      <c r="D79" s="66" t="s">
        <v>51</v>
      </c>
      <c r="E79" s="66" t="s">
        <v>475</v>
      </c>
      <c r="F79" s="66" t="s">
        <v>168</v>
      </c>
      <c r="G79" s="69" t="s">
        <v>2129</v>
      </c>
      <c r="H79" s="69" t="s">
        <v>30</v>
      </c>
      <c r="I79" s="66">
        <v>10</v>
      </c>
      <c r="J79" s="70">
        <v>105</v>
      </c>
      <c r="K79" s="75">
        <f t="shared" si="2"/>
        <v>1050</v>
      </c>
      <c r="L79" s="55" t="b">
        <v>1</v>
      </c>
      <c r="M79" s="154">
        <v>130920241449</v>
      </c>
      <c r="N79" s="57" t="b">
        <v>1</v>
      </c>
      <c r="O79" s="58"/>
      <c r="P79" s="59" t="b">
        <v>1</v>
      </c>
      <c r="Q79" s="164"/>
      <c r="R79" s="57"/>
      <c r="S79" s="47" t="b">
        <v>1</v>
      </c>
      <c r="T79" s="165" t="s">
        <v>2122</v>
      </c>
      <c r="U79" s="75"/>
      <c r="V79" s="75"/>
      <c r="W79" s="166"/>
      <c r="X79" s="166"/>
      <c r="Y79" s="167"/>
      <c r="Z79" s="167"/>
    </row>
    <row r="80" spans="1:26" ht="15.75" customHeight="1">
      <c r="A80" s="162"/>
      <c r="B80" s="163"/>
      <c r="C80" s="132" t="s">
        <v>2123</v>
      </c>
      <c r="D80" s="66" t="s">
        <v>51</v>
      </c>
      <c r="E80" s="66" t="s">
        <v>201</v>
      </c>
      <c r="F80" s="66" t="s">
        <v>1208</v>
      </c>
      <c r="G80" s="69" t="s">
        <v>2130</v>
      </c>
      <c r="H80" s="69" t="s">
        <v>30</v>
      </c>
      <c r="I80" s="69">
        <v>1</v>
      </c>
      <c r="J80" s="70">
        <v>2750</v>
      </c>
      <c r="K80" s="75">
        <f t="shared" si="2"/>
        <v>2750</v>
      </c>
      <c r="L80" s="55" t="b">
        <v>1</v>
      </c>
      <c r="M80" s="154">
        <v>190720240714</v>
      </c>
      <c r="N80" s="57" t="b">
        <v>1</v>
      </c>
      <c r="O80" s="58" t="s">
        <v>31</v>
      </c>
      <c r="P80" s="59" t="b">
        <v>1</v>
      </c>
      <c r="Q80" s="204"/>
      <c r="R80" s="57"/>
      <c r="S80" s="47" t="b">
        <v>1</v>
      </c>
      <c r="T80" s="165" t="s">
        <v>2131</v>
      </c>
      <c r="U80" s="75"/>
      <c r="V80" s="75"/>
      <c r="W80" s="166"/>
      <c r="X80" s="166"/>
      <c r="Y80" s="167"/>
      <c r="Z80" s="167"/>
    </row>
    <row r="81" spans="1:26" ht="15.75" customHeight="1">
      <c r="A81" s="162"/>
      <c r="B81" s="163"/>
      <c r="C81" s="132" t="s">
        <v>2123</v>
      </c>
      <c r="D81" s="66" t="s">
        <v>51</v>
      </c>
      <c r="E81" s="66" t="s">
        <v>201</v>
      </c>
      <c r="F81" s="66" t="s">
        <v>1208</v>
      </c>
      <c r="G81" s="69" t="s">
        <v>2132</v>
      </c>
      <c r="H81" s="69" t="s">
        <v>30</v>
      </c>
      <c r="I81" s="69">
        <v>1</v>
      </c>
      <c r="J81" s="70">
        <v>4000</v>
      </c>
      <c r="K81" s="75">
        <f t="shared" si="2"/>
        <v>4000</v>
      </c>
      <c r="L81" s="55" t="b">
        <v>1</v>
      </c>
      <c r="M81" s="154">
        <v>190720240714</v>
      </c>
      <c r="N81" s="57" t="b">
        <v>1</v>
      </c>
      <c r="O81" s="58" t="s">
        <v>31</v>
      </c>
      <c r="P81" s="59" t="b">
        <v>1</v>
      </c>
      <c r="Q81" s="164"/>
      <c r="R81" s="57"/>
      <c r="S81" s="47" t="b">
        <v>1</v>
      </c>
      <c r="T81" s="165" t="s">
        <v>2131</v>
      </c>
      <c r="U81" s="75"/>
      <c r="V81" s="75"/>
      <c r="W81" s="166"/>
      <c r="X81" s="166"/>
      <c r="Y81" s="167"/>
      <c r="Z81" s="167"/>
    </row>
    <row r="82" spans="1:26" ht="15.75" customHeight="1">
      <c r="A82" s="162"/>
      <c r="B82" s="163"/>
      <c r="C82" s="132" t="s">
        <v>2123</v>
      </c>
      <c r="D82" s="66" t="s">
        <v>51</v>
      </c>
      <c r="E82" s="66" t="s">
        <v>201</v>
      </c>
      <c r="F82" s="66" t="s">
        <v>607</v>
      </c>
      <c r="G82" s="69" t="s">
        <v>1089</v>
      </c>
      <c r="H82" s="69" t="s">
        <v>30</v>
      </c>
      <c r="I82" s="69">
        <v>2</v>
      </c>
      <c r="J82" s="70">
        <v>1480</v>
      </c>
      <c r="K82" s="75">
        <v>2960</v>
      </c>
      <c r="L82" s="55" t="b">
        <v>1</v>
      </c>
      <c r="M82" s="154"/>
      <c r="N82" s="57" t="b">
        <v>1</v>
      </c>
      <c r="O82" s="58" t="s">
        <v>31</v>
      </c>
      <c r="P82" s="59" t="b">
        <v>1</v>
      </c>
      <c r="Q82" s="164"/>
      <c r="R82" s="57"/>
      <c r="S82" s="47" t="b">
        <v>1</v>
      </c>
      <c r="T82" s="165" t="s">
        <v>2133</v>
      </c>
      <c r="U82" s="75"/>
      <c r="V82" s="75"/>
      <c r="W82" s="166"/>
      <c r="X82" s="166"/>
      <c r="Y82" s="167"/>
      <c r="Z82" s="167"/>
    </row>
    <row r="83" spans="1:26">
      <c r="A83" s="162"/>
      <c r="B83" s="163"/>
      <c r="C83" s="132" t="s">
        <v>2134</v>
      </c>
      <c r="D83" s="66" t="s">
        <v>51</v>
      </c>
      <c r="E83" s="66" t="s">
        <v>52</v>
      </c>
      <c r="F83" s="66" t="s">
        <v>807</v>
      </c>
      <c r="G83" s="69" t="s">
        <v>2135</v>
      </c>
      <c r="H83" s="69" t="s">
        <v>30</v>
      </c>
      <c r="I83" s="66">
        <v>2</v>
      </c>
      <c r="J83" s="70">
        <v>2800</v>
      </c>
      <c r="K83" s="75">
        <f t="shared" ref="K83:K168" si="3">I83*J83</f>
        <v>5600</v>
      </c>
      <c r="L83" s="55" t="b">
        <v>1</v>
      </c>
      <c r="M83" s="154">
        <v>160920240951</v>
      </c>
      <c r="N83" s="57" t="b">
        <v>1</v>
      </c>
      <c r="O83" s="58" t="s">
        <v>31</v>
      </c>
      <c r="P83" s="59" t="b">
        <v>1</v>
      </c>
      <c r="Q83" s="164"/>
      <c r="R83" s="57"/>
      <c r="S83" s="47" t="b">
        <v>1</v>
      </c>
      <c r="T83" s="165" t="s">
        <v>2062</v>
      </c>
      <c r="U83" s="75"/>
      <c r="V83" s="75"/>
      <c r="W83" s="166"/>
      <c r="X83" s="166"/>
      <c r="Y83" s="167"/>
      <c r="Z83" s="167"/>
    </row>
    <row r="84" spans="1:26">
      <c r="A84" s="162"/>
      <c r="B84" s="163"/>
      <c r="C84" s="132" t="s">
        <v>2134</v>
      </c>
      <c r="D84" s="66" t="s">
        <v>418</v>
      </c>
      <c r="E84" s="66" t="s">
        <v>1037</v>
      </c>
      <c r="F84" s="66" t="s">
        <v>420</v>
      </c>
      <c r="G84" s="69" t="s">
        <v>2136</v>
      </c>
      <c r="H84" s="69" t="s">
        <v>30</v>
      </c>
      <c r="I84" s="66">
        <v>1</v>
      </c>
      <c r="J84" s="70">
        <v>7500</v>
      </c>
      <c r="K84" s="75">
        <f t="shared" si="3"/>
        <v>7500</v>
      </c>
      <c r="L84" s="55" t="b">
        <v>1</v>
      </c>
      <c r="M84" s="154">
        <v>160920240953</v>
      </c>
      <c r="N84" s="57" t="b">
        <v>1</v>
      </c>
      <c r="O84" s="58"/>
      <c r="P84" s="59" t="b">
        <v>1</v>
      </c>
      <c r="Q84" s="164"/>
      <c r="R84" s="57"/>
      <c r="S84" s="47" t="b">
        <v>1</v>
      </c>
      <c r="T84" s="165" t="s">
        <v>2137</v>
      </c>
      <c r="U84" s="75"/>
      <c r="V84" s="75"/>
      <c r="W84" s="166"/>
      <c r="X84" s="166"/>
      <c r="Y84" s="167"/>
      <c r="Z84" s="167"/>
    </row>
    <row r="85" spans="1:26">
      <c r="A85" s="162"/>
      <c r="B85" s="163"/>
      <c r="C85" s="132" t="s">
        <v>2134</v>
      </c>
      <c r="D85" s="66" t="s">
        <v>26</v>
      </c>
      <c r="E85" s="66" t="s">
        <v>386</v>
      </c>
      <c r="F85" s="66" t="s">
        <v>387</v>
      </c>
      <c r="G85" s="69" t="s">
        <v>2138</v>
      </c>
      <c r="H85" s="69" t="s">
        <v>30</v>
      </c>
      <c r="I85" s="66">
        <v>20</v>
      </c>
      <c r="J85" s="70">
        <v>105</v>
      </c>
      <c r="K85" s="75">
        <f t="shared" si="3"/>
        <v>2100</v>
      </c>
      <c r="L85" s="55" t="b">
        <v>1</v>
      </c>
      <c r="M85" s="154">
        <v>160920241001</v>
      </c>
      <c r="N85" s="57" t="b">
        <v>1</v>
      </c>
      <c r="O85" s="58"/>
      <c r="P85" s="59" t="b">
        <v>1</v>
      </c>
      <c r="Q85" s="164"/>
      <c r="R85" s="57"/>
      <c r="S85" s="47" t="b">
        <v>1</v>
      </c>
      <c r="T85" s="165" t="s">
        <v>2139</v>
      </c>
      <c r="U85" s="75"/>
      <c r="V85" s="75"/>
      <c r="W85" s="166"/>
      <c r="X85" s="166"/>
      <c r="Y85" s="167"/>
      <c r="Z85" s="167"/>
    </row>
    <row r="86" spans="1:26">
      <c r="A86" s="101"/>
      <c r="B86" s="32"/>
      <c r="C86" s="71" t="s">
        <v>2134</v>
      </c>
      <c r="D86" s="53" t="s">
        <v>26</v>
      </c>
      <c r="E86" s="53" t="s">
        <v>386</v>
      </c>
      <c r="F86" s="66" t="s">
        <v>387</v>
      </c>
      <c r="G86" s="69" t="s">
        <v>2140</v>
      </c>
      <c r="H86" s="69" t="s">
        <v>30</v>
      </c>
      <c r="I86" s="53">
        <v>10</v>
      </c>
      <c r="J86" s="70">
        <v>90</v>
      </c>
      <c r="K86" s="75">
        <f t="shared" si="3"/>
        <v>900</v>
      </c>
      <c r="L86" s="55" t="b">
        <v>1</v>
      </c>
      <c r="M86" s="154">
        <v>160920241001</v>
      </c>
      <c r="N86" s="57" t="b">
        <v>1</v>
      </c>
      <c r="O86" s="58" t="s">
        <v>31</v>
      </c>
      <c r="P86" s="59" t="b">
        <v>1</v>
      </c>
      <c r="Q86" s="129"/>
      <c r="R86" s="60"/>
      <c r="S86" s="150" t="b">
        <v>1</v>
      </c>
      <c r="T86" s="165" t="s">
        <v>2141</v>
      </c>
      <c r="U86" s="54"/>
      <c r="V86" s="54"/>
      <c r="W86" s="49"/>
      <c r="X86" s="49"/>
    </row>
    <row r="87" spans="1:26">
      <c r="A87" s="162"/>
      <c r="B87" s="163"/>
      <c r="C87" s="132" t="s">
        <v>2134</v>
      </c>
      <c r="D87" s="66" t="s">
        <v>26</v>
      </c>
      <c r="E87" s="66" t="s">
        <v>386</v>
      </c>
      <c r="F87" s="66" t="s">
        <v>387</v>
      </c>
      <c r="G87" s="69" t="s">
        <v>677</v>
      </c>
      <c r="H87" s="69" t="s">
        <v>30</v>
      </c>
      <c r="I87" s="53">
        <v>16</v>
      </c>
      <c r="J87" s="70">
        <v>105</v>
      </c>
      <c r="K87" s="75">
        <f t="shared" si="3"/>
        <v>1680</v>
      </c>
      <c r="L87" s="55" t="b">
        <v>1</v>
      </c>
      <c r="M87" s="154">
        <v>160920241044</v>
      </c>
      <c r="N87" s="57" t="b">
        <v>1</v>
      </c>
      <c r="O87" s="58" t="s">
        <v>31</v>
      </c>
      <c r="P87" s="59" t="b">
        <v>1</v>
      </c>
      <c r="Q87" s="164"/>
      <c r="R87" s="57"/>
      <c r="S87" s="150" t="b">
        <v>1</v>
      </c>
      <c r="T87" s="165" t="s">
        <v>2141</v>
      </c>
      <c r="U87" s="75"/>
      <c r="V87" s="75"/>
      <c r="W87" s="166"/>
      <c r="X87" s="166"/>
      <c r="Y87" s="167"/>
      <c r="Z87" s="167"/>
    </row>
    <row r="88" spans="1:26">
      <c r="A88" s="101"/>
      <c r="B88" s="32"/>
      <c r="C88" s="132" t="s">
        <v>2142</v>
      </c>
      <c r="D88" s="53" t="s">
        <v>51</v>
      </c>
      <c r="E88" s="53" t="s">
        <v>475</v>
      </c>
      <c r="F88" s="151" t="s">
        <v>2105</v>
      </c>
      <c r="G88" s="69" t="s">
        <v>2143</v>
      </c>
      <c r="H88" s="69" t="s">
        <v>30</v>
      </c>
      <c r="I88" s="53">
        <v>1</v>
      </c>
      <c r="J88" s="70">
        <v>8750</v>
      </c>
      <c r="K88" s="75">
        <f t="shared" si="3"/>
        <v>8750</v>
      </c>
      <c r="L88" s="55" t="b">
        <v>1</v>
      </c>
      <c r="M88" s="154">
        <v>170920241001</v>
      </c>
      <c r="N88" s="57" t="b">
        <v>1</v>
      </c>
      <c r="O88" s="58"/>
      <c r="P88" s="59" t="b">
        <v>1</v>
      </c>
      <c r="Q88" s="129"/>
      <c r="R88" s="60"/>
      <c r="S88" s="150" t="b">
        <v>1</v>
      </c>
      <c r="T88" s="165" t="s">
        <v>2144</v>
      </c>
      <c r="U88" s="54">
        <v>4650</v>
      </c>
      <c r="V88" s="54"/>
      <c r="W88" s="49"/>
      <c r="X88" s="49"/>
    </row>
    <row r="89" spans="1:26">
      <c r="A89" s="162"/>
      <c r="B89" s="163"/>
      <c r="C89" s="132" t="s">
        <v>2134</v>
      </c>
      <c r="D89" s="53" t="s">
        <v>51</v>
      </c>
      <c r="E89" s="53" t="s">
        <v>475</v>
      </c>
      <c r="F89" s="151" t="s">
        <v>2105</v>
      </c>
      <c r="G89" s="69" t="s">
        <v>2145</v>
      </c>
      <c r="H89" s="69" t="s">
        <v>30</v>
      </c>
      <c r="I89" s="53">
        <v>6</v>
      </c>
      <c r="J89" s="70">
        <v>775</v>
      </c>
      <c r="K89" s="75">
        <f t="shared" si="3"/>
        <v>4650</v>
      </c>
      <c r="L89" s="55" t="b">
        <v>1</v>
      </c>
      <c r="M89" s="154">
        <v>170920241001</v>
      </c>
      <c r="N89" s="57" t="b">
        <v>1</v>
      </c>
      <c r="O89" s="58"/>
      <c r="P89" s="59" t="b">
        <v>1</v>
      </c>
      <c r="Q89" s="164"/>
      <c r="R89" s="165"/>
      <c r="S89" s="150" t="b">
        <v>1</v>
      </c>
      <c r="T89" s="165" t="s">
        <v>2144</v>
      </c>
      <c r="U89" s="75"/>
      <c r="V89" s="75"/>
      <c r="W89" s="166"/>
      <c r="X89" s="166"/>
      <c r="Y89" s="167"/>
      <c r="Z89" s="167"/>
    </row>
    <row r="90" spans="1:26">
      <c r="A90" s="101"/>
      <c r="B90" s="32"/>
      <c r="C90" s="132" t="s">
        <v>2134</v>
      </c>
      <c r="D90" s="53" t="s">
        <v>51</v>
      </c>
      <c r="E90" s="53" t="s">
        <v>475</v>
      </c>
      <c r="F90" s="151" t="s">
        <v>2105</v>
      </c>
      <c r="G90" s="69" t="s">
        <v>2146</v>
      </c>
      <c r="H90" s="69" t="s">
        <v>30</v>
      </c>
      <c r="I90" s="53">
        <v>4</v>
      </c>
      <c r="J90" s="70">
        <v>985</v>
      </c>
      <c r="K90" s="75">
        <f t="shared" si="3"/>
        <v>3940</v>
      </c>
      <c r="L90" s="55" t="b">
        <v>1</v>
      </c>
      <c r="M90" s="154">
        <v>170920241044</v>
      </c>
      <c r="N90" s="57" t="b">
        <v>1</v>
      </c>
      <c r="O90" s="58"/>
      <c r="P90" s="59" t="b">
        <v>1</v>
      </c>
      <c r="Q90" s="129"/>
      <c r="R90" s="61"/>
      <c r="S90" s="150" t="b">
        <v>1</v>
      </c>
      <c r="T90" s="165" t="s">
        <v>2144</v>
      </c>
      <c r="U90" s="54"/>
      <c r="V90" s="54"/>
      <c r="W90" s="49"/>
      <c r="X90" s="49"/>
    </row>
    <row r="91" spans="1:26">
      <c r="A91" s="162"/>
      <c r="B91" s="163"/>
      <c r="C91" s="132" t="s">
        <v>2134</v>
      </c>
      <c r="D91" s="66" t="s">
        <v>904</v>
      </c>
      <c r="E91" s="66">
        <v>41</v>
      </c>
      <c r="F91" s="66" t="s">
        <v>1552</v>
      </c>
      <c r="G91" s="69" t="s">
        <v>374</v>
      </c>
      <c r="H91" s="69" t="s">
        <v>30</v>
      </c>
      <c r="I91" s="66">
        <v>200</v>
      </c>
      <c r="J91" s="70">
        <v>30</v>
      </c>
      <c r="K91" s="75">
        <f t="shared" si="3"/>
        <v>6000</v>
      </c>
      <c r="L91" s="55" t="b">
        <v>1</v>
      </c>
      <c r="M91" s="154">
        <v>170920241044</v>
      </c>
      <c r="N91" s="57" t="b">
        <v>1</v>
      </c>
      <c r="O91" s="58" t="s">
        <v>31</v>
      </c>
      <c r="P91" s="59" t="b">
        <v>1</v>
      </c>
      <c r="Q91" s="167"/>
      <c r="R91" s="165"/>
      <c r="S91" s="47" t="b">
        <v>1</v>
      </c>
      <c r="T91" s="165" t="s">
        <v>2147</v>
      </c>
      <c r="U91" s="75"/>
      <c r="V91" s="75"/>
      <c r="W91" s="166"/>
      <c r="X91" s="166"/>
      <c r="Y91" s="167"/>
      <c r="Z91" s="167"/>
    </row>
    <row r="92" spans="1:26">
      <c r="A92" s="101"/>
      <c r="B92" s="32"/>
      <c r="C92" s="71" t="s">
        <v>2134</v>
      </c>
      <c r="D92" s="53" t="s">
        <v>397</v>
      </c>
      <c r="E92" s="53" t="s">
        <v>213</v>
      </c>
      <c r="F92" s="151" t="s">
        <v>859</v>
      </c>
      <c r="G92" s="69" t="s">
        <v>49</v>
      </c>
      <c r="H92" s="69" t="s">
        <v>30</v>
      </c>
      <c r="I92" s="53">
        <v>10</v>
      </c>
      <c r="J92" s="70">
        <v>550</v>
      </c>
      <c r="K92" s="75">
        <f t="shared" si="3"/>
        <v>5500</v>
      </c>
      <c r="L92" s="55" t="b">
        <v>1</v>
      </c>
      <c r="M92" s="154">
        <v>170920241044</v>
      </c>
      <c r="N92" s="57" t="b">
        <v>1</v>
      </c>
      <c r="O92" s="58"/>
      <c r="P92" s="59" t="b">
        <v>1</v>
      </c>
      <c r="Q92" s="164"/>
      <c r="R92" s="60"/>
      <c r="S92" s="150" t="b">
        <v>1</v>
      </c>
      <c r="T92" s="165" t="s">
        <v>2148</v>
      </c>
      <c r="U92" s="54" t="s">
        <v>2149</v>
      </c>
      <c r="V92" s="54"/>
      <c r="W92" s="49"/>
      <c r="X92" s="49"/>
    </row>
    <row r="93" spans="1:26">
      <c r="A93" s="101"/>
      <c r="B93" s="32"/>
      <c r="C93" s="71" t="s">
        <v>2134</v>
      </c>
      <c r="D93" s="53" t="s">
        <v>144</v>
      </c>
      <c r="E93" s="53" t="s">
        <v>2150</v>
      </c>
      <c r="F93" s="66" t="s">
        <v>582</v>
      </c>
      <c r="G93" s="69" t="s">
        <v>58</v>
      </c>
      <c r="H93" s="69" t="s">
        <v>30</v>
      </c>
      <c r="I93" s="53">
        <v>84</v>
      </c>
      <c r="J93" s="70">
        <v>35</v>
      </c>
      <c r="K93" s="75">
        <f t="shared" si="3"/>
        <v>2940</v>
      </c>
      <c r="L93" s="55" t="b">
        <v>1</v>
      </c>
      <c r="M93" s="154">
        <v>170920241044</v>
      </c>
      <c r="N93" s="57" t="b">
        <v>1</v>
      </c>
      <c r="O93" s="58"/>
      <c r="P93" s="59" t="b">
        <v>1</v>
      </c>
      <c r="Q93" s="129"/>
      <c r="R93" s="60"/>
      <c r="S93" s="150" t="b">
        <v>1</v>
      </c>
      <c r="T93" s="165" t="s">
        <v>2151</v>
      </c>
      <c r="U93" s="54"/>
      <c r="V93" s="54"/>
      <c r="W93" s="49"/>
      <c r="X93" s="49"/>
    </row>
    <row r="94" spans="1:26">
      <c r="A94" s="101"/>
      <c r="B94" s="32"/>
      <c r="C94" s="71" t="s">
        <v>2134</v>
      </c>
      <c r="D94" s="66" t="s">
        <v>2152</v>
      </c>
      <c r="E94" s="66" t="s">
        <v>2153</v>
      </c>
      <c r="F94" s="69" t="s">
        <v>2154</v>
      </c>
      <c r="G94" s="69" t="s">
        <v>1960</v>
      </c>
      <c r="H94" s="70" t="s">
        <v>30</v>
      </c>
      <c r="I94" s="69">
        <v>1</v>
      </c>
      <c r="J94" s="70">
        <v>10995</v>
      </c>
      <c r="K94" s="75">
        <f t="shared" si="3"/>
        <v>10995</v>
      </c>
      <c r="L94" s="55" t="b">
        <v>1</v>
      </c>
      <c r="M94" s="154">
        <v>170920241044</v>
      </c>
      <c r="N94" s="57" t="b">
        <v>1</v>
      </c>
      <c r="O94" s="58" t="s">
        <v>31</v>
      </c>
      <c r="P94" s="59" t="b">
        <v>1</v>
      </c>
      <c r="Q94" s="129"/>
      <c r="R94" s="60"/>
      <c r="S94" s="150" t="b">
        <v>1</v>
      </c>
      <c r="T94" s="165" t="s">
        <v>2155</v>
      </c>
      <c r="U94" s="54"/>
      <c r="V94" s="54"/>
      <c r="W94" s="49"/>
      <c r="X94" s="49"/>
    </row>
    <row r="95" spans="1:26">
      <c r="A95" s="101"/>
      <c r="B95" s="32"/>
      <c r="C95" s="71" t="s">
        <v>2156</v>
      </c>
      <c r="D95" s="53" t="s">
        <v>108</v>
      </c>
      <c r="E95" s="53" t="s">
        <v>109</v>
      </c>
      <c r="F95" s="66" t="s">
        <v>110</v>
      </c>
      <c r="G95" s="69" t="s">
        <v>1952</v>
      </c>
      <c r="H95" s="69" t="s">
        <v>30</v>
      </c>
      <c r="I95" s="53">
        <v>10</v>
      </c>
      <c r="J95" s="70">
        <v>550</v>
      </c>
      <c r="K95" s="75">
        <f t="shared" si="3"/>
        <v>5500</v>
      </c>
      <c r="L95" s="55" t="b">
        <v>1</v>
      </c>
      <c r="M95" s="154">
        <v>170920241044</v>
      </c>
      <c r="N95" s="57" t="b">
        <v>1</v>
      </c>
      <c r="O95" s="58" t="s">
        <v>31</v>
      </c>
      <c r="P95" s="59" t="b">
        <v>1</v>
      </c>
      <c r="Q95" s="129"/>
      <c r="R95" s="60"/>
      <c r="S95" s="150" t="b">
        <v>1</v>
      </c>
      <c r="T95" s="165" t="s">
        <v>2157</v>
      </c>
      <c r="U95" s="54"/>
      <c r="V95" s="54"/>
      <c r="W95" s="49"/>
      <c r="X95" s="49"/>
    </row>
    <row r="96" spans="1:26">
      <c r="A96" s="162"/>
      <c r="B96" s="163"/>
      <c r="C96" s="132" t="s">
        <v>2156</v>
      </c>
      <c r="D96" s="66" t="s">
        <v>108</v>
      </c>
      <c r="E96" s="66" t="s">
        <v>109</v>
      </c>
      <c r="F96" s="66" t="s">
        <v>110</v>
      </c>
      <c r="G96" s="69" t="s">
        <v>300</v>
      </c>
      <c r="H96" s="69" t="s">
        <v>30</v>
      </c>
      <c r="I96" s="66">
        <v>10</v>
      </c>
      <c r="J96" s="70">
        <v>105</v>
      </c>
      <c r="K96" s="75">
        <f t="shared" si="3"/>
        <v>1050</v>
      </c>
      <c r="L96" s="55" t="b">
        <v>1</v>
      </c>
      <c r="M96" s="154">
        <v>170920241044</v>
      </c>
      <c r="N96" s="57" t="b">
        <v>1</v>
      </c>
      <c r="O96" s="58" t="s">
        <v>31</v>
      </c>
      <c r="P96" s="59" t="b">
        <v>1</v>
      </c>
      <c r="Q96" s="164"/>
      <c r="R96" s="57"/>
      <c r="S96" s="47" t="b">
        <v>1</v>
      </c>
      <c r="T96" s="165" t="s">
        <v>2158</v>
      </c>
      <c r="U96" s="75"/>
      <c r="V96" s="75"/>
      <c r="W96" s="166"/>
      <c r="X96" s="166"/>
      <c r="Y96" s="167"/>
      <c r="Z96" s="167"/>
    </row>
    <row r="97" spans="1:26">
      <c r="A97" s="162"/>
      <c r="B97" s="163"/>
      <c r="C97" s="132" t="s">
        <v>2156</v>
      </c>
      <c r="D97" s="66" t="s">
        <v>108</v>
      </c>
      <c r="E97" s="66" t="s">
        <v>109</v>
      </c>
      <c r="F97" s="66" t="s">
        <v>110</v>
      </c>
      <c r="G97" s="159" t="s">
        <v>1700</v>
      </c>
      <c r="H97" s="69" t="s">
        <v>30</v>
      </c>
      <c r="I97" s="53">
        <v>100</v>
      </c>
      <c r="J97" s="70">
        <v>15</v>
      </c>
      <c r="K97" s="75">
        <f t="shared" si="3"/>
        <v>1500</v>
      </c>
      <c r="L97" s="55" t="b">
        <v>1</v>
      </c>
      <c r="M97" s="154">
        <v>170920241044</v>
      </c>
      <c r="N97" s="57" t="b">
        <v>1</v>
      </c>
      <c r="O97" s="58" t="s">
        <v>31</v>
      </c>
      <c r="P97" s="59" t="b">
        <v>1</v>
      </c>
      <c r="Q97" s="164"/>
      <c r="R97" s="57"/>
      <c r="S97" s="150" t="b">
        <v>1</v>
      </c>
      <c r="T97" s="165" t="s">
        <v>2159</v>
      </c>
      <c r="U97" s="75"/>
      <c r="V97" s="75"/>
      <c r="W97" s="166"/>
      <c r="X97" s="166"/>
      <c r="Y97" s="167"/>
      <c r="Z97" s="167"/>
    </row>
    <row r="98" spans="1:26">
      <c r="A98" s="162"/>
      <c r="B98" s="163"/>
      <c r="C98" s="132" t="s">
        <v>2160</v>
      </c>
      <c r="D98" s="66" t="s">
        <v>51</v>
      </c>
      <c r="E98" s="66" t="s">
        <v>201</v>
      </c>
      <c r="F98" s="66" t="s">
        <v>1208</v>
      </c>
      <c r="G98" s="69" t="s">
        <v>2161</v>
      </c>
      <c r="H98" s="69" t="s">
        <v>30</v>
      </c>
      <c r="I98" s="53">
        <v>3</v>
      </c>
      <c r="J98" s="70">
        <v>985</v>
      </c>
      <c r="K98" s="75">
        <f t="shared" si="3"/>
        <v>2955</v>
      </c>
      <c r="L98" s="55" t="b">
        <v>1</v>
      </c>
      <c r="M98" s="56">
        <v>180920241026</v>
      </c>
      <c r="N98" s="57" t="b">
        <v>1</v>
      </c>
      <c r="O98" s="58" t="s">
        <v>31</v>
      </c>
      <c r="P98" s="59" t="b">
        <v>1</v>
      </c>
      <c r="Q98" s="129"/>
      <c r="R98" s="57"/>
      <c r="S98" s="150" t="b">
        <v>1</v>
      </c>
      <c r="T98" s="165" t="s">
        <v>2162</v>
      </c>
      <c r="U98" s="75"/>
      <c r="V98" s="75"/>
      <c r="W98" s="166"/>
      <c r="X98" s="166"/>
      <c r="Y98" s="167"/>
      <c r="Z98" s="167"/>
    </row>
    <row r="99" spans="1:26">
      <c r="A99" s="101"/>
      <c r="B99" s="32"/>
      <c r="C99" s="71" t="s">
        <v>2163</v>
      </c>
      <c r="D99" s="53" t="s">
        <v>98</v>
      </c>
      <c r="E99" s="53" t="s">
        <v>2164</v>
      </c>
      <c r="F99" s="66" t="s">
        <v>2165</v>
      </c>
      <c r="G99" s="69" t="s">
        <v>58</v>
      </c>
      <c r="H99" s="69" t="s">
        <v>30</v>
      </c>
      <c r="I99" s="53">
        <v>84</v>
      </c>
      <c r="J99" s="70">
        <v>35</v>
      </c>
      <c r="K99" s="75">
        <f t="shared" si="3"/>
        <v>2940</v>
      </c>
      <c r="L99" s="55" t="b">
        <v>1</v>
      </c>
      <c r="M99" s="56">
        <v>190920240941</v>
      </c>
      <c r="N99" s="57" t="b">
        <v>1</v>
      </c>
      <c r="O99" s="58"/>
      <c r="P99" s="59" t="b">
        <v>1</v>
      </c>
      <c r="Q99" s="129"/>
      <c r="R99" s="61"/>
      <c r="S99" s="150" t="b">
        <v>1</v>
      </c>
      <c r="T99" s="165" t="s">
        <v>2166</v>
      </c>
      <c r="U99" s="54"/>
      <c r="V99" s="54"/>
      <c r="W99" s="49"/>
      <c r="X99" s="49"/>
    </row>
    <row r="100" spans="1:26">
      <c r="A100" s="101"/>
      <c r="B100" s="32"/>
      <c r="C100" s="71" t="s">
        <v>2163</v>
      </c>
      <c r="D100" s="53" t="s">
        <v>98</v>
      </c>
      <c r="E100" s="53" t="s">
        <v>99</v>
      </c>
      <c r="F100" s="66" t="s">
        <v>444</v>
      </c>
      <c r="G100" s="69" t="s">
        <v>236</v>
      </c>
      <c r="H100" s="69" t="s">
        <v>30</v>
      </c>
      <c r="I100" s="53">
        <v>12</v>
      </c>
      <c r="J100" s="70">
        <v>150</v>
      </c>
      <c r="K100" s="75">
        <f t="shared" si="3"/>
        <v>1800</v>
      </c>
      <c r="L100" s="55" t="b">
        <v>1</v>
      </c>
      <c r="M100" s="56">
        <v>190020240943</v>
      </c>
      <c r="N100" s="57" t="b">
        <v>1</v>
      </c>
      <c r="O100" s="58"/>
      <c r="P100" s="59" t="b">
        <v>1</v>
      </c>
      <c r="Q100" s="164"/>
      <c r="R100" s="60"/>
      <c r="S100" s="150" t="b">
        <v>1</v>
      </c>
      <c r="T100" s="165" t="s">
        <v>2167</v>
      </c>
      <c r="U100" s="54"/>
      <c r="V100" s="54"/>
      <c r="W100" s="49"/>
      <c r="X100" s="49"/>
    </row>
    <row r="101" spans="1:26">
      <c r="A101" s="162"/>
      <c r="B101" s="163"/>
      <c r="C101" s="132" t="s">
        <v>2163</v>
      </c>
      <c r="D101" s="66" t="s">
        <v>104</v>
      </c>
      <c r="E101" s="66" t="s">
        <v>296</v>
      </c>
      <c r="F101" s="66" t="s">
        <v>297</v>
      </c>
      <c r="G101" s="69" t="s">
        <v>1197</v>
      </c>
      <c r="H101" s="69" t="s">
        <v>30</v>
      </c>
      <c r="I101" s="66">
        <v>1</v>
      </c>
      <c r="J101" s="70">
        <v>850</v>
      </c>
      <c r="K101" s="75">
        <f t="shared" si="3"/>
        <v>850</v>
      </c>
      <c r="L101" s="55" t="b">
        <v>1</v>
      </c>
      <c r="M101" s="154">
        <v>100920241151</v>
      </c>
      <c r="N101" s="57" t="b">
        <v>1</v>
      </c>
      <c r="O101" s="58" t="s">
        <v>31</v>
      </c>
      <c r="P101" s="59" t="b">
        <v>1</v>
      </c>
      <c r="Q101" s="164"/>
      <c r="R101" s="57"/>
      <c r="S101" s="47" t="b">
        <v>1</v>
      </c>
      <c r="T101" s="165" t="s">
        <v>2168</v>
      </c>
      <c r="U101" s="75"/>
      <c r="V101" s="75"/>
      <c r="W101" s="166"/>
      <c r="X101" s="166"/>
      <c r="Y101" s="167"/>
      <c r="Z101" s="167"/>
    </row>
    <row r="102" spans="1:26">
      <c r="A102" s="162"/>
      <c r="B102" s="163"/>
      <c r="C102" s="132" t="s">
        <v>2163</v>
      </c>
      <c r="D102" s="66" t="s">
        <v>104</v>
      </c>
      <c r="E102" s="66" t="s">
        <v>296</v>
      </c>
      <c r="F102" s="66" t="s">
        <v>297</v>
      </c>
      <c r="G102" s="69" t="s">
        <v>1076</v>
      </c>
      <c r="H102" s="69" t="s">
        <v>30</v>
      </c>
      <c r="I102" s="53">
        <v>10</v>
      </c>
      <c r="J102" s="70">
        <v>130</v>
      </c>
      <c r="K102" s="75">
        <f t="shared" si="3"/>
        <v>1300</v>
      </c>
      <c r="L102" s="55" t="b">
        <v>1</v>
      </c>
      <c r="M102" s="154">
        <v>100920241151</v>
      </c>
      <c r="N102" s="57" t="b">
        <v>1</v>
      </c>
      <c r="O102" s="58"/>
      <c r="P102" s="59" t="b">
        <v>1</v>
      </c>
      <c r="Q102" s="129"/>
      <c r="R102" s="57"/>
      <c r="S102" s="150" t="b">
        <v>1</v>
      </c>
      <c r="T102" s="165" t="s">
        <v>2169</v>
      </c>
      <c r="U102" s="75"/>
      <c r="V102" s="75"/>
      <c r="W102" s="166"/>
      <c r="X102" s="166"/>
      <c r="Y102" s="167"/>
      <c r="Z102" s="167"/>
    </row>
    <row r="103" spans="1:26">
      <c r="A103" s="162"/>
      <c r="B103" s="187"/>
      <c r="C103" s="132" t="s">
        <v>2163</v>
      </c>
      <c r="D103" s="66" t="s">
        <v>104</v>
      </c>
      <c r="E103" s="66" t="s">
        <v>296</v>
      </c>
      <c r="F103" s="66" t="s">
        <v>297</v>
      </c>
      <c r="G103" s="66" t="s">
        <v>677</v>
      </c>
      <c r="H103" s="69" t="s">
        <v>30</v>
      </c>
      <c r="I103" s="66">
        <v>20</v>
      </c>
      <c r="J103" s="70">
        <v>105</v>
      </c>
      <c r="K103" s="75">
        <f t="shared" si="3"/>
        <v>2100</v>
      </c>
      <c r="L103" s="55" t="b">
        <v>1</v>
      </c>
      <c r="M103" s="154">
        <v>100920241151</v>
      </c>
      <c r="N103" s="57" t="b">
        <v>1</v>
      </c>
      <c r="O103" s="58"/>
      <c r="P103" s="59" t="b">
        <v>1</v>
      </c>
      <c r="Q103" s="164"/>
      <c r="R103" s="57"/>
      <c r="S103" s="47" t="b">
        <v>1</v>
      </c>
      <c r="T103" s="165" t="s">
        <v>2168</v>
      </c>
      <c r="U103" s="75"/>
      <c r="V103" s="75"/>
      <c r="W103" s="166"/>
      <c r="X103" s="166"/>
      <c r="Y103" s="167"/>
      <c r="Z103" s="167"/>
    </row>
    <row r="104" spans="1:26">
      <c r="A104" s="162"/>
      <c r="B104" s="187"/>
      <c r="C104" s="132" t="s">
        <v>2163</v>
      </c>
      <c r="D104" s="66" t="s">
        <v>104</v>
      </c>
      <c r="E104" s="66" t="s">
        <v>296</v>
      </c>
      <c r="F104" s="66" t="s">
        <v>297</v>
      </c>
      <c r="G104" s="69" t="s">
        <v>1952</v>
      </c>
      <c r="H104" s="69" t="s">
        <v>30</v>
      </c>
      <c r="I104" s="53">
        <v>2</v>
      </c>
      <c r="J104" s="70">
        <v>550</v>
      </c>
      <c r="K104" s="75">
        <f t="shared" si="3"/>
        <v>1100</v>
      </c>
      <c r="L104" s="55" t="b">
        <v>1</v>
      </c>
      <c r="M104" s="154">
        <v>100920241151</v>
      </c>
      <c r="N104" s="57" t="b">
        <v>1</v>
      </c>
      <c r="O104" s="58"/>
      <c r="P104" s="59" t="b">
        <v>1</v>
      </c>
      <c r="Q104" s="129"/>
      <c r="R104" s="57"/>
      <c r="S104" s="150" t="b">
        <v>1</v>
      </c>
      <c r="T104" s="165" t="s">
        <v>2169</v>
      </c>
      <c r="U104" s="75"/>
      <c r="V104" s="75"/>
      <c r="W104" s="166"/>
      <c r="X104" s="166"/>
      <c r="Y104" s="167"/>
      <c r="Z104" s="167"/>
    </row>
    <row r="105" spans="1:26">
      <c r="A105" s="101"/>
      <c r="B105" s="124"/>
      <c r="C105" s="132" t="s">
        <v>2163</v>
      </c>
      <c r="D105" s="66" t="s">
        <v>104</v>
      </c>
      <c r="E105" s="66" t="s">
        <v>296</v>
      </c>
      <c r="F105" s="66" t="s">
        <v>297</v>
      </c>
      <c r="G105" s="69" t="s">
        <v>2170</v>
      </c>
      <c r="H105" s="69" t="s">
        <v>30</v>
      </c>
      <c r="I105" s="53">
        <v>1</v>
      </c>
      <c r="J105" s="70">
        <v>850</v>
      </c>
      <c r="K105" s="75">
        <f t="shared" si="3"/>
        <v>850</v>
      </c>
      <c r="L105" s="55" t="b">
        <v>1</v>
      </c>
      <c r="M105" s="154">
        <v>100920241151</v>
      </c>
      <c r="N105" s="57" t="b">
        <v>1</v>
      </c>
      <c r="O105" s="58"/>
      <c r="P105" s="59" t="b">
        <v>1</v>
      </c>
      <c r="Q105" s="129"/>
      <c r="R105" s="60"/>
      <c r="S105" s="150" t="b">
        <v>1</v>
      </c>
      <c r="T105" s="165" t="s">
        <v>2169</v>
      </c>
      <c r="U105" s="54"/>
      <c r="V105" s="54"/>
      <c r="W105" s="49"/>
      <c r="X105" s="49"/>
    </row>
    <row r="106" spans="1:26">
      <c r="A106" s="162"/>
      <c r="B106" s="187"/>
      <c r="C106" s="132" t="s">
        <v>2163</v>
      </c>
      <c r="D106" s="66" t="s">
        <v>104</v>
      </c>
      <c r="E106" s="66" t="s">
        <v>296</v>
      </c>
      <c r="F106" s="66" t="s">
        <v>297</v>
      </c>
      <c r="G106" s="69" t="s">
        <v>229</v>
      </c>
      <c r="H106" s="69" t="s">
        <v>30</v>
      </c>
      <c r="I106" s="66">
        <v>3</v>
      </c>
      <c r="J106" s="70">
        <v>550</v>
      </c>
      <c r="K106" s="75">
        <f t="shared" si="3"/>
        <v>1650</v>
      </c>
      <c r="L106" s="55" t="b">
        <v>1</v>
      </c>
      <c r="M106" s="154">
        <v>100920241151</v>
      </c>
      <c r="N106" s="57" t="b">
        <v>1</v>
      </c>
      <c r="O106" s="58"/>
      <c r="P106" s="59" t="b">
        <v>1</v>
      </c>
      <c r="Q106" s="164"/>
      <c r="R106" s="165"/>
      <c r="S106" s="47" t="b">
        <v>1</v>
      </c>
      <c r="T106" s="165" t="s">
        <v>2168</v>
      </c>
      <c r="U106" s="75"/>
      <c r="V106" s="75"/>
      <c r="W106" s="166"/>
      <c r="X106" s="166"/>
      <c r="Y106" s="167"/>
      <c r="Z106" s="167"/>
    </row>
    <row r="107" spans="1:26">
      <c r="A107" s="162"/>
      <c r="B107" s="187"/>
      <c r="C107" s="132" t="s">
        <v>2163</v>
      </c>
      <c r="D107" s="66" t="s">
        <v>104</v>
      </c>
      <c r="E107" s="66" t="s">
        <v>296</v>
      </c>
      <c r="F107" s="66" t="s">
        <v>297</v>
      </c>
      <c r="G107" s="69" t="s">
        <v>1700</v>
      </c>
      <c r="H107" s="69" t="s">
        <v>30</v>
      </c>
      <c r="I107" s="53">
        <v>100</v>
      </c>
      <c r="J107" s="70">
        <v>15</v>
      </c>
      <c r="K107" s="75">
        <f t="shared" si="3"/>
        <v>1500</v>
      </c>
      <c r="L107" s="55" t="b">
        <v>1</v>
      </c>
      <c r="M107" s="56">
        <v>100920241215</v>
      </c>
      <c r="N107" s="57" t="b">
        <v>1</v>
      </c>
      <c r="O107" s="58"/>
      <c r="P107" s="59" t="b">
        <v>1</v>
      </c>
      <c r="Q107" s="129"/>
      <c r="R107" s="165"/>
      <c r="S107" s="150" t="b">
        <v>1</v>
      </c>
      <c r="T107" s="165" t="s">
        <v>2169</v>
      </c>
      <c r="U107" s="75"/>
      <c r="V107" s="75"/>
      <c r="W107" s="166"/>
      <c r="X107" s="166"/>
      <c r="Y107" s="167"/>
      <c r="Z107" s="167"/>
    </row>
    <row r="108" spans="1:26">
      <c r="A108" s="162"/>
      <c r="B108" s="163"/>
      <c r="C108" s="132" t="s">
        <v>2171</v>
      </c>
      <c r="D108" s="66" t="s">
        <v>418</v>
      </c>
      <c r="E108" s="66" t="s">
        <v>84</v>
      </c>
      <c r="F108" s="66" t="s">
        <v>85</v>
      </c>
      <c r="G108" s="69" t="s">
        <v>760</v>
      </c>
      <c r="H108" s="69" t="s">
        <v>30</v>
      </c>
      <c r="I108" s="66">
        <v>10</v>
      </c>
      <c r="J108" s="70">
        <v>130</v>
      </c>
      <c r="K108" s="75">
        <f t="shared" si="3"/>
        <v>1300</v>
      </c>
      <c r="L108" s="55" t="b">
        <v>1</v>
      </c>
      <c r="M108" s="154">
        <v>220920241927</v>
      </c>
      <c r="N108" s="57" t="b">
        <v>1</v>
      </c>
      <c r="O108" s="58" t="s">
        <v>31</v>
      </c>
      <c r="P108" s="59" t="b">
        <v>1</v>
      </c>
      <c r="Q108" s="164"/>
      <c r="R108" s="165"/>
      <c r="S108" s="47" t="b">
        <v>1</v>
      </c>
      <c r="T108" s="165" t="s">
        <v>2172</v>
      </c>
      <c r="U108" s="75"/>
      <c r="V108" s="75"/>
      <c r="W108" s="166"/>
      <c r="X108" s="166"/>
      <c r="Y108" s="167"/>
      <c r="Z108" s="167"/>
    </row>
    <row r="109" spans="1:26">
      <c r="A109" s="162"/>
      <c r="B109" s="163"/>
      <c r="C109" s="132" t="s">
        <v>2171</v>
      </c>
      <c r="D109" s="66" t="s">
        <v>418</v>
      </c>
      <c r="E109" s="66" t="s">
        <v>42</v>
      </c>
      <c r="F109" s="66" t="s">
        <v>209</v>
      </c>
      <c r="G109" s="69" t="s">
        <v>2173</v>
      </c>
      <c r="H109" s="69" t="s">
        <v>30</v>
      </c>
      <c r="I109" s="66">
        <v>20</v>
      </c>
      <c r="J109" s="70">
        <v>95</v>
      </c>
      <c r="K109" s="75">
        <f t="shared" si="3"/>
        <v>1900</v>
      </c>
      <c r="L109" s="55" t="b">
        <v>1</v>
      </c>
      <c r="M109" s="154">
        <v>220920241020</v>
      </c>
      <c r="N109" s="57" t="b">
        <v>1</v>
      </c>
      <c r="O109" s="58" t="s">
        <v>31</v>
      </c>
      <c r="P109" s="59" t="b">
        <v>1</v>
      </c>
      <c r="Q109" s="164"/>
      <c r="R109" s="57"/>
      <c r="S109" s="47" t="b">
        <v>1</v>
      </c>
      <c r="T109" s="165" t="s">
        <v>2174</v>
      </c>
      <c r="U109" s="75"/>
      <c r="V109" s="75"/>
      <c r="W109" s="166"/>
      <c r="X109" s="166"/>
      <c r="Y109" s="167"/>
      <c r="Z109" s="167"/>
    </row>
    <row r="110" spans="1:26">
      <c r="A110" s="162"/>
      <c r="B110" s="163"/>
      <c r="C110" s="132" t="s">
        <v>2171</v>
      </c>
      <c r="D110" s="66" t="s">
        <v>418</v>
      </c>
      <c r="E110" s="66" t="s">
        <v>42</v>
      </c>
      <c r="F110" s="66" t="s">
        <v>209</v>
      </c>
      <c r="G110" s="69" t="s">
        <v>2175</v>
      </c>
      <c r="H110" s="69" t="s">
        <v>30</v>
      </c>
      <c r="I110" s="66">
        <v>18</v>
      </c>
      <c r="J110" s="70">
        <v>105</v>
      </c>
      <c r="K110" s="75">
        <f t="shared" si="3"/>
        <v>1890</v>
      </c>
      <c r="L110" s="55" t="b">
        <v>1</v>
      </c>
      <c r="M110" s="154">
        <v>220920241020</v>
      </c>
      <c r="N110" s="57" t="b">
        <v>1</v>
      </c>
      <c r="O110" s="58" t="s">
        <v>31</v>
      </c>
      <c r="P110" s="59" t="b">
        <v>1</v>
      </c>
      <c r="Q110" s="164"/>
      <c r="R110" s="57"/>
      <c r="S110" s="47" t="b">
        <v>1</v>
      </c>
      <c r="T110" s="165" t="s">
        <v>2174</v>
      </c>
      <c r="U110" s="75"/>
      <c r="V110" s="75"/>
      <c r="W110" s="166"/>
      <c r="X110" s="166"/>
      <c r="Y110" s="167"/>
      <c r="Z110" s="167"/>
    </row>
    <row r="111" spans="1:26">
      <c r="A111" s="162"/>
      <c r="B111" s="163"/>
      <c r="C111" s="132" t="s">
        <v>2171</v>
      </c>
      <c r="D111" s="66" t="s">
        <v>212</v>
      </c>
      <c r="E111" s="66" t="s">
        <v>311</v>
      </c>
      <c r="F111" s="66" t="s">
        <v>312</v>
      </c>
      <c r="G111" s="66" t="s">
        <v>2176</v>
      </c>
      <c r="H111" s="69" t="s">
        <v>30</v>
      </c>
      <c r="I111" s="66">
        <v>1</v>
      </c>
      <c r="J111" s="70">
        <v>1850</v>
      </c>
      <c r="K111" s="75">
        <f t="shared" si="3"/>
        <v>1850</v>
      </c>
      <c r="L111" s="55" t="b">
        <v>1</v>
      </c>
      <c r="M111" s="154">
        <v>220920241933</v>
      </c>
      <c r="N111" s="57" t="b">
        <v>1</v>
      </c>
      <c r="O111" s="58" t="s">
        <v>31</v>
      </c>
      <c r="P111" s="59" t="b">
        <v>1</v>
      </c>
      <c r="Q111" s="164"/>
      <c r="R111" s="57"/>
      <c r="S111" s="47" t="b">
        <v>1</v>
      </c>
      <c r="T111" s="165" t="s">
        <v>2177</v>
      </c>
      <c r="U111" s="75"/>
      <c r="V111" s="75"/>
      <c r="W111" s="166"/>
      <c r="X111" s="166"/>
      <c r="Y111" s="167"/>
      <c r="Z111" s="167"/>
    </row>
    <row r="112" spans="1:26">
      <c r="A112" s="162"/>
      <c r="B112" s="163"/>
      <c r="C112" s="132" t="s">
        <v>2171</v>
      </c>
      <c r="D112" s="66" t="s">
        <v>832</v>
      </c>
      <c r="E112" s="66" t="s">
        <v>833</v>
      </c>
      <c r="F112" s="66" t="s">
        <v>834</v>
      </c>
      <c r="G112" s="69" t="s">
        <v>177</v>
      </c>
      <c r="H112" s="69" t="s">
        <v>30</v>
      </c>
      <c r="I112" s="69">
        <v>5</v>
      </c>
      <c r="J112" s="70">
        <v>810</v>
      </c>
      <c r="K112" s="75">
        <f t="shared" si="3"/>
        <v>4050</v>
      </c>
      <c r="L112" s="55" t="b">
        <v>1</v>
      </c>
      <c r="M112" s="154">
        <v>220920241934</v>
      </c>
      <c r="N112" s="57" t="b">
        <v>1</v>
      </c>
      <c r="O112" s="58" t="s">
        <v>351</v>
      </c>
      <c r="P112" s="59" t="b">
        <v>1</v>
      </c>
      <c r="Q112" s="164"/>
      <c r="R112" s="57"/>
      <c r="S112" s="47" t="b">
        <v>1</v>
      </c>
      <c r="T112" s="165" t="s">
        <v>2178</v>
      </c>
      <c r="U112" s="75"/>
      <c r="V112" s="75"/>
      <c r="W112" s="166"/>
      <c r="X112" s="166"/>
      <c r="Y112" s="167"/>
      <c r="Z112" s="167"/>
    </row>
    <row r="113" spans="1:26">
      <c r="A113" s="162"/>
      <c r="B113" s="163"/>
      <c r="C113" s="132" t="s">
        <v>2171</v>
      </c>
      <c r="D113" s="66" t="s">
        <v>1899</v>
      </c>
      <c r="E113" s="66" t="s">
        <v>137</v>
      </c>
      <c r="F113" s="66" t="s">
        <v>2032</v>
      </c>
      <c r="G113" s="66" t="s">
        <v>1966</v>
      </c>
      <c r="H113" s="69" t="s">
        <v>30</v>
      </c>
      <c r="I113" s="69">
        <v>10</v>
      </c>
      <c r="J113" s="70">
        <v>550</v>
      </c>
      <c r="K113" s="75">
        <f t="shared" si="3"/>
        <v>5500</v>
      </c>
      <c r="L113" s="55" t="b">
        <v>1</v>
      </c>
      <c r="M113" s="154">
        <v>220920241936</v>
      </c>
      <c r="N113" s="57" t="b">
        <v>1</v>
      </c>
      <c r="O113" s="58" t="s">
        <v>31</v>
      </c>
      <c r="P113" s="59" t="b">
        <v>1</v>
      </c>
      <c r="Q113" s="164"/>
      <c r="R113" s="57"/>
      <c r="S113" s="47" t="b">
        <v>1</v>
      </c>
      <c r="T113" s="165" t="s">
        <v>2074</v>
      </c>
      <c r="U113" s="75"/>
      <c r="V113" s="75"/>
      <c r="W113" s="166"/>
      <c r="X113" s="166"/>
      <c r="Y113" s="167"/>
      <c r="Z113" s="167"/>
    </row>
    <row r="114" spans="1:26">
      <c r="A114" s="162"/>
      <c r="B114" s="163"/>
      <c r="C114" s="132" t="s">
        <v>2171</v>
      </c>
      <c r="D114" s="66" t="s">
        <v>1899</v>
      </c>
      <c r="E114" s="66" t="s">
        <v>137</v>
      </c>
      <c r="F114" s="66" t="s">
        <v>2032</v>
      </c>
      <c r="G114" s="69" t="s">
        <v>442</v>
      </c>
      <c r="H114" s="69" t="s">
        <v>30</v>
      </c>
      <c r="I114" s="69">
        <v>24</v>
      </c>
      <c r="J114" s="70">
        <v>55</v>
      </c>
      <c r="K114" s="75">
        <f t="shared" si="3"/>
        <v>1320</v>
      </c>
      <c r="L114" s="55" t="b">
        <v>1</v>
      </c>
      <c r="M114" s="154">
        <v>220920241937</v>
      </c>
      <c r="N114" s="57" t="b">
        <v>1</v>
      </c>
      <c r="O114" s="58" t="s">
        <v>31</v>
      </c>
      <c r="P114" s="59" t="b">
        <v>1</v>
      </c>
      <c r="Q114" s="164"/>
      <c r="R114" s="57"/>
      <c r="S114" s="47" t="b">
        <v>1</v>
      </c>
      <c r="T114" s="165" t="s">
        <v>2074</v>
      </c>
      <c r="U114" s="75"/>
      <c r="V114" s="75"/>
      <c r="W114" s="166"/>
      <c r="X114" s="166"/>
      <c r="Y114" s="167"/>
      <c r="Z114" s="167"/>
    </row>
    <row r="115" spans="1:26">
      <c r="A115" s="162"/>
      <c r="B115" s="163"/>
      <c r="C115" s="132" t="s">
        <v>2171</v>
      </c>
      <c r="D115" s="66" t="s">
        <v>51</v>
      </c>
      <c r="E115" s="66" t="s">
        <v>475</v>
      </c>
      <c r="F115" s="66" t="s">
        <v>168</v>
      </c>
      <c r="G115" s="69" t="s">
        <v>1781</v>
      </c>
      <c r="H115" s="69" t="s">
        <v>30</v>
      </c>
      <c r="I115" s="69">
        <v>84</v>
      </c>
      <c r="J115" s="70">
        <v>35</v>
      </c>
      <c r="K115" s="75">
        <f t="shared" si="3"/>
        <v>2940</v>
      </c>
      <c r="L115" s="55" t="b">
        <v>1</v>
      </c>
      <c r="M115" s="154">
        <v>220920241939</v>
      </c>
      <c r="N115" s="57" t="b">
        <v>1</v>
      </c>
      <c r="O115" s="58"/>
      <c r="P115" s="59" t="b">
        <v>1</v>
      </c>
      <c r="Q115" s="164"/>
      <c r="R115" s="57"/>
      <c r="S115" s="47" t="b">
        <v>1</v>
      </c>
      <c r="T115" s="165" t="s">
        <v>2179</v>
      </c>
      <c r="U115" s="75"/>
      <c r="V115" s="75"/>
      <c r="W115" s="166"/>
      <c r="X115" s="166"/>
      <c r="Y115" s="167"/>
      <c r="Z115" s="167"/>
    </row>
    <row r="116" spans="1:26">
      <c r="A116" s="162"/>
      <c r="B116" s="163"/>
      <c r="C116" s="132" t="s">
        <v>2171</v>
      </c>
      <c r="D116" s="66" t="s">
        <v>51</v>
      </c>
      <c r="E116" s="66" t="s">
        <v>475</v>
      </c>
      <c r="F116" s="66" t="s">
        <v>168</v>
      </c>
      <c r="G116" s="69" t="s">
        <v>2180</v>
      </c>
      <c r="H116" s="69" t="s">
        <v>30</v>
      </c>
      <c r="I116" s="69">
        <v>2</v>
      </c>
      <c r="J116" s="70">
        <v>850</v>
      </c>
      <c r="K116" s="75">
        <f t="shared" si="3"/>
        <v>1700</v>
      </c>
      <c r="L116" s="55" t="b">
        <v>1</v>
      </c>
      <c r="M116" s="154">
        <v>220920241939</v>
      </c>
      <c r="N116" s="57" t="b">
        <v>1</v>
      </c>
      <c r="O116" s="58" t="s">
        <v>31</v>
      </c>
      <c r="P116" s="59" t="b">
        <v>1</v>
      </c>
      <c r="Q116" s="164"/>
      <c r="R116" s="57"/>
      <c r="S116" s="47" t="b">
        <v>1</v>
      </c>
      <c r="T116" s="165" t="s">
        <v>2179</v>
      </c>
      <c r="U116" s="75"/>
      <c r="V116" s="75"/>
      <c r="W116" s="166"/>
      <c r="X116" s="166"/>
      <c r="Y116" s="167"/>
      <c r="Z116" s="167"/>
    </row>
    <row r="117" spans="1:26">
      <c r="A117" s="162"/>
      <c r="B117" s="163"/>
      <c r="C117" s="132" t="s">
        <v>2181</v>
      </c>
      <c r="D117" s="66" t="s">
        <v>26</v>
      </c>
      <c r="E117" s="66" t="s">
        <v>2182</v>
      </c>
      <c r="F117" s="66" t="s">
        <v>387</v>
      </c>
      <c r="G117" s="66" t="s">
        <v>58</v>
      </c>
      <c r="H117" s="69" t="s">
        <v>30</v>
      </c>
      <c r="I117" s="69">
        <v>84</v>
      </c>
      <c r="J117" s="70">
        <v>35</v>
      </c>
      <c r="K117" s="75">
        <f t="shared" si="3"/>
        <v>2940</v>
      </c>
      <c r="L117" s="55" t="b">
        <v>1</v>
      </c>
      <c r="M117" s="154">
        <v>230920241511</v>
      </c>
      <c r="N117" s="57" t="b">
        <v>1</v>
      </c>
      <c r="O117" s="58" t="s">
        <v>31</v>
      </c>
      <c r="P117" s="59" t="b">
        <v>1</v>
      </c>
      <c r="Q117" s="164"/>
      <c r="R117" s="57"/>
      <c r="S117" s="47" t="b">
        <v>1</v>
      </c>
      <c r="T117" s="165" t="s">
        <v>2139</v>
      </c>
      <c r="U117" s="75"/>
      <c r="V117" s="75"/>
      <c r="W117" s="166"/>
      <c r="X117" s="166"/>
      <c r="Y117" s="167"/>
      <c r="Z117" s="167"/>
    </row>
    <row r="118" spans="1:26">
      <c r="A118" s="162"/>
      <c r="B118" s="163"/>
      <c r="C118" s="132" t="s">
        <v>2181</v>
      </c>
      <c r="D118" s="66" t="s">
        <v>104</v>
      </c>
      <c r="E118" s="66" t="s">
        <v>316</v>
      </c>
      <c r="F118" s="66" t="s">
        <v>317</v>
      </c>
      <c r="G118" s="69" t="s">
        <v>2183</v>
      </c>
      <c r="H118" s="69" t="s">
        <v>30</v>
      </c>
      <c r="I118" s="69">
        <v>168</v>
      </c>
      <c r="J118" s="70">
        <v>35</v>
      </c>
      <c r="K118" s="75">
        <f t="shared" si="3"/>
        <v>5880</v>
      </c>
      <c r="L118" s="55" t="b">
        <v>1</v>
      </c>
      <c r="M118" s="154">
        <v>230920241639</v>
      </c>
      <c r="N118" s="57" t="b">
        <v>1</v>
      </c>
      <c r="O118" s="58" t="s">
        <v>31</v>
      </c>
      <c r="P118" s="59" t="b">
        <v>1</v>
      </c>
      <c r="Q118" s="164"/>
      <c r="R118" s="57"/>
      <c r="S118" s="47" t="b">
        <v>1</v>
      </c>
      <c r="T118" s="165" t="s">
        <v>2184</v>
      </c>
      <c r="U118" s="75"/>
      <c r="V118" s="75"/>
      <c r="W118" s="166"/>
      <c r="X118" s="166"/>
      <c r="Y118" s="167"/>
      <c r="Z118" s="167"/>
    </row>
    <row r="119" spans="1:26">
      <c r="A119" s="162"/>
      <c r="B119" s="163"/>
      <c r="C119" s="132" t="s">
        <v>2185</v>
      </c>
      <c r="D119" s="66" t="s">
        <v>418</v>
      </c>
      <c r="E119" s="66" t="s">
        <v>84</v>
      </c>
      <c r="F119" s="66" t="s">
        <v>85</v>
      </c>
      <c r="G119" s="159" t="s">
        <v>1966</v>
      </c>
      <c r="H119" s="69" t="s">
        <v>30</v>
      </c>
      <c r="I119" s="69">
        <v>10</v>
      </c>
      <c r="J119" s="70">
        <v>550</v>
      </c>
      <c r="K119" s="75">
        <f t="shared" si="3"/>
        <v>5500</v>
      </c>
      <c r="L119" s="55" t="b">
        <v>1</v>
      </c>
      <c r="M119" s="154">
        <v>230920241643</v>
      </c>
      <c r="N119" s="57" t="b">
        <v>1</v>
      </c>
      <c r="O119" s="58" t="s">
        <v>31</v>
      </c>
      <c r="P119" s="59" t="b">
        <v>1</v>
      </c>
      <c r="Q119" s="164"/>
      <c r="R119" s="167"/>
      <c r="S119" s="47" t="b">
        <v>1</v>
      </c>
      <c r="T119" s="165" t="s">
        <v>2172</v>
      </c>
      <c r="U119" s="75"/>
      <c r="V119" s="75"/>
      <c r="W119" s="166"/>
      <c r="X119" s="166"/>
      <c r="Y119" s="167"/>
      <c r="Z119" s="167"/>
    </row>
    <row r="120" spans="1:26">
      <c r="A120" s="18"/>
      <c r="B120" s="18"/>
      <c r="C120" s="132" t="s">
        <v>2185</v>
      </c>
      <c r="D120" s="66" t="s">
        <v>418</v>
      </c>
      <c r="E120" s="66" t="s">
        <v>84</v>
      </c>
      <c r="F120" s="66" t="s">
        <v>85</v>
      </c>
      <c r="G120" s="159" t="s">
        <v>83</v>
      </c>
      <c r="H120" s="69" t="s">
        <v>30</v>
      </c>
      <c r="I120" s="69">
        <v>1000</v>
      </c>
      <c r="J120" s="70">
        <v>1.5</v>
      </c>
      <c r="K120" s="75">
        <f t="shared" si="3"/>
        <v>1500</v>
      </c>
      <c r="L120" s="55" t="b">
        <v>1</v>
      </c>
      <c r="M120" s="154">
        <v>230920241644</v>
      </c>
      <c r="N120" s="57" t="b">
        <v>1</v>
      </c>
      <c r="O120" s="58" t="s">
        <v>31</v>
      </c>
      <c r="P120" s="59" t="b">
        <v>1</v>
      </c>
      <c r="Q120" s="164"/>
      <c r="R120" s="57"/>
      <c r="S120" s="47" t="b">
        <v>1</v>
      </c>
      <c r="T120" s="165" t="s">
        <v>2172</v>
      </c>
      <c r="U120" s="75"/>
      <c r="V120" s="75"/>
      <c r="W120" s="166"/>
      <c r="X120" s="166"/>
      <c r="Y120" s="167"/>
      <c r="Z120" s="167"/>
    </row>
    <row r="121" spans="1:26">
      <c r="A121" s="18"/>
      <c r="B121" s="18"/>
      <c r="C121" s="132" t="s">
        <v>2185</v>
      </c>
      <c r="D121" s="66" t="s">
        <v>418</v>
      </c>
      <c r="E121" s="66" t="s">
        <v>84</v>
      </c>
      <c r="F121" s="66" t="s">
        <v>85</v>
      </c>
      <c r="G121" s="159" t="s">
        <v>2186</v>
      </c>
      <c r="H121" s="69" t="s">
        <v>30</v>
      </c>
      <c r="I121" s="69">
        <v>100</v>
      </c>
      <c r="J121" s="70">
        <v>7.5</v>
      </c>
      <c r="K121" s="75">
        <f t="shared" si="3"/>
        <v>750</v>
      </c>
      <c r="L121" s="55" t="b">
        <v>1</v>
      </c>
      <c r="M121" s="154">
        <v>230920241819</v>
      </c>
      <c r="N121" s="57" t="b">
        <v>1</v>
      </c>
      <c r="O121" s="58" t="s">
        <v>31</v>
      </c>
      <c r="P121" s="59" t="b">
        <v>1</v>
      </c>
      <c r="Q121" s="164"/>
      <c r="R121" s="57"/>
      <c r="S121" s="47" t="b">
        <v>1</v>
      </c>
      <c r="T121" s="165" t="s">
        <v>2172</v>
      </c>
      <c r="U121" s="75"/>
      <c r="V121" s="75"/>
      <c r="W121" s="166"/>
      <c r="X121" s="166"/>
      <c r="Y121" s="167"/>
      <c r="Z121" s="167"/>
    </row>
    <row r="122" spans="1:26">
      <c r="A122" s="18"/>
      <c r="B122" s="18"/>
      <c r="C122" s="132" t="s">
        <v>2181</v>
      </c>
      <c r="D122" s="66" t="s">
        <v>55</v>
      </c>
      <c r="E122" s="66">
        <v>41</v>
      </c>
      <c r="F122" s="66" t="s">
        <v>1552</v>
      </c>
      <c r="G122" s="159" t="s">
        <v>760</v>
      </c>
      <c r="H122" s="69" t="s">
        <v>30</v>
      </c>
      <c r="I122" s="69">
        <v>20</v>
      </c>
      <c r="J122" s="70">
        <v>130</v>
      </c>
      <c r="K122" s="75">
        <f t="shared" si="3"/>
        <v>2600</v>
      </c>
      <c r="L122" s="55" t="b">
        <v>1</v>
      </c>
      <c r="M122" s="154">
        <v>230920241819</v>
      </c>
      <c r="N122" s="57" t="b">
        <v>1</v>
      </c>
      <c r="O122" s="58" t="s">
        <v>31</v>
      </c>
      <c r="P122" s="59" t="b">
        <v>1</v>
      </c>
      <c r="Q122" s="167"/>
      <c r="R122" s="57"/>
      <c r="S122" s="47" t="b">
        <v>1</v>
      </c>
      <c r="T122" s="165" t="s">
        <v>2147</v>
      </c>
      <c r="U122" s="75"/>
      <c r="V122" s="75"/>
      <c r="W122" s="166"/>
      <c r="X122" s="166"/>
      <c r="Y122" s="167"/>
      <c r="Z122" s="167"/>
    </row>
    <row r="123" spans="1:26">
      <c r="A123" s="18"/>
      <c r="B123" s="18"/>
      <c r="C123" s="132" t="s">
        <v>2181</v>
      </c>
      <c r="D123" s="66" t="s">
        <v>55</v>
      </c>
      <c r="E123" s="66">
        <v>41</v>
      </c>
      <c r="F123" s="66" t="s">
        <v>1552</v>
      </c>
      <c r="G123" s="159" t="s">
        <v>2187</v>
      </c>
      <c r="H123" s="69" t="s">
        <v>30</v>
      </c>
      <c r="I123" s="69">
        <v>10</v>
      </c>
      <c r="J123" s="70">
        <v>300</v>
      </c>
      <c r="K123" s="75">
        <f t="shared" si="3"/>
        <v>3000</v>
      </c>
      <c r="L123" s="55" t="b">
        <v>1</v>
      </c>
      <c r="M123" s="154">
        <v>230920241819</v>
      </c>
      <c r="N123" s="57" t="b">
        <v>1</v>
      </c>
      <c r="O123" s="58" t="s">
        <v>31</v>
      </c>
      <c r="P123" s="59" t="b">
        <v>1</v>
      </c>
      <c r="Q123" s="167"/>
      <c r="R123" s="57"/>
      <c r="S123" s="47" t="b">
        <v>1</v>
      </c>
      <c r="T123" s="165" t="s">
        <v>2147</v>
      </c>
      <c r="U123" s="75"/>
      <c r="V123" s="75"/>
      <c r="W123" s="166"/>
      <c r="X123" s="166"/>
      <c r="Y123" s="167"/>
      <c r="Z123" s="167"/>
    </row>
    <row r="124" spans="1:26">
      <c r="A124" s="132"/>
      <c r="B124" s="66"/>
      <c r="C124" s="132" t="s">
        <v>2181</v>
      </c>
      <c r="D124" s="66" t="s">
        <v>55</v>
      </c>
      <c r="E124" s="66">
        <v>41</v>
      </c>
      <c r="F124" s="66" t="s">
        <v>1552</v>
      </c>
      <c r="G124" s="159" t="s">
        <v>83</v>
      </c>
      <c r="H124" s="69" t="s">
        <v>30</v>
      </c>
      <c r="I124" s="69">
        <v>1000</v>
      </c>
      <c r="J124" s="70">
        <v>1.5</v>
      </c>
      <c r="K124" s="75">
        <f t="shared" si="3"/>
        <v>1500</v>
      </c>
      <c r="L124" s="55" t="b">
        <v>1</v>
      </c>
      <c r="M124" s="154">
        <v>230920241819</v>
      </c>
      <c r="N124" s="57" t="b">
        <v>1</v>
      </c>
      <c r="O124" s="58" t="s">
        <v>31</v>
      </c>
      <c r="P124" s="59" t="b">
        <v>1</v>
      </c>
      <c r="Q124" s="167"/>
      <c r="R124" s="57"/>
      <c r="S124" s="47" t="b">
        <v>1</v>
      </c>
      <c r="T124" s="165" t="s">
        <v>2147</v>
      </c>
      <c r="U124" s="75"/>
      <c r="V124" s="75"/>
      <c r="W124" s="166"/>
      <c r="X124" s="166"/>
      <c r="Y124" s="167"/>
      <c r="Z124" s="167"/>
    </row>
    <row r="125" spans="1:26">
      <c r="A125" s="132"/>
      <c r="B125" s="66"/>
      <c r="C125" s="132" t="s">
        <v>2188</v>
      </c>
      <c r="D125" s="66" t="s">
        <v>51</v>
      </c>
      <c r="E125" s="66" t="s">
        <v>372</v>
      </c>
      <c r="F125" s="66" t="s">
        <v>373</v>
      </c>
      <c r="G125" s="159" t="s">
        <v>2189</v>
      </c>
      <c r="H125" s="69" t="s">
        <v>30</v>
      </c>
      <c r="I125" s="69">
        <v>3</v>
      </c>
      <c r="J125" s="70">
        <v>300</v>
      </c>
      <c r="K125" s="75">
        <f t="shared" si="3"/>
        <v>900</v>
      </c>
      <c r="L125" s="55" t="b">
        <v>1</v>
      </c>
      <c r="M125" s="154">
        <v>240920241005</v>
      </c>
      <c r="N125" s="57" t="b">
        <v>1</v>
      </c>
      <c r="O125" s="58" t="s">
        <v>31</v>
      </c>
      <c r="P125" s="59" t="b">
        <v>1</v>
      </c>
      <c r="Q125" s="164"/>
      <c r="R125" s="57"/>
      <c r="S125" s="47" t="b">
        <v>1</v>
      </c>
      <c r="T125" s="165" t="s">
        <v>2190</v>
      </c>
      <c r="U125" s="75"/>
      <c r="V125" s="75"/>
      <c r="W125" s="166"/>
      <c r="X125" s="166"/>
      <c r="Y125" s="167"/>
      <c r="Z125" s="167"/>
    </row>
    <row r="126" spans="1:26">
      <c r="A126" s="132"/>
      <c r="B126" s="66"/>
      <c r="C126" s="132" t="s">
        <v>2188</v>
      </c>
      <c r="D126" s="66" t="s">
        <v>51</v>
      </c>
      <c r="E126" s="66" t="s">
        <v>475</v>
      </c>
      <c r="F126" s="66" t="s">
        <v>168</v>
      </c>
      <c r="G126" s="159" t="s">
        <v>101</v>
      </c>
      <c r="H126" s="69" t="s">
        <v>30</v>
      </c>
      <c r="I126" s="69">
        <v>35</v>
      </c>
      <c r="J126" s="70">
        <v>875</v>
      </c>
      <c r="K126" s="75">
        <f t="shared" si="3"/>
        <v>30625</v>
      </c>
      <c r="L126" s="55" t="b">
        <v>1</v>
      </c>
      <c r="M126" s="154">
        <v>240920241032</v>
      </c>
      <c r="N126" s="57" t="b">
        <v>1</v>
      </c>
      <c r="O126" s="58" t="s">
        <v>351</v>
      </c>
      <c r="P126" s="59" t="b">
        <v>1</v>
      </c>
      <c r="Q126" s="164"/>
      <c r="R126" s="57"/>
      <c r="S126" s="47" t="b">
        <v>1</v>
      </c>
      <c r="T126" s="165" t="s">
        <v>2179</v>
      </c>
      <c r="U126" s="75"/>
      <c r="V126" s="75"/>
      <c r="W126" s="166"/>
      <c r="X126" s="166"/>
      <c r="Y126" s="167"/>
      <c r="Z126" s="167"/>
    </row>
    <row r="127" spans="1:26">
      <c r="A127" s="132"/>
      <c r="B127" s="66"/>
      <c r="C127" s="132" t="s">
        <v>2188</v>
      </c>
      <c r="D127" s="66" t="s">
        <v>51</v>
      </c>
      <c r="E127" s="66" t="s">
        <v>372</v>
      </c>
      <c r="F127" s="66" t="s">
        <v>373</v>
      </c>
      <c r="G127" s="159" t="s">
        <v>2191</v>
      </c>
      <c r="H127" s="69" t="s">
        <v>30</v>
      </c>
      <c r="I127" s="69">
        <v>500</v>
      </c>
      <c r="J127" s="70">
        <v>2.15</v>
      </c>
      <c r="K127" s="75">
        <f t="shared" si="3"/>
        <v>1075</v>
      </c>
      <c r="L127" s="55" t="b">
        <v>1</v>
      </c>
      <c r="M127" s="154">
        <v>240920241657</v>
      </c>
      <c r="N127" s="57" t="b">
        <v>1</v>
      </c>
      <c r="O127" s="58" t="s">
        <v>31</v>
      </c>
      <c r="P127" s="59" t="b">
        <v>1</v>
      </c>
      <c r="Q127" s="164"/>
      <c r="R127" s="57"/>
      <c r="S127" s="47" t="b">
        <v>1</v>
      </c>
      <c r="T127" s="165" t="s">
        <v>2190</v>
      </c>
      <c r="U127" s="75"/>
      <c r="V127" s="75"/>
      <c r="W127" s="166"/>
      <c r="X127" s="166"/>
      <c r="Y127" s="167"/>
      <c r="Z127" s="167"/>
    </row>
    <row r="128" spans="1:26">
      <c r="A128" s="71"/>
      <c r="B128" s="53"/>
      <c r="C128" s="132" t="s">
        <v>2192</v>
      </c>
      <c r="D128" s="66" t="s">
        <v>523</v>
      </c>
      <c r="E128" s="66" t="s">
        <v>523</v>
      </c>
      <c r="F128" s="66" t="s">
        <v>2048</v>
      </c>
      <c r="G128" s="66" t="s">
        <v>2049</v>
      </c>
      <c r="H128" s="69" t="s">
        <v>30</v>
      </c>
      <c r="I128" s="69">
        <v>80</v>
      </c>
      <c r="J128" s="70">
        <v>17.5</v>
      </c>
      <c r="K128" s="75">
        <f t="shared" si="3"/>
        <v>1400</v>
      </c>
      <c r="L128" s="55" t="b">
        <v>1</v>
      </c>
      <c r="M128" s="154">
        <v>250920241651</v>
      </c>
      <c r="N128" s="57" t="b">
        <v>1</v>
      </c>
      <c r="O128" s="58" t="s">
        <v>31</v>
      </c>
      <c r="P128" s="59" t="b">
        <v>1</v>
      </c>
      <c r="Q128" s="129"/>
      <c r="R128" s="60"/>
      <c r="S128" s="150" t="b">
        <v>1</v>
      </c>
      <c r="T128" s="165" t="s">
        <v>2193</v>
      </c>
      <c r="U128" s="54"/>
      <c r="V128" s="54"/>
      <c r="W128" s="49"/>
      <c r="X128" s="49"/>
    </row>
    <row r="129" spans="1:26">
      <c r="A129" s="132"/>
      <c r="B129" s="66"/>
      <c r="C129" s="132" t="s">
        <v>2194</v>
      </c>
      <c r="D129" s="66" t="s">
        <v>51</v>
      </c>
      <c r="E129" s="66" t="s">
        <v>201</v>
      </c>
      <c r="F129" s="66" t="s">
        <v>2195</v>
      </c>
      <c r="G129" s="67" t="s">
        <v>2073</v>
      </c>
      <c r="H129" s="67" t="s">
        <v>30</v>
      </c>
      <c r="I129" s="66">
        <v>50</v>
      </c>
      <c r="J129" s="68">
        <v>13.5</v>
      </c>
      <c r="K129" s="75">
        <f t="shared" si="3"/>
        <v>675</v>
      </c>
      <c r="L129" s="55" t="b">
        <v>1</v>
      </c>
      <c r="M129" s="154">
        <v>290920241422</v>
      </c>
      <c r="N129" s="57" t="b">
        <v>1</v>
      </c>
      <c r="O129" s="58" t="s">
        <v>31</v>
      </c>
      <c r="P129" s="59" t="b">
        <v>1</v>
      </c>
      <c r="Q129" s="164"/>
      <c r="R129" s="57"/>
      <c r="S129" s="47" t="b">
        <v>1</v>
      </c>
      <c r="T129" s="165" t="s">
        <v>2133</v>
      </c>
      <c r="U129" s="75"/>
      <c r="V129" s="75"/>
      <c r="W129" s="166"/>
      <c r="X129" s="166"/>
      <c r="Y129" s="167"/>
      <c r="Z129" s="167"/>
    </row>
    <row r="130" spans="1:26">
      <c r="A130" s="132"/>
      <c r="B130" s="66"/>
      <c r="C130" s="132" t="s">
        <v>2194</v>
      </c>
      <c r="D130" s="66" t="s">
        <v>1133</v>
      </c>
      <c r="E130" s="66" t="s">
        <v>1234</v>
      </c>
      <c r="F130" s="66" t="s">
        <v>1439</v>
      </c>
      <c r="G130" s="159" t="s">
        <v>1952</v>
      </c>
      <c r="H130" s="69" t="s">
        <v>30</v>
      </c>
      <c r="I130" s="69">
        <v>10</v>
      </c>
      <c r="J130" s="70">
        <v>550</v>
      </c>
      <c r="K130" s="75">
        <f t="shared" si="3"/>
        <v>5500</v>
      </c>
      <c r="L130" s="55" t="b">
        <v>1</v>
      </c>
      <c r="M130" s="154">
        <v>260920241441</v>
      </c>
      <c r="N130" s="57" t="b">
        <v>1</v>
      </c>
      <c r="O130" s="58" t="s">
        <v>31</v>
      </c>
      <c r="P130" s="59" t="b">
        <v>1</v>
      </c>
      <c r="Q130" s="164"/>
      <c r="R130" s="57"/>
      <c r="S130" s="150" t="b">
        <v>1</v>
      </c>
      <c r="T130" s="165" t="s">
        <v>2196</v>
      </c>
      <c r="U130" s="75"/>
      <c r="V130" s="75"/>
      <c r="W130" s="166"/>
      <c r="X130" s="166"/>
      <c r="Y130" s="167"/>
      <c r="Z130" s="167"/>
    </row>
    <row r="131" spans="1:26">
      <c r="A131" s="132"/>
      <c r="B131" s="66"/>
      <c r="C131" s="132" t="s">
        <v>2194</v>
      </c>
      <c r="D131" s="66" t="s">
        <v>51</v>
      </c>
      <c r="E131" s="66" t="s">
        <v>201</v>
      </c>
      <c r="F131" s="66" t="s">
        <v>2195</v>
      </c>
      <c r="G131" s="159" t="s">
        <v>2197</v>
      </c>
      <c r="H131" s="69" t="s">
        <v>30</v>
      </c>
      <c r="I131" s="69">
        <v>2</v>
      </c>
      <c r="J131" s="70">
        <v>600</v>
      </c>
      <c r="K131" s="75">
        <f t="shared" si="3"/>
        <v>1200</v>
      </c>
      <c r="L131" s="55" t="b">
        <v>1</v>
      </c>
      <c r="M131" s="154">
        <v>260920241441</v>
      </c>
      <c r="N131" s="57" t="b">
        <v>1</v>
      </c>
      <c r="O131" s="58" t="s">
        <v>31</v>
      </c>
      <c r="P131" s="59" t="b">
        <v>1</v>
      </c>
      <c r="Q131" s="164"/>
      <c r="R131" s="57"/>
      <c r="S131" s="47" t="b">
        <v>1</v>
      </c>
      <c r="T131" s="165" t="s">
        <v>2198</v>
      </c>
      <c r="U131" s="75"/>
      <c r="V131" s="75"/>
      <c r="W131" s="166"/>
      <c r="X131" s="166"/>
      <c r="Y131" s="167"/>
      <c r="Z131" s="167"/>
    </row>
    <row r="132" spans="1:26">
      <c r="A132" s="132"/>
      <c r="B132" s="66"/>
      <c r="C132" s="132" t="s">
        <v>2194</v>
      </c>
      <c r="D132" s="66" t="s">
        <v>55</v>
      </c>
      <c r="E132" s="66" t="s">
        <v>1987</v>
      </c>
      <c r="F132" s="66" t="s">
        <v>1552</v>
      </c>
      <c r="G132" s="159" t="s">
        <v>1952</v>
      </c>
      <c r="H132" s="69" t="s">
        <v>30</v>
      </c>
      <c r="I132" s="69">
        <v>5</v>
      </c>
      <c r="J132" s="70">
        <v>550</v>
      </c>
      <c r="K132" s="75">
        <f t="shared" si="3"/>
        <v>2750</v>
      </c>
      <c r="L132" s="55" t="b">
        <v>1</v>
      </c>
      <c r="M132" s="154">
        <v>260920241937</v>
      </c>
      <c r="N132" s="57" t="b">
        <v>1</v>
      </c>
      <c r="O132" s="58" t="s">
        <v>31</v>
      </c>
      <c r="P132" s="59" t="b">
        <v>1</v>
      </c>
      <c r="Q132" s="164"/>
      <c r="R132" s="57"/>
      <c r="S132" s="47" t="b">
        <v>1</v>
      </c>
      <c r="T132" s="165" t="s">
        <v>2147</v>
      </c>
      <c r="U132" s="75"/>
      <c r="V132" s="75"/>
      <c r="W132" s="166"/>
      <c r="X132" s="166"/>
      <c r="Y132" s="167"/>
      <c r="Z132" s="167"/>
    </row>
    <row r="133" spans="1:26">
      <c r="A133" s="132"/>
      <c r="B133" s="66"/>
      <c r="C133" s="132" t="s">
        <v>2199</v>
      </c>
      <c r="D133" s="66" t="s">
        <v>171</v>
      </c>
      <c r="E133" s="66" t="s">
        <v>137</v>
      </c>
      <c r="F133" s="66" t="s">
        <v>1965</v>
      </c>
      <c r="G133" s="159" t="s">
        <v>2187</v>
      </c>
      <c r="H133" s="69" t="s">
        <v>30</v>
      </c>
      <c r="I133" s="69">
        <v>50</v>
      </c>
      <c r="J133" s="70">
        <v>300</v>
      </c>
      <c r="K133" s="75">
        <f t="shared" si="3"/>
        <v>15000</v>
      </c>
      <c r="L133" s="55" t="b">
        <v>1</v>
      </c>
      <c r="M133" s="154">
        <v>270920241336</v>
      </c>
      <c r="N133" s="57" t="b">
        <v>1</v>
      </c>
      <c r="O133" s="58" t="s">
        <v>31</v>
      </c>
      <c r="P133" s="59" t="b">
        <v>1</v>
      </c>
      <c r="Q133" s="164"/>
      <c r="R133" s="57"/>
      <c r="S133" s="47" t="b">
        <v>1</v>
      </c>
      <c r="T133" s="165" t="s">
        <v>2074</v>
      </c>
      <c r="U133" s="75"/>
      <c r="V133" s="75"/>
      <c r="W133" s="166"/>
      <c r="X133" s="166"/>
      <c r="Y133" s="167"/>
      <c r="Z133" s="167"/>
    </row>
    <row r="134" spans="1:26">
      <c r="A134" s="132"/>
      <c r="B134" s="66"/>
      <c r="C134" s="132" t="s">
        <v>2199</v>
      </c>
      <c r="D134" s="66" t="s">
        <v>569</v>
      </c>
      <c r="E134" s="66" t="s">
        <v>569</v>
      </c>
      <c r="F134" s="66" t="s">
        <v>2200</v>
      </c>
      <c r="G134" s="159" t="s">
        <v>49</v>
      </c>
      <c r="H134" s="69" t="s">
        <v>30</v>
      </c>
      <c r="I134" s="69">
        <v>10</v>
      </c>
      <c r="J134" s="70">
        <v>550</v>
      </c>
      <c r="K134" s="75">
        <f t="shared" si="3"/>
        <v>5500</v>
      </c>
      <c r="L134" s="55" t="b">
        <v>1</v>
      </c>
      <c r="M134" s="154">
        <v>270920241441</v>
      </c>
      <c r="N134" s="57" t="b">
        <v>1</v>
      </c>
      <c r="O134" s="58" t="s">
        <v>31</v>
      </c>
      <c r="P134" s="59" t="b">
        <v>1</v>
      </c>
      <c r="Q134" s="164"/>
      <c r="R134" s="57"/>
      <c r="S134" s="47" t="b">
        <v>1</v>
      </c>
      <c r="T134" s="165" t="s">
        <v>2201</v>
      </c>
      <c r="U134" s="75"/>
      <c r="V134" s="75"/>
      <c r="W134" s="166"/>
      <c r="X134" s="166"/>
      <c r="Y134" s="167"/>
      <c r="Z134" s="167"/>
    </row>
    <row r="135" spans="1:26">
      <c r="A135" s="132"/>
      <c r="B135" s="66"/>
      <c r="C135" s="132" t="s">
        <v>2199</v>
      </c>
      <c r="D135" s="66" t="s">
        <v>418</v>
      </c>
      <c r="E135" s="66" t="s">
        <v>42</v>
      </c>
      <c r="F135" s="66" t="s">
        <v>2202</v>
      </c>
      <c r="G135" s="159" t="s">
        <v>1455</v>
      </c>
      <c r="H135" s="69" t="s">
        <v>30</v>
      </c>
      <c r="I135" s="69">
        <v>8</v>
      </c>
      <c r="J135" s="70">
        <v>715</v>
      </c>
      <c r="K135" s="75">
        <f t="shared" si="3"/>
        <v>5720</v>
      </c>
      <c r="L135" s="55" t="b">
        <v>1</v>
      </c>
      <c r="M135" s="154">
        <v>270920241908</v>
      </c>
      <c r="N135" s="57" t="b">
        <v>1</v>
      </c>
      <c r="O135" s="58" t="s">
        <v>31</v>
      </c>
      <c r="P135" s="59" t="b">
        <v>1</v>
      </c>
      <c r="Q135" s="164"/>
      <c r="R135" s="165"/>
      <c r="S135" s="47" t="b">
        <v>1</v>
      </c>
      <c r="T135" s="165" t="s">
        <v>2203</v>
      </c>
      <c r="U135" s="75"/>
      <c r="V135" s="75"/>
      <c r="W135" s="166"/>
      <c r="X135" s="166"/>
      <c r="Y135" s="167"/>
      <c r="Z135" s="167"/>
    </row>
    <row r="136" spans="1:26">
      <c r="A136" s="18"/>
      <c r="B136" s="18"/>
      <c r="C136" s="132" t="s">
        <v>2204</v>
      </c>
      <c r="D136" s="66" t="s">
        <v>433</v>
      </c>
      <c r="E136" s="66" t="s">
        <v>706</v>
      </c>
      <c r="F136" s="66" t="s">
        <v>707</v>
      </c>
      <c r="G136" s="159" t="s">
        <v>1700</v>
      </c>
      <c r="H136" s="69" t="s">
        <v>30</v>
      </c>
      <c r="I136" s="69">
        <v>200</v>
      </c>
      <c r="J136" s="70">
        <v>15</v>
      </c>
      <c r="K136" s="75">
        <f t="shared" si="3"/>
        <v>3000</v>
      </c>
      <c r="L136" s="55" t="b">
        <v>1</v>
      </c>
      <c r="M136" s="154">
        <v>300920240902</v>
      </c>
      <c r="N136" s="57" t="b">
        <v>1</v>
      </c>
      <c r="O136" s="58" t="s">
        <v>31</v>
      </c>
      <c r="P136" s="59" t="b">
        <v>1</v>
      </c>
      <c r="Q136" s="164"/>
      <c r="R136" s="165"/>
      <c r="S136" s="47" t="b">
        <v>1</v>
      </c>
      <c r="T136" s="165" t="s">
        <v>2205</v>
      </c>
      <c r="U136" s="75"/>
      <c r="V136" s="75"/>
      <c r="W136" s="166"/>
      <c r="X136" s="166"/>
      <c r="Y136" s="167"/>
      <c r="Z136" s="167"/>
    </row>
    <row r="137" spans="1:26">
      <c r="A137" s="18"/>
      <c r="B137" s="18"/>
      <c r="C137" s="132" t="s">
        <v>2204</v>
      </c>
      <c r="D137" s="66" t="s">
        <v>51</v>
      </c>
      <c r="E137" s="66" t="s">
        <v>201</v>
      </c>
      <c r="F137" s="66" t="s">
        <v>607</v>
      </c>
      <c r="G137" s="159" t="s">
        <v>2206</v>
      </c>
      <c r="H137" s="69" t="s">
        <v>30</v>
      </c>
      <c r="I137" s="69">
        <v>15</v>
      </c>
      <c r="J137" s="70">
        <v>550</v>
      </c>
      <c r="K137" s="75">
        <f t="shared" si="3"/>
        <v>8250</v>
      </c>
      <c r="L137" s="55" t="b">
        <v>1</v>
      </c>
      <c r="M137" s="154">
        <v>300920240905</v>
      </c>
      <c r="N137" s="57" t="b">
        <v>1</v>
      </c>
      <c r="O137" s="58" t="s">
        <v>31</v>
      </c>
      <c r="P137" s="59" t="b">
        <v>1</v>
      </c>
      <c r="Q137" s="164"/>
      <c r="R137" s="165"/>
      <c r="S137" s="47" t="b">
        <v>1</v>
      </c>
      <c r="T137" s="165" t="s">
        <v>2133</v>
      </c>
      <c r="U137" s="75"/>
      <c r="V137" s="75"/>
      <c r="W137" s="166"/>
      <c r="X137" s="166"/>
      <c r="Y137" s="167"/>
      <c r="Z137" s="167"/>
    </row>
    <row r="138" spans="1:26">
      <c r="A138" s="18"/>
      <c r="B138" s="18"/>
      <c r="C138" s="132" t="s">
        <v>2204</v>
      </c>
      <c r="D138" s="66" t="s">
        <v>51</v>
      </c>
      <c r="E138" s="66" t="s">
        <v>201</v>
      </c>
      <c r="F138" s="66" t="s">
        <v>607</v>
      </c>
      <c r="G138" s="159" t="s">
        <v>1781</v>
      </c>
      <c r="H138" s="69" t="s">
        <v>30</v>
      </c>
      <c r="I138" s="69">
        <v>84</v>
      </c>
      <c r="J138" s="70">
        <v>41.5</v>
      </c>
      <c r="K138" s="75">
        <f t="shared" si="3"/>
        <v>3486</v>
      </c>
      <c r="L138" s="55" t="b">
        <v>1</v>
      </c>
      <c r="M138" s="154">
        <v>300920240906</v>
      </c>
      <c r="N138" s="57" t="b">
        <v>1</v>
      </c>
      <c r="O138" s="58" t="s">
        <v>31</v>
      </c>
      <c r="P138" s="59" t="b">
        <v>1</v>
      </c>
      <c r="Q138" s="164"/>
      <c r="R138" s="165"/>
      <c r="S138" s="47" t="b">
        <v>1</v>
      </c>
      <c r="T138" s="165" t="s">
        <v>2133</v>
      </c>
      <c r="U138" s="75"/>
      <c r="V138" s="75"/>
      <c r="W138" s="166"/>
      <c r="X138" s="166"/>
      <c r="Y138" s="167"/>
      <c r="Z138" s="167"/>
    </row>
    <row r="139" spans="1:26">
      <c r="A139" s="18"/>
      <c r="B139" s="18"/>
      <c r="C139" s="132" t="s">
        <v>2204</v>
      </c>
      <c r="D139" s="66" t="s">
        <v>51</v>
      </c>
      <c r="E139" s="66" t="s">
        <v>201</v>
      </c>
      <c r="F139" s="66" t="s">
        <v>607</v>
      </c>
      <c r="G139" s="159" t="s">
        <v>236</v>
      </c>
      <c r="H139" s="69" t="s">
        <v>30</v>
      </c>
      <c r="I139" s="69">
        <v>30</v>
      </c>
      <c r="J139" s="70">
        <v>150</v>
      </c>
      <c r="K139" s="75">
        <f t="shared" si="3"/>
        <v>4500</v>
      </c>
      <c r="L139" s="55" t="b">
        <v>1</v>
      </c>
      <c r="M139" s="154">
        <v>300920240908</v>
      </c>
      <c r="N139" s="57" t="b">
        <v>1</v>
      </c>
      <c r="O139" s="58" t="s">
        <v>31</v>
      </c>
      <c r="P139" s="59" t="b">
        <v>1</v>
      </c>
      <c r="Q139" s="164"/>
      <c r="R139" s="165"/>
      <c r="S139" s="47" t="b">
        <v>1</v>
      </c>
      <c r="T139" s="165" t="s">
        <v>2133</v>
      </c>
      <c r="U139" s="75"/>
      <c r="V139" s="75"/>
      <c r="W139" s="166"/>
      <c r="X139" s="166"/>
      <c r="Y139" s="167"/>
      <c r="Z139" s="167"/>
    </row>
    <row r="140" spans="1:26">
      <c r="A140" s="18"/>
      <c r="B140" s="18"/>
      <c r="C140" s="132" t="s">
        <v>2204</v>
      </c>
      <c r="D140" s="66" t="s">
        <v>51</v>
      </c>
      <c r="E140" s="66" t="s">
        <v>61</v>
      </c>
      <c r="F140" s="66" t="s">
        <v>548</v>
      </c>
      <c r="G140" s="159" t="s">
        <v>2207</v>
      </c>
      <c r="H140" s="69" t="s">
        <v>30</v>
      </c>
      <c r="I140" s="69">
        <v>1</v>
      </c>
      <c r="J140" s="70">
        <v>5820</v>
      </c>
      <c r="K140" s="75">
        <f t="shared" si="3"/>
        <v>5820</v>
      </c>
      <c r="L140" s="55" t="b">
        <v>1</v>
      </c>
      <c r="M140" s="154">
        <v>300920240912</v>
      </c>
      <c r="N140" s="57" t="b">
        <v>1</v>
      </c>
      <c r="O140" s="58"/>
      <c r="P140" s="59" t="b">
        <v>1</v>
      </c>
      <c r="Q140" s="164"/>
      <c r="R140" s="165"/>
      <c r="S140" s="47" t="b">
        <v>1</v>
      </c>
      <c r="T140" s="165" t="s">
        <v>2208</v>
      </c>
      <c r="U140" s="75"/>
      <c r="V140" s="75"/>
      <c r="W140" s="166"/>
      <c r="X140" s="166"/>
      <c r="Y140" s="167"/>
      <c r="Z140" s="167"/>
    </row>
    <row r="141" spans="1:26">
      <c r="A141" s="18"/>
      <c r="B141" s="18"/>
      <c r="C141" s="132" t="s">
        <v>2204</v>
      </c>
      <c r="D141" s="66" t="s">
        <v>51</v>
      </c>
      <c r="E141" s="66" t="s">
        <v>335</v>
      </c>
      <c r="F141" s="66" t="s">
        <v>339</v>
      </c>
      <c r="G141" s="159" t="s">
        <v>2206</v>
      </c>
      <c r="H141" s="69" t="s">
        <v>30</v>
      </c>
      <c r="I141" s="69">
        <v>10</v>
      </c>
      <c r="J141" s="70">
        <v>550</v>
      </c>
      <c r="K141" s="75">
        <f t="shared" si="3"/>
        <v>5500</v>
      </c>
      <c r="L141" s="55" t="b">
        <v>1</v>
      </c>
      <c r="M141" s="154">
        <v>300920240913</v>
      </c>
      <c r="N141" s="57" t="b">
        <v>1</v>
      </c>
      <c r="O141" s="58" t="s">
        <v>31</v>
      </c>
      <c r="P141" s="59" t="b">
        <v>1</v>
      </c>
      <c r="Q141" s="164"/>
      <c r="R141" s="165"/>
      <c r="S141" s="47" t="b">
        <v>1</v>
      </c>
      <c r="T141" s="165" t="s">
        <v>2209</v>
      </c>
      <c r="U141" s="75"/>
      <c r="V141" s="75"/>
      <c r="W141" s="166"/>
      <c r="X141" s="166"/>
      <c r="Y141" s="167"/>
      <c r="Z141" s="167"/>
    </row>
    <row r="142" spans="1:26">
      <c r="A142" s="18"/>
      <c r="B142" s="18"/>
      <c r="C142" s="132" t="s">
        <v>2204</v>
      </c>
      <c r="D142" s="66" t="s">
        <v>1886</v>
      </c>
      <c r="E142" s="66" t="s">
        <v>2210</v>
      </c>
      <c r="F142" s="66" t="s">
        <v>1754</v>
      </c>
      <c r="G142" s="159" t="s">
        <v>68</v>
      </c>
      <c r="H142" s="69" t="s">
        <v>30</v>
      </c>
      <c r="I142" s="69">
        <v>1</v>
      </c>
      <c r="J142" s="70">
        <v>2350</v>
      </c>
      <c r="K142" s="75">
        <f t="shared" si="3"/>
        <v>2350</v>
      </c>
      <c r="L142" s="55" t="b">
        <v>1</v>
      </c>
      <c r="M142" s="154">
        <v>300920241156</v>
      </c>
      <c r="N142" s="57" t="b">
        <v>1</v>
      </c>
      <c r="O142" s="58" t="s">
        <v>31</v>
      </c>
      <c r="P142" s="59" t="b">
        <v>1</v>
      </c>
      <c r="Q142" s="164"/>
      <c r="R142" s="165"/>
      <c r="S142" s="47" t="b">
        <v>1</v>
      </c>
      <c r="T142" s="165" t="s">
        <v>2211</v>
      </c>
      <c r="U142" s="75"/>
      <c r="V142" s="75"/>
      <c r="W142" s="166"/>
      <c r="X142" s="166"/>
      <c r="Y142" s="167"/>
      <c r="Z142" s="167"/>
    </row>
    <row r="143" spans="1:26">
      <c r="A143" s="18"/>
      <c r="B143" s="18"/>
      <c r="C143" s="132" t="s">
        <v>2204</v>
      </c>
      <c r="D143" s="66" t="s">
        <v>1886</v>
      </c>
      <c r="E143" s="66" t="s">
        <v>2210</v>
      </c>
      <c r="F143" s="66" t="s">
        <v>1754</v>
      </c>
      <c r="G143" s="159" t="s">
        <v>2212</v>
      </c>
      <c r="H143" s="69" t="s">
        <v>30</v>
      </c>
      <c r="I143" s="69">
        <v>4</v>
      </c>
      <c r="J143" s="70">
        <v>525</v>
      </c>
      <c r="K143" s="75">
        <f t="shared" si="3"/>
        <v>2100</v>
      </c>
      <c r="L143" s="55" t="b">
        <v>1</v>
      </c>
      <c r="M143" s="154">
        <v>300920241157</v>
      </c>
      <c r="N143" s="57" t="b">
        <v>1</v>
      </c>
      <c r="O143" s="58" t="s">
        <v>31</v>
      </c>
      <c r="P143" s="59" t="b">
        <v>1</v>
      </c>
      <c r="Q143" s="164"/>
      <c r="R143" s="165"/>
      <c r="S143" s="47" t="b">
        <v>1</v>
      </c>
      <c r="T143" s="165" t="s">
        <v>2211</v>
      </c>
      <c r="U143" s="75"/>
      <c r="V143" s="75"/>
      <c r="W143" s="166"/>
      <c r="X143" s="166"/>
      <c r="Y143" s="167"/>
      <c r="Z143" s="167"/>
    </row>
    <row r="144" spans="1:26">
      <c r="A144" s="18"/>
      <c r="B144" s="18"/>
      <c r="C144" s="132" t="s">
        <v>2204</v>
      </c>
      <c r="D144" s="66" t="s">
        <v>1886</v>
      </c>
      <c r="E144" s="66" t="s">
        <v>2210</v>
      </c>
      <c r="F144" s="66" t="s">
        <v>1754</v>
      </c>
      <c r="G144" s="159" t="s">
        <v>2187</v>
      </c>
      <c r="H144" s="69" t="s">
        <v>30</v>
      </c>
      <c r="I144" s="69">
        <v>10</v>
      </c>
      <c r="J144" s="70">
        <v>300</v>
      </c>
      <c r="K144" s="75">
        <f t="shared" si="3"/>
        <v>3000</v>
      </c>
      <c r="L144" s="55" t="b">
        <v>1</v>
      </c>
      <c r="M144" s="154">
        <v>300920241157</v>
      </c>
      <c r="N144" s="57" t="b">
        <v>1</v>
      </c>
      <c r="O144" s="58" t="s">
        <v>31</v>
      </c>
      <c r="P144" s="59" t="b">
        <v>1</v>
      </c>
      <c r="Q144" s="164"/>
      <c r="R144" s="165"/>
      <c r="S144" s="47" t="b">
        <v>1</v>
      </c>
      <c r="T144" s="165" t="s">
        <v>2211</v>
      </c>
      <c r="U144" s="75"/>
      <c r="V144" s="75"/>
      <c r="W144" s="166"/>
      <c r="X144" s="166"/>
      <c r="Y144" s="167"/>
      <c r="Z144" s="167"/>
    </row>
    <row r="145" spans="1:26">
      <c r="A145" s="18"/>
      <c r="B145" s="18"/>
      <c r="C145" s="132" t="s">
        <v>2204</v>
      </c>
      <c r="D145" s="66" t="s">
        <v>1886</v>
      </c>
      <c r="E145" s="66" t="s">
        <v>2210</v>
      </c>
      <c r="F145" s="66" t="s">
        <v>1754</v>
      </c>
      <c r="G145" s="159" t="s">
        <v>1076</v>
      </c>
      <c r="H145" s="69" t="s">
        <v>30</v>
      </c>
      <c r="I145" s="69">
        <v>10</v>
      </c>
      <c r="J145" s="70">
        <v>150</v>
      </c>
      <c r="K145" s="75">
        <f t="shared" si="3"/>
        <v>1500</v>
      </c>
      <c r="L145" s="55" t="b">
        <v>1</v>
      </c>
      <c r="M145" s="154">
        <v>300920241157</v>
      </c>
      <c r="N145" s="57" t="b">
        <v>1</v>
      </c>
      <c r="O145" s="58" t="s">
        <v>31</v>
      </c>
      <c r="P145" s="59" t="b">
        <v>1</v>
      </c>
      <c r="Q145" s="164"/>
      <c r="R145" s="165"/>
      <c r="S145" s="47" t="b">
        <v>1</v>
      </c>
      <c r="T145" s="165" t="s">
        <v>2211</v>
      </c>
      <c r="U145" s="75"/>
      <c r="V145" s="75"/>
      <c r="W145" s="166"/>
      <c r="X145" s="166"/>
      <c r="Y145" s="167"/>
      <c r="Z145" s="167"/>
    </row>
    <row r="146" spans="1:26">
      <c r="A146" s="18"/>
      <c r="B146" s="18"/>
      <c r="C146" s="132" t="s">
        <v>2204</v>
      </c>
      <c r="D146" s="66" t="s">
        <v>1886</v>
      </c>
      <c r="E146" s="66" t="s">
        <v>2210</v>
      </c>
      <c r="F146" s="66" t="s">
        <v>1754</v>
      </c>
      <c r="G146" s="159" t="s">
        <v>2213</v>
      </c>
      <c r="H146" s="69" t="s">
        <v>30</v>
      </c>
      <c r="I146" s="69">
        <v>1</v>
      </c>
      <c r="J146" s="70">
        <v>1450</v>
      </c>
      <c r="K146" s="75">
        <f t="shared" si="3"/>
        <v>1450</v>
      </c>
      <c r="L146" s="55" t="b">
        <v>1</v>
      </c>
      <c r="M146" s="154">
        <v>300920241157</v>
      </c>
      <c r="N146" s="57" t="b">
        <v>1</v>
      </c>
      <c r="O146" s="58" t="s">
        <v>31</v>
      </c>
      <c r="P146" s="59" t="b">
        <v>1</v>
      </c>
      <c r="Q146" s="164"/>
      <c r="R146" s="165"/>
      <c r="S146" s="47" t="b">
        <v>1</v>
      </c>
      <c r="T146" s="165" t="s">
        <v>2211</v>
      </c>
      <c r="U146" s="75"/>
      <c r="V146" s="75"/>
      <c r="W146" s="166"/>
      <c r="X146" s="166"/>
      <c r="Y146" s="167"/>
      <c r="Z146" s="167"/>
    </row>
    <row r="147" spans="1:26">
      <c r="A147" s="18"/>
      <c r="B147" s="18"/>
      <c r="C147" s="132" t="s">
        <v>2204</v>
      </c>
      <c r="D147" s="66" t="s">
        <v>1886</v>
      </c>
      <c r="E147" s="66" t="s">
        <v>2210</v>
      </c>
      <c r="F147" s="66" t="s">
        <v>1754</v>
      </c>
      <c r="G147" s="159" t="s">
        <v>668</v>
      </c>
      <c r="H147" s="69" t="s">
        <v>30</v>
      </c>
      <c r="I147" s="69">
        <v>2</v>
      </c>
      <c r="J147" s="70">
        <v>135</v>
      </c>
      <c r="K147" s="75">
        <f t="shared" si="3"/>
        <v>270</v>
      </c>
      <c r="L147" s="55" t="b">
        <v>1</v>
      </c>
      <c r="M147" s="154">
        <v>300920241157</v>
      </c>
      <c r="N147" s="57" t="b">
        <v>1</v>
      </c>
      <c r="O147" s="58"/>
      <c r="P147" s="59" t="b">
        <v>1</v>
      </c>
      <c r="Q147" s="164"/>
      <c r="R147" s="165"/>
      <c r="S147" s="47" t="b">
        <v>1</v>
      </c>
      <c r="T147" s="165" t="s">
        <v>2214</v>
      </c>
      <c r="U147" s="75"/>
      <c r="V147" s="75"/>
      <c r="W147" s="166"/>
      <c r="X147" s="166"/>
      <c r="Y147" s="167"/>
      <c r="Z147" s="167"/>
    </row>
    <row r="148" spans="1:26">
      <c r="A148" s="18"/>
      <c r="B148" s="18"/>
      <c r="C148" s="132" t="s">
        <v>2204</v>
      </c>
      <c r="D148" s="66" t="s">
        <v>1886</v>
      </c>
      <c r="E148" s="66" t="s">
        <v>2210</v>
      </c>
      <c r="F148" s="66" t="s">
        <v>1754</v>
      </c>
      <c r="G148" s="159" t="s">
        <v>2215</v>
      </c>
      <c r="H148" s="69" t="s">
        <v>30</v>
      </c>
      <c r="I148" s="69">
        <v>3</v>
      </c>
      <c r="J148" s="70">
        <v>165</v>
      </c>
      <c r="K148" s="75">
        <f t="shared" si="3"/>
        <v>495</v>
      </c>
      <c r="L148" s="55" t="b">
        <v>1</v>
      </c>
      <c r="M148" s="154">
        <v>300920241157</v>
      </c>
      <c r="N148" s="57" t="b">
        <v>1</v>
      </c>
      <c r="O148" s="58"/>
      <c r="P148" s="59" t="b">
        <v>1</v>
      </c>
      <c r="Q148" s="164"/>
      <c r="R148" s="165"/>
      <c r="S148" s="47" t="b">
        <v>1</v>
      </c>
      <c r="T148" s="165" t="s">
        <v>2211</v>
      </c>
      <c r="U148" s="75"/>
      <c r="V148" s="75"/>
      <c r="W148" s="166"/>
      <c r="X148" s="166"/>
      <c r="Y148" s="167"/>
      <c r="Z148" s="167"/>
    </row>
    <row r="149" spans="1:26">
      <c r="A149" s="18"/>
      <c r="B149" s="18"/>
      <c r="C149" s="132" t="s">
        <v>2204</v>
      </c>
      <c r="D149" s="66" t="s">
        <v>51</v>
      </c>
      <c r="E149" s="66" t="s">
        <v>594</v>
      </c>
      <c r="F149" s="66" t="s">
        <v>595</v>
      </c>
      <c r="G149" s="159" t="s">
        <v>2216</v>
      </c>
      <c r="H149" s="69" t="s">
        <v>30</v>
      </c>
      <c r="I149" s="69">
        <v>1</v>
      </c>
      <c r="J149" s="70">
        <v>350</v>
      </c>
      <c r="K149" s="75">
        <f t="shared" si="3"/>
        <v>350</v>
      </c>
      <c r="L149" s="55" t="b">
        <v>1</v>
      </c>
      <c r="M149" s="154">
        <v>300920241210</v>
      </c>
      <c r="N149" s="57" t="b">
        <v>1</v>
      </c>
      <c r="O149" s="58" t="s">
        <v>31</v>
      </c>
      <c r="P149" s="59" t="b">
        <v>1</v>
      </c>
      <c r="Q149" s="164"/>
      <c r="R149" s="165"/>
      <c r="S149" s="47" t="b">
        <v>1</v>
      </c>
      <c r="T149" s="165" t="s">
        <v>2217</v>
      </c>
      <c r="U149" s="75"/>
      <c r="V149" s="75"/>
      <c r="W149" s="166"/>
      <c r="X149" s="166"/>
      <c r="Y149" s="167"/>
      <c r="Z149" s="167"/>
    </row>
    <row r="150" spans="1:26">
      <c r="A150" s="1"/>
      <c r="B150" s="1"/>
      <c r="C150" s="132"/>
      <c r="D150" s="66"/>
      <c r="E150" s="66"/>
      <c r="F150" s="66"/>
      <c r="G150" s="159"/>
      <c r="H150" s="69"/>
      <c r="I150" s="69"/>
      <c r="J150" s="70"/>
      <c r="K150" s="75">
        <f t="shared" si="3"/>
        <v>0</v>
      </c>
      <c r="L150" s="55" t="b">
        <v>0</v>
      </c>
      <c r="M150" s="154"/>
      <c r="N150" s="57" t="b">
        <v>0</v>
      </c>
      <c r="O150" s="58"/>
      <c r="P150" s="59" t="b">
        <v>0</v>
      </c>
      <c r="Q150" s="129"/>
      <c r="R150" s="165"/>
      <c r="S150" s="47"/>
      <c r="T150" s="165"/>
      <c r="U150" s="54"/>
      <c r="V150" s="54"/>
      <c r="W150" s="49"/>
      <c r="X150" s="49"/>
    </row>
    <row r="151" spans="1:26">
      <c r="A151" s="18"/>
      <c r="B151" s="18"/>
      <c r="C151" s="132"/>
      <c r="D151" s="66"/>
      <c r="E151" s="66"/>
      <c r="F151" s="66"/>
      <c r="G151" s="159"/>
      <c r="H151" s="69"/>
      <c r="I151" s="69"/>
      <c r="J151" s="70"/>
      <c r="K151" s="75">
        <f t="shared" si="3"/>
        <v>0</v>
      </c>
      <c r="L151" s="55" t="b">
        <v>0</v>
      </c>
      <c r="M151" s="154"/>
      <c r="N151" s="57" t="b">
        <v>0</v>
      </c>
      <c r="O151" s="58"/>
      <c r="P151" s="59" t="b">
        <v>0</v>
      </c>
      <c r="Q151" s="164"/>
      <c r="R151" s="165"/>
      <c r="S151" s="47"/>
      <c r="T151" s="165"/>
      <c r="U151" s="75"/>
      <c r="V151" s="75"/>
      <c r="W151" s="166"/>
      <c r="X151" s="166"/>
      <c r="Y151" s="167"/>
      <c r="Z151" s="167"/>
    </row>
    <row r="152" spans="1:26">
      <c r="A152" s="18"/>
      <c r="B152" s="18"/>
      <c r="C152" s="132"/>
      <c r="D152" s="66"/>
      <c r="E152" s="66"/>
      <c r="F152" s="66"/>
      <c r="G152" s="159"/>
      <c r="H152" s="69"/>
      <c r="I152" s="69"/>
      <c r="J152" s="70"/>
      <c r="K152" s="75">
        <f t="shared" si="3"/>
        <v>0</v>
      </c>
      <c r="L152" s="55" t="b">
        <v>0</v>
      </c>
      <c r="M152" s="154"/>
      <c r="N152" s="57" t="b">
        <v>0</v>
      </c>
      <c r="O152" s="58"/>
      <c r="P152" s="59" t="b">
        <v>0</v>
      </c>
      <c r="Q152" s="164"/>
      <c r="R152" s="165"/>
      <c r="S152" s="47"/>
      <c r="T152" s="165"/>
      <c r="U152" s="75"/>
      <c r="V152" s="75"/>
      <c r="W152" s="166"/>
      <c r="X152" s="166"/>
      <c r="Y152" s="167"/>
      <c r="Z152" s="167"/>
    </row>
    <row r="153" spans="1:26">
      <c r="A153" s="18"/>
      <c r="B153" s="18"/>
      <c r="C153" s="132"/>
      <c r="D153" s="66"/>
      <c r="E153" s="66"/>
      <c r="F153" s="66"/>
      <c r="G153" s="159"/>
      <c r="H153" s="69"/>
      <c r="I153" s="69"/>
      <c r="J153" s="70"/>
      <c r="K153" s="75">
        <f t="shared" si="3"/>
        <v>0</v>
      </c>
      <c r="L153" s="55" t="b">
        <v>0</v>
      </c>
      <c r="M153" s="154"/>
      <c r="N153" s="57" t="b">
        <v>0</v>
      </c>
      <c r="O153" s="58"/>
      <c r="P153" s="59" t="b">
        <v>0</v>
      </c>
      <c r="Q153" s="164"/>
      <c r="R153" s="165"/>
      <c r="S153" s="47"/>
      <c r="T153" s="165"/>
      <c r="U153" s="75"/>
      <c r="V153" s="75"/>
      <c r="W153" s="166"/>
      <c r="X153" s="166"/>
      <c r="Y153" s="167"/>
      <c r="Z153" s="167"/>
    </row>
    <row r="154" spans="1:26">
      <c r="A154" s="18"/>
      <c r="B154" s="18"/>
      <c r="C154" s="132"/>
      <c r="D154" s="66"/>
      <c r="E154" s="66"/>
      <c r="F154" s="66"/>
      <c r="G154" s="159"/>
      <c r="H154" s="69"/>
      <c r="I154" s="69"/>
      <c r="J154" s="70"/>
      <c r="K154" s="75">
        <f t="shared" si="3"/>
        <v>0</v>
      </c>
      <c r="L154" s="55" t="b">
        <v>0</v>
      </c>
      <c r="M154" s="154"/>
      <c r="N154" s="57" t="b">
        <v>0</v>
      </c>
      <c r="O154" s="58"/>
      <c r="P154" s="59" t="b">
        <v>0</v>
      </c>
      <c r="Q154" s="164"/>
      <c r="R154" s="165"/>
      <c r="S154" s="47"/>
      <c r="T154" s="165"/>
      <c r="U154" s="75"/>
      <c r="V154" s="75"/>
      <c r="W154" s="166"/>
      <c r="X154" s="166"/>
      <c r="Y154" s="167"/>
      <c r="Z154" s="167"/>
    </row>
    <row r="155" spans="1:26">
      <c r="A155" s="1"/>
      <c r="B155" s="1"/>
      <c r="C155" s="132"/>
      <c r="D155" s="66"/>
      <c r="E155" s="66"/>
      <c r="F155" s="66"/>
      <c r="G155" s="159"/>
      <c r="H155" s="69"/>
      <c r="I155" s="69"/>
      <c r="J155" s="70"/>
      <c r="K155" s="75">
        <f t="shared" si="3"/>
        <v>0</v>
      </c>
      <c r="L155" s="55" t="b">
        <v>0</v>
      </c>
      <c r="M155" s="154"/>
      <c r="N155" s="57" t="b">
        <v>0</v>
      </c>
      <c r="O155" s="58"/>
      <c r="P155" s="59" t="b">
        <v>0</v>
      </c>
      <c r="Q155" s="129"/>
      <c r="R155" s="165"/>
      <c r="S155" s="150"/>
      <c r="T155" s="165"/>
      <c r="U155" s="54"/>
      <c r="V155" s="54"/>
      <c r="W155" s="192"/>
      <c r="X155" s="192"/>
      <c r="Y155" s="193"/>
      <c r="Z155" s="193"/>
    </row>
    <row r="156" spans="1:26">
      <c r="A156" s="18"/>
      <c r="B156" s="18"/>
      <c r="C156" s="132"/>
      <c r="D156" s="66"/>
      <c r="E156" s="66"/>
      <c r="F156" s="66"/>
      <c r="G156" s="159"/>
      <c r="H156" s="69"/>
      <c r="I156" s="69"/>
      <c r="J156" s="70"/>
      <c r="K156" s="75">
        <f t="shared" si="3"/>
        <v>0</v>
      </c>
      <c r="L156" s="55" t="b">
        <v>0</v>
      </c>
      <c r="M156" s="154"/>
      <c r="N156" s="57" t="b">
        <v>0</v>
      </c>
      <c r="O156" s="58"/>
      <c r="P156" s="59" t="b">
        <v>0</v>
      </c>
      <c r="Q156" s="164"/>
      <c r="R156" s="165"/>
      <c r="S156" s="47"/>
      <c r="T156" s="165"/>
      <c r="U156" s="75"/>
      <c r="V156" s="75"/>
      <c r="W156" s="166"/>
      <c r="X156" s="166"/>
      <c r="Y156" s="167"/>
      <c r="Z156" s="167"/>
    </row>
    <row r="157" spans="1:26">
      <c r="A157" s="18"/>
      <c r="B157" s="18"/>
      <c r="C157" s="132"/>
      <c r="D157" s="66"/>
      <c r="E157" s="66"/>
      <c r="F157" s="66"/>
      <c r="G157" s="159"/>
      <c r="H157" s="69"/>
      <c r="I157" s="69"/>
      <c r="J157" s="70"/>
      <c r="K157" s="75">
        <f t="shared" si="3"/>
        <v>0</v>
      </c>
      <c r="L157" s="55" t="b">
        <v>0</v>
      </c>
      <c r="M157" s="154"/>
      <c r="N157" s="57" t="b">
        <v>0</v>
      </c>
      <c r="O157" s="58"/>
      <c r="P157" s="59" t="b">
        <v>0</v>
      </c>
      <c r="Q157" s="164"/>
      <c r="R157" s="165"/>
      <c r="S157" s="47"/>
      <c r="T157" s="165"/>
      <c r="U157" s="75"/>
      <c r="V157" s="75"/>
      <c r="W157" s="166"/>
      <c r="X157" s="166"/>
      <c r="Y157" s="167"/>
      <c r="Z157" s="167"/>
    </row>
    <row r="158" spans="1:26">
      <c r="A158" s="1"/>
      <c r="B158" s="1"/>
      <c r="C158" s="71"/>
      <c r="D158" s="53"/>
      <c r="E158" s="53"/>
      <c r="F158" s="66"/>
      <c r="G158" s="69"/>
      <c r="H158" s="69"/>
      <c r="I158" s="69"/>
      <c r="J158" s="70"/>
      <c r="K158" s="75">
        <f t="shared" si="3"/>
        <v>0</v>
      </c>
      <c r="L158" s="55" t="b">
        <v>0</v>
      </c>
      <c r="M158" s="154"/>
      <c r="N158" s="57" t="b">
        <v>0</v>
      </c>
      <c r="O158" s="58"/>
      <c r="P158" s="59" t="b">
        <v>0</v>
      </c>
      <c r="Q158" s="129"/>
      <c r="R158" s="165"/>
      <c r="S158" s="47"/>
      <c r="T158" s="165"/>
      <c r="U158" s="54"/>
      <c r="V158" s="54"/>
      <c r="W158" s="49"/>
      <c r="X158" s="49"/>
    </row>
    <row r="159" spans="1:26">
      <c r="A159" s="1"/>
      <c r="B159" s="1"/>
      <c r="C159" s="71"/>
      <c r="D159" s="53"/>
      <c r="E159" s="53"/>
      <c r="F159" s="66"/>
      <c r="G159" s="69"/>
      <c r="H159" s="69"/>
      <c r="I159" s="69"/>
      <c r="J159" s="70"/>
      <c r="K159" s="75">
        <f t="shared" si="3"/>
        <v>0</v>
      </c>
      <c r="L159" s="55" t="b">
        <v>0</v>
      </c>
      <c r="M159" s="154"/>
      <c r="N159" s="57" t="b">
        <v>0</v>
      </c>
      <c r="O159" s="58"/>
      <c r="P159" s="59" t="b">
        <v>0</v>
      </c>
      <c r="Q159" s="129"/>
      <c r="R159" s="165"/>
      <c r="S159" s="47"/>
      <c r="T159" s="165"/>
      <c r="U159" s="54"/>
      <c r="V159" s="54"/>
      <c r="W159" s="49"/>
      <c r="X159" s="49"/>
    </row>
    <row r="160" spans="1:26">
      <c r="A160" s="1"/>
      <c r="B160" s="1"/>
      <c r="C160" s="71"/>
      <c r="D160" s="53"/>
      <c r="E160" s="53"/>
      <c r="F160" s="66"/>
      <c r="G160" s="69"/>
      <c r="H160" s="69"/>
      <c r="I160" s="69"/>
      <c r="J160" s="70"/>
      <c r="K160" s="75">
        <f t="shared" si="3"/>
        <v>0</v>
      </c>
      <c r="L160" s="55" t="b">
        <v>0</v>
      </c>
      <c r="M160" s="154"/>
      <c r="N160" s="57" t="b">
        <v>0</v>
      </c>
      <c r="O160" s="58"/>
      <c r="P160" s="59" t="b">
        <v>0</v>
      </c>
      <c r="Q160" s="129"/>
      <c r="R160" s="165"/>
      <c r="S160" s="47"/>
      <c r="T160" s="165"/>
      <c r="U160" s="54"/>
      <c r="V160" s="54"/>
      <c r="W160" s="49"/>
      <c r="X160" s="49"/>
    </row>
    <row r="161" spans="1:24">
      <c r="A161" s="1"/>
      <c r="B161" s="1"/>
      <c r="C161" s="71"/>
      <c r="D161" s="53"/>
      <c r="E161" s="53"/>
      <c r="F161" s="66"/>
      <c r="G161" s="69"/>
      <c r="H161" s="69"/>
      <c r="I161" s="69"/>
      <c r="J161" s="70"/>
      <c r="K161" s="75">
        <f t="shared" si="3"/>
        <v>0</v>
      </c>
      <c r="L161" s="55" t="b">
        <v>0</v>
      </c>
      <c r="M161" s="154"/>
      <c r="N161" s="57" t="b">
        <v>0</v>
      </c>
      <c r="O161" s="58"/>
      <c r="P161" s="59" t="b">
        <v>0</v>
      </c>
      <c r="Q161" s="129"/>
      <c r="R161" s="60"/>
      <c r="S161" s="47"/>
      <c r="T161" s="165"/>
      <c r="U161" s="54"/>
      <c r="V161" s="54"/>
      <c r="W161" s="49"/>
      <c r="X161" s="49"/>
    </row>
    <row r="162" spans="1:24">
      <c r="A162" s="1"/>
      <c r="B162" s="1"/>
      <c r="C162" s="71"/>
      <c r="D162" s="53"/>
      <c r="E162" s="53"/>
      <c r="F162" s="66"/>
      <c r="G162" s="69"/>
      <c r="H162" s="69"/>
      <c r="I162" s="69"/>
      <c r="J162" s="70"/>
      <c r="K162" s="75">
        <f t="shared" si="3"/>
        <v>0</v>
      </c>
      <c r="L162" s="55" t="b">
        <v>0</v>
      </c>
      <c r="M162" s="154"/>
      <c r="N162" s="57" t="b">
        <v>0</v>
      </c>
      <c r="O162" s="58"/>
      <c r="P162" s="59" t="b">
        <v>0</v>
      </c>
      <c r="Q162" s="129"/>
      <c r="R162" s="60"/>
      <c r="S162" s="47"/>
      <c r="T162" s="165"/>
      <c r="U162" s="54"/>
      <c r="V162" s="54"/>
      <c r="W162" s="49"/>
      <c r="X162" s="49"/>
    </row>
    <row r="163" spans="1:24">
      <c r="A163" s="1"/>
      <c r="B163" s="1"/>
      <c r="C163" s="71"/>
      <c r="D163" s="53"/>
      <c r="E163" s="53"/>
      <c r="F163" s="66"/>
      <c r="G163" s="69"/>
      <c r="H163" s="69"/>
      <c r="I163" s="69"/>
      <c r="J163" s="70"/>
      <c r="K163" s="75">
        <f t="shared" si="3"/>
        <v>0</v>
      </c>
      <c r="L163" s="55" t="b">
        <v>0</v>
      </c>
      <c r="M163" s="154"/>
      <c r="N163" s="57" t="b">
        <v>0</v>
      </c>
      <c r="O163" s="58"/>
      <c r="P163" s="59" t="b">
        <v>0</v>
      </c>
      <c r="Q163" s="129"/>
      <c r="R163" s="60"/>
      <c r="S163" s="47"/>
      <c r="T163" s="61"/>
      <c r="U163" s="54"/>
      <c r="V163" s="54"/>
      <c r="W163" s="49"/>
      <c r="X163" s="49"/>
    </row>
    <row r="164" spans="1:24">
      <c r="A164" s="1"/>
      <c r="B164" s="1"/>
      <c r="C164" s="71"/>
      <c r="D164" s="53"/>
      <c r="E164" s="53"/>
      <c r="F164" s="66"/>
      <c r="G164" s="69"/>
      <c r="H164" s="69"/>
      <c r="I164" s="69"/>
      <c r="J164" s="70"/>
      <c r="K164" s="75">
        <f t="shared" si="3"/>
        <v>0</v>
      </c>
      <c r="L164" s="55" t="b">
        <v>0</v>
      </c>
      <c r="M164" s="154"/>
      <c r="N164" s="57" t="b">
        <v>0</v>
      </c>
      <c r="O164" s="58"/>
      <c r="P164" s="59" t="b">
        <v>0</v>
      </c>
      <c r="Q164" s="129"/>
      <c r="R164" s="60"/>
      <c r="S164" s="47"/>
      <c r="T164" s="61"/>
      <c r="U164" s="54"/>
      <c r="V164" s="54"/>
      <c r="W164" s="49"/>
      <c r="X164" s="49"/>
    </row>
    <row r="165" spans="1:24">
      <c r="A165" s="1"/>
      <c r="B165" s="1"/>
      <c r="C165" s="71"/>
      <c r="D165" s="53"/>
      <c r="E165" s="53"/>
      <c r="F165" s="66"/>
      <c r="G165" s="69"/>
      <c r="H165" s="69"/>
      <c r="I165" s="69"/>
      <c r="J165" s="70"/>
      <c r="K165" s="75">
        <f t="shared" si="3"/>
        <v>0</v>
      </c>
      <c r="L165" s="55" t="b">
        <v>0</v>
      </c>
      <c r="M165" s="154"/>
      <c r="N165" s="57" t="b">
        <v>0</v>
      </c>
      <c r="O165" s="58"/>
      <c r="P165" s="59" t="b">
        <v>0</v>
      </c>
      <c r="Q165" s="129"/>
      <c r="R165" s="60"/>
      <c r="S165" s="47"/>
      <c r="T165" s="61"/>
      <c r="U165" s="54"/>
      <c r="V165" s="54"/>
      <c r="W165" s="49"/>
      <c r="X165" s="49"/>
    </row>
    <row r="166" spans="1:24">
      <c r="A166" s="1"/>
      <c r="B166" s="1"/>
      <c r="C166" s="71"/>
      <c r="D166" s="53"/>
      <c r="E166" s="53"/>
      <c r="F166" s="66"/>
      <c r="G166" s="69"/>
      <c r="H166" s="69"/>
      <c r="I166" s="69"/>
      <c r="J166" s="70"/>
      <c r="K166" s="75">
        <f t="shared" si="3"/>
        <v>0</v>
      </c>
      <c r="L166" s="55" t="b">
        <v>0</v>
      </c>
      <c r="M166" s="154"/>
      <c r="N166" s="57" t="b">
        <v>0</v>
      </c>
      <c r="O166" s="58"/>
      <c r="P166" s="59" t="b">
        <v>0</v>
      </c>
      <c r="Q166" s="129"/>
      <c r="R166" s="60"/>
      <c r="S166" s="47"/>
      <c r="T166" s="61"/>
      <c r="U166" s="54"/>
      <c r="V166" s="54"/>
      <c r="W166" s="49"/>
      <c r="X166" s="49"/>
    </row>
    <row r="167" spans="1:24">
      <c r="A167" s="1"/>
      <c r="B167" s="1"/>
      <c r="C167" s="71"/>
      <c r="D167" s="53"/>
      <c r="E167" s="53"/>
      <c r="F167" s="66"/>
      <c r="G167" s="69"/>
      <c r="H167" s="69"/>
      <c r="I167" s="69"/>
      <c r="J167" s="70"/>
      <c r="K167" s="75">
        <f t="shared" si="3"/>
        <v>0</v>
      </c>
      <c r="L167" s="55" t="b">
        <v>0</v>
      </c>
      <c r="M167" s="154"/>
      <c r="N167" s="57" t="b">
        <v>0</v>
      </c>
      <c r="O167" s="58"/>
      <c r="P167" s="59" t="b">
        <v>0</v>
      </c>
      <c r="Q167" s="129"/>
      <c r="R167" s="60"/>
      <c r="S167" s="47"/>
      <c r="T167" s="61"/>
      <c r="U167" s="54"/>
      <c r="V167" s="54"/>
      <c r="W167" s="49"/>
      <c r="X167" s="49"/>
    </row>
    <row r="168" spans="1:24">
      <c r="A168" s="1"/>
      <c r="B168" s="1"/>
      <c r="C168" s="71"/>
      <c r="D168" s="53"/>
      <c r="E168" s="53"/>
      <c r="F168" s="66"/>
      <c r="G168" s="69"/>
      <c r="H168" s="69"/>
      <c r="I168" s="69"/>
      <c r="J168" s="70"/>
      <c r="K168" s="75">
        <f t="shared" si="3"/>
        <v>0</v>
      </c>
      <c r="L168" s="55" t="b">
        <v>0</v>
      </c>
      <c r="M168" s="154"/>
      <c r="N168" s="57" t="b">
        <v>0</v>
      </c>
      <c r="O168" s="58"/>
      <c r="P168" s="59" t="b">
        <v>0</v>
      </c>
      <c r="Q168" s="129"/>
      <c r="R168" s="60"/>
      <c r="S168" s="47"/>
      <c r="T168" s="61"/>
      <c r="U168" s="54"/>
      <c r="V168" s="54"/>
      <c r="W168" s="49"/>
      <c r="X168" s="49"/>
    </row>
    <row r="169" spans="1:24">
      <c r="A169" s="1"/>
      <c r="B169" s="1"/>
      <c r="C169" s="1"/>
      <c r="D169" s="1"/>
      <c r="E169" s="1"/>
      <c r="F169" s="1"/>
      <c r="G169" s="18"/>
      <c r="H169" s="1"/>
      <c r="I169" s="69"/>
      <c r="J169" s="8"/>
      <c r="K169" s="8"/>
      <c r="L169" s="1"/>
      <c r="M169" s="1"/>
      <c r="N169" s="9"/>
      <c r="O169" s="10"/>
      <c r="P169" s="1"/>
      <c r="Q169" s="126"/>
      <c r="R169" s="1"/>
      <c r="S169" s="1"/>
      <c r="T169" s="195"/>
      <c r="U169" s="1"/>
    </row>
    <row r="170" spans="1:24">
      <c r="A170" s="1"/>
      <c r="B170" s="1"/>
      <c r="C170" s="1"/>
      <c r="D170" s="1"/>
      <c r="E170" s="1"/>
      <c r="F170" s="1"/>
      <c r="G170" s="18"/>
      <c r="H170" s="1"/>
      <c r="I170" s="1"/>
      <c r="J170" s="8"/>
      <c r="K170" s="8"/>
      <c r="L170" s="1"/>
      <c r="M170" s="1"/>
      <c r="N170" s="9"/>
      <c r="O170" s="10"/>
      <c r="P170" s="1"/>
      <c r="Q170" s="126"/>
      <c r="R170" s="1"/>
      <c r="S170" s="1"/>
      <c r="T170" s="195"/>
      <c r="U170" s="1"/>
    </row>
    <row r="171" spans="1:24">
      <c r="T171" s="205"/>
    </row>
    <row r="172" spans="1:24">
      <c r="T172" s="205"/>
    </row>
    <row r="173" spans="1:24">
      <c r="T173" s="205"/>
    </row>
    <row r="174" spans="1:24">
      <c r="T174" s="205"/>
    </row>
    <row r="175" spans="1:24">
      <c r="T175" s="205"/>
    </row>
    <row r="176" spans="1:24">
      <c r="T176" s="205"/>
    </row>
    <row r="177" spans="3:20">
      <c r="T177" s="205"/>
    </row>
    <row r="178" spans="3:20">
      <c r="T178" s="205"/>
    </row>
    <row r="179" spans="3:20">
      <c r="C179" s="194"/>
      <c r="T179" s="205"/>
    </row>
    <row r="180" spans="3:20">
      <c r="T180" s="205"/>
    </row>
    <row r="181" spans="3:20">
      <c r="T181" s="205"/>
    </row>
    <row r="182" spans="3:20">
      <c r="T182" s="205"/>
    </row>
    <row r="183" spans="3:20">
      <c r="T183" s="205"/>
    </row>
    <row r="184" spans="3:20">
      <c r="T184" s="205"/>
    </row>
    <row r="185" spans="3:20">
      <c r="T185" s="205"/>
    </row>
    <row r="186" spans="3:20">
      <c r="T186" s="205"/>
    </row>
    <row r="187" spans="3:20">
      <c r="T187" s="205"/>
    </row>
    <row r="188" spans="3:20">
      <c r="T188" s="205"/>
    </row>
    <row r="189" spans="3:20">
      <c r="T189" s="205"/>
    </row>
    <row r="190" spans="3:20">
      <c r="T190" s="205"/>
    </row>
    <row r="191" spans="3:20">
      <c r="T191" s="205"/>
    </row>
    <row r="192" spans="3:20">
      <c r="T192" s="205"/>
    </row>
    <row r="193" spans="20:20">
      <c r="T193" s="205"/>
    </row>
    <row r="194" spans="20:20">
      <c r="T194" s="205"/>
    </row>
    <row r="195" spans="20:20">
      <c r="T195" s="205"/>
    </row>
    <row r="196" spans="20:20">
      <c r="T196" s="205"/>
    </row>
    <row r="197" spans="20:20">
      <c r="T197" s="205"/>
    </row>
    <row r="198" spans="20:20">
      <c r="T198" s="205"/>
    </row>
    <row r="199" spans="20:20">
      <c r="T199" s="205"/>
    </row>
    <row r="200" spans="20:20">
      <c r="T200" s="205"/>
    </row>
    <row r="201" spans="20:20">
      <c r="T201" s="205"/>
    </row>
    <row r="202" spans="20:20">
      <c r="T202" s="205"/>
    </row>
    <row r="203" spans="20:20">
      <c r="T203" s="205"/>
    </row>
    <row r="204" spans="20:20">
      <c r="T204" s="205"/>
    </row>
    <row r="205" spans="20:20">
      <c r="T205" s="205"/>
    </row>
    <row r="206" spans="20:20">
      <c r="T206" s="205"/>
    </row>
    <row r="207" spans="20:20">
      <c r="T207" s="205"/>
    </row>
    <row r="208" spans="20:20">
      <c r="T208" s="205"/>
    </row>
    <row r="209" spans="20:20">
      <c r="T209" s="205"/>
    </row>
    <row r="210" spans="20:20">
      <c r="T210" s="205"/>
    </row>
    <row r="211" spans="20:20">
      <c r="T211" s="205"/>
    </row>
    <row r="212" spans="20:20">
      <c r="T212" s="205"/>
    </row>
    <row r="213" spans="20:20">
      <c r="T213" s="205"/>
    </row>
    <row r="214" spans="20:20">
      <c r="T214" s="205"/>
    </row>
    <row r="215" spans="20:20">
      <c r="T215" s="205"/>
    </row>
    <row r="216" spans="20:20">
      <c r="T216" s="205"/>
    </row>
    <row r="217" spans="20:20">
      <c r="T217" s="205"/>
    </row>
    <row r="218" spans="20:20">
      <c r="T218" s="205"/>
    </row>
    <row r="219" spans="20:20">
      <c r="T219" s="205"/>
    </row>
    <row r="220" spans="20:20">
      <c r="T220" s="205"/>
    </row>
    <row r="221" spans="20:20">
      <c r="T221" s="205"/>
    </row>
    <row r="222" spans="20:20">
      <c r="T222" s="205"/>
    </row>
    <row r="223" spans="20:20">
      <c r="T223" s="205"/>
    </row>
    <row r="224" spans="20:20">
      <c r="T224" s="205"/>
    </row>
    <row r="225" spans="20:20">
      <c r="T225" s="205"/>
    </row>
    <row r="226" spans="20:20">
      <c r="T226" s="205"/>
    </row>
    <row r="227" spans="20:20">
      <c r="T227" s="205"/>
    </row>
    <row r="228" spans="20:20">
      <c r="T228" s="205"/>
    </row>
    <row r="229" spans="20:20">
      <c r="T229" s="205"/>
    </row>
    <row r="230" spans="20:20">
      <c r="T230" s="205"/>
    </row>
    <row r="231" spans="20:20">
      <c r="T231" s="205"/>
    </row>
    <row r="232" spans="20:20">
      <c r="T232" s="205"/>
    </row>
    <row r="233" spans="20:20">
      <c r="T233" s="205"/>
    </row>
    <row r="234" spans="20:20">
      <c r="T234" s="205"/>
    </row>
    <row r="235" spans="20:20">
      <c r="T235" s="205"/>
    </row>
    <row r="236" spans="20:20">
      <c r="T236" s="205"/>
    </row>
    <row r="237" spans="20:20">
      <c r="T237" s="205"/>
    </row>
    <row r="238" spans="20:20">
      <c r="T238" s="205"/>
    </row>
    <row r="239" spans="20:20">
      <c r="T239" s="205"/>
    </row>
    <row r="240" spans="20:20">
      <c r="T240" s="205"/>
    </row>
    <row r="241" spans="20:20">
      <c r="T241" s="205"/>
    </row>
    <row r="242" spans="20:20">
      <c r="T242" s="205"/>
    </row>
    <row r="243" spans="20:20">
      <c r="T243" s="205"/>
    </row>
    <row r="244" spans="20:20">
      <c r="T244" s="205"/>
    </row>
    <row r="245" spans="20:20">
      <c r="T245" s="205"/>
    </row>
    <row r="246" spans="20:20">
      <c r="T246" s="205"/>
    </row>
    <row r="247" spans="20:20">
      <c r="T247" s="205"/>
    </row>
    <row r="248" spans="20:20">
      <c r="T248" s="205"/>
    </row>
    <row r="249" spans="20:20">
      <c r="T249" s="205"/>
    </row>
    <row r="250" spans="20:20">
      <c r="T250" s="205"/>
    </row>
    <row r="251" spans="20:20">
      <c r="T251" s="205"/>
    </row>
    <row r="252" spans="20:20">
      <c r="T252" s="205"/>
    </row>
    <row r="253" spans="20:20">
      <c r="T253" s="205"/>
    </row>
    <row r="254" spans="20:20">
      <c r="T254" s="205"/>
    </row>
    <row r="255" spans="20:20">
      <c r="T255" s="205"/>
    </row>
    <row r="256" spans="20:20">
      <c r="T256" s="205"/>
    </row>
    <row r="257" spans="20:20">
      <c r="T257" s="205"/>
    </row>
    <row r="258" spans="20:20">
      <c r="T258" s="205"/>
    </row>
    <row r="259" spans="20:20">
      <c r="T259" s="205"/>
    </row>
    <row r="260" spans="20:20">
      <c r="T260" s="205"/>
    </row>
    <row r="261" spans="20:20">
      <c r="T261" s="205"/>
    </row>
    <row r="262" spans="20:20">
      <c r="T262" s="205"/>
    </row>
    <row r="263" spans="20:20">
      <c r="T263" s="205"/>
    </row>
    <row r="264" spans="20:20">
      <c r="T264" s="205"/>
    </row>
    <row r="265" spans="20:20">
      <c r="T265" s="205"/>
    </row>
    <row r="266" spans="20:20">
      <c r="T266" s="205"/>
    </row>
    <row r="267" spans="20:20">
      <c r="T267" s="205"/>
    </row>
    <row r="268" spans="20:20">
      <c r="T268" s="205"/>
    </row>
    <row r="269" spans="20:20">
      <c r="T269" s="205"/>
    </row>
    <row r="270" spans="20:20">
      <c r="T270" s="205"/>
    </row>
    <row r="271" spans="20:20">
      <c r="T271" s="205"/>
    </row>
    <row r="272" spans="20:20">
      <c r="T272" s="205"/>
    </row>
    <row r="273" spans="20:20">
      <c r="T273" s="205"/>
    </row>
    <row r="274" spans="20:20">
      <c r="T274" s="205"/>
    </row>
    <row r="275" spans="20:20">
      <c r="T275" s="205"/>
    </row>
    <row r="276" spans="20:20">
      <c r="T276" s="205"/>
    </row>
    <row r="277" spans="20:20">
      <c r="T277" s="205"/>
    </row>
    <row r="278" spans="20:20">
      <c r="T278" s="205"/>
    </row>
    <row r="279" spans="20:20">
      <c r="T279" s="205"/>
    </row>
    <row r="280" spans="20:20">
      <c r="T280" s="205"/>
    </row>
    <row r="281" spans="20:20">
      <c r="T281" s="205"/>
    </row>
    <row r="282" spans="20:20">
      <c r="T282" s="205"/>
    </row>
    <row r="283" spans="20:20">
      <c r="T283" s="205"/>
    </row>
    <row r="284" spans="20:20">
      <c r="T284" s="205"/>
    </row>
    <row r="285" spans="20:20">
      <c r="T285" s="205"/>
    </row>
    <row r="286" spans="20:20">
      <c r="T286" s="205"/>
    </row>
    <row r="287" spans="20:20">
      <c r="T287" s="205"/>
    </row>
    <row r="288" spans="20:20">
      <c r="T288" s="205"/>
    </row>
    <row r="289" spans="20:20">
      <c r="T289" s="205"/>
    </row>
    <row r="290" spans="20:20">
      <c r="T290" s="205"/>
    </row>
    <row r="291" spans="20:20">
      <c r="T291" s="205"/>
    </row>
    <row r="292" spans="20:20">
      <c r="T292" s="205"/>
    </row>
    <row r="293" spans="20:20">
      <c r="T293" s="205"/>
    </row>
    <row r="294" spans="20:20">
      <c r="T294" s="205"/>
    </row>
    <row r="295" spans="20:20">
      <c r="T295" s="205"/>
    </row>
    <row r="296" spans="20:20">
      <c r="T296" s="205"/>
    </row>
    <row r="297" spans="20:20">
      <c r="T297" s="205"/>
    </row>
    <row r="298" spans="20:20">
      <c r="T298" s="205"/>
    </row>
    <row r="299" spans="20:20">
      <c r="T299" s="205"/>
    </row>
    <row r="300" spans="20:20">
      <c r="T300" s="205"/>
    </row>
    <row r="301" spans="20:20">
      <c r="T301" s="205"/>
    </row>
    <row r="302" spans="20:20">
      <c r="T302" s="205"/>
    </row>
    <row r="303" spans="20:20">
      <c r="T303" s="205"/>
    </row>
    <row r="304" spans="20:20">
      <c r="T304" s="205"/>
    </row>
    <row r="305" spans="20:20">
      <c r="T305" s="205"/>
    </row>
    <row r="306" spans="20:20">
      <c r="T306" s="205"/>
    </row>
    <row r="307" spans="20:20">
      <c r="T307" s="205"/>
    </row>
    <row r="308" spans="20:20">
      <c r="T308" s="205"/>
    </row>
    <row r="309" spans="20:20">
      <c r="T309" s="205"/>
    </row>
    <row r="310" spans="20:20">
      <c r="T310" s="205"/>
    </row>
    <row r="311" spans="20:20">
      <c r="T311" s="205"/>
    </row>
    <row r="312" spans="20:20">
      <c r="T312" s="205"/>
    </row>
    <row r="313" spans="20:20">
      <c r="T313" s="205"/>
    </row>
    <row r="314" spans="20:20">
      <c r="T314" s="205"/>
    </row>
    <row r="315" spans="20:20">
      <c r="T315" s="205"/>
    </row>
    <row r="316" spans="20:20">
      <c r="T316" s="205"/>
    </row>
    <row r="317" spans="20:20">
      <c r="T317" s="205"/>
    </row>
    <row r="318" spans="20:20">
      <c r="T318" s="205"/>
    </row>
    <row r="319" spans="20:20">
      <c r="T319" s="205"/>
    </row>
    <row r="320" spans="20:20">
      <c r="T320" s="205"/>
    </row>
    <row r="321" spans="20:20">
      <c r="T321" s="205"/>
    </row>
    <row r="322" spans="20:20">
      <c r="T322" s="205"/>
    </row>
    <row r="323" spans="20:20">
      <c r="T323" s="205"/>
    </row>
    <row r="324" spans="20:20">
      <c r="T324" s="205"/>
    </row>
    <row r="325" spans="20:20">
      <c r="T325" s="205"/>
    </row>
    <row r="326" spans="20:20">
      <c r="T326" s="205"/>
    </row>
    <row r="327" spans="20:20">
      <c r="T327" s="205"/>
    </row>
    <row r="328" spans="20:20">
      <c r="T328" s="205"/>
    </row>
    <row r="329" spans="20:20">
      <c r="T329" s="205"/>
    </row>
    <row r="330" spans="20:20">
      <c r="T330" s="205"/>
    </row>
    <row r="331" spans="20:20">
      <c r="T331" s="205"/>
    </row>
    <row r="332" spans="20:20">
      <c r="T332" s="205"/>
    </row>
    <row r="333" spans="20:20">
      <c r="T333" s="205"/>
    </row>
    <row r="334" spans="20:20">
      <c r="T334" s="205"/>
    </row>
    <row r="335" spans="20:20">
      <c r="T335" s="205"/>
    </row>
    <row r="336" spans="20:20">
      <c r="T336" s="205"/>
    </row>
    <row r="337" spans="20:20">
      <c r="T337" s="205"/>
    </row>
    <row r="338" spans="20:20">
      <c r="T338" s="205"/>
    </row>
    <row r="339" spans="20:20">
      <c r="T339" s="205"/>
    </row>
    <row r="340" spans="20:20">
      <c r="T340" s="205"/>
    </row>
    <row r="341" spans="20:20">
      <c r="T341" s="205"/>
    </row>
    <row r="342" spans="20:20">
      <c r="T342" s="205"/>
    </row>
    <row r="343" spans="20:20">
      <c r="T343" s="205"/>
    </row>
    <row r="344" spans="20:20">
      <c r="T344" s="205"/>
    </row>
    <row r="345" spans="20:20">
      <c r="T345" s="205"/>
    </row>
    <row r="346" spans="20:20">
      <c r="T346" s="205"/>
    </row>
    <row r="347" spans="20:20">
      <c r="T347" s="205"/>
    </row>
    <row r="348" spans="20:20">
      <c r="T348" s="205"/>
    </row>
    <row r="349" spans="20:20">
      <c r="T349" s="205"/>
    </row>
    <row r="350" spans="20:20">
      <c r="T350" s="205"/>
    </row>
    <row r="351" spans="20:20">
      <c r="T351" s="205"/>
    </row>
    <row r="352" spans="20:20">
      <c r="T352" s="205"/>
    </row>
    <row r="353" spans="20:20">
      <c r="T353" s="205"/>
    </row>
    <row r="354" spans="20:20">
      <c r="T354" s="205"/>
    </row>
    <row r="355" spans="20:20">
      <c r="T355" s="205"/>
    </row>
    <row r="356" spans="20:20">
      <c r="T356" s="205"/>
    </row>
    <row r="357" spans="20:20">
      <c r="T357" s="205"/>
    </row>
    <row r="358" spans="20:20">
      <c r="T358" s="205"/>
    </row>
    <row r="359" spans="20:20">
      <c r="T359" s="205"/>
    </row>
    <row r="360" spans="20:20">
      <c r="T360" s="205"/>
    </row>
    <row r="361" spans="20:20">
      <c r="T361" s="205"/>
    </row>
    <row r="362" spans="20:20">
      <c r="T362" s="205"/>
    </row>
    <row r="363" spans="20:20">
      <c r="T363" s="205"/>
    </row>
    <row r="364" spans="20:20">
      <c r="T364" s="205"/>
    </row>
    <row r="365" spans="20:20">
      <c r="T365" s="205"/>
    </row>
    <row r="366" spans="20:20">
      <c r="T366" s="205"/>
    </row>
    <row r="367" spans="20:20">
      <c r="T367" s="205"/>
    </row>
    <row r="368" spans="20:20">
      <c r="T368" s="205"/>
    </row>
    <row r="369" spans="20:20">
      <c r="T369" s="205"/>
    </row>
    <row r="370" spans="20:20">
      <c r="T370" s="205"/>
    </row>
    <row r="371" spans="20:20">
      <c r="T371" s="205"/>
    </row>
    <row r="372" spans="20:20">
      <c r="T372" s="205"/>
    </row>
    <row r="373" spans="20:20">
      <c r="T373" s="205"/>
    </row>
    <row r="374" spans="20:20">
      <c r="T374" s="205"/>
    </row>
    <row r="375" spans="20:20">
      <c r="T375" s="205"/>
    </row>
    <row r="376" spans="20:20">
      <c r="T376" s="205"/>
    </row>
    <row r="377" spans="20:20">
      <c r="T377" s="205"/>
    </row>
    <row r="378" spans="20:20">
      <c r="T378" s="205"/>
    </row>
    <row r="379" spans="20:20">
      <c r="T379" s="205"/>
    </row>
    <row r="380" spans="20:20">
      <c r="T380" s="205"/>
    </row>
    <row r="381" spans="20:20">
      <c r="T381" s="205"/>
    </row>
    <row r="382" spans="20:20">
      <c r="T382" s="205"/>
    </row>
    <row r="383" spans="20:20">
      <c r="T383" s="205"/>
    </row>
    <row r="384" spans="20:20">
      <c r="T384" s="205"/>
    </row>
    <row r="385" spans="20:20">
      <c r="T385" s="205"/>
    </row>
    <row r="386" spans="20:20">
      <c r="T386" s="205"/>
    </row>
    <row r="387" spans="20:20">
      <c r="T387" s="205"/>
    </row>
    <row r="388" spans="20:20">
      <c r="T388" s="205"/>
    </row>
    <row r="389" spans="20:20">
      <c r="T389" s="205"/>
    </row>
    <row r="390" spans="20:20">
      <c r="T390" s="205"/>
    </row>
    <row r="391" spans="20:20">
      <c r="T391" s="205"/>
    </row>
    <row r="392" spans="20:20">
      <c r="T392" s="205"/>
    </row>
    <row r="393" spans="20:20">
      <c r="T393" s="205"/>
    </row>
    <row r="394" spans="20:20">
      <c r="T394" s="205"/>
    </row>
    <row r="395" spans="20:20">
      <c r="T395" s="205"/>
    </row>
    <row r="396" spans="20:20">
      <c r="T396" s="205"/>
    </row>
    <row r="397" spans="20:20">
      <c r="T397" s="205"/>
    </row>
    <row r="398" spans="20:20">
      <c r="T398" s="205"/>
    </row>
    <row r="399" spans="20:20">
      <c r="T399" s="205"/>
    </row>
    <row r="400" spans="20:20">
      <c r="T400" s="205"/>
    </row>
    <row r="401" spans="20:20">
      <c r="T401" s="205"/>
    </row>
    <row r="402" spans="20:20">
      <c r="T402" s="205"/>
    </row>
    <row r="403" spans="20:20">
      <c r="T403" s="205"/>
    </row>
    <row r="404" spans="20:20">
      <c r="T404" s="205"/>
    </row>
    <row r="405" spans="20:20">
      <c r="T405" s="205"/>
    </row>
    <row r="406" spans="20:20">
      <c r="T406" s="205"/>
    </row>
    <row r="407" spans="20:20">
      <c r="T407" s="205"/>
    </row>
    <row r="408" spans="20:20">
      <c r="T408" s="205"/>
    </row>
    <row r="409" spans="20:20">
      <c r="T409" s="205"/>
    </row>
    <row r="410" spans="20:20">
      <c r="T410" s="205"/>
    </row>
    <row r="411" spans="20:20">
      <c r="T411" s="205"/>
    </row>
    <row r="412" spans="20:20">
      <c r="T412" s="205"/>
    </row>
    <row r="413" spans="20:20">
      <c r="T413" s="205"/>
    </row>
    <row r="414" spans="20:20">
      <c r="T414" s="205"/>
    </row>
    <row r="415" spans="20:20">
      <c r="T415" s="205"/>
    </row>
    <row r="416" spans="20:20">
      <c r="T416" s="205"/>
    </row>
    <row r="417" spans="20:20">
      <c r="T417" s="205"/>
    </row>
    <row r="418" spans="20:20">
      <c r="T418" s="205"/>
    </row>
    <row r="419" spans="20:20">
      <c r="T419" s="205"/>
    </row>
    <row r="420" spans="20:20">
      <c r="T420" s="205"/>
    </row>
    <row r="421" spans="20:20">
      <c r="T421" s="205"/>
    </row>
    <row r="422" spans="20:20">
      <c r="T422" s="205"/>
    </row>
    <row r="423" spans="20:20">
      <c r="T423" s="205"/>
    </row>
    <row r="424" spans="20:20">
      <c r="T424" s="205"/>
    </row>
    <row r="425" spans="20:20">
      <c r="T425" s="205"/>
    </row>
    <row r="426" spans="20:20">
      <c r="T426" s="205"/>
    </row>
    <row r="427" spans="20:20">
      <c r="T427" s="205"/>
    </row>
    <row r="428" spans="20:20">
      <c r="T428" s="205"/>
    </row>
    <row r="429" spans="20:20">
      <c r="T429" s="205"/>
    </row>
    <row r="430" spans="20:20">
      <c r="T430" s="205"/>
    </row>
    <row r="431" spans="20:20">
      <c r="T431" s="205"/>
    </row>
    <row r="432" spans="20:20">
      <c r="T432" s="205"/>
    </row>
    <row r="433" spans="20:20">
      <c r="T433" s="205"/>
    </row>
    <row r="434" spans="20:20">
      <c r="T434" s="205"/>
    </row>
    <row r="435" spans="20:20">
      <c r="T435" s="205"/>
    </row>
    <row r="436" spans="20:20">
      <c r="T436" s="205"/>
    </row>
    <row r="437" spans="20:20">
      <c r="T437" s="205"/>
    </row>
    <row r="438" spans="20:20">
      <c r="T438" s="205"/>
    </row>
    <row r="439" spans="20:20">
      <c r="T439" s="205"/>
    </row>
    <row r="440" spans="20:20">
      <c r="T440" s="205"/>
    </row>
    <row r="441" spans="20:20">
      <c r="T441" s="205"/>
    </row>
    <row r="442" spans="20:20">
      <c r="T442" s="205"/>
    </row>
    <row r="443" spans="20:20">
      <c r="T443" s="205"/>
    </row>
    <row r="444" spans="20:20">
      <c r="T444" s="205"/>
    </row>
    <row r="445" spans="20:20">
      <c r="T445" s="205"/>
    </row>
    <row r="446" spans="20:20">
      <c r="T446" s="205"/>
    </row>
    <row r="447" spans="20:20">
      <c r="T447" s="205"/>
    </row>
    <row r="448" spans="20:20">
      <c r="T448" s="205"/>
    </row>
    <row r="449" spans="20:20">
      <c r="T449" s="205"/>
    </row>
    <row r="450" spans="20:20">
      <c r="T450" s="205"/>
    </row>
    <row r="451" spans="20:20">
      <c r="T451" s="205"/>
    </row>
    <row r="452" spans="20:20">
      <c r="T452" s="205"/>
    </row>
    <row r="453" spans="20:20">
      <c r="T453" s="205"/>
    </row>
    <row r="454" spans="20:20">
      <c r="T454" s="205"/>
    </row>
    <row r="455" spans="20:20">
      <c r="T455" s="205"/>
    </row>
    <row r="456" spans="20:20">
      <c r="T456" s="205"/>
    </row>
    <row r="457" spans="20:20">
      <c r="T457" s="205"/>
    </row>
    <row r="458" spans="20:20">
      <c r="T458" s="205"/>
    </row>
    <row r="459" spans="20:20">
      <c r="T459" s="205"/>
    </row>
    <row r="460" spans="20:20">
      <c r="T460" s="205"/>
    </row>
    <row r="461" spans="20:20">
      <c r="T461" s="205"/>
    </row>
    <row r="462" spans="20:20">
      <c r="T462" s="205"/>
    </row>
    <row r="463" spans="20:20">
      <c r="T463" s="205"/>
    </row>
    <row r="464" spans="20:20">
      <c r="T464" s="205"/>
    </row>
    <row r="465" spans="20:20">
      <c r="T465" s="205"/>
    </row>
    <row r="466" spans="20:20">
      <c r="T466" s="205"/>
    </row>
    <row r="467" spans="20:20">
      <c r="T467" s="205"/>
    </row>
    <row r="468" spans="20:20">
      <c r="T468" s="205"/>
    </row>
    <row r="469" spans="20:20">
      <c r="T469" s="205"/>
    </row>
    <row r="470" spans="20:20">
      <c r="T470" s="205"/>
    </row>
    <row r="471" spans="20:20">
      <c r="T471" s="205"/>
    </row>
    <row r="472" spans="20:20">
      <c r="T472" s="205"/>
    </row>
    <row r="473" spans="20:20">
      <c r="T473" s="205"/>
    </row>
    <row r="474" spans="20:20">
      <c r="T474" s="205"/>
    </row>
    <row r="475" spans="20:20">
      <c r="T475" s="205"/>
    </row>
    <row r="476" spans="20:20">
      <c r="T476" s="205"/>
    </row>
    <row r="477" spans="20:20">
      <c r="T477" s="205"/>
    </row>
    <row r="478" spans="20:20">
      <c r="T478" s="205"/>
    </row>
    <row r="479" spans="20:20">
      <c r="T479" s="205"/>
    </row>
    <row r="480" spans="20:20">
      <c r="T480" s="205"/>
    </row>
    <row r="481" spans="20:20">
      <c r="T481" s="205"/>
    </row>
    <row r="482" spans="20:20">
      <c r="T482" s="205"/>
    </row>
    <row r="483" spans="20:20">
      <c r="T483" s="205"/>
    </row>
    <row r="484" spans="20:20">
      <c r="T484" s="205"/>
    </row>
    <row r="485" spans="20:20">
      <c r="T485" s="205"/>
    </row>
    <row r="486" spans="20:20">
      <c r="T486" s="205"/>
    </row>
    <row r="487" spans="20:20">
      <c r="T487" s="205"/>
    </row>
    <row r="488" spans="20:20">
      <c r="T488" s="205"/>
    </row>
    <row r="489" spans="20:20">
      <c r="T489" s="205"/>
    </row>
    <row r="490" spans="20:20">
      <c r="T490" s="205"/>
    </row>
    <row r="491" spans="20:20">
      <c r="T491" s="205"/>
    </row>
    <row r="492" spans="20:20">
      <c r="T492" s="205"/>
    </row>
    <row r="493" spans="20:20">
      <c r="T493" s="205"/>
    </row>
    <row r="494" spans="20:20">
      <c r="T494" s="205"/>
    </row>
    <row r="495" spans="20:20">
      <c r="T495" s="205"/>
    </row>
    <row r="496" spans="20:20">
      <c r="T496" s="205"/>
    </row>
    <row r="497" spans="20:20">
      <c r="T497" s="205"/>
    </row>
    <row r="498" spans="20:20">
      <c r="T498" s="205"/>
    </row>
    <row r="499" spans="20:20">
      <c r="T499" s="205"/>
    </row>
    <row r="500" spans="20:20">
      <c r="T500" s="205"/>
    </row>
    <row r="501" spans="20:20">
      <c r="T501" s="205"/>
    </row>
    <row r="502" spans="20:20">
      <c r="T502" s="205"/>
    </row>
    <row r="503" spans="20:20">
      <c r="T503" s="205"/>
    </row>
    <row r="504" spans="20:20">
      <c r="T504" s="205"/>
    </row>
    <row r="505" spans="20:20">
      <c r="T505" s="205"/>
    </row>
    <row r="506" spans="20:20">
      <c r="T506" s="205"/>
    </row>
    <row r="507" spans="20:20">
      <c r="T507" s="205"/>
    </row>
    <row r="508" spans="20:20">
      <c r="T508" s="205"/>
    </row>
    <row r="509" spans="20:20">
      <c r="T509" s="205"/>
    </row>
    <row r="510" spans="20:20">
      <c r="T510" s="205"/>
    </row>
    <row r="511" spans="20:20">
      <c r="T511" s="205"/>
    </row>
    <row r="512" spans="20:20">
      <c r="T512" s="205"/>
    </row>
    <row r="513" spans="20:20">
      <c r="T513" s="205"/>
    </row>
    <row r="514" spans="20:20">
      <c r="T514" s="205"/>
    </row>
    <row r="515" spans="20:20">
      <c r="T515" s="205"/>
    </row>
    <row r="516" spans="20:20">
      <c r="T516" s="205"/>
    </row>
    <row r="517" spans="20:20">
      <c r="T517" s="205"/>
    </row>
    <row r="518" spans="20:20">
      <c r="T518" s="205"/>
    </row>
    <row r="519" spans="20:20">
      <c r="T519" s="205"/>
    </row>
    <row r="520" spans="20:20">
      <c r="T520" s="205"/>
    </row>
    <row r="521" spans="20:20">
      <c r="T521" s="205"/>
    </row>
    <row r="522" spans="20:20">
      <c r="T522" s="205"/>
    </row>
    <row r="523" spans="20:20">
      <c r="T523" s="205"/>
    </row>
    <row r="524" spans="20:20">
      <c r="T524" s="205"/>
    </row>
    <row r="525" spans="20:20">
      <c r="T525" s="205"/>
    </row>
    <row r="526" spans="20:20">
      <c r="T526" s="205"/>
    </row>
    <row r="527" spans="20:20">
      <c r="T527" s="205"/>
    </row>
    <row r="528" spans="20:20">
      <c r="T528" s="205"/>
    </row>
    <row r="529" spans="20:20">
      <c r="T529" s="205"/>
    </row>
    <row r="530" spans="20:20">
      <c r="T530" s="205"/>
    </row>
    <row r="531" spans="20:20">
      <c r="T531" s="205"/>
    </row>
    <row r="532" spans="20:20">
      <c r="T532" s="205"/>
    </row>
    <row r="533" spans="20:20">
      <c r="T533" s="205"/>
    </row>
    <row r="534" spans="20:20">
      <c r="T534" s="205"/>
    </row>
    <row r="535" spans="20:20">
      <c r="T535" s="205"/>
    </row>
    <row r="536" spans="20:20">
      <c r="T536" s="205"/>
    </row>
    <row r="537" spans="20:20">
      <c r="T537" s="205"/>
    </row>
    <row r="538" spans="20:20">
      <c r="T538" s="205"/>
    </row>
    <row r="539" spans="20:20">
      <c r="T539" s="205"/>
    </row>
    <row r="540" spans="20:20">
      <c r="T540" s="205"/>
    </row>
    <row r="541" spans="20:20">
      <c r="T541" s="205"/>
    </row>
    <row r="542" spans="20:20">
      <c r="T542" s="205"/>
    </row>
    <row r="543" spans="20:20">
      <c r="T543" s="205"/>
    </row>
    <row r="544" spans="20:20">
      <c r="T544" s="205"/>
    </row>
    <row r="545" spans="20:20">
      <c r="T545" s="205"/>
    </row>
    <row r="546" spans="20:20">
      <c r="T546" s="205"/>
    </row>
    <row r="547" spans="20:20">
      <c r="T547" s="205"/>
    </row>
    <row r="548" spans="20:20">
      <c r="T548" s="205"/>
    </row>
    <row r="549" spans="20:20">
      <c r="T549" s="205"/>
    </row>
    <row r="550" spans="20:20">
      <c r="T550" s="205"/>
    </row>
    <row r="551" spans="20:20">
      <c r="T551" s="205"/>
    </row>
    <row r="552" spans="20:20">
      <c r="T552" s="205"/>
    </row>
    <row r="553" spans="20:20">
      <c r="T553" s="205"/>
    </row>
    <row r="554" spans="20:20">
      <c r="T554" s="205"/>
    </row>
    <row r="555" spans="20:20">
      <c r="T555" s="205"/>
    </row>
    <row r="556" spans="20:20">
      <c r="T556" s="205"/>
    </row>
    <row r="557" spans="20:20">
      <c r="T557" s="205"/>
    </row>
    <row r="558" spans="20:20">
      <c r="T558" s="205"/>
    </row>
    <row r="559" spans="20:20">
      <c r="T559" s="205"/>
    </row>
    <row r="560" spans="20:20">
      <c r="T560" s="205"/>
    </row>
    <row r="561" spans="20:20">
      <c r="T561" s="205"/>
    </row>
    <row r="562" spans="20:20">
      <c r="T562" s="205"/>
    </row>
    <row r="563" spans="20:20">
      <c r="T563" s="205"/>
    </row>
    <row r="564" spans="20:20">
      <c r="T564" s="205"/>
    </row>
    <row r="565" spans="20:20">
      <c r="T565" s="205"/>
    </row>
    <row r="566" spans="20:20">
      <c r="T566" s="205"/>
    </row>
    <row r="567" spans="20:20">
      <c r="T567" s="205"/>
    </row>
    <row r="568" spans="20:20">
      <c r="T568" s="205"/>
    </row>
    <row r="569" spans="20:20">
      <c r="T569" s="205"/>
    </row>
    <row r="570" spans="20:20">
      <c r="T570" s="205"/>
    </row>
    <row r="571" spans="20:20">
      <c r="T571" s="205"/>
    </row>
    <row r="572" spans="20:20">
      <c r="T572" s="205"/>
    </row>
    <row r="573" spans="20:20">
      <c r="T573" s="205"/>
    </row>
    <row r="574" spans="20:20">
      <c r="T574" s="205"/>
    </row>
    <row r="575" spans="20:20">
      <c r="T575" s="205"/>
    </row>
    <row r="576" spans="20:20">
      <c r="T576" s="205"/>
    </row>
    <row r="577" spans="20:20">
      <c r="T577" s="205"/>
    </row>
    <row r="578" spans="20:20">
      <c r="T578" s="205"/>
    </row>
    <row r="579" spans="20:20">
      <c r="T579" s="205"/>
    </row>
    <row r="580" spans="20:20">
      <c r="T580" s="205"/>
    </row>
    <row r="581" spans="20:20">
      <c r="T581" s="205"/>
    </row>
    <row r="582" spans="20:20">
      <c r="T582" s="205"/>
    </row>
    <row r="583" spans="20:20">
      <c r="T583" s="205"/>
    </row>
    <row r="584" spans="20:20">
      <c r="T584" s="205"/>
    </row>
    <row r="585" spans="20:20">
      <c r="T585" s="205"/>
    </row>
    <row r="586" spans="20:20">
      <c r="T586" s="205"/>
    </row>
    <row r="587" spans="20:20">
      <c r="T587" s="205"/>
    </row>
    <row r="588" spans="20:20">
      <c r="T588" s="205"/>
    </row>
    <row r="589" spans="20:20">
      <c r="T589" s="205"/>
    </row>
    <row r="590" spans="20:20">
      <c r="T590" s="205"/>
    </row>
    <row r="591" spans="20:20">
      <c r="T591" s="205"/>
    </row>
    <row r="592" spans="20:20">
      <c r="T592" s="205"/>
    </row>
    <row r="593" spans="20:20">
      <c r="T593" s="205"/>
    </row>
    <row r="594" spans="20:20">
      <c r="T594" s="205"/>
    </row>
    <row r="595" spans="20:20">
      <c r="T595" s="205"/>
    </row>
    <row r="596" spans="20:20">
      <c r="T596" s="205"/>
    </row>
    <row r="597" spans="20:20">
      <c r="T597" s="205"/>
    </row>
    <row r="598" spans="20:20">
      <c r="T598" s="205"/>
    </row>
    <row r="599" spans="20:20">
      <c r="T599" s="205"/>
    </row>
    <row r="600" spans="20:20">
      <c r="T600" s="205"/>
    </row>
    <row r="601" spans="20:20">
      <c r="T601" s="205"/>
    </row>
    <row r="602" spans="20:20">
      <c r="T602" s="205"/>
    </row>
    <row r="603" spans="20:20">
      <c r="T603" s="205"/>
    </row>
    <row r="604" spans="20:20">
      <c r="T604" s="205"/>
    </row>
    <row r="605" spans="20:20">
      <c r="T605" s="205"/>
    </row>
    <row r="606" spans="20:20">
      <c r="T606" s="205"/>
    </row>
    <row r="607" spans="20:20">
      <c r="T607" s="205"/>
    </row>
    <row r="608" spans="20:20">
      <c r="T608" s="205"/>
    </row>
    <row r="609" spans="20:20">
      <c r="T609" s="205"/>
    </row>
    <row r="610" spans="20:20">
      <c r="T610" s="205"/>
    </row>
    <row r="611" spans="20:20">
      <c r="T611" s="205"/>
    </row>
    <row r="612" spans="20:20">
      <c r="T612" s="205"/>
    </row>
    <row r="613" spans="20:20">
      <c r="T613" s="205"/>
    </row>
    <row r="614" spans="20:20">
      <c r="T614" s="205"/>
    </row>
    <row r="615" spans="20:20">
      <c r="T615" s="205"/>
    </row>
    <row r="616" spans="20:20">
      <c r="T616" s="205"/>
    </row>
    <row r="617" spans="20:20">
      <c r="T617" s="205"/>
    </row>
    <row r="618" spans="20:20">
      <c r="T618" s="205"/>
    </row>
    <row r="619" spans="20:20">
      <c r="T619" s="205"/>
    </row>
    <row r="620" spans="20:20">
      <c r="T620" s="205"/>
    </row>
    <row r="621" spans="20:20">
      <c r="T621" s="205"/>
    </row>
    <row r="622" spans="20:20">
      <c r="T622" s="205"/>
    </row>
    <row r="623" spans="20:20">
      <c r="T623" s="205"/>
    </row>
    <row r="624" spans="20:20">
      <c r="T624" s="205"/>
    </row>
    <row r="625" spans="20:20">
      <c r="T625" s="205"/>
    </row>
    <row r="626" spans="20:20">
      <c r="T626" s="205"/>
    </row>
    <row r="627" spans="20:20">
      <c r="T627" s="205"/>
    </row>
    <row r="628" spans="20:20">
      <c r="T628" s="205"/>
    </row>
    <row r="629" spans="20:20">
      <c r="T629" s="205"/>
    </row>
    <row r="630" spans="20:20">
      <c r="T630" s="205"/>
    </row>
    <row r="631" spans="20:20">
      <c r="T631" s="205"/>
    </row>
    <row r="632" spans="20:20">
      <c r="T632" s="205"/>
    </row>
    <row r="633" spans="20:20">
      <c r="T633" s="205"/>
    </row>
    <row r="634" spans="20:20">
      <c r="T634" s="205"/>
    </row>
    <row r="635" spans="20:20">
      <c r="T635" s="205"/>
    </row>
    <row r="636" spans="20:20">
      <c r="T636" s="205"/>
    </row>
    <row r="637" spans="20:20">
      <c r="T637" s="205"/>
    </row>
    <row r="638" spans="20:20">
      <c r="T638" s="205"/>
    </row>
    <row r="639" spans="20:20">
      <c r="T639" s="205"/>
    </row>
    <row r="640" spans="20:20">
      <c r="T640" s="205"/>
    </row>
    <row r="641" spans="20:20">
      <c r="T641" s="205"/>
    </row>
    <row r="642" spans="20:20">
      <c r="T642" s="205"/>
    </row>
    <row r="643" spans="20:20">
      <c r="T643" s="205"/>
    </row>
    <row r="644" spans="20:20">
      <c r="T644" s="205"/>
    </row>
    <row r="645" spans="20:20">
      <c r="T645" s="205"/>
    </row>
    <row r="646" spans="20:20">
      <c r="T646" s="205"/>
    </row>
    <row r="647" spans="20:20">
      <c r="T647" s="205"/>
    </row>
    <row r="648" spans="20:20">
      <c r="T648" s="205"/>
    </row>
    <row r="649" spans="20:20">
      <c r="T649" s="205"/>
    </row>
    <row r="650" spans="20:20">
      <c r="T650" s="205"/>
    </row>
    <row r="651" spans="20:20">
      <c r="T651" s="205"/>
    </row>
    <row r="652" spans="20:20">
      <c r="T652" s="205"/>
    </row>
    <row r="653" spans="20:20">
      <c r="T653" s="205"/>
    </row>
    <row r="654" spans="20:20">
      <c r="T654" s="205"/>
    </row>
    <row r="655" spans="20:20">
      <c r="T655" s="205"/>
    </row>
    <row r="656" spans="20:20">
      <c r="T656" s="205"/>
    </row>
    <row r="657" spans="20:20">
      <c r="T657" s="205"/>
    </row>
    <row r="658" spans="20:20">
      <c r="T658" s="205"/>
    </row>
    <row r="659" spans="20:20">
      <c r="T659" s="205"/>
    </row>
    <row r="660" spans="20:20">
      <c r="T660" s="205"/>
    </row>
    <row r="661" spans="20:20">
      <c r="T661" s="205"/>
    </row>
    <row r="662" spans="20:20">
      <c r="T662" s="205"/>
    </row>
    <row r="663" spans="20:20">
      <c r="T663" s="205"/>
    </row>
    <row r="664" spans="20:20">
      <c r="T664" s="205"/>
    </row>
    <row r="665" spans="20:20">
      <c r="T665" s="205"/>
    </row>
    <row r="666" spans="20:20">
      <c r="T666" s="205"/>
    </row>
    <row r="667" spans="20:20">
      <c r="T667" s="205"/>
    </row>
    <row r="668" spans="20:20">
      <c r="T668" s="205"/>
    </row>
    <row r="669" spans="20:20">
      <c r="T669" s="205"/>
    </row>
    <row r="670" spans="20:20">
      <c r="T670" s="205"/>
    </row>
    <row r="671" spans="20:20">
      <c r="T671" s="205"/>
    </row>
    <row r="672" spans="20:20">
      <c r="T672" s="205"/>
    </row>
    <row r="673" spans="20:20">
      <c r="T673" s="205"/>
    </row>
    <row r="674" spans="20:20">
      <c r="T674" s="205"/>
    </row>
    <row r="675" spans="20:20">
      <c r="T675" s="205"/>
    </row>
    <row r="676" spans="20:20">
      <c r="T676" s="205"/>
    </row>
    <row r="677" spans="20:20">
      <c r="T677" s="205"/>
    </row>
    <row r="678" spans="20:20">
      <c r="T678" s="205"/>
    </row>
    <row r="679" spans="20:20">
      <c r="T679" s="205"/>
    </row>
    <row r="680" spans="20:20">
      <c r="T680" s="205"/>
    </row>
    <row r="681" spans="20:20">
      <c r="T681" s="205"/>
    </row>
    <row r="682" spans="20:20">
      <c r="T682" s="205"/>
    </row>
    <row r="683" spans="20:20">
      <c r="T683" s="205"/>
    </row>
    <row r="684" spans="20:20">
      <c r="T684" s="205"/>
    </row>
    <row r="685" spans="20:20">
      <c r="T685" s="205"/>
    </row>
    <row r="686" spans="20:20">
      <c r="T686" s="205"/>
    </row>
    <row r="687" spans="20:20">
      <c r="T687" s="205"/>
    </row>
    <row r="688" spans="20:20">
      <c r="T688" s="205"/>
    </row>
    <row r="689" spans="20:20">
      <c r="T689" s="205"/>
    </row>
    <row r="690" spans="20:20">
      <c r="T690" s="205"/>
    </row>
    <row r="691" spans="20:20">
      <c r="T691" s="205"/>
    </row>
    <row r="692" spans="20:20">
      <c r="T692" s="205"/>
    </row>
    <row r="693" spans="20:20">
      <c r="T693" s="205"/>
    </row>
    <row r="694" spans="20:20">
      <c r="T694" s="205"/>
    </row>
    <row r="695" spans="20:20">
      <c r="T695" s="205"/>
    </row>
    <row r="696" spans="20:20">
      <c r="T696" s="205"/>
    </row>
    <row r="697" spans="20:20">
      <c r="T697" s="205"/>
    </row>
    <row r="698" spans="20:20">
      <c r="T698" s="205"/>
    </row>
    <row r="699" spans="20:20">
      <c r="T699" s="205"/>
    </row>
    <row r="700" spans="20:20">
      <c r="T700" s="205"/>
    </row>
    <row r="701" spans="20:20">
      <c r="T701" s="205"/>
    </row>
    <row r="702" spans="20:20">
      <c r="T702" s="205"/>
    </row>
    <row r="703" spans="20:20">
      <c r="T703" s="205"/>
    </row>
    <row r="704" spans="20:20">
      <c r="T704" s="205"/>
    </row>
    <row r="705" spans="20:20">
      <c r="T705" s="205"/>
    </row>
    <row r="706" spans="20:20">
      <c r="T706" s="205"/>
    </row>
    <row r="707" spans="20:20">
      <c r="T707" s="205"/>
    </row>
    <row r="708" spans="20:20">
      <c r="T708" s="205"/>
    </row>
    <row r="709" spans="20:20">
      <c r="T709" s="205"/>
    </row>
    <row r="710" spans="20:20">
      <c r="T710" s="205"/>
    </row>
    <row r="711" spans="20:20">
      <c r="T711" s="205"/>
    </row>
    <row r="712" spans="20:20">
      <c r="T712" s="205"/>
    </row>
    <row r="713" spans="20:20">
      <c r="T713" s="205"/>
    </row>
    <row r="714" spans="20:20">
      <c r="T714" s="205"/>
    </row>
    <row r="715" spans="20:20">
      <c r="T715" s="205"/>
    </row>
    <row r="716" spans="20:20">
      <c r="T716" s="205"/>
    </row>
    <row r="717" spans="20:20">
      <c r="T717" s="205"/>
    </row>
    <row r="718" spans="20:20">
      <c r="T718" s="205"/>
    </row>
    <row r="719" spans="20:20">
      <c r="T719" s="205"/>
    </row>
    <row r="720" spans="20:20">
      <c r="T720" s="205"/>
    </row>
    <row r="721" spans="20:20">
      <c r="T721" s="205"/>
    </row>
    <row r="722" spans="20:20">
      <c r="T722" s="205"/>
    </row>
    <row r="723" spans="20:20">
      <c r="T723" s="205"/>
    </row>
    <row r="724" spans="20:20">
      <c r="T724" s="205"/>
    </row>
    <row r="725" spans="20:20">
      <c r="T725" s="205"/>
    </row>
    <row r="726" spans="20:20">
      <c r="T726" s="205"/>
    </row>
    <row r="727" spans="20:20">
      <c r="T727" s="205"/>
    </row>
    <row r="728" spans="20:20">
      <c r="T728" s="205"/>
    </row>
    <row r="729" spans="20:20">
      <c r="T729" s="205"/>
    </row>
    <row r="730" spans="20:20">
      <c r="T730" s="205"/>
    </row>
    <row r="731" spans="20:20">
      <c r="T731" s="205"/>
    </row>
    <row r="732" spans="20:20">
      <c r="T732" s="205"/>
    </row>
    <row r="733" spans="20:20">
      <c r="T733" s="205"/>
    </row>
    <row r="734" spans="20:20">
      <c r="T734" s="205"/>
    </row>
    <row r="735" spans="20:20">
      <c r="T735" s="205"/>
    </row>
    <row r="736" spans="20:20">
      <c r="T736" s="205"/>
    </row>
    <row r="737" spans="20:20">
      <c r="T737" s="205"/>
    </row>
    <row r="738" spans="20:20">
      <c r="T738" s="205"/>
    </row>
    <row r="739" spans="20:20">
      <c r="T739" s="205"/>
    </row>
    <row r="740" spans="20:20">
      <c r="T740" s="205"/>
    </row>
    <row r="741" spans="20:20">
      <c r="T741" s="205"/>
    </row>
    <row r="742" spans="20:20">
      <c r="T742" s="205"/>
    </row>
    <row r="743" spans="20:20">
      <c r="T743" s="205"/>
    </row>
    <row r="744" spans="20:20">
      <c r="T744" s="205"/>
    </row>
    <row r="745" spans="20:20">
      <c r="T745" s="205"/>
    </row>
    <row r="746" spans="20:20">
      <c r="T746" s="205"/>
    </row>
    <row r="747" spans="20:20">
      <c r="T747" s="205"/>
    </row>
    <row r="748" spans="20:20">
      <c r="T748" s="205"/>
    </row>
    <row r="749" spans="20:20">
      <c r="T749" s="205"/>
    </row>
    <row r="750" spans="20:20">
      <c r="T750" s="205"/>
    </row>
    <row r="751" spans="20:20">
      <c r="T751" s="205"/>
    </row>
    <row r="752" spans="20:20">
      <c r="T752" s="205"/>
    </row>
    <row r="753" spans="20:20">
      <c r="T753" s="205"/>
    </row>
    <row r="754" spans="20:20">
      <c r="T754" s="205"/>
    </row>
    <row r="755" spans="20:20">
      <c r="T755" s="205"/>
    </row>
    <row r="756" spans="20:20">
      <c r="T756" s="205"/>
    </row>
    <row r="757" spans="20:20">
      <c r="T757" s="205"/>
    </row>
    <row r="758" spans="20:20">
      <c r="T758" s="205"/>
    </row>
    <row r="759" spans="20:20">
      <c r="T759" s="205"/>
    </row>
    <row r="760" spans="20:20">
      <c r="T760" s="205"/>
    </row>
    <row r="761" spans="20:20">
      <c r="T761" s="205"/>
    </row>
    <row r="762" spans="20:20">
      <c r="T762" s="205"/>
    </row>
    <row r="763" spans="20:20">
      <c r="T763" s="205"/>
    </row>
    <row r="764" spans="20:20">
      <c r="T764" s="205"/>
    </row>
    <row r="765" spans="20:20">
      <c r="T765" s="205"/>
    </row>
    <row r="766" spans="20:20">
      <c r="T766" s="205"/>
    </row>
    <row r="767" spans="20:20">
      <c r="T767" s="205"/>
    </row>
    <row r="768" spans="20:20">
      <c r="T768" s="205"/>
    </row>
    <row r="769" spans="20:20">
      <c r="T769" s="205"/>
    </row>
    <row r="770" spans="20:20">
      <c r="T770" s="205"/>
    </row>
    <row r="771" spans="20:20">
      <c r="T771" s="205"/>
    </row>
    <row r="772" spans="20:20">
      <c r="T772" s="205"/>
    </row>
    <row r="773" spans="20:20">
      <c r="T773" s="205"/>
    </row>
    <row r="774" spans="20:20">
      <c r="T774" s="205"/>
    </row>
    <row r="775" spans="20:20">
      <c r="T775" s="205"/>
    </row>
    <row r="776" spans="20:20">
      <c r="T776" s="205"/>
    </row>
    <row r="777" spans="20:20">
      <c r="T777" s="205"/>
    </row>
    <row r="778" spans="20:20">
      <c r="T778" s="205"/>
    </row>
    <row r="779" spans="20:20">
      <c r="T779" s="205"/>
    </row>
    <row r="780" spans="20:20">
      <c r="T780" s="205"/>
    </row>
    <row r="781" spans="20:20">
      <c r="T781" s="205"/>
    </row>
    <row r="782" spans="20:20">
      <c r="T782" s="205"/>
    </row>
    <row r="783" spans="20:20">
      <c r="T783" s="205"/>
    </row>
    <row r="784" spans="20:20">
      <c r="T784" s="205"/>
    </row>
    <row r="785" spans="20:20">
      <c r="T785" s="205"/>
    </row>
    <row r="786" spans="20:20">
      <c r="T786" s="205"/>
    </row>
    <row r="787" spans="20:20">
      <c r="T787" s="205"/>
    </row>
    <row r="788" spans="20:20">
      <c r="T788" s="205"/>
    </row>
    <row r="789" spans="20:20">
      <c r="T789" s="205"/>
    </row>
    <row r="790" spans="20:20">
      <c r="T790" s="205"/>
    </row>
    <row r="791" spans="20:20">
      <c r="T791" s="205"/>
    </row>
    <row r="792" spans="20:20">
      <c r="T792" s="205"/>
    </row>
    <row r="793" spans="20:20">
      <c r="T793" s="205"/>
    </row>
    <row r="794" spans="20:20">
      <c r="T794" s="205"/>
    </row>
    <row r="795" spans="20:20">
      <c r="T795" s="205"/>
    </row>
    <row r="796" spans="20:20">
      <c r="T796" s="205"/>
    </row>
    <row r="797" spans="20:20">
      <c r="T797" s="205"/>
    </row>
    <row r="798" spans="20:20">
      <c r="T798" s="205"/>
    </row>
    <row r="799" spans="20:20">
      <c r="T799" s="205"/>
    </row>
    <row r="800" spans="20:20">
      <c r="T800" s="205"/>
    </row>
    <row r="801" spans="20:20">
      <c r="T801" s="205"/>
    </row>
    <row r="802" spans="20:20">
      <c r="T802" s="205"/>
    </row>
    <row r="803" spans="20:20">
      <c r="T803" s="205"/>
    </row>
    <row r="804" spans="20:20">
      <c r="T804" s="205"/>
    </row>
    <row r="805" spans="20:20">
      <c r="T805" s="205"/>
    </row>
    <row r="806" spans="20:20">
      <c r="T806" s="205"/>
    </row>
    <row r="807" spans="20:20">
      <c r="T807" s="205"/>
    </row>
    <row r="808" spans="20:20">
      <c r="T808" s="205"/>
    </row>
    <row r="809" spans="20:20">
      <c r="T809" s="205"/>
    </row>
    <row r="810" spans="20:20">
      <c r="T810" s="205"/>
    </row>
    <row r="811" spans="20:20">
      <c r="T811" s="205"/>
    </row>
    <row r="812" spans="20:20">
      <c r="T812" s="205"/>
    </row>
    <row r="813" spans="20:20">
      <c r="T813" s="205"/>
    </row>
    <row r="814" spans="20:20">
      <c r="T814" s="205"/>
    </row>
    <row r="815" spans="20:20">
      <c r="T815" s="205"/>
    </row>
    <row r="816" spans="20:20">
      <c r="T816" s="205"/>
    </row>
    <row r="817" spans="20:20">
      <c r="T817" s="205"/>
    </row>
    <row r="818" spans="20:20">
      <c r="T818" s="205"/>
    </row>
    <row r="819" spans="20:20">
      <c r="T819" s="205"/>
    </row>
    <row r="820" spans="20:20">
      <c r="T820" s="205"/>
    </row>
    <row r="821" spans="20:20">
      <c r="T821" s="205"/>
    </row>
    <row r="822" spans="20:20">
      <c r="T822" s="205"/>
    </row>
    <row r="823" spans="20:20">
      <c r="T823" s="205"/>
    </row>
    <row r="824" spans="20:20">
      <c r="T824" s="205"/>
    </row>
    <row r="825" spans="20:20">
      <c r="T825" s="205"/>
    </row>
    <row r="826" spans="20:20">
      <c r="T826" s="205"/>
    </row>
    <row r="827" spans="20:20">
      <c r="T827" s="205"/>
    </row>
    <row r="828" spans="20:20">
      <c r="T828" s="205"/>
    </row>
    <row r="829" spans="20:20">
      <c r="T829" s="205"/>
    </row>
    <row r="830" spans="20:20">
      <c r="T830" s="205"/>
    </row>
    <row r="831" spans="20:20">
      <c r="T831" s="205"/>
    </row>
    <row r="832" spans="20:20">
      <c r="T832" s="205"/>
    </row>
    <row r="833" spans="20:20">
      <c r="T833" s="205"/>
    </row>
    <row r="834" spans="20:20">
      <c r="T834" s="205"/>
    </row>
    <row r="835" spans="20:20">
      <c r="T835" s="205"/>
    </row>
    <row r="836" spans="20:20">
      <c r="T836" s="205"/>
    </row>
    <row r="837" spans="20:20">
      <c r="T837" s="205"/>
    </row>
    <row r="838" spans="20:20">
      <c r="T838" s="205"/>
    </row>
    <row r="839" spans="20:20">
      <c r="T839" s="205"/>
    </row>
    <row r="840" spans="20:20">
      <c r="T840" s="205"/>
    </row>
    <row r="841" spans="20:20">
      <c r="T841" s="205"/>
    </row>
    <row r="842" spans="20:20">
      <c r="T842" s="205"/>
    </row>
    <row r="843" spans="20:20">
      <c r="T843" s="205"/>
    </row>
    <row r="844" spans="20:20">
      <c r="T844" s="205"/>
    </row>
    <row r="845" spans="20:20">
      <c r="T845" s="205"/>
    </row>
    <row r="846" spans="20:20">
      <c r="T846" s="205"/>
    </row>
    <row r="847" spans="20:20">
      <c r="T847" s="205"/>
    </row>
    <row r="848" spans="20:20">
      <c r="T848" s="205"/>
    </row>
    <row r="849" spans="20:20">
      <c r="T849" s="205"/>
    </row>
    <row r="850" spans="20:20">
      <c r="T850" s="205"/>
    </row>
    <row r="851" spans="20:20">
      <c r="T851" s="205"/>
    </row>
    <row r="852" spans="20:20">
      <c r="T852" s="205"/>
    </row>
    <row r="853" spans="20:20">
      <c r="T853" s="205"/>
    </row>
    <row r="854" spans="20:20">
      <c r="T854" s="205"/>
    </row>
    <row r="855" spans="20:20">
      <c r="T855" s="205"/>
    </row>
    <row r="856" spans="20:20">
      <c r="T856" s="205"/>
    </row>
    <row r="857" spans="20:20">
      <c r="T857" s="205"/>
    </row>
    <row r="858" spans="20:20">
      <c r="T858" s="205"/>
    </row>
    <row r="859" spans="20:20">
      <c r="T859" s="205"/>
    </row>
    <row r="860" spans="20:20">
      <c r="T860" s="205"/>
    </row>
    <row r="861" spans="20:20">
      <c r="T861" s="205"/>
    </row>
    <row r="862" spans="20:20">
      <c r="T862" s="205"/>
    </row>
    <row r="863" spans="20:20">
      <c r="T863" s="205"/>
    </row>
    <row r="864" spans="20:20">
      <c r="T864" s="205"/>
    </row>
    <row r="865" spans="20:20">
      <c r="T865" s="205"/>
    </row>
    <row r="866" spans="20:20">
      <c r="T866" s="205"/>
    </row>
    <row r="867" spans="20:20">
      <c r="T867" s="205"/>
    </row>
    <row r="868" spans="20:20">
      <c r="T868" s="205"/>
    </row>
    <row r="869" spans="20:20">
      <c r="T869" s="205"/>
    </row>
    <row r="870" spans="20:20">
      <c r="T870" s="205"/>
    </row>
    <row r="871" spans="20:20">
      <c r="T871" s="205"/>
    </row>
    <row r="872" spans="20:20">
      <c r="T872" s="205"/>
    </row>
    <row r="873" spans="20:20">
      <c r="T873" s="205"/>
    </row>
    <row r="874" spans="20:20">
      <c r="T874" s="205"/>
    </row>
    <row r="875" spans="20:20">
      <c r="T875" s="205"/>
    </row>
    <row r="876" spans="20:20">
      <c r="T876" s="205"/>
    </row>
    <row r="877" spans="20:20">
      <c r="T877" s="205"/>
    </row>
    <row r="878" spans="20:20">
      <c r="T878" s="205"/>
    </row>
    <row r="879" spans="20:20">
      <c r="T879" s="205"/>
    </row>
    <row r="880" spans="20:20">
      <c r="T880" s="205"/>
    </row>
    <row r="881" spans="20:20">
      <c r="T881" s="205"/>
    </row>
    <row r="882" spans="20:20">
      <c r="T882" s="205"/>
    </row>
    <row r="883" spans="20:20">
      <c r="T883" s="205"/>
    </row>
    <row r="884" spans="20:20">
      <c r="T884" s="205"/>
    </row>
    <row r="885" spans="20:20">
      <c r="T885" s="205"/>
    </row>
    <row r="886" spans="20:20">
      <c r="T886" s="205"/>
    </row>
    <row r="887" spans="20:20">
      <c r="T887" s="205"/>
    </row>
    <row r="888" spans="20:20">
      <c r="T888" s="205"/>
    </row>
    <row r="889" spans="20:20">
      <c r="T889" s="205"/>
    </row>
    <row r="890" spans="20:20">
      <c r="T890" s="205"/>
    </row>
    <row r="891" spans="20:20">
      <c r="T891" s="205"/>
    </row>
    <row r="892" spans="20:20">
      <c r="T892" s="205"/>
    </row>
    <row r="893" spans="20:20">
      <c r="T893" s="205"/>
    </row>
    <row r="894" spans="20:20">
      <c r="T894" s="205"/>
    </row>
    <row r="895" spans="20:20">
      <c r="T895" s="205"/>
    </row>
    <row r="896" spans="20:20">
      <c r="T896" s="205"/>
    </row>
    <row r="897" spans="20:20">
      <c r="T897" s="205"/>
    </row>
    <row r="898" spans="20:20">
      <c r="T898" s="205"/>
    </row>
    <row r="899" spans="20:20">
      <c r="T899" s="205"/>
    </row>
    <row r="900" spans="20:20">
      <c r="T900" s="205"/>
    </row>
    <row r="901" spans="20:20">
      <c r="T901" s="205"/>
    </row>
    <row r="902" spans="20:20">
      <c r="T902" s="205"/>
    </row>
    <row r="903" spans="20:20">
      <c r="T903" s="205"/>
    </row>
    <row r="904" spans="20:20">
      <c r="T904" s="205"/>
    </row>
    <row r="905" spans="20:20">
      <c r="T905" s="205"/>
    </row>
    <row r="906" spans="20:20">
      <c r="T906" s="205"/>
    </row>
    <row r="907" spans="20:20">
      <c r="T907" s="205"/>
    </row>
    <row r="908" spans="20:20">
      <c r="T908" s="205"/>
    </row>
    <row r="909" spans="20:20">
      <c r="T909" s="205"/>
    </row>
    <row r="910" spans="20:20">
      <c r="T910" s="205"/>
    </row>
    <row r="911" spans="20:20">
      <c r="T911" s="205"/>
    </row>
    <row r="912" spans="20:20">
      <c r="T912" s="205"/>
    </row>
    <row r="913" spans="20:20">
      <c r="T913" s="205"/>
    </row>
    <row r="914" spans="20:20">
      <c r="T914" s="205"/>
    </row>
    <row r="915" spans="20:20">
      <c r="T915" s="205"/>
    </row>
    <row r="916" spans="20:20">
      <c r="T916" s="205"/>
    </row>
    <row r="917" spans="20:20">
      <c r="T917" s="205"/>
    </row>
    <row r="918" spans="20:20">
      <c r="T918" s="205"/>
    </row>
    <row r="919" spans="20:20">
      <c r="T919" s="205"/>
    </row>
    <row r="920" spans="20:20">
      <c r="T920" s="205"/>
    </row>
    <row r="921" spans="20:20">
      <c r="T921" s="205"/>
    </row>
    <row r="922" spans="20:20">
      <c r="T922" s="205"/>
    </row>
    <row r="923" spans="20:20">
      <c r="T923" s="205"/>
    </row>
    <row r="924" spans="20:20">
      <c r="T924" s="205"/>
    </row>
    <row r="925" spans="20:20">
      <c r="T925" s="205"/>
    </row>
    <row r="926" spans="20:20">
      <c r="T926" s="205"/>
    </row>
    <row r="927" spans="20:20">
      <c r="T927" s="205"/>
    </row>
    <row r="928" spans="20:20">
      <c r="T928" s="205"/>
    </row>
    <row r="929" spans="20:20">
      <c r="T929" s="205"/>
    </row>
    <row r="930" spans="20:20">
      <c r="T930" s="205"/>
    </row>
    <row r="931" spans="20:20">
      <c r="T931" s="205"/>
    </row>
    <row r="932" spans="20:20">
      <c r="T932" s="205"/>
    </row>
    <row r="933" spans="20:20">
      <c r="T933" s="205"/>
    </row>
    <row r="934" spans="20:20">
      <c r="T934" s="205"/>
    </row>
    <row r="935" spans="20:20">
      <c r="T935" s="205"/>
    </row>
    <row r="936" spans="20:20">
      <c r="T936" s="205"/>
    </row>
    <row r="937" spans="20:20">
      <c r="T937" s="205"/>
    </row>
    <row r="938" spans="20:20">
      <c r="T938" s="205"/>
    </row>
    <row r="939" spans="20:20">
      <c r="T939" s="205"/>
    </row>
    <row r="940" spans="20:20">
      <c r="T940" s="205"/>
    </row>
    <row r="941" spans="20:20">
      <c r="T941" s="205"/>
    </row>
    <row r="942" spans="20:20">
      <c r="T942" s="205"/>
    </row>
    <row r="943" spans="20:20">
      <c r="T943" s="205"/>
    </row>
    <row r="944" spans="20:20">
      <c r="T944" s="205"/>
    </row>
    <row r="945" spans="20:20">
      <c r="T945" s="205"/>
    </row>
    <row r="946" spans="20:20">
      <c r="T946" s="205"/>
    </row>
    <row r="947" spans="20:20">
      <c r="T947" s="205"/>
    </row>
    <row r="948" spans="20:20">
      <c r="T948" s="205"/>
    </row>
    <row r="949" spans="20:20">
      <c r="T949" s="205"/>
    </row>
    <row r="950" spans="20:20">
      <c r="T950" s="205"/>
    </row>
    <row r="951" spans="20:20">
      <c r="T951" s="205"/>
    </row>
    <row r="952" spans="20:20">
      <c r="T952" s="205"/>
    </row>
    <row r="953" spans="20:20">
      <c r="T953" s="205"/>
    </row>
    <row r="954" spans="20:20">
      <c r="T954" s="205"/>
    </row>
    <row r="955" spans="20:20">
      <c r="T955" s="205"/>
    </row>
    <row r="956" spans="20:20">
      <c r="T956" s="205"/>
    </row>
    <row r="957" spans="20:20">
      <c r="T957" s="205"/>
    </row>
    <row r="958" spans="20:20">
      <c r="T958" s="205"/>
    </row>
    <row r="959" spans="20:20">
      <c r="T959" s="205"/>
    </row>
    <row r="960" spans="20:20">
      <c r="T960" s="205"/>
    </row>
    <row r="961" spans="20:20">
      <c r="T961" s="205"/>
    </row>
    <row r="962" spans="20:20">
      <c r="T962" s="205"/>
    </row>
    <row r="963" spans="20:20">
      <c r="T963" s="205"/>
    </row>
    <row r="964" spans="20:20">
      <c r="T964" s="205"/>
    </row>
    <row r="965" spans="20:20">
      <c r="T965" s="205"/>
    </row>
    <row r="966" spans="20:20">
      <c r="T966" s="205"/>
    </row>
    <row r="967" spans="20:20">
      <c r="T967" s="205"/>
    </row>
    <row r="968" spans="20:20">
      <c r="T968" s="205"/>
    </row>
    <row r="969" spans="20:20">
      <c r="T969" s="205"/>
    </row>
    <row r="970" spans="20:20">
      <c r="T970" s="205"/>
    </row>
    <row r="971" spans="20:20">
      <c r="T971" s="205"/>
    </row>
    <row r="972" spans="20:20">
      <c r="T972" s="205"/>
    </row>
    <row r="973" spans="20:20">
      <c r="T973" s="205"/>
    </row>
    <row r="974" spans="20:20">
      <c r="T974" s="205"/>
    </row>
    <row r="975" spans="20:20">
      <c r="T975" s="205"/>
    </row>
    <row r="976" spans="20:20">
      <c r="T976" s="205"/>
    </row>
    <row r="977" spans="20:20">
      <c r="T977" s="205"/>
    </row>
    <row r="978" spans="20:20">
      <c r="T978" s="205"/>
    </row>
    <row r="979" spans="20:20">
      <c r="T979" s="205"/>
    </row>
    <row r="980" spans="20:20">
      <c r="T980" s="205"/>
    </row>
    <row r="981" spans="20:20">
      <c r="T981" s="205"/>
    </row>
    <row r="982" spans="20:20">
      <c r="T982" s="205"/>
    </row>
    <row r="983" spans="20:20">
      <c r="T983" s="205"/>
    </row>
    <row r="984" spans="20:20">
      <c r="T984" s="205"/>
    </row>
    <row r="985" spans="20:20">
      <c r="T985" s="205"/>
    </row>
    <row r="986" spans="20:20">
      <c r="T986" s="205"/>
    </row>
    <row r="987" spans="20:20">
      <c r="T987" s="205"/>
    </row>
    <row r="988" spans="20:20">
      <c r="T988" s="205"/>
    </row>
    <row r="989" spans="20:20">
      <c r="T989" s="205"/>
    </row>
    <row r="990" spans="20:20">
      <c r="T990" s="205"/>
    </row>
    <row r="991" spans="20:20">
      <c r="T991" s="205"/>
    </row>
    <row r="992" spans="20:20">
      <c r="T992" s="205"/>
    </row>
    <row r="993" spans="20:20">
      <c r="T993" s="205"/>
    </row>
    <row r="994" spans="20:20">
      <c r="T994" s="205"/>
    </row>
    <row r="995" spans="20:20">
      <c r="T995" s="205"/>
    </row>
    <row r="996" spans="20:20">
      <c r="T996" s="205"/>
    </row>
  </sheetData>
  <autoFilter ref="C8:X168" xr:uid="{00000000-0009-0000-0000-000009000000}"/>
  <mergeCells count="7">
    <mergeCell ref="U8:V8"/>
    <mergeCell ref="W8:X8"/>
    <mergeCell ref="A1:T1"/>
    <mergeCell ref="L8:M8"/>
    <mergeCell ref="N8:O8"/>
    <mergeCell ref="P8:Q8"/>
    <mergeCell ref="S8:T8"/>
  </mergeCells>
  <conditionalFormatting sqref="E2 E7:E8 B8:D8 F8 H8:I8 K8:W8">
    <cfRule type="notContainsBlanks" dxfId="16" priority="1">
      <formula>LEN(TRIM(E2))&gt;0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AA997"/>
  <sheetViews>
    <sheetView topLeftCell="A7" workbookViewId="0">
      <selection activeCell="M28" sqref="M28"/>
    </sheetView>
  </sheetViews>
  <sheetFormatPr baseColWidth="10" defaultColWidth="14.5" defaultRowHeight="15" customHeight="1"/>
  <cols>
    <col min="1" max="2" width="0.5" customWidth="1"/>
    <col min="3" max="3" width="14.1640625" customWidth="1"/>
    <col min="4" max="4" width="14.5" customWidth="1"/>
    <col min="5" max="5" width="13.83203125" customWidth="1"/>
    <col min="6" max="6" width="16.83203125" customWidth="1"/>
    <col min="7" max="7" width="60.5" customWidth="1"/>
    <col min="8" max="8" width="8.5" customWidth="1"/>
    <col min="9" max="9" width="5.5" customWidth="1"/>
    <col min="10" max="10" width="10.5" customWidth="1"/>
    <col min="11" max="11" width="11.6640625" customWidth="1"/>
    <col min="12" max="12" width="4.5" customWidth="1"/>
    <col min="13" max="13" width="12.5" customWidth="1"/>
    <col min="14" max="14" width="5.5" customWidth="1"/>
    <col min="15" max="15" width="4.5" customWidth="1"/>
    <col min="16" max="16" width="15.33203125" customWidth="1"/>
    <col min="17" max="17" width="4.83203125" customWidth="1"/>
    <col min="18" max="18" width="16.83203125" customWidth="1"/>
    <col min="19" max="19" width="17.6640625" customWidth="1"/>
    <col min="20" max="20" width="6.1640625" customWidth="1"/>
    <col min="21" max="21" width="23.33203125" customWidth="1"/>
  </cols>
  <sheetData>
    <row r="1" spans="1:27" ht="86.25" customHeight="1">
      <c r="A1" s="535"/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28"/>
      <c r="V1" s="1"/>
    </row>
    <row r="2" spans="1:27" ht="16">
      <c r="A2" s="1"/>
      <c r="B2" s="3"/>
      <c r="C2" s="93" t="s">
        <v>1</v>
      </c>
      <c r="D2" s="14">
        <v>700000</v>
      </c>
      <c r="E2" s="6">
        <f>D3/D2</f>
        <v>1.0139507142857143</v>
      </c>
      <c r="F2" s="168">
        <v>45538</v>
      </c>
      <c r="G2" s="7">
        <v>45322</v>
      </c>
      <c r="H2" s="1"/>
      <c r="I2" s="1"/>
      <c r="J2" s="8"/>
      <c r="K2" s="8"/>
      <c r="L2" s="8"/>
      <c r="M2" s="8"/>
      <c r="N2" s="8"/>
      <c r="O2" s="8"/>
      <c r="P2" s="2"/>
      <c r="Q2" s="8"/>
      <c r="R2" s="126"/>
      <c r="S2" s="1"/>
      <c r="T2" s="1"/>
      <c r="U2" s="195"/>
      <c r="V2" s="1"/>
    </row>
    <row r="3" spans="1:27" ht="16">
      <c r="A3" s="1"/>
      <c r="B3" s="11"/>
      <c r="C3" s="94" t="s">
        <v>2</v>
      </c>
      <c r="D3" s="14">
        <f>SUM(K9:K180)</f>
        <v>709765.5</v>
      </c>
      <c r="E3" s="14" t="s">
        <v>3</v>
      </c>
      <c r="F3" s="14" t="s">
        <v>3</v>
      </c>
      <c r="G3" s="7"/>
      <c r="H3" s="7"/>
      <c r="I3" s="7">
        <v>45323</v>
      </c>
      <c r="J3" s="1"/>
      <c r="K3" s="1"/>
      <c r="L3" s="8"/>
      <c r="M3" s="8"/>
      <c r="N3" s="1"/>
      <c r="O3" s="1"/>
      <c r="P3" s="206"/>
      <c r="Q3" s="9"/>
      <c r="R3" s="10"/>
      <c r="S3" s="1"/>
      <c r="T3" s="126"/>
      <c r="U3" s="1"/>
      <c r="V3" s="1"/>
      <c r="W3" s="195"/>
      <c r="X3" s="1"/>
    </row>
    <row r="4" spans="1:27" ht="16">
      <c r="A4" s="1"/>
      <c r="B4" s="1"/>
      <c r="C4" s="177" t="s">
        <v>2218</v>
      </c>
      <c r="D4" s="177">
        <f ca="1">(E5-TODAY())</f>
        <v>-430</v>
      </c>
      <c r="E4" s="178"/>
      <c r="F4" s="90"/>
      <c r="G4" s="1"/>
      <c r="H4" s="1"/>
      <c r="I4" s="1"/>
      <c r="J4" s="8"/>
      <c r="K4" s="8"/>
      <c r="L4" s="1"/>
      <c r="M4" s="1"/>
      <c r="N4" s="9"/>
      <c r="O4" s="10"/>
      <c r="P4" s="207"/>
      <c r="Q4" s="1"/>
      <c r="R4" s="126"/>
      <c r="S4" s="1"/>
      <c r="T4" s="1"/>
      <c r="U4" s="195"/>
      <c r="V4" s="1"/>
    </row>
    <row r="5" spans="1:27" ht="16">
      <c r="A5" s="1"/>
      <c r="B5" s="1"/>
      <c r="C5" s="208" t="s">
        <v>6</v>
      </c>
      <c r="D5" s="209">
        <f ca="1">TODAY()</f>
        <v>46026</v>
      </c>
      <c r="E5" s="210">
        <v>45596</v>
      </c>
      <c r="F5" s="90"/>
      <c r="G5" s="7">
        <v>45325</v>
      </c>
      <c r="H5" s="1"/>
      <c r="I5" s="1"/>
      <c r="J5" s="8"/>
      <c r="K5" s="8"/>
      <c r="L5" s="1"/>
      <c r="M5" s="1"/>
      <c r="N5" s="9"/>
      <c r="O5" s="10"/>
      <c r="P5" s="207"/>
      <c r="Q5" s="1"/>
      <c r="R5" s="126"/>
      <c r="S5" s="1"/>
      <c r="T5" s="1"/>
      <c r="U5" s="195"/>
      <c r="V5" s="1"/>
    </row>
    <row r="6" spans="1:27" ht="22">
      <c r="A6" s="1"/>
      <c r="B6" s="22" t="s">
        <v>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  <c r="P6" s="211"/>
      <c r="Q6" s="23"/>
      <c r="R6" s="127"/>
      <c r="S6" s="26"/>
      <c r="T6" s="26"/>
      <c r="U6" s="196"/>
      <c r="V6" s="1"/>
    </row>
    <row r="7" spans="1:27" ht="16">
      <c r="A7" s="1"/>
      <c r="B7" s="28"/>
      <c r="C7" s="31"/>
      <c r="D7" s="33"/>
      <c r="E7" s="31" t="s">
        <v>9</v>
      </c>
      <c r="F7" s="31"/>
      <c r="G7" s="18"/>
      <c r="H7" s="31"/>
      <c r="I7" s="31"/>
      <c r="J7" s="34"/>
      <c r="K7" s="31"/>
      <c r="L7" s="531" t="s">
        <v>10</v>
      </c>
      <c r="M7" s="528"/>
      <c r="N7" s="532" t="s">
        <v>11</v>
      </c>
      <c r="O7" s="528"/>
      <c r="P7" s="212" t="s">
        <v>2219</v>
      </c>
      <c r="Q7" s="533" t="s">
        <v>12</v>
      </c>
      <c r="R7" s="528"/>
      <c r="S7" s="35" t="s">
        <v>13</v>
      </c>
      <c r="T7" s="527" t="s">
        <v>14</v>
      </c>
      <c r="U7" s="528"/>
      <c r="V7" s="527" t="s">
        <v>15</v>
      </c>
      <c r="W7" s="528"/>
      <c r="X7" s="527" t="s">
        <v>16</v>
      </c>
      <c r="Y7" s="528"/>
    </row>
    <row r="8" spans="1:27">
      <c r="A8" s="1"/>
      <c r="B8" s="32"/>
      <c r="C8" s="38" t="s">
        <v>18</v>
      </c>
      <c r="D8" s="38" t="s">
        <v>19</v>
      </c>
      <c r="E8" s="38" t="s">
        <v>20</v>
      </c>
      <c r="F8" s="38" t="s">
        <v>21</v>
      </c>
      <c r="G8" s="38" t="s">
        <v>2018</v>
      </c>
      <c r="H8" s="38" t="s">
        <v>22</v>
      </c>
      <c r="I8" s="38"/>
      <c r="J8" s="40"/>
      <c r="K8" s="41" t="s">
        <v>23</v>
      </c>
      <c r="L8" s="42"/>
      <c r="M8" s="43"/>
      <c r="N8" s="43"/>
      <c r="O8" s="44"/>
      <c r="P8" s="213"/>
      <c r="Q8" s="45"/>
      <c r="R8" s="128"/>
      <c r="S8" s="165"/>
      <c r="T8" s="47"/>
      <c r="U8" s="214"/>
      <c r="V8" s="100" t="s">
        <v>24</v>
      </c>
      <c r="W8" s="100" t="s">
        <v>25</v>
      </c>
      <c r="X8" s="49"/>
      <c r="Y8" s="49"/>
    </row>
    <row r="9" spans="1:27" ht="14.25" customHeight="1">
      <c r="A9" s="98"/>
      <c r="B9" s="99"/>
      <c r="C9" s="71" t="s">
        <v>2220</v>
      </c>
      <c r="D9" s="53" t="s">
        <v>55</v>
      </c>
      <c r="E9" s="53" t="s">
        <v>56</v>
      </c>
      <c r="F9" s="66" t="s">
        <v>57</v>
      </c>
      <c r="G9" s="69" t="s">
        <v>2206</v>
      </c>
      <c r="H9" s="69" t="s">
        <v>30</v>
      </c>
      <c r="I9" s="69">
        <v>10</v>
      </c>
      <c r="J9" s="70">
        <v>550</v>
      </c>
      <c r="K9" s="54">
        <f t="shared" ref="K9:K23" si="0">I9*J9</f>
        <v>5500</v>
      </c>
      <c r="L9" s="55" t="b">
        <v>1</v>
      </c>
      <c r="M9" s="56">
        <v>11020240951</v>
      </c>
      <c r="N9" s="57" t="b">
        <v>1</v>
      </c>
      <c r="O9" s="58" t="s">
        <v>31</v>
      </c>
      <c r="P9" s="215"/>
      <c r="Q9" s="59" t="b">
        <v>1</v>
      </c>
      <c r="R9" s="129"/>
      <c r="S9" s="165"/>
      <c r="T9" s="47" t="b">
        <v>1</v>
      </c>
      <c r="U9" s="216" t="s">
        <v>2221</v>
      </c>
      <c r="V9" s="54"/>
      <c r="W9" s="54"/>
      <c r="X9" s="49"/>
      <c r="Y9" s="49"/>
    </row>
    <row r="10" spans="1:27">
      <c r="A10" s="1"/>
      <c r="B10" s="32"/>
      <c r="C10" s="82">
        <v>45566</v>
      </c>
      <c r="D10" s="53" t="s">
        <v>1899</v>
      </c>
      <c r="E10" s="53" t="s">
        <v>137</v>
      </c>
      <c r="F10" s="53" t="s">
        <v>1965</v>
      </c>
      <c r="G10" s="53" t="s">
        <v>308</v>
      </c>
      <c r="H10" s="53" t="s">
        <v>30</v>
      </c>
      <c r="I10" s="53">
        <v>20</v>
      </c>
      <c r="J10" s="54">
        <v>850</v>
      </c>
      <c r="K10" s="54">
        <f t="shared" si="0"/>
        <v>17000</v>
      </c>
      <c r="L10" s="55" t="b">
        <v>1</v>
      </c>
      <c r="M10" s="56">
        <v>11020240955</v>
      </c>
      <c r="N10" s="57" t="b">
        <v>1</v>
      </c>
      <c r="O10" s="58" t="s">
        <v>31</v>
      </c>
      <c r="P10" s="215"/>
      <c r="Q10" s="59" t="b">
        <v>1</v>
      </c>
      <c r="R10" s="129"/>
      <c r="S10" s="165"/>
      <c r="T10" s="47" t="b">
        <v>1</v>
      </c>
      <c r="U10" s="216" t="s">
        <v>2222</v>
      </c>
      <c r="V10" s="54"/>
      <c r="W10" s="54"/>
      <c r="X10" s="49"/>
      <c r="Y10" s="49"/>
    </row>
    <row r="11" spans="1:27">
      <c r="A11" s="1"/>
      <c r="B11" s="32"/>
      <c r="C11" s="197">
        <v>45566</v>
      </c>
      <c r="D11" s="66" t="s">
        <v>104</v>
      </c>
      <c r="E11" s="66" t="s">
        <v>486</v>
      </c>
      <c r="F11" s="66" t="s">
        <v>241</v>
      </c>
      <c r="G11" s="66" t="s">
        <v>68</v>
      </c>
      <c r="H11" s="66" t="s">
        <v>30</v>
      </c>
      <c r="I11" s="66">
        <v>1</v>
      </c>
      <c r="J11" s="75">
        <v>2350</v>
      </c>
      <c r="K11" s="54">
        <f t="shared" si="0"/>
        <v>2350</v>
      </c>
      <c r="L11" s="55" t="b">
        <v>1</v>
      </c>
      <c r="M11" s="56">
        <v>11020241713</v>
      </c>
      <c r="N11" s="57" t="b">
        <v>1</v>
      </c>
      <c r="O11" s="58" t="s">
        <v>31</v>
      </c>
      <c r="P11" s="215"/>
      <c r="Q11" s="59" t="b">
        <v>1</v>
      </c>
      <c r="R11" s="164"/>
      <c r="S11" s="165"/>
      <c r="T11" s="47" t="b">
        <v>1</v>
      </c>
      <c r="U11" s="216" t="s">
        <v>2223</v>
      </c>
      <c r="V11" s="75"/>
      <c r="W11" s="75"/>
      <c r="X11" s="166"/>
      <c r="Y11" s="166"/>
    </row>
    <row r="12" spans="1:27">
      <c r="A12" s="18"/>
      <c r="B12" s="163"/>
      <c r="C12" s="197">
        <v>45567</v>
      </c>
      <c r="D12" s="66" t="s">
        <v>418</v>
      </c>
      <c r="E12" s="66" t="s">
        <v>1037</v>
      </c>
      <c r="F12" s="66" t="s">
        <v>420</v>
      </c>
      <c r="G12" s="66" t="s">
        <v>2224</v>
      </c>
      <c r="H12" s="66" t="s">
        <v>30</v>
      </c>
      <c r="I12" s="66">
        <v>10</v>
      </c>
      <c r="J12" s="75">
        <v>90</v>
      </c>
      <c r="K12" s="75">
        <f t="shared" si="0"/>
        <v>900</v>
      </c>
      <c r="L12" s="55" t="b">
        <v>1</v>
      </c>
      <c r="M12" s="154">
        <v>21020240900</v>
      </c>
      <c r="N12" s="57" t="b">
        <v>1</v>
      </c>
      <c r="O12" s="58" t="s">
        <v>31</v>
      </c>
      <c r="P12" s="215"/>
      <c r="Q12" s="59" t="b">
        <v>1</v>
      </c>
      <c r="R12" s="164"/>
      <c r="S12" s="165"/>
      <c r="T12" s="47" t="b">
        <v>1</v>
      </c>
      <c r="U12" s="216" t="s">
        <v>2225</v>
      </c>
      <c r="V12" s="75"/>
      <c r="W12" s="75"/>
      <c r="X12" s="166"/>
      <c r="Y12" s="166"/>
      <c r="Z12" s="167"/>
      <c r="AA12" s="167"/>
    </row>
    <row r="13" spans="1:27">
      <c r="A13" s="18"/>
      <c r="B13" s="163"/>
      <c r="C13" s="76">
        <v>45567</v>
      </c>
      <c r="D13" s="66" t="s">
        <v>418</v>
      </c>
      <c r="E13" s="66" t="s">
        <v>1037</v>
      </c>
      <c r="F13" s="66" t="s">
        <v>420</v>
      </c>
      <c r="G13" s="66" t="s">
        <v>2226</v>
      </c>
      <c r="H13" s="66" t="s">
        <v>30</v>
      </c>
      <c r="I13" s="66">
        <v>5</v>
      </c>
      <c r="J13" s="75">
        <v>110</v>
      </c>
      <c r="K13" s="75">
        <f t="shared" si="0"/>
        <v>550</v>
      </c>
      <c r="L13" s="55" t="b">
        <v>1</v>
      </c>
      <c r="M13" s="154">
        <v>21020240900</v>
      </c>
      <c r="N13" s="57" t="b">
        <v>1</v>
      </c>
      <c r="O13" s="58" t="s">
        <v>31</v>
      </c>
      <c r="P13" s="215"/>
      <c r="Q13" s="59" t="b">
        <v>1</v>
      </c>
      <c r="R13" s="164"/>
      <c r="S13" s="165"/>
      <c r="T13" s="47" t="b">
        <v>1</v>
      </c>
      <c r="U13" s="216" t="s">
        <v>2225</v>
      </c>
      <c r="V13" s="75"/>
      <c r="W13" s="75"/>
      <c r="X13" s="166"/>
      <c r="Y13" s="166"/>
      <c r="Z13" s="167"/>
      <c r="AA13" s="167"/>
    </row>
    <row r="14" spans="1:27">
      <c r="A14" s="18"/>
      <c r="B14" s="163"/>
      <c r="C14" s="197">
        <v>45567</v>
      </c>
      <c r="D14" s="66" t="s">
        <v>418</v>
      </c>
      <c r="E14" s="66" t="s">
        <v>1037</v>
      </c>
      <c r="F14" s="66" t="s">
        <v>420</v>
      </c>
      <c r="G14" s="66" t="s">
        <v>668</v>
      </c>
      <c r="H14" s="66" t="s">
        <v>30</v>
      </c>
      <c r="I14" s="66">
        <v>5</v>
      </c>
      <c r="J14" s="75">
        <v>125</v>
      </c>
      <c r="K14" s="75">
        <f t="shared" si="0"/>
        <v>625</v>
      </c>
      <c r="L14" s="55" t="b">
        <v>1</v>
      </c>
      <c r="M14" s="154">
        <v>21020240900</v>
      </c>
      <c r="N14" s="57" t="b">
        <v>1</v>
      </c>
      <c r="O14" s="58" t="s">
        <v>31</v>
      </c>
      <c r="P14" s="215"/>
      <c r="Q14" s="59" t="b">
        <v>1</v>
      </c>
      <c r="R14" s="164"/>
      <c r="S14" s="165"/>
      <c r="T14" s="47" t="b">
        <v>1</v>
      </c>
      <c r="U14" s="216" t="s">
        <v>2225</v>
      </c>
      <c r="V14" s="75"/>
      <c r="W14" s="75"/>
      <c r="X14" s="166"/>
      <c r="Y14" s="166"/>
      <c r="Z14" s="167"/>
      <c r="AA14" s="167"/>
    </row>
    <row r="15" spans="1:27">
      <c r="A15" s="18"/>
      <c r="B15" s="163"/>
      <c r="C15" s="197">
        <v>45567</v>
      </c>
      <c r="D15" s="66" t="s">
        <v>418</v>
      </c>
      <c r="E15" s="66" t="s">
        <v>230</v>
      </c>
      <c r="F15" s="66" t="s">
        <v>1990</v>
      </c>
      <c r="G15" s="67" t="s">
        <v>1952</v>
      </c>
      <c r="H15" s="67" t="s">
        <v>30</v>
      </c>
      <c r="I15" s="67">
        <v>10</v>
      </c>
      <c r="J15" s="68">
        <v>550</v>
      </c>
      <c r="K15" s="54">
        <f t="shared" si="0"/>
        <v>5500</v>
      </c>
      <c r="L15" s="55" t="b">
        <v>1</v>
      </c>
      <c r="M15" s="56">
        <v>21020240943</v>
      </c>
      <c r="N15" s="57" t="b">
        <v>1</v>
      </c>
      <c r="O15" s="58" t="s">
        <v>31</v>
      </c>
      <c r="P15" s="215"/>
      <c r="Q15" s="59" t="b">
        <v>1</v>
      </c>
      <c r="R15" s="164"/>
      <c r="S15" s="165"/>
      <c r="T15" s="47" t="b">
        <v>1</v>
      </c>
      <c r="U15" s="216" t="s">
        <v>2227</v>
      </c>
      <c r="V15" s="75"/>
      <c r="W15" s="75"/>
      <c r="X15" s="166"/>
      <c r="Y15" s="166"/>
      <c r="Z15" s="167"/>
      <c r="AA15" s="167"/>
    </row>
    <row r="16" spans="1:27">
      <c r="A16" s="18"/>
      <c r="B16" s="163"/>
      <c r="C16" s="76">
        <v>45567</v>
      </c>
      <c r="D16" s="66" t="s">
        <v>345</v>
      </c>
      <c r="E16" s="66" t="s">
        <v>342</v>
      </c>
      <c r="F16" s="66" t="s">
        <v>2228</v>
      </c>
      <c r="G16" s="66" t="s">
        <v>677</v>
      </c>
      <c r="H16" s="67" t="s">
        <v>30</v>
      </c>
      <c r="I16" s="67">
        <v>30</v>
      </c>
      <c r="J16" s="68">
        <v>115</v>
      </c>
      <c r="K16" s="54">
        <f t="shared" si="0"/>
        <v>3450</v>
      </c>
      <c r="L16" s="55" t="b">
        <v>1</v>
      </c>
      <c r="M16" s="56">
        <v>21020241528</v>
      </c>
      <c r="N16" s="57" t="b">
        <v>1</v>
      </c>
      <c r="O16" s="58" t="s">
        <v>31</v>
      </c>
      <c r="P16" s="215"/>
      <c r="Q16" s="59" t="b">
        <v>1</v>
      </c>
      <c r="R16" s="164"/>
      <c r="S16" s="165"/>
      <c r="T16" s="47" t="b">
        <v>1</v>
      </c>
      <c r="U16" s="216" t="s">
        <v>2229</v>
      </c>
      <c r="V16" s="75"/>
      <c r="W16" s="75"/>
      <c r="X16" s="166"/>
      <c r="Y16" s="166"/>
      <c r="Z16" s="167"/>
      <c r="AA16" s="167"/>
    </row>
    <row r="17" spans="1:27">
      <c r="A17" s="18"/>
      <c r="B17" s="163"/>
      <c r="C17" s="82">
        <v>45567</v>
      </c>
      <c r="D17" s="66" t="s">
        <v>418</v>
      </c>
      <c r="E17" s="67" t="s">
        <v>1037</v>
      </c>
      <c r="F17" s="67" t="s">
        <v>420</v>
      </c>
      <c r="G17" s="67" t="s">
        <v>1509</v>
      </c>
      <c r="H17" s="69" t="s">
        <v>30</v>
      </c>
      <c r="I17" s="69">
        <v>13</v>
      </c>
      <c r="J17" s="70">
        <v>495</v>
      </c>
      <c r="K17" s="54">
        <f t="shared" si="0"/>
        <v>6435</v>
      </c>
      <c r="L17" s="55" t="b">
        <v>1</v>
      </c>
      <c r="M17" s="56">
        <v>21020241855</v>
      </c>
      <c r="N17" s="57" t="b">
        <v>1</v>
      </c>
      <c r="O17" s="58" t="s">
        <v>31</v>
      </c>
      <c r="P17" s="215"/>
      <c r="Q17" s="59" t="b">
        <v>1</v>
      </c>
      <c r="R17" s="129"/>
      <c r="S17" s="165"/>
      <c r="T17" s="47" t="b">
        <v>1</v>
      </c>
      <c r="U17" s="216" t="s">
        <v>2230</v>
      </c>
      <c r="V17" s="54"/>
      <c r="W17" s="54"/>
      <c r="X17" s="49"/>
      <c r="Y17" s="49"/>
      <c r="Z17" s="167"/>
      <c r="AA17" s="167"/>
    </row>
    <row r="18" spans="1:27">
      <c r="A18" s="1"/>
      <c r="B18" s="32"/>
      <c r="C18" s="197">
        <v>45568</v>
      </c>
      <c r="D18" s="66" t="s">
        <v>144</v>
      </c>
      <c r="E18" s="67" t="s">
        <v>1959</v>
      </c>
      <c r="F18" s="66" t="s">
        <v>1235</v>
      </c>
      <c r="G18" s="66" t="s">
        <v>746</v>
      </c>
      <c r="H18" s="66" t="s">
        <v>30</v>
      </c>
      <c r="I18" s="66">
        <v>10</v>
      </c>
      <c r="J18" s="75">
        <v>795</v>
      </c>
      <c r="K18" s="54">
        <f t="shared" si="0"/>
        <v>7950</v>
      </c>
      <c r="L18" s="55" t="b">
        <v>1</v>
      </c>
      <c r="M18" s="56">
        <v>31020240900</v>
      </c>
      <c r="N18" s="57" t="b">
        <v>1</v>
      </c>
      <c r="O18" s="58" t="s">
        <v>31</v>
      </c>
      <c r="P18" s="215"/>
      <c r="Q18" s="59" t="b">
        <v>1</v>
      </c>
      <c r="R18" s="164"/>
      <c r="S18" s="165"/>
      <c r="T18" s="47" t="b">
        <v>1</v>
      </c>
      <c r="U18" s="216" t="s">
        <v>2231</v>
      </c>
      <c r="V18" s="75"/>
      <c r="W18" s="75"/>
      <c r="X18" s="166"/>
      <c r="Y18" s="166"/>
    </row>
    <row r="19" spans="1:27">
      <c r="A19" s="18"/>
      <c r="B19" s="163"/>
      <c r="C19" s="217" t="s">
        <v>2232</v>
      </c>
      <c r="D19" s="66" t="s">
        <v>93</v>
      </c>
      <c r="E19" s="67" t="s">
        <v>137</v>
      </c>
      <c r="F19" s="66" t="s">
        <v>1410</v>
      </c>
      <c r="G19" s="66" t="s">
        <v>1952</v>
      </c>
      <c r="H19" s="66" t="s">
        <v>30</v>
      </c>
      <c r="I19" s="66">
        <v>20</v>
      </c>
      <c r="J19" s="75">
        <v>550</v>
      </c>
      <c r="K19" s="75">
        <f t="shared" si="0"/>
        <v>11000</v>
      </c>
      <c r="L19" s="55" t="b">
        <v>1</v>
      </c>
      <c r="M19" s="154">
        <v>31020241123</v>
      </c>
      <c r="N19" s="57" t="b">
        <v>1</v>
      </c>
      <c r="O19" s="58" t="s">
        <v>31</v>
      </c>
      <c r="P19" s="215"/>
      <c r="Q19" s="59" t="b">
        <v>1</v>
      </c>
      <c r="R19" s="164"/>
      <c r="S19" s="165"/>
      <c r="T19" s="47" t="b">
        <v>1</v>
      </c>
      <c r="U19" s="216" t="s">
        <v>2233</v>
      </c>
      <c r="V19" s="75"/>
      <c r="W19" s="75"/>
      <c r="X19" s="166"/>
      <c r="Y19" s="166"/>
      <c r="Z19" s="167"/>
      <c r="AA19" s="167"/>
    </row>
    <row r="20" spans="1:27">
      <c r="A20" s="18"/>
      <c r="B20" s="163"/>
      <c r="C20" s="197">
        <v>45568</v>
      </c>
      <c r="D20" s="66" t="s">
        <v>194</v>
      </c>
      <c r="E20" s="66" t="s">
        <v>137</v>
      </c>
      <c r="F20" s="66" t="s">
        <v>2234</v>
      </c>
      <c r="G20" s="67" t="s">
        <v>1781</v>
      </c>
      <c r="H20" s="67" t="s">
        <v>30</v>
      </c>
      <c r="I20" s="67">
        <v>84</v>
      </c>
      <c r="J20" s="68">
        <v>41.5</v>
      </c>
      <c r="K20" s="75">
        <f t="shared" si="0"/>
        <v>3486</v>
      </c>
      <c r="L20" s="55" t="b">
        <v>1</v>
      </c>
      <c r="M20" s="154">
        <v>31020241445</v>
      </c>
      <c r="N20" s="57" t="b">
        <v>1</v>
      </c>
      <c r="O20" s="58" t="s">
        <v>31</v>
      </c>
      <c r="P20" s="215"/>
      <c r="Q20" s="59" t="b">
        <v>1</v>
      </c>
      <c r="R20" s="42"/>
      <c r="S20" s="165"/>
      <c r="T20" s="47" t="b">
        <v>1</v>
      </c>
      <c r="U20" s="216" t="s">
        <v>2235</v>
      </c>
      <c r="V20" s="218"/>
      <c r="W20" s="218"/>
      <c r="X20" s="42"/>
      <c r="Y20" s="42"/>
      <c r="Z20" s="167"/>
      <c r="AA20" s="167"/>
    </row>
    <row r="21" spans="1:27">
      <c r="A21" s="219"/>
      <c r="B21" s="219"/>
      <c r="C21" s="82">
        <v>45568</v>
      </c>
      <c r="D21" s="53" t="s">
        <v>418</v>
      </c>
      <c r="E21" s="53" t="s">
        <v>84</v>
      </c>
      <c r="F21" s="53" t="s">
        <v>85</v>
      </c>
      <c r="G21" s="74" t="s">
        <v>429</v>
      </c>
      <c r="H21" s="74" t="s">
        <v>30</v>
      </c>
      <c r="I21" s="74">
        <v>5</v>
      </c>
      <c r="J21" s="73">
        <v>1550</v>
      </c>
      <c r="K21" s="54">
        <f t="shared" si="0"/>
        <v>7750</v>
      </c>
      <c r="L21" s="55" t="b">
        <v>1</v>
      </c>
      <c r="M21" s="56">
        <v>31020241533</v>
      </c>
      <c r="N21" s="57" t="b">
        <v>1</v>
      </c>
      <c r="O21" s="58" t="s">
        <v>31</v>
      </c>
      <c r="P21" s="215"/>
      <c r="Q21" s="59" t="b">
        <v>1</v>
      </c>
      <c r="R21" s="199"/>
      <c r="S21" s="165"/>
      <c r="T21" s="47" t="b">
        <v>1</v>
      </c>
      <c r="U21" s="216" t="s">
        <v>2236</v>
      </c>
      <c r="V21" s="200"/>
      <c r="W21" s="200"/>
      <c r="X21" s="199"/>
      <c r="Y21" s="199"/>
      <c r="Z21" s="219"/>
      <c r="AA21" s="219"/>
    </row>
    <row r="22" spans="1:27">
      <c r="A22" s="198"/>
      <c r="B22" s="198"/>
      <c r="C22" s="197">
        <v>45568</v>
      </c>
      <c r="D22" s="66" t="s">
        <v>51</v>
      </c>
      <c r="E22" s="67" t="s">
        <v>335</v>
      </c>
      <c r="F22" s="67" t="s">
        <v>2237</v>
      </c>
      <c r="G22" s="66" t="s">
        <v>2238</v>
      </c>
      <c r="H22" s="66" t="s">
        <v>30</v>
      </c>
      <c r="I22" s="66">
        <v>1</v>
      </c>
      <c r="J22" s="75">
        <v>3250</v>
      </c>
      <c r="K22" s="75">
        <f t="shared" si="0"/>
        <v>3250</v>
      </c>
      <c r="L22" s="55" t="b">
        <v>1</v>
      </c>
      <c r="M22" s="154">
        <v>31020241647</v>
      </c>
      <c r="N22" s="57" t="b">
        <v>1</v>
      </c>
      <c r="O22" s="58" t="s">
        <v>31</v>
      </c>
      <c r="P22" s="215"/>
      <c r="Q22" s="59" t="b">
        <v>1</v>
      </c>
      <c r="R22" s="42"/>
      <c r="S22" s="165"/>
      <c r="T22" s="47" t="b">
        <v>1</v>
      </c>
      <c r="U22" s="216" t="s">
        <v>2239</v>
      </c>
      <c r="V22" s="218"/>
      <c r="W22" s="218"/>
      <c r="X22" s="42"/>
      <c r="Y22" s="42"/>
      <c r="Z22" s="198"/>
      <c r="AA22" s="198"/>
    </row>
    <row r="23" spans="1:27">
      <c r="A23" s="219"/>
      <c r="B23" s="219"/>
      <c r="C23" s="197">
        <v>45568</v>
      </c>
      <c r="D23" s="66" t="s">
        <v>1886</v>
      </c>
      <c r="E23" s="67" t="s">
        <v>434</v>
      </c>
      <c r="F23" s="67" t="s">
        <v>2240</v>
      </c>
      <c r="G23" s="69" t="s">
        <v>2241</v>
      </c>
      <c r="H23" s="66" t="s">
        <v>30</v>
      </c>
      <c r="I23" s="66">
        <v>10</v>
      </c>
      <c r="J23" s="75">
        <v>4620</v>
      </c>
      <c r="K23" s="54">
        <f t="shared" si="0"/>
        <v>46200</v>
      </c>
      <c r="L23" s="55" t="b">
        <v>1</v>
      </c>
      <c r="M23" s="56">
        <v>31020241653</v>
      </c>
      <c r="N23" s="57" t="b">
        <v>1</v>
      </c>
      <c r="O23" s="58" t="s">
        <v>529</v>
      </c>
      <c r="P23" s="215"/>
      <c r="Q23" s="59" t="b">
        <v>1</v>
      </c>
      <c r="R23" s="164"/>
      <c r="S23" s="165"/>
      <c r="T23" s="47" t="b">
        <v>1</v>
      </c>
      <c r="U23" s="216" t="s">
        <v>2242</v>
      </c>
      <c r="V23" s="75"/>
      <c r="W23" s="75"/>
      <c r="X23" s="166"/>
      <c r="Y23" s="166"/>
      <c r="Z23" s="219"/>
      <c r="AA23" s="219"/>
    </row>
    <row r="24" spans="1:27">
      <c r="A24" s="18"/>
      <c r="B24" s="163"/>
      <c r="C24" s="197">
        <v>45568</v>
      </c>
      <c r="D24" s="66" t="s">
        <v>1886</v>
      </c>
      <c r="E24" s="67" t="s">
        <v>434</v>
      </c>
      <c r="F24" s="67" t="s">
        <v>2240</v>
      </c>
      <c r="G24" s="69" t="s">
        <v>72</v>
      </c>
      <c r="H24" s="66" t="s">
        <v>30</v>
      </c>
      <c r="I24" s="66">
        <v>1</v>
      </c>
      <c r="J24" s="75">
        <v>3250</v>
      </c>
      <c r="K24" s="54">
        <v>3250</v>
      </c>
      <c r="L24" s="55" t="b">
        <v>1</v>
      </c>
      <c r="M24" s="56">
        <v>31020241653</v>
      </c>
      <c r="N24" s="57" t="b">
        <v>1</v>
      </c>
      <c r="O24" s="58" t="s">
        <v>31</v>
      </c>
      <c r="P24" s="215"/>
      <c r="Q24" s="59" t="b">
        <v>1</v>
      </c>
      <c r="R24" s="164"/>
      <c r="S24" s="165"/>
      <c r="T24" s="47" t="b">
        <v>1</v>
      </c>
      <c r="U24" s="216" t="s">
        <v>2242</v>
      </c>
      <c r="V24" s="75"/>
      <c r="W24" s="75"/>
      <c r="X24" s="166"/>
      <c r="Y24" s="166"/>
      <c r="Z24" s="167"/>
      <c r="AA24" s="167"/>
    </row>
    <row r="25" spans="1:27">
      <c r="A25" s="18"/>
      <c r="B25" s="163"/>
      <c r="C25" s="197">
        <v>45568</v>
      </c>
      <c r="D25" s="66" t="s">
        <v>26</v>
      </c>
      <c r="E25" s="67" t="s">
        <v>2243</v>
      </c>
      <c r="F25" s="67" t="s">
        <v>2244</v>
      </c>
      <c r="G25" s="159" t="s">
        <v>68</v>
      </c>
      <c r="H25" s="66" t="s">
        <v>30</v>
      </c>
      <c r="I25" s="66">
        <v>2</v>
      </c>
      <c r="J25" s="75">
        <v>2350</v>
      </c>
      <c r="K25" s="75">
        <f t="shared" ref="K25:K96" si="1">I25*J25</f>
        <v>4700</v>
      </c>
      <c r="L25" s="55" t="b">
        <v>1</v>
      </c>
      <c r="M25" s="154">
        <v>31020241731</v>
      </c>
      <c r="N25" s="57" t="b">
        <v>1</v>
      </c>
      <c r="O25" s="58" t="s">
        <v>31</v>
      </c>
      <c r="P25" s="215"/>
      <c r="Q25" s="59" t="b">
        <v>1</v>
      </c>
      <c r="R25" s="164"/>
      <c r="S25" s="165"/>
      <c r="T25" s="47" t="b">
        <v>1</v>
      </c>
      <c r="U25" s="216" t="s">
        <v>2245</v>
      </c>
      <c r="V25" s="75"/>
      <c r="W25" s="75"/>
      <c r="X25" s="166"/>
      <c r="Y25" s="166"/>
      <c r="Z25" s="167"/>
      <c r="AA25" s="167"/>
    </row>
    <row r="26" spans="1:27">
      <c r="A26" s="18"/>
      <c r="B26" s="163"/>
      <c r="C26" s="197">
        <v>45569</v>
      </c>
      <c r="D26" s="66" t="s">
        <v>51</v>
      </c>
      <c r="E26" s="67" t="s">
        <v>201</v>
      </c>
      <c r="F26" s="67" t="s">
        <v>1208</v>
      </c>
      <c r="G26" s="159" t="s">
        <v>2246</v>
      </c>
      <c r="H26" s="66" t="s">
        <v>30</v>
      </c>
      <c r="I26" s="66">
        <v>1</v>
      </c>
      <c r="J26" s="75">
        <v>24750</v>
      </c>
      <c r="K26" s="75">
        <f t="shared" si="1"/>
        <v>24750</v>
      </c>
      <c r="L26" s="55" t="b">
        <v>1</v>
      </c>
      <c r="M26" s="154">
        <v>41020241213</v>
      </c>
      <c r="N26" s="57" t="b">
        <v>1</v>
      </c>
      <c r="O26" s="58" t="s">
        <v>529</v>
      </c>
      <c r="P26" s="215"/>
      <c r="Q26" s="59" t="b">
        <v>1</v>
      </c>
      <c r="R26" s="164"/>
      <c r="S26" s="165"/>
      <c r="T26" s="47" t="b">
        <v>1</v>
      </c>
      <c r="U26" s="216" t="s">
        <v>2247</v>
      </c>
      <c r="V26" s="75"/>
      <c r="W26" s="75"/>
      <c r="X26" s="166"/>
      <c r="Y26" s="166"/>
      <c r="Z26" s="167"/>
      <c r="AA26" s="167"/>
    </row>
    <row r="27" spans="1:27">
      <c r="A27" s="18"/>
      <c r="B27" s="163"/>
      <c r="C27" s="197">
        <v>45569</v>
      </c>
      <c r="D27" s="66" t="s">
        <v>46</v>
      </c>
      <c r="E27" s="66" t="s">
        <v>47</v>
      </c>
      <c r="F27" s="66" t="s">
        <v>48</v>
      </c>
      <c r="G27" s="159" t="s">
        <v>1952</v>
      </c>
      <c r="H27" s="66" t="s">
        <v>30</v>
      </c>
      <c r="I27" s="66">
        <v>10</v>
      </c>
      <c r="J27" s="75">
        <v>550</v>
      </c>
      <c r="K27" s="75">
        <f t="shared" si="1"/>
        <v>5500</v>
      </c>
      <c r="L27" s="55" t="b">
        <v>1</v>
      </c>
      <c r="M27" s="154">
        <v>41020241945</v>
      </c>
      <c r="N27" s="57" t="b">
        <v>1</v>
      </c>
      <c r="O27" s="58" t="s">
        <v>31</v>
      </c>
      <c r="P27" s="215"/>
      <c r="Q27" s="59" t="b">
        <v>1</v>
      </c>
      <c r="R27" s="164"/>
      <c r="S27" s="165"/>
      <c r="T27" s="47" t="b">
        <v>1</v>
      </c>
      <c r="U27" s="216" t="s">
        <v>2248</v>
      </c>
      <c r="V27" s="75"/>
      <c r="W27" s="165"/>
      <c r="X27" s="166"/>
      <c r="Y27" s="166"/>
      <c r="Z27" s="167"/>
      <c r="AA27" s="167"/>
    </row>
    <row r="28" spans="1:27">
      <c r="A28" s="18"/>
      <c r="B28" s="163"/>
      <c r="C28" s="197">
        <v>45569</v>
      </c>
      <c r="D28" s="66" t="s">
        <v>104</v>
      </c>
      <c r="E28" s="66" t="s">
        <v>2249</v>
      </c>
      <c r="F28" s="66" t="s">
        <v>2250</v>
      </c>
      <c r="G28" s="159" t="s">
        <v>2251</v>
      </c>
      <c r="H28" s="66" t="s">
        <v>30</v>
      </c>
      <c r="I28" s="66">
        <v>1</v>
      </c>
      <c r="J28" s="75">
        <v>875</v>
      </c>
      <c r="K28" s="54">
        <f t="shared" si="1"/>
        <v>875</v>
      </c>
      <c r="L28" s="55" t="b">
        <v>1</v>
      </c>
      <c r="M28" s="56">
        <v>41020242014</v>
      </c>
      <c r="N28" s="57" t="b">
        <v>1</v>
      </c>
      <c r="O28" s="58" t="s">
        <v>31</v>
      </c>
      <c r="P28" s="215"/>
      <c r="Q28" s="59" t="b">
        <v>1</v>
      </c>
      <c r="R28" s="164"/>
      <c r="S28" s="165"/>
      <c r="T28" s="47" t="b">
        <v>1</v>
      </c>
      <c r="U28" s="216" t="s">
        <v>2252</v>
      </c>
      <c r="V28" s="75"/>
      <c r="W28" s="165"/>
      <c r="X28" s="166"/>
      <c r="Y28" s="166"/>
      <c r="Z28" s="167"/>
      <c r="AA28" s="167"/>
    </row>
    <row r="29" spans="1:27">
      <c r="A29" s="18"/>
      <c r="B29" s="163"/>
      <c r="C29" s="132" t="s">
        <v>2253</v>
      </c>
      <c r="D29" s="66" t="s">
        <v>104</v>
      </c>
      <c r="E29" s="66" t="s">
        <v>2249</v>
      </c>
      <c r="F29" s="66" t="s">
        <v>2250</v>
      </c>
      <c r="G29" s="66" t="s">
        <v>2254</v>
      </c>
      <c r="H29" s="66" t="s">
        <v>30</v>
      </c>
      <c r="I29" s="66">
        <v>1</v>
      </c>
      <c r="J29" s="75">
        <v>8000</v>
      </c>
      <c r="K29" s="54">
        <f t="shared" si="1"/>
        <v>8000</v>
      </c>
      <c r="L29" s="55" t="b">
        <v>1</v>
      </c>
      <c r="M29" s="56">
        <v>41020242027</v>
      </c>
      <c r="N29" s="57" t="b">
        <v>1</v>
      </c>
      <c r="O29" s="58"/>
      <c r="P29" s="215"/>
      <c r="Q29" s="59" t="b">
        <v>1</v>
      </c>
      <c r="R29" s="164"/>
      <c r="S29" s="165"/>
      <c r="T29" s="47" t="b">
        <v>1</v>
      </c>
      <c r="U29" s="216" t="s">
        <v>2255</v>
      </c>
      <c r="V29" s="75"/>
      <c r="W29" s="75"/>
      <c r="X29" s="166"/>
      <c r="Y29" s="166"/>
      <c r="Z29" s="167"/>
      <c r="AA29" s="167"/>
    </row>
    <row r="30" spans="1:27">
      <c r="A30" s="18"/>
      <c r="B30" s="163"/>
      <c r="C30" s="71" t="s">
        <v>2256</v>
      </c>
      <c r="D30" s="53" t="s">
        <v>51</v>
      </c>
      <c r="E30" s="53" t="s">
        <v>594</v>
      </c>
      <c r="F30" s="53" t="s">
        <v>595</v>
      </c>
      <c r="G30" s="53" t="s">
        <v>2257</v>
      </c>
      <c r="H30" s="53" t="s">
        <v>30</v>
      </c>
      <c r="I30" s="53">
        <v>1</v>
      </c>
      <c r="J30" s="54">
        <v>2250</v>
      </c>
      <c r="K30" s="54">
        <f t="shared" si="1"/>
        <v>2250</v>
      </c>
      <c r="L30" s="55" t="b">
        <v>1</v>
      </c>
      <c r="M30" s="56">
        <v>71020240915</v>
      </c>
      <c r="N30" s="57" t="b">
        <v>1</v>
      </c>
      <c r="O30" s="58" t="s">
        <v>31</v>
      </c>
      <c r="P30" s="215"/>
      <c r="Q30" s="59" t="b">
        <v>1</v>
      </c>
      <c r="R30" s="129"/>
      <c r="S30" s="60"/>
      <c r="T30" s="47" t="b">
        <v>1</v>
      </c>
      <c r="U30" s="216" t="s">
        <v>2258</v>
      </c>
      <c r="V30" s="54"/>
      <c r="W30" s="54"/>
      <c r="X30" s="49"/>
      <c r="Y30" s="49"/>
      <c r="Z30" s="167"/>
      <c r="AA30" s="167"/>
    </row>
    <row r="31" spans="1:27">
      <c r="A31" s="1"/>
      <c r="B31" s="32"/>
      <c r="C31" s="71" t="s">
        <v>2256</v>
      </c>
      <c r="D31" s="53" t="s">
        <v>55</v>
      </c>
      <c r="E31" s="53">
        <v>41</v>
      </c>
      <c r="F31" s="53" t="s">
        <v>1552</v>
      </c>
      <c r="G31" s="53" t="s">
        <v>746</v>
      </c>
      <c r="H31" s="53" t="s">
        <v>30</v>
      </c>
      <c r="I31" s="53">
        <v>2</v>
      </c>
      <c r="J31" s="54">
        <v>795</v>
      </c>
      <c r="K31" s="54">
        <f t="shared" si="1"/>
        <v>1590</v>
      </c>
      <c r="L31" s="55" t="b">
        <v>1</v>
      </c>
      <c r="M31" s="56">
        <v>71020241357</v>
      </c>
      <c r="N31" s="57" t="b">
        <v>1</v>
      </c>
      <c r="O31" s="58" t="s">
        <v>31</v>
      </c>
      <c r="P31" s="215"/>
      <c r="Q31" s="59" t="b">
        <v>1</v>
      </c>
      <c r="R31" s="129"/>
      <c r="S31" s="60"/>
      <c r="T31" s="47" t="b">
        <v>1</v>
      </c>
      <c r="U31" s="216" t="s">
        <v>2259</v>
      </c>
      <c r="V31" s="54"/>
      <c r="W31" s="54"/>
      <c r="X31" s="49"/>
      <c r="Y31" s="49"/>
    </row>
    <row r="32" spans="1:27">
      <c r="A32" s="1"/>
      <c r="B32" s="32"/>
      <c r="C32" s="132" t="s">
        <v>2256</v>
      </c>
      <c r="D32" s="66" t="s">
        <v>397</v>
      </c>
      <c r="E32" s="66" t="s">
        <v>646</v>
      </c>
      <c r="F32" s="66" t="s">
        <v>2260</v>
      </c>
      <c r="G32" s="66" t="s">
        <v>58</v>
      </c>
      <c r="H32" s="66" t="s">
        <v>30</v>
      </c>
      <c r="I32" s="66">
        <v>84</v>
      </c>
      <c r="J32" s="75">
        <v>41.5</v>
      </c>
      <c r="K32" s="75">
        <f t="shared" si="1"/>
        <v>3486</v>
      </c>
      <c r="L32" s="55" t="b">
        <v>1</v>
      </c>
      <c r="M32" s="154">
        <v>71020241515</v>
      </c>
      <c r="N32" s="57" t="b">
        <v>1</v>
      </c>
      <c r="O32" s="58" t="s">
        <v>31</v>
      </c>
      <c r="P32" s="215"/>
      <c r="Q32" s="59" t="b">
        <v>1</v>
      </c>
      <c r="R32" s="164"/>
      <c r="S32" s="57"/>
      <c r="T32" s="47" t="b">
        <v>1</v>
      </c>
      <c r="U32" s="216" t="s">
        <v>2261</v>
      </c>
      <c r="V32" s="75"/>
      <c r="W32" s="75"/>
      <c r="X32" s="166"/>
      <c r="Y32" s="166"/>
    </row>
    <row r="33" spans="1:27" ht="15.75" customHeight="1">
      <c r="A33" s="18"/>
      <c r="B33" s="163"/>
      <c r="C33" s="132" t="s">
        <v>2256</v>
      </c>
      <c r="D33" s="66" t="s">
        <v>397</v>
      </c>
      <c r="E33" s="66" t="s">
        <v>646</v>
      </c>
      <c r="F33" s="66" t="s">
        <v>2262</v>
      </c>
      <c r="G33" s="159" t="s">
        <v>68</v>
      </c>
      <c r="H33" s="159" t="s">
        <v>30</v>
      </c>
      <c r="I33" s="66">
        <v>1</v>
      </c>
      <c r="J33" s="160">
        <v>2350</v>
      </c>
      <c r="K33" s="75">
        <f t="shared" si="1"/>
        <v>2350</v>
      </c>
      <c r="L33" s="55" t="b">
        <v>1</v>
      </c>
      <c r="M33" s="154">
        <v>71020241515</v>
      </c>
      <c r="N33" s="57" t="b">
        <v>1</v>
      </c>
      <c r="O33" s="58" t="s">
        <v>31</v>
      </c>
      <c r="P33" s="215"/>
      <c r="Q33" s="59" t="b">
        <v>1</v>
      </c>
      <c r="R33" s="164"/>
      <c r="S33" s="57"/>
      <c r="T33" s="47" t="b">
        <v>1</v>
      </c>
      <c r="U33" s="216" t="s">
        <v>2261</v>
      </c>
      <c r="V33" s="75"/>
      <c r="W33" s="75"/>
      <c r="X33" s="166"/>
      <c r="Y33" s="166"/>
      <c r="Z33" s="167"/>
      <c r="AA33" s="167"/>
    </row>
    <row r="34" spans="1:27">
      <c r="A34" s="18"/>
      <c r="B34" s="163"/>
      <c r="C34" s="132" t="s">
        <v>2256</v>
      </c>
      <c r="D34" s="66" t="s">
        <v>397</v>
      </c>
      <c r="E34" s="66" t="s">
        <v>646</v>
      </c>
      <c r="F34" s="66" t="s">
        <v>2260</v>
      </c>
      <c r="G34" s="69" t="s">
        <v>1952</v>
      </c>
      <c r="H34" s="159" t="s">
        <v>30</v>
      </c>
      <c r="I34" s="66">
        <v>10</v>
      </c>
      <c r="J34" s="70">
        <v>550</v>
      </c>
      <c r="K34" s="75">
        <f t="shared" si="1"/>
        <v>5500</v>
      </c>
      <c r="L34" s="55" t="b">
        <v>1</v>
      </c>
      <c r="M34" s="154">
        <v>71020241515</v>
      </c>
      <c r="N34" s="57" t="b">
        <v>1</v>
      </c>
      <c r="O34" s="58" t="s">
        <v>31</v>
      </c>
      <c r="P34" s="215"/>
      <c r="Q34" s="59" t="b">
        <v>1</v>
      </c>
      <c r="R34" s="164"/>
      <c r="S34" s="57"/>
      <c r="T34" s="47" t="b">
        <v>1</v>
      </c>
      <c r="U34" s="216" t="s">
        <v>2261</v>
      </c>
      <c r="V34" s="75"/>
      <c r="W34" s="75"/>
      <c r="X34" s="166"/>
      <c r="Y34" s="166"/>
      <c r="Z34" s="167"/>
      <c r="AA34" s="167"/>
    </row>
    <row r="35" spans="1:27">
      <c r="A35" s="18"/>
      <c r="B35" s="163"/>
      <c r="C35" s="132" t="s">
        <v>2256</v>
      </c>
      <c r="D35" s="66" t="s">
        <v>55</v>
      </c>
      <c r="E35" s="66">
        <v>41</v>
      </c>
      <c r="F35" s="66" t="s">
        <v>1552</v>
      </c>
      <c r="G35" s="69" t="s">
        <v>83</v>
      </c>
      <c r="H35" s="69" t="s">
        <v>30</v>
      </c>
      <c r="I35" s="66">
        <v>1000</v>
      </c>
      <c r="J35" s="70">
        <v>1.5</v>
      </c>
      <c r="K35" s="75">
        <f t="shared" si="1"/>
        <v>1500</v>
      </c>
      <c r="L35" s="55" t="b">
        <v>1</v>
      </c>
      <c r="M35" s="154">
        <v>71020241515</v>
      </c>
      <c r="N35" s="57" t="b">
        <v>1</v>
      </c>
      <c r="O35" s="58" t="s">
        <v>31</v>
      </c>
      <c r="P35" s="215"/>
      <c r="Q35" s="59" t="b">
        <v>1</v>
      </c>
      <c r="R35" s="164"/>
      <c r="S35" s="57"/>
      <c r="T35" s="47" t="b">
        <v>1</v>
      </c>
      <c r="U35" s="216" t="s">
        <v>2263</v>
      </c>
      <c r="V35" s="75"/>
      <c r="W35" s="75"/>
      <c r="X35" s="166"/>
      <c r="Y35" s="166"/>
      <c r="Z35" s="167"/>
      <c r="AA35" s="167"/>
    </row>
    <row r="36" spans="1:27">
      <c r="A36" s="18"/>
      <c r="B36" s="163"/>
      <c r="C36" s="132" t="s">
        <v>2256</v>
      </c>
      <c r="D36" s="66" t="s">
        <v>55</v>
      </c>
      <c r="E36" s="66">
        <v>41</v>
      </c>
      <c r="F36" s="66" t="s">
        <v>1552</v>
      </c>
      <c r="G36" s="69" t="s">
        <v>236</v>
      </c>
      <c r="H36" s="69" t="s">
        <v>30</v>
      </c>
      <c r="I36" s="66">
        <v>6</v>
      </c>
      <c r="J36" s="70">
        <v>150</v>
      </c>
      <c r="K36" s="75">
        <f t="shared" si="1"/>
        <v>900</v>
      </c>
      <c r="L36" s="55" t="b">
        <v>1</v>
      </c>
      <c r="M36" s="154">
        <v>71020241515</v>
      </c>
      <c r="N36" s="57" t="b">
        <v>1</v>
      </c>
      <c r="O36" s="58" t="s">
        <v>31</v>
      </c>
      <c r="P36" s="215"/>
      <c r="Q36" s="59" t="b">
        <v>1</v>
      </c>
      <c r="R36" s="164"/>
      <c r="S36" s="57"/>
      <c r="T36" s="47" t="b">
        <v>1</v>
      </c>
      <c r="U36" s="216" t="s">
        <v>2263</v>
      </c>
      <c r="V36" s="75"/>
      <c r="W36" s="75"/>
      <c r="X36" s="166"/>
      <c r="Y36" s="166"/>
      <c r="Z36" s="167"/>
      <c r="AA36" s="167"/>
    </row>
    <row r="37" spans="1:27">
      <c r="A37" s="18"/>
      <c r="B37" s="163"/>
      <c r="C37" s="132" t="s">
        <v>2256</v>
      </c>
      <c r="D37" s="66" t="s">
        <v>55</v>
      </c>
      <c r="E37" s="66">
        <v>41</v>
      </c>
      <c r="F37" s="66" t="s">
        <v>1552</v>
      </c>
      <c r="G37" s="69" t="s">
        <v>124</v>
      </c>
      <c r="H37" s="69" t="s">
        <v>30</v>
      </c>
      <c r="I37" s="66">
        <v>3</v>
      </c>
      <c r="J37" s="70">
        <v>625</v>
      </c>
      <c r="K37" s="75">
        <f t="shared" si="1"/>
        <v>1875</v>
      </c>
      <c r="L37" s="55" t="b">
        <v>1</v>
      </c>
      <c r="M37" s="154">
        <v>71020241515</v>
      </c>
      <c r="N37" s="57" t="b">
        <v>1</v>
      </c>
      <c r="O37" s="58" t="s">
        <v>31</v>
      </c>
      <c r="P37" s="215"/>
      <c r="Q37" s="59" t="b">
        <v>1</v>
      </c>
      <c r="R37" s="164"/>
      <c r="S37" s="57"/>
      <c r="T37" s="47" t="b">
        <v>1</v>
      </c>
      <c r="U37" s="216" t="s">
        <v>2264</v>
      </c>
      <c r="V37" s="75"/>
      <c r="W37" s="75"/>
      <c r="X37" s="166"/>
      <c r="Y37" s="166"/>
      <c r="Z37" s="167"/>
      <c r="AA37" s="167"/>
    </row>
    <row r="38" spans="1:27">
      <c r="A38" s="18"/>
      <c r="B38" s="163"/>
      <c r="C38" s="71" t="s">
        <v>2256</v>
      </c>
      <c r="D38" s="53" t="s">
        <v>55</v>
      </c>
      <c r="E38" s="53">
        <v>41</v>
      </c>
      <c r="F38" s="66" t="s">
        <v>1552</v>
      </c>
      <c r="G38" s="69" t="s">
        <v>624</v>
      </c>
      <c r="H38" s="69" t="s">
        <v>30</v>
      </c>
      <c r="I38" s="53">
        <v>9</v>
      </c>
      <c r="J38" s="70">
        <v>285</v>
      </c>
      <c r="K38" s="54">
        <f t="shared" si="1"/>
        <v>2565</v>
      </c>
      <c r="L38" s="55" t="b">
        <v>1</v>
      </c>
      <c r="M38" s="154">
        <v>71020241515</v>
      </c>
      <c r="N38" s="57" t="b">
        <v>1</v>
      </c>
      <c r="O38" s="58" t="s">
        <v>31</v>
      </c>
      <c r="P38" s="215"/>
      <c r="Q38" s="59" t="b">
        <v>1</v>
      </c>
      <c r="R38" s="129"/>
      <c r="S38" s="60"/>
      <c r="T38" s="47" t="b">
        <v>1</v>
      </c>
      <c r="U38" s="216" t="s">
        <v>2259</v>
      </c>
      <c r="V38" s="54"/>
      <c r="W38" s="54"/>
      <c r="X38" s="49"/>
      <c r="Y38" s="49"/>
      <c r="Z38" s="167"/>
      <c r="AA38" s="167"/>
    </row>
    <row r="39" spans="1:27">
      <c r="A39" s="1"/>
      <c r="B39" s="32"/>
      <c r="C39" s="132" t="s">
        <v>2256</v>
      </c>
      <c r="D39" s="66" t="s">
        <v>55</v>
      </c>
      <c r="E39" s="66">
        <v>41</v>
      </c>
      <c r="F39" s="66" t="s">
        <v>1552</v>
      </c>
      <c r="G39" s="69" t="s">
        <v>2265</v>
      </c>
      <c r="H39" s="69" t="s">
        <v>30</v>
      </c>
      <c r="I39" s="53">
        <v>3</v>
      </c>
      <c r="J39" s="70">
        <v>250</v>
      </c>
      <c r="K39" s="54">
        <f t="shared" si="1"/>
        <v>750</v>
      </c>
      <c r="L39" s="55" t="b">
        <v>1</v>
      </c>
      <c r="M39" s="154">
        <v>71020241515</v>
      </c>
      <c r="N39" s="57" t="b">
        <v>1</v>
      </c>
      <c r="O39" s="58" t="s">
        <v>31</v>
      </c>
      <c r="P39" s="215"/>
      <c r="Q39" s="59" t="b">
        <v>1</v>
      </c>
      <c r="R39" s="164"/>
      <c r="S39" s="165"/>
      <c r="T39" s="47" t="b">
        <v>1</v>
      </c>
      <c r="U39" s="216" t="s">
        <v>2259</v>
      </c>
      <c r="V39" s="75"/>
      <c r="W39" s="75"/>
      <c r="X39" s="166"/>
      <c r="Y39" s="166"/>
    </row>
    <row r="40" spans="1:27">
      <c r="A40" s="18"/>
      <c r="B40" s="163"/>
      <c r="C40" s="132" t="s">
        <v>2266</v>
      </c>
      <c r="D40" s="66" t="s">
        <v>104</v>
      </c>
      <c r="E40" s="66" t="s">
        <v>61</v>
      </c>
      <c r="F40" s="66" t="s">
        <v>1997</v>
      </c>
      <c r="G40" s="66" t="s">
        <v>2267</v>
      </c>
      <c r="H40" s="69" t="s">
        <v>30</v>
      </c>
      <c r="I40" s="66">
        <v>5</v>
      </c>
      <c r="J40" s="70">
        <v>55</v>
      </c>
      <c r="K40" s="54">
        <f t="shared" si="1"/>
        <v>275</v>
      </c>
      <c r="L40" s="55" t="b">
        <v>1</v>
      </c>
      <c r="M40" s="56">
        <v>81020241253</v>
      </c>
      <c r="N40" s="57" t="b">
        <v>1</v>
      </c>
      <c r="O40" s="58" t="s">
        <v>31</v>
      </c>
      <c r="P40" s="215"/>
      <c r="Q40" s="59" t="b">
        <v>1</v>
      </c>
      <c r="R40" s="164"/>
      <c r="S40" s="57"/>
      <c r="T40" s="47" t="b">
        <v>1</v>
      </c>
      <c r="U40" s="216" t="s">
        <v>2268</v>
      </c>
      <c r="V40" s="75"/>
      <c r="W40" s="75"/>
      <c r="X40" s="166"/>
      <c r="Y40" s="166"/>
      <c r="Z40" s="167"/>
      <c r="AA40" s="167"/>
    </row>
    <row r="41" spans="1:27">
      <c r="A41" s="18"/>
      <c r="B41" s="163"/>
      <c r="C41" s="132" t="s">
        <v>2266</v>
      </c>
      <c r="D41" s="66" t="s">
        <v>104</v>
      </c>
      <c r="E41" s="66" t="s">
        <v>61</v>
      </c>
      <c r="F41" s="66" t="s">
        <v>1997</v>
      </c>
      <c r="G41" s="69" t="s">
        <v>2269</v>
      </c>
      <c r="H41" s="69" t="s">
        <v>30</v>
      </c>
      <c r="I41" s="66">
        <v>1</v>
      </c>
      <c r="J41" s="70">
        <v>395</v>
      </c>
      <c r="K41" s="54">
        <f t="shared" si="1"/>
        <v>395</v>
      </c>
      <c r="L41" s="55" t="b">
        <v>1</v>
      </c>
      <c r="M41" s="56">
        <v>81020241257</v>
      </c>
      <c r="N41" s="57" t="b">
        <v>1</v>
      </c>
      <c r="O41" s="58" t="s">
        <v>31</v>
      </c>
      <c r="P41" s="215"/>
      <c r="Q41" s="59" t="b">
        <v>1</v>
      </c>
      <c r="R41" s="164"/>
      <c r="S41" s="57"/>
      <c r="T41" s="47" t="b">
        <v>1</v>
      </c>
      <c r="U41" s="216" t="s">
        <v>2268</v>
      </c>
      <c r="V41" s="75"/>
      <c r="W41" s="75"/>
      <c r="X41" s="166"/>
      <c r="Y41" s="166"/>
      <c r="Z41" s="167"/>
      <c r="AA41" s="167"/>
    </row>
    <row r="42" spans="1:27">
      <c r="A42" s="18"/>
      <c r="B42" s="163"/>
      <c r="C42" s="132" t="s">
        <v>2266</v>
      </c>
      <c r="D42" s="66" t="s">
        <v>2270</v>
      </c>
      <c r="E42" s="66" t="s">
        <v>158</v>
      </c>
      <c r="F42" s="66" t="s">
        <v>159</v>
      </c>
      <c r="G42" s="69" t="s">
        <v>68</v>
      </c>
      <c r="H42" s="69" t="s">
        <v>30</v>
      </c>
      <c r="I42" s="66">
        <v>1</v>
      </c>
      <c r="J42" s="70">
        <v>2350</v>
      </c>
      <c r="K42" s="75">
        <f t="shared" si="1"/>
        <v>2350</v>
      </c>
      <c r="L42" s="55" t="b">
        <v>1</v>
      </c>
      <c r="M42" s="154">
        <v>81020241337</v>
      </c>
      <c r="N42" s="57" t="b">
        <v>1</v>
      </c>
      <c r="O42" s="58" t="s">
        <v>31</v>
      </c>
      <c r="P42" s="215"/>
      <c r="Q42" s="59" t="b">
        <v>1</v>
      </c>
      <c r="R42" s="164"/>
      <c r="S42" s="57"/>
      <c r="T42" s="47" t="b">
        <v>1</v>
      </c>
      <c r="U42" s="216" t="s">
        <v>2271</v>
      </c>
      <c r="V42" s="75"/>
      <c r="W42" s="75"/>
      <c r="X42" s="166"/>
      <c r="Y42" s="166"/>
      <c r="Z42" s="167"/>
      <c r="AA42" s="167"/>
    </row>
    <row r="43" spans="1:27">
      <c r="A43" s="18"/>
      <c r="B43" s="163"/>
      <c r="C43" s="132" t="s">
        <v>2266</v>
      </c>
      <c r="D43" s="66" t="s">
        <v>104</v>
      </c>
      <c r="E43" s="66" t="s">
        <v>158</v>
      </c>
      <c r="F43" s="66" t="s">
        <v>159</v>
      </c>
      <c r="G43" s="69" t="s">
        <v>2272</v>
      </c>
      <c r="H43" s="67" t="s">
        <v>30</v>
      </c>
      <c r="I43" s="66">
        <v>10</v>
      </c>
      <c r="J43" s="68">
        <v>550</v>
      </c>
      <c r="K43" s="75">
        <f t="shared" si="1"/>
        <v>5500</v>
      </c>
      <c r="L43" s="55" t="b">
        <v>1</v>
      </c>
      <c r="M43" s="154">
        <v>81020241337</v>
      </c>
      <c r="N43" s="57" t="b">
        <v>1</v>
      </c>
      <c r="O43" s="58" t="s">
        <v>31</v>
      </c>
      <c r="P43" s="215"/>
      <c r="Q43" s="59" t="b">
        <v>1</v>
      </c>
      <c r="R43" s="164"/>
      <c r="S43" s="57"/>
      <c r="T43" s="47" t="b">
        <v>1</v>
      </c>
      <c r="U43" s="216" t="s">
        <v>2271</v>
      </c>
      <c r="V43" s="75"/>
      <c r="W43" s="75"/>
      <c r="X43" s="166"/>
      <c r="Y43" s="166"/>
      <c r="Z43" s="167"/>
      <c r="AA43" s="167"/>
    </row>
    <row r="44" spans="1:27">
      <c r="A44" s="18"/>
      <c r="B44" s="163"/>
      <c r="C44" s="71" t="s">
        <v>2266</v>
      </c>
      <c r="D44" s="53" t="s">
        <v>104</v>
      </c>
      <c r="E44" s="53" t="s">
        <v>2273</v>
      </c>
      <c r="F44" s="66" t="s">
        <v>2274</v>
      </c>
      <c r="G44" s="69" t="s">
        <v>1966</v>
      </c>
      <c r="H44" s="69" t="s">
        <v>30</v>
      </c>
      <c r="I44" s="53">
        <v>10</v>
      </c>
      <c r="J44" s="70">
        <v>550</v>
      </c>
      <c r="K44" s="54">
        <f t="shared" si="1"/>
        <v>5500</v>
      </c>
      <c r="L44" s="55" t="b">
        <v>1</v>
      </c>
      <c r="M44" s="56">
        <v>81020241536</v>
      </c>
      <c r="N44" s="57" t="b">
        <v>1</v>
      </c>
      <c r="O44" s="58" t="s">
        <v>31</v>
      </c>
      <c r="P44" s="215"/>
      <c r="Q44" s="59" t="b">
        <v>1</v>
      </c>
      <c r="R44" s="164"/>
      <c r="S44" s="57"/>
      <c r="T44" s="47" t="b">
        <v>1</v>
      </c>
      <c r="U44" s="216" t="s">
        <v>2275</v>
      </c>
      <c r="V44" s="75"/>
      <c r="W44" s="75"/>
      <c r="X44" s="166"/>
      <c r="Y44" s="166"/>
      <c r="Z44" s="167"/>
      <c r="AA44" s="167"/>
    </row>
    <row r="45" spans="1:27">
      <c r="A45" s="18"/>
      <c r="B45" s="163"/>
      <c r="C45" s="132" t="s">
        <v>2266</v>
      </c>
      <c r="D45" s="66" t="s">
        <v>104</v>
      </c>
      <c r="E45" s="66" t="s">
        <v>2273</v>
      </c>
      <c r="F45" s="66" t="s">
        <v>2274</v>
      </c>
      <c r="G45" s="69" t="s">
        <v>68</v>
      </c>
      <c r="H45" s="69" t="s">
        <v>30</v>
      </c>
      <c r="I45" s="66">
        <v>1</v>
      </c>
      <c r="J45" s="75">
        <v>2350</v>
      </c>
      <c r="K45" s="54">
        <f t="shared" si="1"/>
        <v>2350</v>
      </c>
      <c r="L45" s="55" t="b">
        <v>1</v>
      </c>
      <c r="M45" s="56">
        <v>81020241536</v>
      </c>
      <c r="N45" s="57" t="b">
        <v>1</v>
      </c>
      <c r="O45" s="58" t="s">
        <v>31</v>
      </c>
      <c r="P45" s="215"/>
      <c r="Q45" s="59" t="b">
        <v>1</v>
      </c>
      <c r="R45" s="164"/>
      <c r="S45" s="57"/>
      <c r="T45" s="47" t="b">
        <v>1</v>
      </c>
      <c r="U45" s="216" t="s">
        <v>2275</v>
      </c>
      <c r="V45" s="75"/>
      <c r="W45" s="75"/>
      <c r="X45" s="166"/>
      <c r="Y45" s="166"/>
      <c r="Z45" s="167"/>
      <c r="AA45" s="167"/>
    </row>
    <row r="46" spans="1:27">
      <c r="A46" s="18"/>
      <c r="B46" s="163"/>
      <c r="C46" s="132" t="s">
        <v>2266</v>
      </c>
      <c r="D46" s="66" t="s">
        <v>282</v>
      </c>
      <c r="E46" s="66" t="s">
        <v>282</v>
      </c>
      <c r="F46" s="66" t="s">
        <v>365</v>
      </c>
      <c r="G46" s="69" t="s">
        <v>1613</v>
      </c>
      <c r="H46" s="69" t="s">
        <v>30</v>
      </c>
      <c r="I46" s="66">
        <v>10</v>
      </c>
      <c r="J46" s="70">
        <v>1250</v>
      </c>
      <c r="K46" s="75">
        <f t="shared" si="1"/>
        <v>12500</v>
      </c>
      <c r="L46" s="55" t="b">
        <v>1</v>
      </c>
      <c r="M46" s="154">
        <v>81020241859</v>
      </c>
      <c r="N46" s="57" t="b">
        <v>1</v>
      </c>
      <c r="O46" s="58" t="s">
        <v>31</v>
      </c>
      <c r="P46" s="215"/>
      <c r="Q46" s="59" t="b">
        <v>1</v>
      </c>
      <c r="R46" s="164"/>
      <c r="S46" s="57"/>
      <c r="T46" s="47" t="b">
        <v>1</v>
      </c>
      <c r="U46" s="216" t="s">
        <v>2276</v>
      </c>
      <c r="V46" s="75"/>
      <c r="W46" s="75"/>
      <c r="X46" s="166"/>
      <c r="Y46" s="166"/>
      <c r="Z46" s="167"/>
      <c r="AA46" s="167"/>
    </row>
    <row r="47" spans="1:27">
      <c r="A47" s="18"/>
      <c r="B47" s="163"/>
      <c r="C47" s="132" t="s">
        <v>2277</v>
      </c>
      <c r="D47" s="66" t="s">
        <v>345</v>
      </c>
      <c r="E47" s="66" t="s">
        <v>342</v>
      </c>
      <c r="F47" s="66" t="s">
        <v>2228</v>
      </c>
      <c r="G47" s="69" t="s">
        <v>2278</v>
      </c>
      <c r="H47" s="69" t="s">
        <v>30</v>
      </c>
      <c r="I47" s="66">
        <v>6</v>
      </c>
      <c r="J47" s="70">
        <v>125</v>
      </c>
      <c r="K47" s="75">
        <f t="shared" si="1"/>
        <v>750</v>
      </c>
      <c r="L47" s="55" t="b">
        <v>1</v>
      </c>
      <c r="M47" s="154">
        <v>91020241019</v>
      </c>
      <c r="N47" s="57" t="b">
        <v>1</v>
      </c>
      <c r="O47" s="58" t="s">
        <v>31</v>
      </c>
      <c r="P47" s="215"/>
      <c r="Q47" s="59" t="b">
        <v>1</v>
      </c>
      <c r="R47" s="164"/>
      <c r="S47" s="57"/>
      <c r="T47" s="47" t="b">
        <v>1</v>
      </c>
      <c r="U47" s="216" t="s">
        <v>2279</v>
      </c>
      <c r="V47" s="75"/>
      <c r="W47" s="75"/>
      <c r="X47" s="166"/>
      <c r="Y47" s="166"/>
      <c r="Z47" s="167"/>
      <c r="AA47" s="167"/>
    </row>
    <row r="48" spans="1:27">
      <c r="A48" s="18"/>
      <c r="B48" s="163"/>
      <c r="C48" s="132" t="s">
        <v>2277</v>
      </c>
      <c r="D48" s="66" t="s">
        <v>345</v>
      </c>
      <c r="E48" s="66" t="s">
        <v>342</v>
      </c>
      <c r="F48" s="66" t="s">
        <v>2228</v>
      </c>
      <c r="G48" s="69" t="s">
        <v>2280</v>
      </c>
      <c r="H48" s="69" t="s">
        <v>30</v>
      </c>
      <c r="I48" s="66">
        <v>3</v>
      </c>
      <c r="J48" s="70">
        <v>395</v>
      </c>
      <c r="K48" s="54">
        <f t="shared" si="1"/>
        <v>1185</v>
      </c>
      <c r="L48" s="55" t="b">
        <v>1</v>
      </c>
      <c r="M48" s="56">
        <v>91020241704</v>
      </c>
      <c r="N48" s="57" t="b">
        <v>1</v>
      </c>
      <c r="O48" s="58" t="s">
        <v>31</v>
      </c>
      <c r="P48" s="215"/>
      <c r="Q48" s="59" t="b">
        <v>1</v>
      </c>
      <c r="R48" s="164"/>
      <c r="S48" s="57"/>
      <c r="T48" s="47" t="b">
        <v>1</v>
      </c>
      <c r="U48" s="216" t="s">
        <v>2281</v>
      </c>
      <c r="V48" s="75"/>
      <c r="W48" s="75"/>
      <c r="X48" s="166"/>
      <c r="Y48" s="166"/>
      <c r="Z48" s="167"/>
      <c r="AA48" s="167"/>
    </row>
    <row r="49" spans="1:27">
      <c r="A49" s="162"/>
      <c r="B49" s="201"/>
      <c r="C49" s="132" t="s">
        <v>2277</v>
      </c>
      <c r="D49" s="66" t="s">
        <v>104</v>
      </c>
      <c r="E49" s="66" t="s">
        <v>2282</v>
      </c>
      <c r="F49" s="66" t="s">
        <v>2274</v>
      </c>
      <c r="G49" s="69" t="s">
        <v>2283</v>
      </c>
      <c r="H49" s="69" t="s">
        <v>30</v>
      </c>
      <c r="I49" s="66">
        <v>12</v>
      </c>
      <c r="J49" s="70">
        <v>825</v>
      </c>
      <c r="K49" s="75">
        <f t="shared" si="1"/>
        <v>9900</v>
      </c>
      <c r="L49" s="55" t="b">
        <v>1</v>
      </c>
      <c r="M49" s="154">
        <v>91020241704</v>
      </c>
      <c r="N49" s="57" t="b">
        <v>1</v>
      </c>
      <c r="O49" s="58" t="s">
        <v>31</v>
      </c>
      <c r="P49" s="215"/>
      <c r="Q49" s="59" t="b">
        <v>1</v>
      </c>
      <c r="R49" s="164"/>
      <c r="S49" s="57"/>
      <c r="T49" s="47" t="b">
        <v>1</v>
      </c>
      <c r="U49" s="216" t="s">
        <v>2284</v>
      </c>
      <c r="V49" s="75"/>
      <c r="W49" s="75"/>
      <c r="X49" s="166"/>
      <c r="Y49" s="166"/>
      <c r="Z49" s="167"/>
      <c r="AA49" s="167"/>
    </row>
    <row r="50" spans="1:27">
      <c r="A50" s="162"/>
      <c r="B50" s="201"/>
      <c r="C50" s="132" t="s">
        <v>2277</v>
      </c>
      <c r="D50" s="66" t="s">
        <v>55</v>
      </c>
      <c r="E50" s="66" t="s">
        <v>56</v>
      </c>
      <c r="F50" s="66" t="s">
        <v>303</v>
      </c>
      <c r="G50" s="69" t="s">
        <v>2285</v>
      </c>
      <c r="H50" s="69" t="s">
        <v>30</v>
      </c>
      <c r="I50" s="66">
        <v>50</v>
      </c>
      <c r="J50" s="70">
        <v>320</v>
      </c>
      <c r="K50" s="75">
        <f t="shared" si="1"/>
        <v>16000</v>
      </c>
      <c r="L50" s="55" t="b">
        <v>1</v>
      </c>
      <c r="M50" s="154">
        <v>91020241834</v>
      </c>
      <c r="N50" s="57" t="b">
        <v>1</v>
      </c>
      <c r="O50" s="58" t="s">
        <v>31</v>
      </c>
      <c r="P50" s="215"/>
      <c r="Q50" s="59" t="b">
        <v>1</v>
      </c>
      <c r="R50" s="164"/>
      <c r="S50" s="57"/>
      <c r="T50" s="47" t="b">
        <v>1</v>
      </c>
      <c r="U50" s="216" t="s">
        <v>2286</v>
      </c>
      <c r="V50" s="75"/>
      <c r="W50" s="75"/>
      <c r="X50" s="166"/>
      <c r="Y50" s="166"/>
      <c r="Z50" s="167"/>
      <c r="AA50" s="167"/>
    </row>
    <row r="51" spans="1:27">
      <c r="A51" s="162"/>
      <c r="B51" s="163"/>
      <c r="C51" s="132" t="s">
        <v>2277</v>
      </c>
      <c r="D51" s="66" t="s">
        <v>55</v>
      </c>
      <c r="E51" s="66" t="s">
        <v>56</v>
      </c>
      <c r="F51" s="66" t="s">
        <v>303</v>
      </c>
      <c r="G51" s="69" t="s">
        <v>2287</v>
      </c>
      <c r="H51" s="69" t="s">
        <v>30</v>
      </c>
      <c r="I51" s="66">
        <v>20</v>
      </c>
      <c r="J51" s="70">
        <v>525</v>
      </c>
      <c r="K51" s="75">
        <f t="shared" si="1"/>
        <v>10500</v>
      </c>
      <c r="L51" s="55" t="b">
        <v>1</v>
      </c>
      <c r="M51" s="154">
        <v>91020241834</v>
      </c>
      <c r="N51" s="57" t="b">
        <v>1</v>
      </c>
      <c r="O51" s="58" t="s">
        <v>31</v>
      </c>
      <c r="P51" s="215"/>
      <c r="Q51" s="59" t="b">
        <v>1</v>
      </c>
      <c r="R51" s="164"/>
      <c r="S51" s="57"/>
      <c r="T51" s="47" t="b">
        <v>1</v>
      </c>
      <c r="U51" s="216" t="s">
        <v>2286</v>
      </c>
      <c r="V51" s="75"/>
      <c r="W51" s="75"/>
      <c r="X51" s="166"/>
      <c r="Y51" s="166"/>
      <c r="Z51" s="167"/>
      <c r="AA51" s="167"/>
    </row>
    <row r="52" spans="1:27">
      <c r="A52" s="162"/>
      <c r="B52" s="163"/>
      <c r="C52" s="132" t="s">
        <v>2277</v>
      </c>
      <c r="D52" s="66" t="s">
        <v>1899</v>
      </c>
      <c r="E52" s="66" t="s">
        <v>137</v>
      </c>
      <c r="F52" s="66" t="s">
        <v>1965</v>
      </c>
      <c r="G52" s="69" t="s">
        <v>1794</v>
      </c>
      <c r="H52" s="69" t="s">
        <v>30</v>
      </c>
      <c r="I52" s="66">
        <v>5</v>
      </c>
      <c r="J52" s="70">
        <v>115</v>
      </c>
      <c r="K52" s="75">
        <f t="shared" si="1"/>
        <v>575</v>
      </c>
      <c r="L52" s="55" t="b">
        <v>1</v>
      </c>
      <c r="M52" s="154">
        <v>91020242025</v>
      </c>
      <c r="N52" s="57" t="b">
        <v>1</v>
      </c>
      <c r="O52" s="58"/>
      <c r="P52" s="215"/>
      <c r="Q52" s="59" t="b">
        <v>1</v>
      </c>
      <c r="R52" s="164"/>
      <c r="S52" s="57"/>
      <c r="T52" s="47" t="b">
        <v>1</v>
      </c>
      <c r="U52" s="216" t="s">
        <v>2288</v>
      </c>
      <c r="V52" s="75"/>
      <c r="W52" s="75"/>
      <c r="X52" s="166"/>
      <c r="Y52" s="166"/>
      <c r="Z52" s="167"/>
      <c r="AA52" s="167"/>
    </row>
    <row r="53" spans="1:27">
      <c r="A53" s="162"/>
      <c r="B53" s="163"/>
      <c r="C53" s="132" t="s">
        <v>2289</v>
      </c>
      <c r="D53" s="66" t="s">
        <v>345</v>
      </c>
      <c r="E53" s="66" t="s">
        <v>342</v>
      </c>
      <c r="F53" s="66" t="s">
        <v>2290</v>
      </c>
      <c r="G53" s="69" t="s">
        <v>2291</v>
      </c>
      <c r="H53" s="69" t="s">
        <v>30</v>
      </c>
      <c r="I53" s="66">
        <v>1</v>
      </c>
      <c r="J53" s="75">
        <v>125</v>
      </c>
      <c r="K53" s="75">
        <f t="shared" si="1"/>
        <v>125</v>
      </c>
      <c r="L53" s="55" t="b">
        <v>1</v>
      </c>
      <c r="M53" s="154">
        <v>101020241628</v>
      </c>
      <c r="N53" s="57" t="b">
        <v>1</v>
      </c>
      <c r="O53" s="58" t="s">
        <v>31</v>
      </c>
      <c r="P53" s="215"/>
      <c r="Q53" s="59" t="b">
        <v>1</v>
      </c>
      <c r="R53" s="164"/>
      <c r="S53" s="57"/>
      <c r="T53" s="47" t="b">
        <v>1</v>
      </c>
      <c r="U53" s="216" t="s">
        <v>2279</v>
      </c>
      <c r="V53" s="75"/>
      <c r="W53" s="75"/>
      <c r="X53" s="166"/>
      <c r="Y53" s="166"/>
      <c r="Z53" s="167"/>
      <c r="AA53" s="167"/>
    </row>
    <row r="54" spans="1:27">
      <c r="A54" s="162"/>
      <c r="B54" s="163"/>
      <c r="C54" s="132" t="s">
        <v>2289</v>
      </c>
      <c r="D54" s="66" t="s">
        <v>93</v>
      </c>
      <c r="E54" s="66" t="s">
        <v>137</v>
      </c>
      <c r="F54" s="66" t="s">
        <v>1410</v>
      </c>
      <c r="G54" s="69" t="s">
        <v>2292</v>
      </c>
      <c r="H54" s="69" t="s">
        <v>30</v>
      </c>
      <c r="I54" s="66">
        <v>1</v>
      </c>
      <c r="J54" s="70">
        <v>395</v>
      </c>
      <c r="K54" s="75">
        <f t="shared" si="1"/>
        <v>395</v>
      </c>
      <c r="L54" s="55" t="b">
        <v>1</v>
      </c>
      <c r="M54" s="154">
        <v>101020241628</v>
      </c>
      <c r="N54" s="57" t="b">
        <v>1</v>
      </c>
      <c r="O54" s="58" t="s">
        <v>31</v>
      </c>
      <c r="P54" s="215"/>
      <c r="Q54" s="59" t="b">
        <v>1</v>
      </c>
      <c r="R54" s="164"/>
      <c r="S54" s="57"/>
      <c r="T54" s="47" t="b">
        <v>1</v>
      </c>
      <c r="U54" s="216" t="s">
        <v>2293</v>
      </c>
      <c r="V54" s="75"/>
      <c r="W54" s="75"/>
      <c r="X54" s="166"/>
      <c r="Y54" s="166"/>
      <c r="Z54" s="167"/>
      <c r="AA54" s="167"/>
    </row>
    <row r="55" spans="1:27">
      <c r="A55" s="162"/>
      <c r="B55" s="163"/>
      <c r="C55" s="132" t="s">
        <v>2289</v>
      </c>
      <c r="D55" s="66" t="s">
        <v>1857</v>
      </c>
      <c r="E55" s="66" t="s">
        <v>137</v>
      </c>
      <c r="F55" s="66" t="s">
        <v>1410</v>
      </c>
      <c r="G55" s="69" t="s">
        <v>2294</v>
      </c>
      <c r="H55" s="69" t="s">
        <v>30</v>
      </c>
      <c r="I55" s="66">
        <v>2</v>
      </c>
      <c r="J55" s="70">
        <v>395</v>
      </c>
      <c r="K55" s="75">
        <f t="shared" si="1"/>
        <v>790</v>
      </c>
      <c r="L55" s="55" t="b">
        <v>1</v>
      </c>
      <c r="M55" s="154">
        <v>101020241628</v>
      </c>
      <c r="N55" s="57" t="b">
        <v>1</v>
      </c>
      <c r="O55" s="58" t="s">
        <v>31</v>
      </c>
      <c r="P55" s="215"/>
      <c r="Q55" s="59" t="b">
        <v>1</v>
      </c>
      <c r="R55" s="164"/>
      <c r="S55" s="57"/>
      <c r="T55" s="47" t="b">
        <v>1</v>
      </c>
      <c r="U55" s="216" t="s">
        <v>2293</v>
      </c>
      <c r="V55" s="75"/>
      <c r="W55" s="75"/>
      <c r="X55" s="166"/>
      <c r="Y55" s="166"/>
      <c r="Z55" s="167"/>
      <c r="AA55" s="167"/>
    </row>
    <row r="56" spans="1:27">
      <c r="A56" s="162"/>
      <c r="B56" s="163"/>
      <c r="C56" s="132" t="s">
        <v>2295</v>
      </c>
      <c r="D56" s="66" t="s">
        <v>98</v>
      </c>
      <c r="E56" s="66" t="s">
        <v>2296</v>
      </c>
      <c r="F56" s="66" t="s">
        <v>2297</v>
      </c>
      <c r="G56" s="69" t="s">
        <v>2298</v>
      </c>
      <c r="H56" s="69" t="s">
        <v>30</v>
      </c>
      <c r="I56" s="66">
        <v>4</v>
      </c>
      <c r="J56" s="70">
        <v>395</v>
      </c>
      <c r="K56" s="75">
        <f t="shared" si="1"/>
        <v>1580</v>
      </c>
      <c r="L56" s="55" t="b">
        <v>1</v>
      </c>
      <c r="M56" s="154">
        <v>111020241330</v>
      </c>
      <c r="N56" s="57" t="b">
        <v>1</v>
      </c>
      <c r="O56" s="58" t="s">
        <v>31</v>
      </c>
      <c r="P56" s="215"/>
      <c r="Q56" s="59" t="b">
        <v>1</v>
      </c>
      <c r="R56" s="164"/>
      <c r="S56" s="57"/>
      <c r="T56" s="47" t="b">
        <v>1</v>
      </c>
      <c r="U56" s="216" t="s">
        <v>2299</v>
      </c>
      <c r="V56" s="75"/>
      <c r="W56" s="75"/>
      <c r="X56" s="166"/>
      <c r="Y56" s="166"/>
      <c r="Z56" s="167"/>
      <c r="AA56" s="167"/>
    </row>
    <row r="57" spans="1:27">
      <c r="A57" s="162"/>
      <c r="B57" s="163"/>
      <c r="C57" s="132" t="s">
        <v>2295</v>
      </c>
      <c r="D57" s="66" t="s">
        <v>98</v>
      </c>
      <c r="E57" s="66" t="s">
        <v>2296</v>
      </c>
      <c r="F57" s="66" t="s">
        <v>2297</v>
      </c>
      <c r="G57" s="69" t="s">
        <v>2300</v>
      </c>
      <c r="H57" s="69" t="s">
        <v>30</v>
      </c>
      <c r="I57" s="66">
        <v>2</v>
      </c>
      <c r="J57" s="70">
        <v>395</v>
      </c>
      <c r="K57" s="75">
        <f t="shared" si="1"/>
        <v>790</v>
      </c>
      <c r="L57" s="55" t="b">
        <v>1</v>
      </c>
      <c r="M57" s="154">
        <v>111020241330</v>
      </c>
      <c r="N57" s="57" t="b">
        <v>1</v>
      </c>
      <c r="O57" s="58" t="s">
        <v>31</v>
      </c>
      <c r="P57" s="215"/>
      <c r="Q57" s="59" t="b">
        <v>1</v>
      </c>
      <c r="R57" s="164"/>
      <c r="S57" s="57"/>
      <c r="T57" s="47" t="b">
        <v>1</v>
      </c>
      <c r="U57" s="216" t="s">
        <v>2299</v>
      </c>
      <c r="V57" s="75"/>
      <c r="W57" s="75"/>
      <c r="X57" s="166"/>
      <c r="Y57" s="166"/>
      <c r="Z57" s="167"/>
      <c r="AA57" s="167"/>
    </row>
    <row r="58" spans="1:27">
      <c r="A58" s="162"/>
      <c r="B58" s="163"/>
      <c r="C58" s="132" t="s">
        <v>2295</v>
      </c>
      <c r="D58" s="66" t="s">
        <v>345</v>
      </c>
      <c r="E58" s="66" t="s">
        <v>342</v>
      </c>
      <c r="F58" s="66" t="s">
        <v>2228</v>
      </c>
      <c r="G58" s="69" t="s">
        <v>1952</v>
      </c>
      <c r="H58" s="69" t="s">
        <v>30</v>
      </c>
      <c r="I58" s="66">
        <v>2</v>
      </c>
      <c r="J58" s="70">
        <v>550</v>
      </c>
      <c r="K58" s="75">
        <f t="shared" si="1"/>
        <v>1100</v>
      </c>
      <c r="L58" s="55" t="b">
        <v>1</v>
      </c>
      <c r="M58" s="154">
        <v>111020241523</v>
      </c>
      <c r="N58" s="57" t="b">
        <v>1</v>
      </c>
      <c r="O58" s="58" t="s">
        <v>31</v>
      </c>
      <c r="P58" s="215"/>
      <c r="Q58" s="59" t="b">
        <v>1</v>
      </c>
      <c r="R58" s="164"/>
      <c r="S58" s="57"/>
      <c r="T58" s="47" t="b">
        <v>1</v>
      </c>
      <c r="U58" s="216" t="s">
        <v>2301</v>
      </c>
      <c r="V58" s="75"/>
      <c r="W58" s="75"/>
      <c r="X58" s="166"/>
      <c r="Y58" s="166"/>
      <c r="Z58" s="167"/>
      <c r="AA58" s="167"/>
    </row>
    <row r="59" spans="1:27">
      <c r="A59" s="162"/>
      <c r="B59" s="163"/>
      <c r="C59" s="132" t="s">
        <v>2295</v>
      </c>
      <c r="D59" s="66" t="s">
        <v>51</v>
      </c>
      <c r="E59" s="66" t="s">
        <v>52</v>
      </c>
      <c r="F59" s="66" t="s">
        <v>2302</v>
      </c>
      <c r="G59" s="69" t="s">
        <v>2303</v>
      </c>
      <c r="H59" s="69" t="s">
        <v>30</v>
      </c>
      <c r="I59" s="66">
        <v>2</v>
      </c>
      <c r="J59" s="70">
        <v>395</v>
      </c>
      <c r="K59" s="75">
        <f t="shared" si="1"/>
        <v>790</v>
      </c>
      <c r="L59" s="55" t="b">
        <v>1</v>
      </c>
      <c r="M59" s="154">
        <v>111020241838</v>
      </c>
      <c r="N59" s="57" t="b">
        <v>1</v>
      </c>
      <c r="O59" s="58" t="s">
        <v>31</v>
      </c>
      <c r="P59" s="215"/>
      <c r="Q59" s="59" t="b">
        <v>1</v>
      </c>
      <c r="R59" s="164"/>
      <c r="S59" s="57"/>
      <c r="T59" s="47" t="b">
        <v>1</v>
      </c>
      <c r="U59" s="216" t="s">
        <v>2304</v>
      </c>
      <c r="V59" s="75"/>
      <c r="W59" s="75"/>
      <c r="X59" s="166"/>
      <c r="Y59" s="166"/>
      <c r="Z59" s="167"/>
      <c r="AA59" s="167"/>
    </row>
    <row r="60" spans="1:27">
      <c r="A60" s="162"/>
      <c r="B60" s="163"/>
      <c r="C60" s="132" t="s">
        <v>2295</v>
      </c>
      <c r="D60" s="66" t="s">
        <v>51</v>
      </c>
      <c r="E60" s="66" t="s">
        <v>52</v>
      </c>
      <c r="F60" s="66" t="s">
        <v>2302</v>
      </c>
      <c r="G60" s="69" t="s">
        <v>2305</v>
      </c>
      <c r="H60" s="69" t="s">
        <v>30</v>
      </c>
      <c r="I60" s="66">
        <v>1</v>
      </c>
      <c r="J60" s="70">
        <v>395</v>
      </c>
      <c r="K60" s="75">
        <f t="shared" si="1"/>
        <v>395</v>
      </c>
      <c r="L60" s="55" t="b">
        <v>1</v>
      </c>
      <c r="M60" s="154">
        <v>111020241838</v>
      </c>
      <c r="N60" s="57" t="b">
        <v>1</v>
      </c>
      <c r="O60" s="58" t="s">
        <v>31</v>
      </c>
      <c r="P60" s="215"/>
      <c r="Q60" s="59" t="b">
        <v>1</v>
      </c>
      <c r="R60" s="164"/>
      <c r="S60" s="57"/>
      <c r="T60" s="47" t="b">
        <v>1</v>
      </c>
      <c r="U60" s="216" t="s">
        <v>2304</v>
      </c>
      <c r="V60" s="75"/>
      <c r="W60" s="75"/>
      <c r="X60" s="166"/>
      <c r="Y60" s="166"/>
      <c r="Z60" s="167"/>
      <c r="AA60" s="167"/>
    </row>
    <row r="61" spans="1:27">
      <c r="A61" s="162"/>
      <c r="B61" s="163"/>
      <c r="C61" s="132" t="s">
        <v>2306</v>
      </c>
      <c r="D61" s="66" t="s">
        <v>51</v>
      </c>
      <c r="E61" s="66" t="s">
        <v>372</v>
      </c>
      <c r="F61" s="66" t="s">
        <v>2307</v>
      </c>
      <c r="G61" s="69" t="s">
        <v>300</v>
      </c>
      <c r="H61" s="69" t="s">
        <v>30</v>
      </c>
      <c r="I61" s="66">
        <v>20</v>
      </c>
      <c r="J61" s="70">
        <v>115</v>
      </c>
      <c r="K61" s="75">
        <f t="shared" si="1"/>
        <v>2300</v>
      </c>
      <c r="L61" s="55" t="b">
        <v>1</v>
      </c>
      <c r="M61" s="154">
        <v>121020241156</v>
      </c>
      <c r="N61" s="57" t="b">
        <v>1</v>
      </c>
      <c r="O61" s="58" t="s">
        <v>31</v>
      </c>
      <c r="P61" s="215"/>
      <c r="Q61" s="59" t="b">
        <v>1</v>
      </c>
      <c r="R61" s="164"/>
      <c r="S61" s="57"/>
      <c r="T61" s="47" t="b">
        <v>1</v>
      </c>
      <c r="U61" s="216" t="s">
        <v>2308</v>
      </c>
      <c r="V61" s="75"/>
      <c r="W61" s="75"/>
      <c r="X61" s="166"/>
      <c r="Y61" s="166"/>
      <c r="Z61" s="167"/>
      <c r="AA61" s="167"/>
    </row>
    <row r="62" spans="1:27">
      <c r="A62" s="162"/>
      <c r="B62" s="163"/>
      <c r="C62" s="132" t="s">
        <v>2306</v>
      </c>
      <c r="D62" s="66" t="s">
        <v>1899</v>
      </c>
      <c r="E62" s="66" t="s">
        <v>137</v>
      </c>
      <c r="F62" s="66" t="s">
        <v>1965</v>
      </c>
      <c r="G62" s="69" t="s">
        <v>300</v>
      </c>
      <c r="H62" s="69" t="s">
        <v>30</v>
      </c>
      <c r="I62" s="66">
        <v>24</v>
      </c>
      <c r="J62" s="70">
        <v>115</v>
      </c>
      <c r="K62" s="75">
        <f t="shared" si="1"/>
        <v>2760</v>
      </c>
      <c r="L62" s="55" t="b">
        <v>1</v>
      </c>
      <c r="M62" s="154">
        <v>121020241343</v>
      </c>
      <c r="N62" s="57" t="b">
        <v>1</v>
      </c>
      <c r="O62" s="58" t="s">
        <v>31</v>
      </c>
      <c r="P62" s="215"/>
      <c r="Q62" s="59" t="b">
        <v>1</v>
      </c>
      <c r="R62" s="164"/>
      <c r="S62" s="57"/>
      <c r="T62" s="47" t="b">
        <v>1</v>
      </c>
      <c r="U62" s="216" t="s">
        <v>2288</v>
      </c>
      <c r="V62" s="75"/>
      <c r="W62" s="75"/>
      <c r="X62" s="166"/>
      <c r="Y62" s="166"/>
      <c r="Z62" s="167"/>
      <c r="AA62" s="167"/>
    </row>
    <row r="63" spans="1:27">
      <c r="A63" s="162"/>
      <c r="B63" s="163"/>
      <c r="C63" s="71" t="s">
        <v>2306</v>
      </c>
      <c r="D63" s="53" t="s">
        <v>1899</v>
      </c>
      <c r="E63" s="53" t="s">
        <v>137</v>
      </c>
      <c r="F63" s="66" t="s">
        <v>1965</v>
      </c>
      <c r="G63" s="69" t="s">
        <v>2309</v>
      </c>
      <c r="H63" s="69" t="s">
        <v>30</v>
      </c>
      <c r="I63" s="53">
        <v>50</v>
      </c>
      <c r="J63" s="70">
        <v>8</v>
      </c>
      <c r="K63" s="54">
        <f t="shared" si="1"/>
        <v>400</v>
      </c>
      <c r="L63" s="55" t="b">
        <v>1</v>
      </c>
      <c r="M63" s="56">
        <v>121020241343</v>
      </c>
      <c r="N63" s="57" t="b">
        <v>1</v>
      </c>
      <c r="O63" s="58" t="s">
        <v>31</v>
      </c>
      <c r="P63" s="215"/>
      <c r="Q63" s="59" t="b">
        <v>1</v>
      </c>
      <c r="R63" s="164"/>
      <c r="S63" s="57"/>
      <c r="T63" s="47" t="b">
        <v>1</v>
      </c>
      <c r="U63" s="216" t="s">
        <v>2310</v>
      </c>
      <c r="V63" s="75"/>
      <c r="W63" s="75"/>
      <c r="X63" s="166"/>
      <c r="Y63" s="166"/>
      <c r="Z63" s="167"/>
      <c r="AA63" s="167"/>
    </row>
    <row r="64" spans="1:27">
      <c r="A64" s="162"/>
      <c r="B64" s="163"/>
      <c r="C64" s="132" t="s">
        <v>2306</v>
      </c>
      <c r="D64" s="66" t="s">
        <v>51</v>
      </c>
      <c r="E64" s="66" t="s">
        <v>66</v>
      </c>
      <c r="F64" s="66" t="s">
        <v>1703</v>
      </c>
      <c r="G64" s="69" t="s">
        <v>68</v>
      </c>
      <c r="H64" s="69" t="s">
        <v>30</v>
      </c>
      <c r="I64" s="66">
        <v>3</v>
      </c>
      <c r="J64" s="70">
        <v>2350</v>
      </c>
      <c r="K64" s="75">
        <f t="shared" si="1"/>
        <v>7050</v>
      </c>
      <c r="L64" s="55" t="b">
        <v>1</v>
      </c>
      <c r="M64" s="154">
        <v>121020241618</v>
      </c>
      <c r="N64" s="57" t="b">
        <v>1</v>
      </c>
      <c r="O64" s="58" t="s">
        <v>31</v>
      </c>
      <c r="P64" s="215"/>
      <c r="Q64" s="59" t="b">
        <v>1</v>
      </c>
      <c r="R64" s="164"/>
      <c r="S64" s="57"/>
      <c r="T64" s="47" t="b">
        <v>1</v>
      </c>
      <c r="U64" s="216" t="s">
        <v>2311</v>
      </c>
      <c r="V64" s="75"/>
      <c r="W64" s="75"/>
      <c r="X64" s="166"/>
      <c r="Y64" s="166"/>
      <c r="Z64" s="167"/>
      <c r="AA64" s="167"/>
    </row>
    <row r="65" spans="1:27">
      <c r="A65" s="162"/>
      <c r="B65" s="163"/>
      <c r="C65" s="132" t="s">
        <v>2312</v>
      </c>
      <c r="D65" s="66" t="s">
        <v>51</v>
      </c>
      <c r="E65" s="66" t="s">
        <v>66</v>
      </c>
      <c r="F65" s="66" t="s">
        <v>1703</v>
      </c>
      <c r="G65" s="69" t="s">
        <v>2313</v>
      </c>
      <c r="H65" s="69" t="s">
        <v>30</v>
      </c>
      <c r="I65" s="53">
        <v>1</v>
      </c>
      <c r="J65" s="70">
        <v>950</v>
      </c>
      <c r="K65" s="54">
        <f t="shared" si="1"/>
        <v>950</v>
      </c>
      <c r="L65" s="55" t="b">
        <v>1</v>
      </c>
      <c r="M65" s="56">
        <v>141020240908</v>
      </c>
      <c r="N65" s="57" t="b">
        <v>1</v>
      </c>
      <c r="O65" s="58" t="s">
        <v>31</v>
      </c>
      <c r="P65" s="215"/>
      <c r="Q65" s="59" t="b">
        <v>1</v>
      </c>
      <c r="R65" s="129"/>
      <c r="S65" s="60"/>
      <c r="T65" s="47" t="b">
        <v>1</v>
      </c>
      <c r="U65" s="216" t="s">
        <v>2314</v>
      </c>
      <c r="V65" s="54"/>
      <c r="W65" s="54"/>
      <c r="X65" s="49"/>
      <c r="Y65" s="49"/>
      <c r="Z65" s="167"/>
      <c r="AA65" s="167"/>
    </row>
    <row r="66" spans="1:27">
      <c r="A66" s="101"/>
      <c r="B66" s="32"/>
      <c r="C66" s="132" t="s">
        <v>2312</v>
      </c>
      <c r="D66" s="66" t="s">
        <v>98</v>
      </c>
      <c r="E66" s="66" t="s">
        <v>99</v>
      </c>
      <c r="F66" s="66" t="s">
        <v>444</v>
      </c>
      <c r="G66" s="69" t="s">
        <v>236</v>
      </c>
      <c r="H66" s="69" t="s">
        <v>30</v>
      </c>
      <c r="I66" s="66">
        <v>12</v>
      </c>
      <c r="J66" s="70">
        <v>150</v>
      </c>
      <c r="K66" s="75">
        <f t="shared" si="1"/>
        <v>1800</v>
      </c>
      <c r="L66" s="55" t="b">
        <v>1</v>
      </c>
      <c r="M66" s="154">
        <v>141020241032</v>
      </c>
      <c r="N66" s="57" t="b">
        <v>1</v>
      </c>
      <c r="O66" s="58" t="s">
        <v>31</v>
      </c>
      <c r="P66" s="215"/>
      <c r="Q66" s="59" t="b">
        <v>1</v>
      </c>
      <c r="R66" s="164"/>
      <c r="S66" s="57"/>
      <c r="T66" s="47" t="b">
        <v>1</v>
      </c>
      <c r="U66" s="216" t="s">
        <v>2315</v>
      </c>
      <c r="V66" s="75"/>
      <c r="W66" s="75"/>
      <c r="X66" s="166"/>
      <c r="Y66" s="166"/>
    </row>
    <row r="67" spans="1:27">
      <c r="A67" s="162"/>
      <c r="B67" s="163"/>
      <c r="C67" s="132" t="s">
        <v>2312</v>
      </c>
      <c r="D67" s="66" t="s">
        <v>98</v>
      </c>
      <c r="E67" s="66" t="s">
        <v>2296</v>
      </c>
      <c r="F67" s="66" t="s">
        <v>444</v>
      </c>
      <c r="G67" s="69" t="s">
        <v>236</v>
      </c>
      <c r="H67" s="69" t="s">
        <v>30</v>
      </c>
      <c r="I67" s="66">
        <v>12</v>
      </c>
      <c r="J67" s="70">
        <v>150</v>
      </c>
      <c r="K67" s="75">
        <f t="shared" si="1"/>
        <v>1800</v>
      </c>
      <c r="L67" s="55" t="b">
        <v>1</v>
      </c>
      <c r="M67" s="154">
        <v>141020241033</v>
      </c>
      <c r="N67" s="57" t="b">
        <v>1</v>
      </c>
      <c r="O67" s="58" t="s">
        <v>31</v>
      </c>
      <c r="P67" s="215"/>
      <c r="Q67" s="59" t="b">
        <v>1</v>
      </c>
      <c r="R67" s="164"/>
      <c r="S67" s="57"/>
      <c r="T67" s="47" t="b">
        <v>1</v>
      </c>
      <c r="U67" s="216" t="s">
        <v>2316</v>
      </c>
      <c r="V67" s="75"/>
      <c r="W67" s="75"/>
      <c r="X67" s="166"/>
      <c r="Y67" s="166"/>
      <c r="Z67" s="167"/>
      <c r="AA67" s="167"/>
    </row>
    <row r="68" spans="1:27">
      <c r="A68" s="162"/>
      <c r="B68" s="163"/>
      <c r="C68" s="132" t="s">
        <v>2312</v>
      </c>
      <c r="D68" s="66" t="s">
        <v>98</v>
      </c>
      <c r="E68" s="66" t="s">
        <v>2296</v>
      </c>
      <c r="F68" s="66" t="s">
        <v>1279</v>
      </c>
      <c r="G68" s="69" t="s">
        <v>58</v>
      </c>
      <c r="H68" s="69" t="s">
        <v>30</v>
      </c>
      <c r="I68" s="66">
        <v>168</v>
      </c>
      <c r="J68" s="70">
        <v>41</v>
      </c>
      <c r="K68" s="75">
        <f t="shared" si="1"/>
        <v>6888</v>
      </c>
      <c r="L68" s="55" t="b">
        <v>1</v>
      </c>
      <c r="M68" s="154">
        <v>141020241043</v>
      </c>
      <c r="N68" s="57" t="b">
        <v>1</v>
      </c>
      <c r="O68" s="58" t="s">
        <v>31</v>
      </c>
      <c r="P68" s="215"/>
      <c r="Q68" s="59" t="b">
        <v>1</v>
      </c>
      <c r="R68" s="164"/>
      <c r="S68" s="57"/>
      <c r="T68" s="47" t="b">
        <v>1</v>
      </c>
      <c r="U68" s="216" t="s">
        <v>2316</v>
      </c>
      <c r="V68" s="75"/>
      <c r="W68" s="75"/>
      <c r="X68" s="166"/>
      <c r="Y68" s="166"/>
      <c r="Z68" s="167"/>
      <c r="AA68" s="167"/>
    </row>
    <row r="69" spans="1:27">
      <c r="A69" s="162"/>
      <c r="B69" s="163"/>
      <c r="C69" s="132" t="s">
        <v>2312</v>
      </c>
      <c r="D69" s="66" t="s">
        <v>144</v>
      </c>
      <c r="E69" s="66" t="s">
        <v>122</v>
      </c>
      <c r="F69" s="66" t="s">
        <v>582</v>
      </c>
      <c r="G69" s="69" t="s">
        <v>142</v>
      </c>
      <c r="H69" s="69" t="s">
        <v>30</v>
      </c>
      <c r="I69" s="66">
        <v>1500</v>
      </c>
      <c r="J69" s="70">
        <v>1.25</v>
      </c>
      <c r="K69" s="75">
        <f t="shared" si="1"/>
        <v>1875</v>
      </c>
      <c r="L69" s="55" t="b">
        <v>1</v>
      </c>
      <c r="M69" s="154">
        <v>141020241153</v>
      </c>
      <c r="N69" s="57" t="b">
        <v>1</v>
      </c>
      <c r="O69" s="58" t="s">
        <v>31</v>
      </c>
      <c r="P69" s="215"/>
      <c r="Q69" s="59" t="b">
        <v>1</v>
      </c>
      <c r="R69" s="164"/>
      <c r="S69" s="57"/>
      <c r="T69" s="47" t="b">
        <v>1</v>
      </c>
      <c r="U69" s="216" t="s">
        <v>2317</v>
      </c>
      <c r="V69" s="75"/>
      <c r="W69" s="75"/>
      <c r="X69" s="166"/>
      <c r="Y69" s="166"/>
      <c r="Z69" s="167"/>
      <c r="AA69" s="167"/>
    </row>
    <row r="70" spans="1:27">
      <c r="A70" s="162"/>
      <c r="B70" s="163"/>
      <c r="C70" s="132" t="s">
        <v>2312</v>
      </c>
      <c r="D70" s="66" t="s">
        <v>1300</v>
      </c>
      <c r="E70" s="66" t="s">
        <v>94</v>
      </c>
      <c r="F70" s="66" t="s">
        <v>2318</v>
      </c>
      <c r="G70" s="69" t="s">
        <v>1700</v>
      </c>
      <c r="H70" s="69" t="s">
        <v>30</v>
      </c>
      <c r="I70" s="66">
        <v>300</v>
      </c>
      <c r="J70" s="70">
        <v>15</v>
      </c>
      <c r="K70" s="75">
        <f t="shared" si="1"/>
        <v>4500</v>
      </c>
      <c r="L70" s="55" t="b">
        <v>1</v>
      </c>
      <c r="M70" s="154">
        <v>141020241520</v>
      </c>
      <c r="N70" s="57" t="b">
        <v>1</v>
      </c>
      <c r="O70" s="58" t="s">
        <v>31</v>
      </c>
      <c r="P70" s="215"/>
      <c r="Q70" s="59" t="b">
        <v>1</v>
      </c>
      <c r="R70" s="164"/>
      <c r="S70" s="57"/>
      <c r="T70" s="47" t="b">
        <v>1</v>
      </c>
      <c r="U70" s="216" t="s">
        <v>2319</v>
      </c>
      <c r="V70" s="75"/>
      <c r="W70" s="75"/>
      <c r="X70" s="166"/>
      <c r="Y70" s="166"/>
      <c r="Z70" s="167"/>
      <c r="AA70" s="167"/>
    </row>
    <row r="71" spans="1:27">
      <c r="A71" s="162"/>
      <c r="B71" s="163"/>
      <c r="C71" s="132" t="s">
        <v>2320</v>
      </c>
      <c r="D71" s="66" t="s">
        <v>418</v>
      </c>
      <c r="E71" s="66" t="s">
        <v>1037</v>
      </c>
      <c r="F71" s="66" t="s">
        <v>420</v>
      </c>
      <c r="G71" s="69" t="s">
        <v>2321</v>
      </c>
      <c r="H71" s="69" t="s">
        <v>30</v>
      </c>
      <c r="I71" s="66">
        <v>1</v>
      </c>
      <c r="J71" s="70">
        <v>6850</v>
      </c>
      <c r="K71" s="75">
        <f t="shared" si="1"/>
        <v>6850</v>
      </c>
      <c r="L71" s="55" t="b">
        <v>1</v>
      </c>
      <c r="M71" s="154">
        <v>151020240955</v>
      </c>
      <c r="N71" s="57" t="b">
        <v>1</v>
      </c>
      <c r="O71" s="58" t="s">
        <v>31</v>
      </c>
      <c r="P71" s="215"/>
      <c r="Q71" s="59" t="b">
        <v>1</v>
      </c>
      <c r="R71" s="164"/>
      <c r="S71" s="57"/>
      <c r="T71" s="47" t="b">
        <v>1</v>
      </c>
      <c r="U71" s="216" t="s">
        <v>2322</v>
      </c>
      <c r="V71" s="75"/>
      <c r="W71" s="75"/>
      <c r="X71" s="166"/>
      <c r="Y71" s="166"/>
      <c r="Z71" s="167"/>
      <c r="AA71" s="167"/>
    </row>
    <row r="72" spans="1:27">
      <c r="A72" s="162"/>
      <c r="B72" s="163"/>
      <c r="C72" s="132" t="s">
        <v>2320</v>
      </c>
      <c r="D72" s="66" t="s">
        <v>51</v>
      </c>
      <c r="E72" s="66" t="s">
        <v>137</v>
      </c>
      <c r="F72" s="66" t="s">
        <v>2323</v>
      </c>
      <c r="G72" s="69" t="s">
        <v>58</v>
      </c>
      <c r="H72" s="69" t="s">
        <v>30</v>
      </c>
      <c r="I72" s="66">
        <v>84</v>
      </c>
      <c r="J72" s="70">
        <v>41.5</v>
      </c>
      <c r="K72" s="75">
        <f t="shared" si="1"/>
        <v>3486</v>
      </c>
      <c r="L72" s="55" t="b">
        <v>1</v>
      </c>
      <c r="M72" s="154">
        <v>151020241211</v>
      </c>
      <c r="N72" s="57" t="b">
        <v>1</v>
      </c>
      <c r="O72" s="58" t="s">
        <v>31</v>
      </c>
      <c r="P72" s="215"/>
      <c r="Q72" s="59" t="b">
        <v>1</v>
      </c>
      <c r="R72" s="164"/>
      <c r="S72" s="57"/>
      <c r="T72" s="47" t="b">
        <v>1</v>
      </c>
      <c r="U72" s="216" t="s">
        <v>2324</v>
      </c>
      <c r="V72" s="75"/>
      <c r="W72" s="75"/>
      <c r="X72" s="166"/>
      <c r="Y72" s="166"/>
      <c r="Z72" s="167"/>
      <c r="AA72" s="167"/>
    </row>
    <row r="73" spans="1:27">
      <c r="A73" s="162"/>
      <c r="B73" s="163"/>
      <c r="C73" s="132" t="s">
        <v>2320</v>
      </c>
      <c r="D73" s="66" t="s">
        <v>51</v>
      </c>
      <c r="E73" s="66" t="s">
        <v>137</v>
      </c>
      <c r="F73" s="66" t="s">
        <v>2323</v>
      </c>
      <c r="G73" s="69" t="s">
        <v>68</v>
      </c>
      <c r="H73" s="69" t="s">
        <v>30</v>
      </c>
      <c r="I73" s="66">
        <v>1</v>
      </c>
      <c r="J73" s="70">
        <v>2350</v>
      </c>
      <c r="K73" s="75">
        <f t="shared" si="1"/>
        <v>2350</v>
      </c>
      <c r="L73" s="55" t="b">
        <v>1</v>
      </c>
      <c r="M73" s="154">
        <v>151020241212</v>
      </c>
      <c r="N73" s="57" t="b">
        <v>1</v>
      </c>
      <c r="O73" s="58" t="s">
        <v>31</v>
      </c>
      <c r="P73" s="215"/>
      <c r="Q73" s="59" t="b">
        <v>1</v>
      </c>
      <c r="R73" s="164"/>
      <c r="S73" s="57"/>
      <c r="T73" s="47" t="b">
        <v>1</v>
      </c>
      <c r="U73" s="216" t="s">
        <v>2324</v>
      </c>
      <c r="V73" s="75"/>
      <c r="W73" s="75"/>
      <c r="X73" s="166"/>
      <c r="Y73" s="166"/>
      <c r="Z73" s="167"/>
      <c r="AA73" s="167"/>
    </row>
    <row r="74" spans="1:27">
      <c r="A74" s="162"/>
      <c r="B74" s="163"/>
      <c r="C74" s="132" t="s">
        <v>2320</v>
      </c>
      <c r="D74" s="66" t="s">
        <v>104</v>
      </c>
      <c r="E74" s="66" t="s">
        <v>2325</v>
      </c>
      <c r="F74" s="66" t="s">
        <v>2326</v>
      </c>
      <c r="G74" s="69" t="s">
        <v>142</v>
      </c>
      <c r="H74" s="69" t="s">
        <v>30</v>
      </c>
      <c r="I74" s="66">
        <v>3000</v>
      </c>
      <c r="J74" s="70">
        <v>1.25</v>
      </c>
      <c r="K74" s="75">
        <f t="shared" si="1"/>
        <v>3750</v>
      </c>
      <c r="L74" s="55" t="b">
        <v>1</v>
      </c>
      <c r="M74" s="154">
        <v>151020241215</v>
      </c>
      <c r="N74" s="57" t="b">
        <v>1</v>
      </c>
      <c r="O74" s="58" t="s">
        <v>31</v>
      </c>
      <c r="P74" s="215"/>
      <c r="Q74" s="59" t="b">
        <v>1</v>
      </c>
      <c r="R74" s="164"/>
      <c r="S74" s="57"/>
      <c r="T74" s="47" t="b">
        <v>1</v>
      </c>
      <c r="U74" s="216" t="s">
        <v>2327</v>
      </c>
      <c r="V74" s="75"/>
      <c r="W74" s="75"/>
      <c r="X74" s="166"/>
      <c r="Y74" s="166"/>
      <c r="Z74" s="167"/>
      <c r="AA74" s="167"/>
    </row>
    <row r="75" spans="1:27">
      <c r="A75" s="162"/>
      <c r="B75" s="163"/>
      <c r="C75" s="132" t="s">
        <v>2320</v>
      </c>
      <c r="D75" s="66" t="s">
        <v>26</v>
      </c>
      <c r="E75" s="66" t="s">
        <v>386</v>
      </c>
      <c r="F75" s="66" t="s">
        <v>502</v>
      </c>
      <c r="G75" s="69" t="s">
        <v>2267</v>
      </c>
      <c r="H75" s="69" t="s">
        <v>30</v>
      </c>
      <c r="I75" s="66">
        <v>100</v>
      </c>
      <c r="J75" s="70">
        <v>55</v>
      </c>
      <c r="K75" s="75">
        <f t="shared" si="1"/>
        <v>5500</v>
      </c>
      <c r="L75" s="55" t="b">
        <v>1</v>
      </c>
      <c r="M75" s="154">
        <v>151020241220</v>
      </c>
      <c r="N75" s="57" t="b">
        <v>1</v>
      </c>
      <c r="O75" s="58" t="s">
        <v>31</v>
      </c>
      <c r="P75" s="215"/>
      <c r="Q75" s="59" t="b">
        <v>1</v>
      </c>
      <c r="R75" s="164"/>
      <c r="S75" s="57"/>
      <c r="T75" s="47" t="b">
        <v>1</v>
      </c>
      <c r="U75" s="216" t="s">
        <v>2328</v>
      </c>
      <c r="V75" s="75"/>
      <c r="W75" s="75"/>
      <c r="X75" s="166"/>
      <c r="Y75" s="166"/>
      <c r="Z75" s="167"/>
      <c r="AA75" s="167"/>
    </row>
    <row r="76" spans="1:27">
      <c r="A76" s="162"/>
      <c r="B76" s="163"/>
      <c r="C76" s="132" t="s">
        <v>2320</v>
      </c>
      <c r="D76" s="66" t="s">
        <v>26</v>
      </c>
      <c r="E76" s="66" t="s">
        <v>27</v>
      </c>
      <c r="F76" s="66" t="s">
        <v>28</v>
      </c>
      <c r="G76" s="69" t="s">
        <v>68</v>
      </c>
      <c r="H76" s="69" t="s">
        <v>30</v>
      </c>
      <c r="I76" s="66">
        <v>1</v>
      </c>
      <c r="J76" s="70">
        <v>2350</v>
      </c>
      <c r="K76" s="75">
        <f t="shared" si="1"/>
        <v>2350</v>
      </c>
      <c r="L76" s="55" t="b">
        <v>1</v>
      </c>
      <c r="M76" s="154">
        <v>151020241233</v>
      </c>
      <c r="N76" s="57" t="b">
        <v>1</v>
      </c>
      <c r="O76" s="58"/>
      <c r="P76" s="215"/>
      <c r="Q76" s="59" t="b">
        <v>1</v>
      </c>
      <c r="R76" s="164"/>
      <c r="S76" s="57"/>
      <c r="T76" s="47" t="b">
        <v>1</v>
      </c>
      <c r="U76" s="216" t="s">
        <v>2329</v>
      </c>
      <c r="V76" s="75"/>
      <c r="W76" s="75"/>
      <c r="X76" s="166"/>
      <c r="Y76" s="166"/>
      <c r="Z76" s="167"/>
      <c r="AA76" s="167"/>
    </row>
    <row r="77" spans="1:27">
      <c r="A77" s="162"/>
      <c r="B77" s="163"/>
      <c r="C77" s="132" t="s">
        <v>2320</v>
      </c>
      <c r="D77" s="66" t="s">
        <v>26</v>
      </c>
      <c r="E77" s="66" t="s">
        <v>27</v>
      </c>
      <c r="F77" s="66" t="s">
        <v>28</v>
      </c>
      <c r="G77" s="69" t="s">
        <v>2186</v>
      </c>
      <c r="H77" s="69" t="s">
        <v>30</v>
      </c>
      <c r="I77" s="53">
        <v>200</v>
      </c>
      <c r="J77" s="70">
        <v>8.75</v>
      </c>
      <c r="K77" s="54">
        <f t="shared" si="1"/>
        <v>1750</v>
      </c>
      <c r="L77" s="55" t="b">
        <v>1</v>
      </c>
      <c r="M77" s="56">
        <v>151020241233</v>
      </c>
      <c r="N77" s="57" t="b">
        <v>1</v>
      </c>
      <c r="O77" s="58" t="s">
        <v>39</v>
      </c>
      <c r="P77" s="215"/>
      <c r="Q77" s="59" t="b">
        <v>1</v>
      </c>
      <c r="R77" s="129"/>
      <c r="S77" s="60"/>
      <c r="T77" s="47" t="b">
        <v>1</v>
      </c>
      <c r="U77" s="216" t="s">
        <v>2330</v>
      </c>
      <c r="V77" s="54"/>
      <c r="W77" s="54"/>
      <c r="X77" s="49"/>
      <c r="Y77" s="49"/>
      <c r="Z77" s="167"/>
      <c r="AA77" s="167"/>
    </row>
    <row r="78" spans="1:27">
      <c r="A78" s="101"/>
      <c r="B78" s="32"/>
      <c r="C78" s="132" t="s">
        <v>2320</v>
      </c>
      <c r="D78" s="66" t="s">
        <v>26</v>
      </c>
      <c r="E78" s="66" t="s">
        <v>27</v>
      </c>
      <c r="F78" s="66" t="s">
        <v>28</v>
      </c>
      <c r="G78" s="69" t="s">
        <v>49</v>
      </c>
      <c r="H78" s="69" t="s">
        <v>30</v>
      </c>
      <c r="I78" s="66">
        <v>10</v>
      </c>
      <c r="J78" s="70">
        <v>550</v>
      </c>
      <c r="K78" s="75">
        <f t="shared" si="1"/>
        <v>5500</v>
      </c>
      <c r="L78" s="55" t="b">
        <v>1</v>
      </c>
      <c r="M78" s="154">
        <v>151020241233</v>
      </c>
      <c r="N78" s="57" t="b">
        <v>1</v>
      </c>
      <c r="O78" s="58"/>
      <c r="P78" s="215"/>
      <c r="Q78" s="59" t="b">
        <v>1</v>
      </c>
      <c r="R78" s="164"/>
      <c r="S78" s="57"/>
      <c r="T78" s="47" t="b">
        <v>1</v>
      </c>
      <c r="U78" s="216" t="s">
        <v>2331</v>
      </c>
      <c r="V78" s="75"/>
      <c r="W78" s="75"/>
      <c r="X78" s="166"/>
      <c r="Y78" s="166"/>
    </row>
    <row r="79" spans="1:27">
      <c r="A79" s="162"/>
      <c r="B79" s="163"/>
      <c r="C79" s="132" t="s">
        <v>2320</v>
      </c>
      <c r="D79" s="66" t="s">
        <v>51</v>
      </c>
      <c r="E79" s="66" t="s">
        <v>89</v>
      </c>
      <c r="F79" s="66" t="s">
        <v>2090</v>
      </c>
      <c r="G79" s="69" t="s">
        <v>2332</v>
      </c>
      <c r="H79" s="69" t="s">
        <v>30</v>
      </c>
      <c r="I79" s="69">
        <v>2</v>
      </c>
      <c r="J79" s="70">
        <v>1350</v>
      </c>
      <c r="K79" s="54">
        <f t="shared" si="1"/>
        <v>2700</v>
      </c>
      <c r="L79" s="55" t="b">
        <v>1</v>
      </c>
      <c r="M79" s="56">
        <v>151020241239</v>
      </c>
      <c r="N79" s="57" t="b">
        <v>1</v>
      </c>
      <c r="O79" s="58" t="s">
        <v>31</v>
      </c>
      <c r="P79" s="215"/>
      <c r="Q79" s="59" t="b">
        <v>1</v>
      </c>
      <c r="R79" s="204"/>
      <c r="S79" s="57"/>
      <c r="T79" s="47" t="b">
        <v>1</v>
      </c>
      <c r="U79" s="216" t="s">
        <v>2333</v>
      </c>
      <c r="V79" s="75"/>
      <c r="W79" s="75"/>
      <c r="X79" s="166"/>
      <c r="Y79" s="166"/>
      <c r="Z79" s="167"/>
      <c r="AA79" s="167"/>
    </row>
    <row r="80" spans="1:27" ht="15.75" customHeight="1">
      <c r="A80" s="162"/>
      <c r="B80" s="163"/>
      <c r="C80" s="132" t="s">
        <v>2320</v>
      </c>
      <c r="D80" s="66" t="s">
        <v>149</v>
      </c>
      <c r="E80" s="66" t="s">
        <v>130</v>
      </c>
      <c r="F80" s="66" t="s">
        <v>1344</v>
      </c>
      <c r="G80" s="69" t="s">
        <v>2267</v>
      </c>
      <c r="H80" s="69" t="s">
        <v>30</v>
      </c>
      <c r="I80" s="69">
        <v>100</v>
      </c>
      <c r="J80" s="70">
        <v>55</v>
      </c>
      <c r="K80" s="75">
        <f t="shared" si="1"/>
        <v>5500</v>
      </c>
      <c r="L80" s="55" t="b">
        <v>1</v>
      </c>
      <c r="M80" s="154">
        <v>151020241326</v>
      </c>
      <c r="N80" s="57" t="b">
        <v>1</v>
      </c>
      <c r="O80" s="58"/>
      <c r="P80" s="215"/>
      <c r="Q80" s="59" t="b">
        <v>1</v>
      </c>
      <c r="R80" s="164"/>
      <c r="S80" s="57"/>
      <c r="T80" s="47" t="b">
        <v>1</v>
      </c>
      <c r="U80" s="216" t="s">
        <v>2334</v>
      </c>
      <c r="V80" s="75"/>
      <c r="W80" s="75"/>
      <c r="X80" s="166"/>
      <c r="Y80" s="166"/>
      <c r="Z80" s="167"/>
      <c r="AA80" s="167"/>
    </row>
    <row r="81" spans="1:27" ht="15.75" customHeight="1">
      <c r="A81" s="162"/>
      <c r="B81" s="163"/>
      <c r="C81" s="132" t="s">
        <v>2320</v>
      </c>
      <c r="D81" s="66" t="s">
        <v>149</v>
      </c>
      <c r="E81" s="66" t="s">
        <v>130</v>
      </c>
      <c r="F81" s="66" t="s">
        <v>1344</v>
      </c>
      <c r="G81" s="69" t="s">
        <v>2309</v>
      </c>
      <c r="H81" s="69" t="s">
        <v>30</v>
      </c>
      <c r="I81" s="66">
        <v>100</v>
      </c>
      <c r="J81" s="70">
        <v>8</v>
      </c>
      <c r="K81" s="75">
        <f t="shared" si="1"/>
        <v>800</v>
      </c>
      <c r="L81" s="55" t="b">
        <v>1</v>
      </c>
      <c r="M81" s="154">
        <v>101020241333</v>
      </c>
      <c r="N81" s="57" t="b">
        <v>1</v>
      </c>
      <c r="O81" s="58"/>
      <c r="P81" s="215"/>
      <c r="Q81" s="59" t="b">
        <v>1</v>
      </c>
      <c r="R81" s="164"/>
      <c r="S81" s="57"/>
      <c r="T81" s="47" t="b">
        <v>1</v>
      </c>
      <c r="U81" s="216" t="s">
        <v>2335</v>
      </c>
      <c r="V81" s="75"/>
      <c r="W81" s="75"/>
      <c r="X81" s="166"/>
      <c r="Y81" s="166"/>
      <c r="Z81" s="167"/>
      <c r="AA81" s="167"/>
    </row>
    <row r="82" spans="1:27">
      <c r="A82" s="162"/>
      <c r="B82" s="163"/>
      <c r="C82" s="132" t="s">
        <v>2320</v>
      </c>
      <c r="D82" s="66" t="s">
        <v>104</v>
      </c>
      <c r="E82" s="66" t="s">
        <v>2336</v>
      </c>
      <c r="F82" s="66" t="s">
        <v>674</v>
      </c>
      <c r="G82" s="69" t="s">
        <v>2337</v>
      </c>
      <c r="H82" s="69" t="s">
        <v>30</v>
      </c>
      <c r="I82" s="66">
        <v>60</v>
      </c>
      <c r="J82" s="70">
        <v>300</v>
      </c>
      <c r="K82" s="75">
        <f t="shared" si="1"/>
        <v>18000</v>
      </c>
      <c r="L82" s="55" t="b">
        <v>1</v>
      </c>
      <c r="M82" s="154">
        <v>151020241335</v>
      </c>
      <c r="N82" s="57" t="b">
        <v>1</v>
      </c>
      <c r="O82" s="58" t="s">
        <v>31</v>
      </c>
      <c r="P82" s="215"/>
      <c r="Q82" s="59" t="b">
        <v>1</v>
      </c>
      <c r="R82" s="164"/>
      <c r="S82" s="57"/>
      <c r="T82" s="47" t="b">
        <v>1</v>
      </c>
      <c r="U82" s="216" t="s">
        <v>2338</v>
      </c>
      <c r="V82" s="75"/>
      <c r="W82" s="75"/>
      <c r="X82" s="166"/>
      <c r="Y82" s="166"/>
      <c r="Z82" s="167"/>
      <c r="AA82" s="167"/>
    </row>
    <row r="83" spans="1:27">
      <c r="A83" s="162"/>
      <c r="B83" s="163"/>
      <c r="C83" s="132" t="s">
        <v>2320</v>
      </c>
      <c r="D83" s="66" t="s">
        <v>51</v>
      </c>
      <c r="E83" s="66" t="s">
        <v>89</v>
      </c>
      <c r="F83" s="66" t="s">
        <v>2090</v>
      </c>
      <c r="G83" s="69" t="s">
        <v>68</v>
      </c>
      <c r="H83" s="69" t="s">
        <v>30</v>
      </c>
      <c r="I83" s="66">
        <v>2</v>
      </c>
      <c r="J83" s="70">
        <v>2350</v>
      </c>
      <c r="K83" s="75">
        <f t="shared" si="1"/>
        <v>4700</v>
      </c>
      <c r="L83" s="55" t="b">
        <v>1</v>
      </c>
      <c r="M83" s="154">
        <v>151020241336</v>
      </c>
      <c r="N83" s="57" t="b">
        <v>1</v>
      </c>
      <c r="O83" s="58"/>
      <c r="P83" s="215"/>
      <c r="Q83" s="59" t="b">
        <v>1</v>
      </c>
      <c r="R83" s="164"/>
      <c r="S83" s="57"/>
      <c r="T83" s="47" t="b">
        <v>1</v>
      </c>
      <c r="U83" s="216" t="s">
        <v>2339</v>
      </c>
      <c r="V83" s="75"/>
      <c r="W83" s="75"/>
      <c r="X83" s="166"/>
      <c r="Y83" s="166"/>
      <c r="Z83" s="167"/>
      <c r="AA83" s="167"/>
    </row>
    <row r="84" spans="1:27">
      <c r="A84" s="162"/>
      <c r="B84" s="163"/>
      <c r="C84" s="132" t="s">
        <v>2320</v>
      </c>
      <c r="D84" s="66" t="s">
        <v>282</v>
      </c>
      <c r="E84" s="66" t="s">
        <v>282</v>
      </c>
      <c r="F84" s="66" t="s">
        <v>365</v>
      </c>
      <c r="G84" s="69" t="s">
        <v>2075</v>
      </c>
      <c r="H84" s="69" t="s">
        <v>30</v>
      </c>
      <c r="I84" s="66">
        <v>20</v>
      </c>
      <c r="J84" s="70">
        <v>40</v>
      </c>
      <c r="K84" s="75">
        <f t="shared" si="1"/>
        <v>800</v>
      </c>
      <c r="L84" s="55" t="b">
        <v>1</v>
      </c>
      <c r="M84" s="154">
        <v>151020241343</v>
      </c>
      <c r="N84" s="57" t="b">
        <v>1</v>
      </c>
      <c r="O84" s="58" t="s">
        <v>31</v>
      </c>
      <c r="P84" s="215"/>
      <c r="Q84" s="59" t="b">
        <v>1</v>
      </c>
      <c r="R84" s="164"/>
      <c r="S84" s="57"/>
      <c r="T84" s="47" t="b">
        <v>1</v>
      </c>
      <c r="U84" s="216" t="s">
        <v>2340</v>
      </c>
      <c r="V84" s="75"/>
      <c r="W84" s="75"/>
      <c r="X84" s="166"/>
      <c r="Y84" s="166"/>
      <c r="Z84" s="167"/>
      <c r="AA84" s="167"/>
    </row>
    <row r="85" spans="1:27">
      <c r="A85" s="162"/>
      <c r="B85" s="163"/>
      <c r="C85" s="132" t="s">
        <v>2320</v>
      </c>
      <c r="D85" s="66" t="s">
        <v>282</v>
      </c>
      <c r="E85" s="66" t="s">
        <v>282</v>
      </c>
      <c r="F85" s="66" t="s">
        <v>365</v>
      </c>
      <c r="G85" s="69" t="s">
        <v>2309</v>
      </c>
      <c r="H85" s="69" t="s">
        <v>30</v>
      </c>
      <c r="I85" s="66">
        <v>20</v>
      </c>
      <c r="J85" s="70">
        <v>8</v>
      </c>
      <c r="K85" s="75">
        <f t="shared" si="1"/>
        <v>160</v>
      </c>
      <c r="L85" s="55" t="b">
        <v>1</v>
      </c>
      <c r="M85" s="154">
        <v>151020241344</v>
      </c>
      <c r="N85" s="57" t="b">
        <v>1</v>
      </c>
      <c r="O85" s="58" t="s">
        <v>31</v>
      </c>
      <c r="P85" s="215"/>
      <c r="Q85" s="59" t="b">
        <v>1</v>
      </c>
      <c r="R85" s="164"/>
      <c r="S85" s="57"/>
      <c r="T85" s="47" t="b">
        <v>1</v>
      </c>
      <c r="U85" s="216" t="s">
        <v>2276</v>
      </c>
      <c r="V85" s="75"/>
      <c r="W85" s="75"/>
      <c r="X85" s="166"/>
      <c r="Y85" s="166"/>
      <c r="Z85" s="167"/>
      <c r="AA85" s="167"/>
    </row>
    <row r="86" spans="1:27" ht="14.25" customHeight="1">
      <c r="A86" s="162"/>
      <c r="B86" s="163"/>
      <c r="C86" s="132" t="s">
        <v>2320</v>
      </c>
      <c r="D86" s="66" t="s">
        <v>104</v>
      </c>
      <c r="E86" s="66" t="s">
        <v>342</v>
      </c>
      <c r="F86" s="66" t="s">
        <v>1314</v>
      </c>
      <c r="G86" s="69" t="s">
        <v>2309</v>
      </c>
      <c r="H86" s="69" t="s">
        <v>30</v>
      </c>
      <c r="I86" s="66">
        <v>30</v>
      </c>
      <c r="J86" s="70">
        <v>7</v>
      </c>
      <c r="K86" s="75">
        <f t="shared" si="1"/>
        <v>210</v>
      </c>
      <c r="L86" s="55" t="b">
        <v>1</v>
      </c>
      <c r="M86" s="154">
        <v>151020241504</v>
      </c>
      <c r="N86" s="57" t="b">
        <v>1</v>
      </c>
      <c r="O86" s="58" t="s">
        <v>31</v>
      </c>
      <c r="P86" s="215"/>
      <c r="Q86" s="59" t="b">
        <v>1</v>
      </c>
      <c r="R86" s="164"/>
      <c r="S86" s="57"/>
      <c r="T86" s="47" t="b">
        <v>1</v>
      </c>
      <c r="U86" s="216" t="s">
        <v>2341</v>
      </c>
      <c r="V86" s="75">
        <v>4650</v>
      </c>
      <c r="W86" s="75"/>
      <c r="X86" s="166"/>
      <c r="Y86" s="166"/>
      <c r="Z86" s="167"/>
      <c r="AA86" s="167"/>
    </row>
    <row r="87" spans="1:27">
      <c r="A87" s="162"/>
      <c r="B87" s="163"/>
      <c r="C87" s="132" t="s">
        <v>2320</v>
      </c>
      <c r="D87" s="66" t="s">
        <v>104</v>
      </c>
      <c r="E87" s="66" t="s">
        <v>342</v>
      </c>
      <c r="F87" s="66" t="s">
        <v>1314</v>
      </c>
      <c r="G87" s="69" t="s">
        <v>2075</v>
      </c>
      <c r="H87" s="69" t="s">
        <v>30</v>
      </c>
      <c r="I87" s="66">
        <v>30</v>
      </c>
      <c r="J87" s="70">
        <v>37.5</v>
      </c>
      <c r="K87" s="75">
        <f t="shared" si="1"/>
        <v>1125</v>
      </c>
      <c r="L87" s="55" t="b">
        <v>1</v>
      </c>
      <c r="M87" s="154">
        <v>151020241504</v>
      </c>
      <c r="N87" s="57" t="b">
        <v>1</v>
      </c>
      <c r="O87" s="58" t="s">
        <v>31</v>
      </c>
      <c r="P87" s="215"/>
      <c r="Q87" s="59" t="b">
        <v>1</v>
      </c>
      <c r="R87" s="164"/>
      <c r="S87" s="165"/>
      <c r="T87" s="47" t="b">
        <v>1</v>
      </c>
      <c r="U87" s="216" t="s">
        <v>2342</v>
      </c>
      <c r="V87" s="75"/>
      <c r="W87" s="75"/>
      <c r="X87" s="166"/>
      <c r="Y87" s="166"/>
      <c r="Z87" s="167"/>
      <c r="AA87" s="167"/>
    </row>
    <row r="88" spans="1:27">
      <c r="A88" s="162"/>
      <c r="B88" s="163"/>
      <c r="C88" s="132" t="s">
        <v>2320</v>
      </c>
      <c r="D88" s="66" t="s">
        <v>104</v>
      </c>
      <c r="E88" s="66" t="s">
        <v>342</v>
      </c>
      <c r="F88" s="66" t="s">
        <v>1314</v>
      </c>
      <c r="G88" s="69" t="s">
        <v>2267</v>
      </c>
      <c r="H88" s="69" t="s">
        <v>30</v>
      </c>
      <c r="I88" s="66">
        <v>30</v>
      </c>
      <c r="J88" s="70">
        <v>50</v>
      </c>
      <c r="K88" s="75">
        <f t="shared" si="1"/>
        <v>1500</v>
      </c>
      <c r="L88" s="55" t="b">
        <v>1</v>
      </c>
      <c r="M88" s="154">
        <v>151020241504</v>
      </c>
      <c r="N88" s="57" t="b">
        <v>1</v>
      </c>
      <c r="O88" s="58" t="s">
        <v>31</v>
      </c>
      <c r="P88" s="215"/>
      <c r="Q88" s="59" t="b">
        <v>1</v>
      </c>
      <c r="R88" s="164"/>
      <c r="S88" s="165"/>
      <c r="T88" s="47" t="b">
        <v>1</v>
      </c>
      <c r="U88" s="216" t="s">
        <v>2342</v>
      </c>
      <c r="V88" s="75"/>
      <c r="W88" s="75"/>
      <c r="X88" s="166"/>
      <c r="Y88" s="166"/>
      <c r="Z88" s="167"/>
      <c r="AA88" s="167"/>
    </row>
    <row r="89" spans="1:27">
      <c r="A89" s="162"/>
      <c r="B89" s="163"/>
      <c r="C89" s="132" t="s">
        <v>2320</v>
      </c>
      <c r="D89" s="66" t="s">
        <v>51</v>
      </c>
      <c r="E89" s="66" t="s">
        <v>201</v>
      </c>
      <c r="F89" s="66" t="s">
        <v>202</v>
      </c>
      <c r="G89" s="69" t="s">
        <v>68</v>
      </c>
      <c r="H89" s="69" t="s">
        <v>30</v>
      </c>
      <c r="I89" s="66">
        <v>1</v>
      </c>
      <c r="J89" s="70">
        <v>2350</v>
      </c>
      <c r="K89" s="75">
        <f t="shared" si="1"/>
        <v>2350</v>
      </c>
      <c r="L89" s="55" t="b">
        <v>1</v>
      </c>
      <c r="M89" s="154">
        <v>151020241633</v>
      </c>
      <c r="N89" s="57" t="b">
        <v>1</v>
      </c>
      <c r="O89" s="58" t="s">
        <v>31</v>
      </c>
      <c r="P89" s="215"/>
      <c r="Q89" s="59" t="b">
        <v>1</v>
      </c>
      <c r="R89" s="167"/>
      <c r="S89" s="165"/>
      <c r="T89" s="47" t="b">
        <v>1</v>
      </c>
      <c r="U89" s="216" t="s">
        <v>2343</v>
      </c>
      <c r="V89" s="75"/>
      <c r="W89" s="75"/>
      <c r="X89" s="166"/>
      <c r="Y89" s="166"/>
      <c r="Z89" s="167"/>
      <c r="AA89" s="167"/>
    </row>
    <row r="90" spans="1:27">
      <c r="A90" s="162"/>
      <c r="B90" s="163"/>
      <c r="C90" s="132" t="s">
        <v>2320</v>
      </c>
      <c r="D90" s="66" t="s">
        <v>51</v>
      </c>
      <c r="E90" s="66" t="s">
        <v>201</v>
      </c>
      <c r="F90" s="66" t="s">
        <v>202</v>
      </c>
      <c r="G90" s="69" t="s">
        <v>2267</v>
      </c>
      <c r="H90" s="69" t="s">
        <v>30</v>
      </c>
      <c r="I90" s="66">
        <v>250</v>
      </c>
      <c r="J90" s="70">
        <v>55</v>
      </c>
      <c r="K90" s="75">
        <f t="shared" si="1"/>
        <v>13750</v>
      </c>
      <c r="L90" s="55" t="b">
        <v>1</v>
      </c>
      <c r="M90" s="154">
        <v>151020241633</v>
      </c>
      <c r="N90" s="57" t="b">
        <v>1</v>
      </c>
      <c r="O90" s="58" t="s">
        <v>31</v>
      </c>
      <c r="P90" s="215"/>
      <c r="Q90" s="59" t="b">
        <v>1</v>
      </c>
      <c r="R90" s="164"/>
      <c r="S90" s="57"/>
      <c r="T90" s="47" t="b">
        <v>1</v>
      </c>
      <c r="U90" s="216" t="s">
        <v>2344</v>
      </c>
      <c r="V90" s="75" t="s">
        <v>2149</v>
      </c>
      <c r="W90" s="75"/>
      <c r="X90" s="166"/>
      <c r="Y90" s="166"/>
      <c r="Z90" s="167"/>
      <c r="AA90" s="167"/>
    </row>
    <row r="91" spans="1:27">
      <c r="A91" s="162"/>
      <c r="B91" s="163"/>
      <c r="C91" s="132" t="s">
        <v>2320</v>
      </c>
      <c r="D91" s="66" t="s">
        <v>51</v>
      </c>
      <c r="E91" s="66" t="s">
        <v>201</v>
      </c>
      <c r="F91" s="66" t="s">
        <v>202</v>
      </c>
      <c r="G91" s="69" t="s">
        <v>2309</v>
      </c>
      <c r="H91" s="69" t="s">
        <v>30</v>
      </c>
      <c r="I91" s="66">
        <v>250</v>
      </c>
      <c r="J91" s="70">
        <v>8</v>
      </c>
      <c r="K91" s="75">
        <f t="shared" si="1"/>
        <v>2000</v>
      </c>
      <c r="L91" s="55" t="b">
        <v>1</v>
      </c>
      <c r="M91" s="154">
        <v>151020241634</v>
      </c>
      <c r="N91" s="57" t="b">
        <v>1</v>
      </c>
      <c r="O91" s="58" t="s">
        <v>31</v>
      </c>
      <c r="P91" s="215"/>
      <c r="Q91" s="59" t="b">
        <v>1</v>
      </c>
      <c r="R91" s="164"/>
      <c r="S91" s="57"/>
      <c r="T91" s="47" t="b">
        <v>1</v>
      </c>
      <c r="U91" s="216" t="s">
        <v>2344</v>
      </c>
      <c r="V91" s="75"/>
      <c r="W91" s="75"/>
      <c r="X91" s="166"/>
      <c r="Y91" s="166"/>
      <c r="Z91" s="167"/>
      <c r="AA91" s="167"/>
    </row>
    <row r="92" spans="1:27">
      <c r="A92" s="162"/>
      <c r="B92" s="163"/>
      <c r="C92" s="132" t="s">
        <v>2320</v>
      </c>
      <c r="D92" s="66" t="s">
        <v>51</v>
      </c>
      <c r="E92" s="66" t="s">
        <v>372</v>
      </c>
      <c r="F92" s="69" t="s">
        <v>373</v>
      </c>
      <c r="G92" s="69" t="s">
        <v>2075</v>
      </c>
      <c r="H92" s="70" t="s">
        <v>30</v>
      </c>
      <c r="I92" s="69">
        <v>25</v>
      </c>
      <c r="J92" s="70">
        <v>40</v>
      </c>
      <c r="K92" s="75">
        <f t="shared" si="1"/>
        <v>1000</v>
      </c>
      <c r="L92" s="55" t="b">
        <v>1</v>
      </c>
      <c r="M92" s="154">
        <v>151020241648</v>
      </c>
      <c r="N92" s="57" t="b">
        <v>1</v>
      </c>
      <c r="O92" s="58" t="s">
        <v>31</v>
      </c>
      <c r="P92" s="215"/>
      <c r="Q92" s="59" t="b">
        <v>1</v>
      </c>
      <c r="R92" s="164"/>
      <c r="S92" s="57"/>
      <c r="T92" s="47" t="b">
        <v>1</v>
      </c>
      <c r="U92" s="216" t="s">
        <v>2345</v>
      </c>
      <c r="V92" s="75"/>
      <c r="W92" s="75"/>
      <c r="X92" s="166"/>
      <c r="Y92" s="166"/>
      <c r="Z92" s="167"/>
      <c r="AA92" s="167"/>
    </row>
    <row r="93" spans="1:27">
      <c r="A93" s="162"/>
      <c r="B93" s="163"/>
      <c r="C93" s="132" t="s">
        <v>2320</v>
      </c>
      <c r="D93" s="66" t="s">
        <v>51</v>
      </c>
      <c r="E93" s="66" t="s">
        <v>372</v>
      </c>
      <c r="F93" s="69" t="s">
        <v>373</v>
      </c>
      <c r="G93" s="69" t="s">
        <v>2309</v>
      </c>
      <c r="H93" s="69" t="s">
        <v>30</v>
      </c>
      <c r="I93" s="66">
        <v>50</v>
      </c>
      <c r="J93" s="70">
        <v>8</v>
      </c>
      <c r="K93" s="75">
        <f t="shared" si="1"/>
        <v>400</v>
      </c>
      <c r="L93" s="55" t="b">
        <v>1</v>
      </c>
      <c r="M93" s="154">
        <v>151020241648</v>
      </c>
      <c r="N93" s="57" t="b">
        <v>1</v>
      </c>
      <c r="O93" s="58" t="s">
        <v>31</v>
      </c>
      <c r="P93" s="215"/>
      <c r="Q93" s="59" t="b">
        <v>1</v>
      </c>
      <c r="R93" s="164"/>
      <c r="S93" s="57"/>
      <c r="T93" s="47" t="b">
        <v>1</v>
      </c>
      <c r="U93" s="216" t="s">
        <v>2346</v>
      </c>
      <c r="V93" s="75"/>
      <c r="W93" s="75"/>
      <c r="X93" s="166"/>
      <c r="Y93" s="166"/>
      <c r="Z93" s="167"/>
      <c r="AA93" s="167"/>
    </row>
    <row r="94" spans="1:27">
      <c r="A94" s="162"/>
      <c r="B94" s="163"/>
      <c r="C94" s="132" t="s">
        <v>2320</v>
      </c>
      <c r="D94" s="66" t="s">
        <v>51</v>
      </c>
      <c r="E94" s="66" t="s">
        <v>372</v>
      </c>
      <c r="F94" s="69" t="s">
        <v>373</v>
      </c>
      <c r="G94" s="69" t="s">
        <v>2267</v>
      </c>
      <c r="H94" s="69" t="s">
        <v>30</v>
      </c>
      <c r="I94" s="66">
        <v>25</v>
      </c>
      <c r="J94" s="70">
        <v>55</v>
      </c>
      <c r="K94" s="75">
        <f t="shared" si="1"/>
        <v>1375</v>
      </c>
      <c r="L94" s="55" t="b">
        <v>1</v>
      </c>
      <c r="M94" s="154">
        <v>151020241648</v>
      </c>
      <c r="N94" s="57" t="b">
        <v>1</v>
      </c>
      <c r="O94" s="58" t="s">
        <v>31</v>
      </c>
      <c r="P94" s="215"/>
      <c r="Q94" s="59" t="b">
        <v>1</v>
      </c>
      <c r="R94" s="164"/>
      <c r="S94" s="57"/>
      <c r="T94" s="47" t="b">
        <v>1</v>
      </c>
      <c r="U94" s="216" t="s">
        <v>2345</v>
      </c>
      <c r="V94" s="75"/>
      <c r="W94" s="75"/>
      <c r="X94" s="166"/>
      <c r="Y94" s="166"/>
      <c r="Z94" s="167"/>
      <c r="AA94" s="167"/>
    </row>
    <row r="95" spans="1:27">
      <c r="A95" s="162"/>
      <c r="B95" s="163"/>
      <c r="C95" s="132" t="s">
        <v>2320</v>
      </c>
      <c r="D95" s="66" t="s">
        <v>104</v>
      </c>
      <c r="E95" s="66" t="s">
        <v>486</v>
      </c>
      <c r="F95" s="66" t="s">
        <v>241</v>
      </c>
      <c r="G95" s="159" t="s">
        <v>2075</v>
      </c>
      <c r="H95" s="69" t="s">
        <v>30</v>
      </c>
      <c r="I95" s="66">
        <v>50</v>
      </c>
      <c r="J95" s="70">
        <v>40</v>
      </c>
      <c r="K95" s="75">
        <f t="shared" si="1"/>
        <v>2000</v>
      </c>
      <c r="L95" s="55" t="b">
        <v>1</v>
      </c>
      <c r="M95" s="154">
        <v>151020241727</v>
      </c>
      <c r="N95" s="57" t="b">
        <v>1</v>
      </c>
      <c r="O95" s="58" t="s">
        <v>31</v>
      </c>
      <c r="P95" s="215"/>
      <c r="Q95" s="59" t="b">
        <v>1</v>
      </c>
      <c r="R95" s="164"/>
      <c r="S95" s="57"/>
      <c r="T95" s="47" t="b">
        <v>1</v>
      </c>
      <c r="U95" s="216" t="s">
        <v>2347</v>
      </c>
      <c r="V95" s="75"/>
      <c r="W95" s="75"/>
      <c r="X95" s="166"/>
      <c r="Y95" s="166"/>
      <c r="Z95" s="167"/>
      <c r="AA95" s="167"/>
    </row>
    <row r="96" spans="1:27">
      <c r="A96" s="162"/>
      <c r="B96" s="163"/>
      <c r="C96" s="132" t="s">
        <v>2320</v>
      </c>
      <c r="D96" s="66" t="s">
        <v>104</v>
      </c>
      <c r="E96" s="66" t="s">
        <v>486</v>
      </c>
      <c r="F96" s="66" t="s">
        <v>241</v>
      </c>
      <c r="G96" s="69" t="s">
        <v>2348</v>
      </c>
      <c r="H96" s="69" t="s">
        <v>30</v>
      </c>
      <c r="I96" s="53">
        <v>2</v>
      </c>
      <c r="J96" s="70">
        <v>8250</v>
      </c>
      <c r="K96" s="54">
        <f t="shared" si="1"/>
        <v>16500</v>
      </c>
      <c r="L96" s="55" t="b">
        <v>1</v>
      </c>
      <c r="M96" s="56">
        <v>151020241754</v>
      </c>
      <c r="N96" s="57" t="b">
        <v>1</v>
      </c>
      <c r="O96" s="58" t="s">
        <v>529</v>
      </c>
      <c r="P96" s="215"/>
      <c r="Q96" s="59" t="b">
        <v>1</v>
      </c>
      <c r="R96" s="129"/>
      <c r="S96" s="57"/>
      <c r="T96" s="47" t="b">
        <v>1</v>
      </c>
      <c r="U96" s="216" t="s">
        <v>2349</v>
      </c>
      <c r="V96" s="75"/>
      <c r="W96" s="75"/>
      <c r="X96" s="166"/>
      <c r="Y96" s="166"/>
      <c r="Z96" s="167"/>
      <c r="AA96" s="167"/>
    </row>
    <row r="97" spans="1:27">
      <c r="A97" s="162"/>
      <c r="B97" s="163"/>
      <c r="C97" s="132" t="s">
        <v>2320</v>
      </c>
      <c r="D97" s="66" t="s">
        <v>104</v>
      </c>
      <c r="E97" s="66" t="s">
        <v>486</v>
      </c>
      <c r="F97" s="66" t="s">
        <v>241</v>
      </c>
      <c r="G97" s="69" t="s">
        <v>72</v>
      </c>
      <c r="H97" s="69" t="s">
        <v>30</v>
      </c>
      <c r="I97" s="53">
        <v>1</v>
      </c>
      <c r="J97" s="70">
        <v>2500</v>
      </c>
      <c r="K97" s="54">
        <v>2500</v>
      </c>
      <c r="L97" s="55" t="b">
        <v>1</v>
      </c>
      <c r="M97" s="56">
        <v>151020241754</v>
      </c>
      <c r="N97" s="57" t="b">
        <v>1</v>
      </c>
      <c r="O97" s="58" t="s">
        <v>31</v>
      </c>
      <c r="P97" s="215"/>
      <c r="Q97" s="59" t="b">
        <v>1</v>
      </c>
      <c r="R97" s="129"/>
      <c r="S97" s="57"/>
      <c r="T97" s="47" t="b">
        <v>1</v>
      </c>
      <c r="U97" s="216" t="s">
        <v>2349</v>
      </c>
      <c r="V97" s="75"/>
      <c r="W97" s="75"/>
      <c r="X97" s="166"/>
      <c r="Y97" s="166"/>
      <c r="Z97" s="167"/>
      <c r="AA97" s="167"/>
    </row>
    <row r="98" spans="1:27">
      <c r="A98" s="162"/>
      <c r="B98" s="163"/>
      <c r="C98" s="132" t="s">
        <v>2320</v>
      </c>
      <c r="D98" s="66" t="s">
        <v>51</v>
      </c>
      <c r="E98" s="66" t="s">
        <v>201</v>
      </c>
      <c r="F98" s="66" t="s">
        <v>202</v>
      </c>
      <c r="G98" s="69" t="s">
        <v>2350</v>
      </c>
      <c r="H98" s="69" t="s">
        <v>30</v>
      </c>
      <c r="I98" s="66">
        <v>1</v>
      </c>
      <c r="J98" s="70">
        <v>8000</v>
      </c>
      <c r="K98" s="75">
        <f>I98*J98</f>
        <v>8000</v>
      </c>
      <c r="L98" s="55" t="b">
        <v>1</v>
      </c>
      <c r="M98" s="154">
        <v>151020241810</v>
      </c>
      <c r="N98" s="57" t="b">
        <v>1</v>
      </c>
      <c r="O98" s="58"/>
      <c r="P98" s="215"/>
      <c r="Q98" s="59" t="b">
        <v>1</v>
      </c>
      <c r="R98" s="164"/>
      <c r="S98" s="165"/>
      <c r="T98" s="47" t="b">
        <v>1</v>
      </c>
      <c r="U98" s="216" t="s">
        <v>2351</v>
      </c>
      <c r="V98" s="75"/>
      <c r="W98" s="75"/>
      <c r="X98" s="166"/>
      <c r="Y98" s="166"/>
      <c r="Z98" s="167"/>
      <c r="AA98" s="167"/>
    </row>
    <row r="99" spans="1:27">
      <c r="A99" s="162"/>
      <c r="B99" s="163"/>
      <c r="C99" s="132" t="s">
        <v>2320</v>
      </c>
      <c r="D99" s="66" t="s">
        <v>51</v>
      </c>
      <c r="E99" s="66" t="s">
        <v>201</v>
      </c>
      <c r="F99" s="66" t="s">
        <v>202</v>
      </c>
      <c r="G99" s="69" t="s">
        <v>2352</v>
      </c>
      <c r="H99" s="69" t="s">
        <v>30</v>
      </c>
      <c r="I99" s="66">
        <v>1</v>
      </c>
      <c r="J99" s="70">
        <v>2500</v>
      </c>
      <c r="K99" s="70">
        <v>2500</v>
      </c>
      <c r="L99" s="55" t="b">
        <v>1</v>
      </c>
      <c r="M99" s="154"/>
      <c r="N99" s="57" t="b">
        <v>1</v>
      </c>
      <c r="O99" s="58"/>
      <c r="P99" s="215"/>
      <c r="Q99" s="59" t="b">
        <v>1</v>
      </c>
      <c r="R99" s="164"/>
      <c r="S99" s="165"/>
      <c r="T99" s="47" t="b">
        <v>1</v>
      </c>
      <c r="U99" s="216" t="s">
        <v>2351</v>
      </c>
      <c r="V99" s="75"/>
      <c r="W99" s="75"/>
      <c r="X99" s="166"/>
      <c r="Y99" s="166"/>
      <c r="Z99" s="167"/>
      <c r="AA99" s="167"/>
    </row>
    <row r="100" spans="1:27">
      <c r="A100" s="162"/>
      <c r="B100" s="163"/>
      <c r="C100" s="132" t="s">
        <v>2320</v>
      </c>
      <c r="D100" s="66" t="s">
        <v>51</v>
      </c>
      <c r="E100" s="66" t="s">
        <v>335</v>
      </c>
      <c r="F100" s="66" t="s">
        <v>2237</v>
      </c>
      <c r="G100" s="69" t="s">
        <v>2267</v>
      </c>
      <c r="H100" s="69" t="s">
        <v>30</v>
      </c>
      <c r="I100" s="66">
        <v>100</v>
      </c>
      <c r="J100" s="70">
        <v>55</v>
      </c>
      <c r="K100" s="75">
        <f t="shared" ref="K100:K185" si="2">I100*J100</f>
        <v>5500</v>
      </c>
      <c r="L100" s="55" t="b">
        <v>1</v>
      </c>
      <c r="M100" s="154">
        <v>151020242148</v>
      </c>
      <c r="N100" s="57" t="b">
        <v>1</v>
      </c>
      <c r="O100" s="58" t="s">
        <v>31</v>
      </c>
      <c r="P100" s="215"/>
      <c r="Q100" s="59" t="b">
        <v>1</v>
      </c>
      <c r="R100" s="164"/>
      <c r="S100" s="57"/>
      <c r="T100" s="47" t="b">
        <v>1</v>
      </c>
      <c r="U100" s="216" t="s">
        <v>2353</v>
      </c>
      <c r="V100" s="75"/>
      <c r="W100" s="75"/>
      <c r="X100" s="166"/>
      <c r="Y100" s="166"/>
      <c r="Z100" s="167"/>
      <c r="AA100" s="167"/>
    </row>
    <row r="101" spans="1:27">
      <c r="A101" s="162"/>
      <c r="B101" s="163"/>
      <c r="C101" s="132" t="s">
        <v>2320</v>
      </c>
      <c r="D101" s="66" t="s">
        <v>51</v>
      </c>
      <c r="E101" s="66" t="s">
        <v>335</v>
      </c>
      <c r="F101" s="66" t="s">
        <v>2237</v>
      </c>
      <c r="G101" s="69" t="s">
        <v>2309</v>
      </c>
      <c r="H101" s="69" t="s">
        <v>30</v>
      </c>
      <c r="I101" s="66">
        <v>100</v>
      </c>
      <c r="J101" s="70">
        <v>8</v>
      </c>
      <c r="K101" s="75">
        <f t="shared" si="2"/>
        <v>800</v>
      </c>
      <c r="L101" s="55" t="b">
        <v>1</v>
      </c>
      <c r="M101" s="154">
        <v>151020242149</v>
      </c>
      <c r="N101" s="57" t="b">
        <v>1</v>
      </c>
      <c r="O101" s="58" t="s">
        <v>31</v>
      </c>
      <c r="P101" s="215"/>
      <c r="Q101" s="59" t="b">
        <v>1</v>
      </c>
      <c r="R101" s="164"/>
      <c r="S101" s="57"/>
      <c r="T101" s="47" t="b">
        <v>1</v>
      </c>
      <c r="U101" s="216" t="s">
        <v>2354</v>
      </c>
      <c r="V101" s="75"/>
      <c r="W101" s="75"/>
      <c r="X101" s="166"/>
      <c r="Y101" s="166"/>
      <c r="Z101" s="167"/>
      <c r="AA101" s="167"/>
    </row>
    <row r="102" spans="1:27">
      <c r="A102" s="162"/>
      <c r="B102" s="163"/>
      <c r="C102" s="132" t="s">
        <v>2355</v>
      </c>
      <c r="D102" s="66" t="s">
        <v>51</v>
      </c>
      <c r="E102" s="66" t="s">
        <v>475</v>
      </c>
      <c r="F102" s="66" t="s">
        <v>168</v>
      </c>
      <c r="G102" s="69" t="s">
        <v>2075</v>
      </c>
      <c r="H102" s="69" t="s">
        <v>30</v>
      </c>
      <c r="I102" s="66">
        <v>40</v>
      </c>
      <c r="J102" s="70">
        <v>40</v>
      </c>
      <c r="K102" s="75">
        <f t="shared" si="2"/>
        <v>1600</v>
      </c>
      <c r="L102" s="55" t="b">
        <v>1</v>
      </c>
      <c r="M102" s="154">
        <v>161020241152</v>
      </c>
      <c r="N102" s="57" t="b">
        <v>1</v>
      </c>
      <c r="O102" s="58" t="s">
        <v>2356</v>
      </c>
      <c r="P102" s="215"/>
      <c r="Q102" s="59" t="b">
        <v>1</v>
      </c>
      <c r="R102" s="164"/>
      <c r="S102" s="57"/>
      <c r="T102" s="47" t="b">
        <v>1</v>
      </c>
      <c r="U102" s="216" t="s">
        <v>2357</v>
      </c>
      <c r="V102" s="75"/>
      <c r="W102" s="75"/>
      <c r="X102" s="166"/>
      <c r="Y102" s="166"/>
      <c r="Z102" s="167"/>
      <c r="AA102" s="167"/>
    </row>
    <row r="103" spans="1:27">
      <c r="A103" s="162"/>
      <c r="B103" s="163"/>
      <c r="C103" s="132" t="s">
        <v>2355</v>
      </c>
      <c r="D103" s="66" t="s">
        <v>51</v>
      </c>
      <c r="E103" s="66" t="s">
        <v>475</v>
      </c>
      <c r="F103" s="66" t="s">
        <v>168</v>
      </c>
      <c r="G103" s="69" t="s">
        <v>2309</v>
      </c>
      <c r="H103" s="69" t="s">
        <v>30</v>
      </c>
      <c r="I103" s="66">
        <v>40</v>
      </c>
      <c r="J103" s="70">
        <v>8</v>
      </c>
      <c r="K103" s="75">
        <f t="shared" si="2"/>
        <v>320</v>
      </c>
      <c r="L103" s="55" t="b">
        <v>1</v>
      </c>
      <c r="M103" s="154">
        <v>161020241152</v>
      </c>
      <c r="N103" s="57" t="b">
        <v>1</v>
      </c>
      <c r="O103" s="58" t="s">
        <v>2356</v>
      </c>
      <c r="P103" s="215"/>
      <c r="Q103" s="59" t="b">
        <v>1</v>
      </c>
      <c r="R103" s="164"/>
      <c r="S103" s="57"/>
      <c r="T103" s="47" t="b">
        <v>1</v>
      </c>
      <c r="U103" s="216" t="s">
        <v>2357</v>
      </c>
      <c r="V103" s="75"/>
      <c r="W103" s="75"/>
      <c r="X103" s="166"/>
      <c r="Y103" s="166"/>
      <c r="Z103" s="167"/>
      <c r="AA103" s="167"/>
    </row>
    <row r="104" spans="1:27">
      <c r="A104" s="162"/>
      <c r="B104" s="163"/>
      <c r="C104" s="132" t="s">
        <v>2355</v>
      </c>
      <c r="D104" s="66" t="s">
        <v>397</v>
      </c>
      <c r="E104" s="66" t="s">
        <v>646</v>
      </c>
      <c r="F104" s="66" t="s">
        <v>2260</v>
      </c>
      <c r="G104" s="69" t="s">
        <v>2075</v>
      </c>
      <c r="H104" s="69" t="s">
        <v>30</v>
      </c>
      <c r="I104" s="66">
        <v>50</v>
      </c>
      <c r="J104" s="70">
        <v>40</v>
      </c>
      <c r="K104" s="75">
        <f t="shared" si="2"/>
        <v>2000</v>
      </c>
      <c r="L104" s="55" t="b">
        <v>1</v>
      </c>
      <c r="M104" s="154">
        <v>161020241205</v>
      </c>
      <c r="N104" s="57" t="b">
        <v>1</v>
      </c>
      <c r="O104" s="58" t="s">
        <v>2356</v>
      </c>
      <c r="P104" s="215"/>
      <c r="Q104" s="59" t="b">
        <v>1</v>
      </c>
      <c r="R104" s="164"/>
      <c r="S104" s="57"/>
      <c r="T104" s="47" t="b">
        <v>1</v>
      </c>
      <c r="U104" s="216" t="s">
        <v>2358</v>
      </c>
      <c r="V104" s="75"/>
      <c r="W104" s="75"/>
      <c r="X104" s="166"/>
      <c r="Y104" s="166"/>
      <c r="Z104" s="167"/>
      <c r="AA104" s="167"/>
    </row>
    <row r="105" spans="1:27">
      <c r="A105" s="162"/>
      <c r="B105" s="187"/>
      <c r="C105" s="132" t="s">
        <v>2355</v>
      </c>
      <c r="D105" s="66" t="s">
        <v>397</v>
      </c>
      <c r="E105" s="66" t="s">
        <v>646</v>
      </c>
      <c r="F105" s="66" t="s">
        <v>2260</v>
      </c>
      <c r="G105" s="69" t="s">
        <v>2309</v>
      </c>
      <c r="H105" s="69" t="s">
        <v>30</v>
      </c>
      <c r="I105" s="66">
        <v>50</v>
      </c>
      <c r="J105" s="70">
        <v>8</v>
      </c>
      <c r="K105" s="75">
        <f t="shared" si="2"/>
        <v>400</v>
      </c>
      <c r="L105" s="55" t="b">
        <v>1</v>
      </c>
      <c r="M105" s="154">
        <v>161020241205</v>
      </c>
      <c r="N105" s="57" t="b">
        <v>1</v>
      </c>
      <c r="O105" s="58" t="s">
        <v>2356</v>
      </c>
      <c r="P105" s="215"/>
      <c r="Q105" s="59" t="b">
        <v>1</v>
      </c>
      <c r="R105" s="164"/>
      <c r="S105" s="57"/>
      <c r="T105" s="47" t="b">
        <v>1</v>
      </c>
      <c r="U105" s="216" t="s">
        <v>2358</v>
      </c>
      <c r="V105" s="75"/>
      <c r="W105" s="75"/>
      <c r="X105" s="166"/>
      <c r="Y105" s="166"/>
      <c r="Z105" s="167"/>
      <c r="AA105" s="167"/>
    </row>
    <row r="106" spans="1:27">
      <c r="A106" s="162"/>
      <c r="B106" s="187"/>
      <c r="C106" s="132" t="s">
        <v>2355</v>
      </c>
      <c r="D106" s="66" t="s">
        <v>523</v>
      </c>
      <c r="E106" s="66" t="s">
        <v>523</v>
      </c>
      <c r="F106" s="66" t="s">
        <v>2048</v>
      </c>
      <c r="G106" s="69" t="s">
        <v>374</v>
      </c>
      <c r="H106" s="69" t="s">
        <v>30</v>
      </c>
      <c r="I106" s="53">
        <v>100</v>
      </c>
      <c r="J106" s="70">
        <v>30</v>
      </c>
      <c r="K106" s="54">
        <f t="shared" si="2"/>
        <v>3000</v>
      </c>
      <c r="L106" s="55" t="b">
        <v>1</v>
      </c>
      <c r="M106" s="56">
        <v>161020241301</v>
      </c>
      <c r="N106" s="57" t="b">
        <v>1</v>
      </c>
      <c r="O106" s="58" t="s">
        <v>31</v>
      </c>
      <c r="P106" s="215"/>
      <c r="Q106" s="59" t="b">
        <v>1</v>
      </c>
      <c r="R106" s="129"/>
      <c r="S106" s="165"/>
      <c r="T106" s="47" t="b">
        <v>1</v>
      </c>
      <c r="U106" s="216" t="s">
        <v>2359</v>
      </c>
      <c r="V106" s="75"/>
      <c r="W106" s="75"/>
      <c r="X106" s="166"/>
      <c r="Y106" s="166"/>
      <c r="Z106" s="167"/>
      <c r="AA106" s="167"/>
    </row>
    <row r="107" spans="1:27">
      <c r="A107" s="162"/>
      <c r="B107" s="187"/>
      <c r="C107" s="132" t="s">
        <v>2355</v>
      </c>
      <c r="D107" s="66" t="s">
        <v>51</v>
      </c>
      <c r="E107" s="66" t="s">
        <v>201</v>
      </c>
      <c r="F107" s="66" t="s">
        <v>202</v>
      </c>
      <c r="G107" s="69" t="s">
        <v>2360</v>
      </c>
      <c r="H107" s="69" t="s">
        <v>30</v>
      </c>
      <c r="I107" s="66">
        <v>1</v>
      </c>
      <c r="J107" s="70">
        <v>1650</v>
      </c>
      <c r="K107" s="75">
        <f t="shared" si="2"/>
        <v>1650</v>
      </c>
      <c r="L107" s="55" t="b">
        <v>1</v>
      </c>
      <c r="M107" s="154">
        <v>161020241327</v>
      </c>
      <c r="N107" s="57" t="b">
        <v>1</v>
      </c>
      <c r="O107" s="58"/>
      <c r="P107" s="215"/>
      <c r="Q107" s="59" t="b">
        <v>1</v>
      </c>
      <c r="R107" s="164"/>
      <c r="S107" s="165"/>
      <c r="T107" s="47" t="b">
        <v>1</v>
      </c>
      <c r="U107" s="216" t="s">
        <v>2343</v>
      </c>
      <c r="V107" s="75"/>
      <c r="W107" s="75"/>
      <c r="X107" s="166"/>
      <c r="Y107" s="166"/>
      <c r="Z107" s="167"/>
      <c r="AA107" s="167"/>
    </row>
    <row r="108" spans="1:27">
      <c r="A108" s="162"/>
      <c r="B108" s="187"/>
      <c r="C108" s="132" t="s">
        <v>2355</v>
      </c>
      <c r="D108" s="66" t="s">
        <v>51</v>
      </c>
      <c r="E108" s="66" t="s">
        <v>52</v>
      </c>
      <c r="F108" s="66" t="s">
        <v>1710</v>
      </c>
      <c r="G108" s="69" t="s">
        <v>49</v>
      </c>
      <c r="H108" s="69" t="s">
        <v>30</v>
      </c>
      <c r="I108" s="53">
        <v>10</v>
      </c>
      <c r="J108" s="70">
        <v>550</v>
      </c>
      <c r="K108" s="54">
        <f t="shared" si="2"/>
        <v>5500</v>
      </c>
      <c r="L108" s="55" t="b">
        <v>1</v>
      </c>
      <c r="M108" s="56">
        <v>161020241431</v>
      </c>
      <c r="N108" s="57" t="b">
        <v>1</v>
      </c>
      <c r="O108" s="58" t="s">
        <v>31</v>
      </c>
      <c r="P108" s="215"/>
      <c r="Q108" s="59" t="b">
        <v>1</v>
      </c>
      <c r="R108" s="164"/>
      <c r="S108" s="165"/>
      <c r="T108" s="47" t="b">
        <v>1</v>
      </c>
      <c r="U108" s="216" t="s">
        <v>2361</v>
      </c>
      <c r="V108" s="75"/>
      <c r="W108" s="75"/>
      <c r="X108" s="166"/>
      <c r="Y108" s="166"/>
      <c r="Z108" s="167"/>
      <c r="AA108" s="167"/>
    </row>
    <row r="109" spans="1:27">
      <c r="A109" s="162"/>
      <c r="B109" s="163"/>
      <c r="C109" s="132" t="s">
        <v>2355</v>
      </c>
      <c r="D109" s="66" t="s">
        <v>51</v>
      </c>
      <c r="E109" s="66" t="s">
        <v>52</v>
      </c>
      <c r="F109" s="66" t="s">
        <v>1710</v>
      </c>
      <c r="G109" s="69" t="s">
        <v>429</v>
      </c>
      <c r="H109" s="69" t="s">
        <v>30</v>
      </c>
      <c r="I109" s="53">
        <v>3</v>
      </c>
      <c r="J109" s="70">
        <v>1550</v>
      </c>
      <c r="K109" s="54">
        <f t="shared" si="2"/>
        <v>4650</v>
      </c>
      <c r="L109" s="55" t="b">
        <v>1</v>
      </c>
      <c r="M109" s="56">
        <v>161020241431</v>
      </c>
      <c r="N109" s="57" t="b">
        <v>1</v>
      </c>
      <c r="O109" s="58"/>
      <c r="P109" s="215"/>
      <c r="Q109" s="59" t="b">
        <v>1</v>
      </c>
      <c r="R109" s="164"/>
      <c r="S109" s="57"/>
      <c r="T109" s="47" t="b">
        <v>1</v>
      </c>
      <c r="U109" s="216" t="s">
        <v>2361</v>
      </c>
      <c r="V109" s="75"/>
      <c r="W109" s="75"/>
      <c r="X109" s="166"/>
      <c r="Y109" s="166"/>
      <c r="Z109" s="167"/>
      <c r="AA109" s="167"/>
    </row>
    <row r="110" spans="1:27">
      <c r="A110" s="162"/>
      <c r="B110" s="163"/>
      <c r="C110" s="132" t="s">
        <v>2355</v>
      </c>
      <c r="D110" s="66" t="s">
        <v>51</v>
      </c>
      <c r="E110" s="66" t="s">
        <v>52</v>
      </c>
      <c r="F110" s="66" t="s">
        <v>1710</v>
      </c>
      <c r="G110" s="69" t="s">
        <v>2362</v>
      </c>
      <c r="H110" s="69" t="s">
        <v>30</v>
      </c>
      <c r="I110" s="66">
        <v>5</v>
      </c>
      <c r="J110" s="70">
        <v>1250</v>
      </c>
      <c r="K110" s="75">
        <f t="shared" si="2"/>
        <v>6250</v>
      </c>
      <c r="L110" s="55" t="b">
        <v>1</v>
      </c>
      <c r="M110" s="154">
        <v>161020241431</v>
      </c>
      <c r="N110" s="57" t="b">
        <v>1</v>
      </c>
      <c r="O110" s="58"/>
      <c r="P110" s="215"/>
      <c r="Q110" s="59" t="b">
        <v>1</v>
      </c>
      <c r="R110" s="164"/>
      <c r="S110" s="57"/>
      <c r="T110" s="47" t="b">
        <v>1</v>
      </c>
      <c r="U110" s="216" t="s">
        <v>2363</v>
      </c>
      <c r="V110" s="75"/>
      <c r="W110" s="75"/>
      <c r="X110" s="166"/>
      <c r="Y110" s="166"/>
      <c r="Z110" s="167"/>
      <c r="AA110" s="167"/>
    </row>
    <row r="111" spans="1:27">
      <c r="A111" s="162"/>
      <c r="B111" s="163"/>
      <c r="C111" s="132" t="s">
        <v>2355</v>
      </c>
      <c r="D111" s="66" t="s">
        <v>212</v>
      </c>
      <c r="E111" s="66" t="s">
        <v>213</v>
      </c>
      <c r="F111" s="66" t="s">
        <v>2364</v>
      </c>
      <c r="G111" s="66" t="s">
        <v>49</v>
      </c>
      <c r="H111" s="69" t="s">
        <v>30</v>
      </c>
      <c r="I111" s="53">
        <v>10</v>
      </c>
      <c r="J111" s="70">
        <v>550</v>
      </c>
      <c r="K111" s="54">
        <f t="shared" si="2"/>
        <v>5500</v>
      </c>
      <c r="L111" s="55" t="b">
        <v>1</v>
      </c>
      <c r="M111" s="56">
        <v>161020241743</v>
      </c>
      <c r="N111" s="57" t="b">
        <v>1</v>
      </c>
      <c r="O111" s="58" t="s">
        <v>31</v>
      </c>
      <c r="P111" s="215"/>
      <c r="Q111" s="59" t="b">
        <v>1</v>
      </c>
      <c r="R111" s="164"/>
      <c r="S111" s="57"/>
      <c r="T111" s="47" t="b">
        <v>1</v>
      </c>
      <c r="U111" s="216" t="s">
        <v>2365</v>
      </c>
      <c r="V111" s="75"/>
      <c r="W111" s="75"/>
      <c r="X111" s="166"/>
      <c r="Y111" s="166"/>
      <c r="Z111" s="167"/>
      <c r="AA111" s="167"/>
    </row>
    <row r="112" spans="1:27">
      <c r="A112" s="162"/>
      <c r="B112" s="163"/>
      <c r="C112" s="132" t="s">
        <v>2355</v>
      </c>
      <c r="D112" s="66" t="s">
        <v>2366</v>
      </c>
      <c r="E112" s="66" t="s">
        <v>84</v>
      </c>
      <c r="F112" s="66" t="s">
        <v>85</v>
      </c>
      <c r="G112" s="69" t="s">
        <v>49</v>
      </c>
      <c r="H112" s="69" t="s">
        <v>30</v>
      </c>
      <c r="I112" s="69">
        <v>10</v>
      </c>
      <c r="J112" s="70">
        <v>550</v>
      </c>
      <c r="K112" s="54">
        <f t="shared" si="2"/>
        <v>5500</v>
      </c>
      <c r="L112" s="55" t="b">
        <v>1</v>
      </c>
      <c r="M112" s="56">
        <v>161020241744</v>
      </c>
      <c r="N112" s="57" t="b">
        <v>1</v>
      </c>
      <c r="O112" s="58" t="s">
        <v>31</v>
      </c>
      <c r="P112" s="215"/>
      <c r="Q112" s="59" t="b">
        <v>1</v>
      </c>
      <c r="R112" s="164"/>
      <c r="S112" s="57"/>
      <c r="T112" s="47" t="b">
        <v>1</v>
      </c>
      <c r="U112" s="216" t="s">
        <v>2367</v>
      </c>
      <c r="V112" s="75"/>
      <c r="W112" s="75"/>
      <c r="X112" s="166"/>
      <c r="Y112" s="166"/>
      <c r="Z112" s="167"/>
      <c r="AA112" s="167"/>
    </row>
    <row r="113" spans="1:27">
      <c r="A113" s="162"/>
      <c r="B113" s="163"/>
      <c r="C113" s="132" t="s">
        <v>2368</v>
      </c>
      <c r="D113" s="66" t="s">
        <v>98</v>
      </c>
      <c r="E113" s="66" t="s">
        <v>2296</v>
      </c>
      <c r="F113" s="66" t="s">
        <v>100</v>
      </c>
      <c r="G113" s="66" t="s">
        <v>2369</v>
      </c>
      <c r="H113" s="69" t="s">
        <v>30</v>
      </c>
      <c r="I113" s="69">
        <v>7</v>
      </c>
      <c r="J113" s="70">
        <v>395</v>
      </c>
      <c r="K113" s="54">
        <f t="shared" si="2"/>
        <v>2765</v>
      </c>
      <c r="L113" s="55" t="b">
        <v>1</v>
      </c>
      <c r="M113" s="56">
        <v>171020240928</v>
      </c>
      <c r="N113" s="57" t="b">
        <v>1</v>
      </c>
      <c r="O113" s="58" t="s">
        <v>39</v>
      </c>
      <c r="P113" s="215"/>
      <c r="Q113" s="59" t="b">
        <v>1</v>
      </c>
      <c r="R113" s="164"/>
      <c r="S113" s="57"/>
      <c r="T113" s="47" t="b">
        <v>1</v>
      </c>
      <c r="U113" s="216" t="s">
        <v>2370</v>
      </c>
      <c r="V113" s="75"/>
      <c r="W113" s="75"/>
      <c r="X113" s="166"/>
      <c r="Y113" s="166"/>
      <c r="Z113" s="167"/>
      <c r="AA113" s="167"/>
    </row>
    <row r="114" spans="1:27">
      <c r="A114" s="162"/>
      <c r="B114" s="163"/>
      <c r="C114" s="132" t="s">
        <v>2368</v>
      </c>
      <c r="D114" s="66" t="s">
        <v>418</v>
      </c>
      <c r="E114" s="66" t="s">
        <v>230</v>
      </c>
      <c r="F114" s="66" t="s">
        <v>1990</v>
      </c>
      <c r="G114" s="69" t="s">
        <v>2309</v>
      </c>
      <c r="H114" s="69" t="s">
        <v>30</v>
      </c>
      <c r="I114" s="69">
        <v>100</v>
      </c>
      <c r="J114" s="70">
        <v>8</v>
      </c>
      <c r="K114" s="75">
        <f t="shared" si="2"/>
        <v>800</v>
      </c>
      <c r="L114" s="55" t="b">
        <v>1</v>
      </c>
      <c r="M114" s="154">
        <v>171020241009</v>
      </c>
      <c r="N114" s="57" t="b">
        <v>1</v>
      </c>
      <c r="O114" s="58" t="s">
        <v>2356</v>
      </c>
      <c r="P114" s="215"/>
      <c r="Q114" s="59" t="b">
        <v>1</v>
      </c>
      <c r="R114" s="164"/>
      <c r="S114" s="57"/>
      <c r="T114" s="47" t="b">
        <v>1</v>
      </c>
      <c r="U114" s="216" t="s">
        <v>2371</v>
      </c>
      <c r="V114" s="75"/>
      <c r="W114" s="75"/>
      <c r="X114" s="166"/>
      <c r="Y114" s="166"/>
      <c r="Z114" s="167"/>
      <c r="AA114" s="167"/>
    </row>
    <row r="115" spans="1:27">
      <c r="A115" s="162"/>
      <c r="B115" s="163"/>
      <c r="C115" s="132" t="s">
        <v>2368</v>
      </c>
      <c r="D115" s="66" t="s">
        <v>418</v>
      </c>
      <c r="E115" s="66" t="s">
        <v>230</v>
      </c>
      <c r="F115" s="66" t="s">
        <v>1990</v>
      </c>
      <c r="G115" s="69" t="s">
        <v>2372</v>
      </c>
      <c r="H115" s="69" t="s">
        <v>30</v>
      </c>
      <c r="I115" s="69">
        <v>100</v>
      </c>
      <c r="J115" s="70">
        <v>55</v>
      </c>
      <c r="K115" s="75">
        <f t="shared" si="2"/>
        <v>5500</v>
      </c>
      <c r="L115" s="55" t="b">
        <v>1</v>
      </c>
      <c r="M115" s="154">
        <v>171020241038</v>
      </c>
      <c r="N115" s="57" t="b">
        <v>1</v>
      </c>
      <c r="O115" s="58" t="s">
        <v>2356</v>
      </c>
      <c r="P115" s="215"/>
      <c r="Q115" s="59" t="b">
        <v>1</v>
      </c>
      <c r="R115" s="164"/>
      <c r="S115" s="57"/>
      <c r="T115" s="47" t="b">
        <v>1</v>
      </c>
      <c r="U115" s="216" t="s">
        <v>2371</v>
      </c>
      <c r="V115" s="75"/>
      <c r="W115" s="75"/>
      <c r="X115" s="166"/>
      <c r="Y115" s="166"/>
      <c r="Z115" s="167"/>
      <c r="AA115" s="167"/>
    </row>
    <row r="116" spans="1:27">
      <c r="A116" s="162"/>
      <c r="B116" s="163"/>
      <c r="C116" s="71" t="s">
        <v>2368</v>
      </c>
      <c r="D116" s="53" t="s">
        <v>26</v>
      </c>
      <c r="E116" s="53" t="s">
        <v>386</v>
      </c>
      <c r="F116" s="66" t="s">
        <v>502</v>
      </c>
      <c r="G116" s="69" t="s">
        <v>746</v>
      </c>
      <c r="H116" s="69" t="s">
        <v>30</v>
      </c>
      <c r="I116" s="69">
        <v>10</v>
      </c>
      <c r="J116" s="70">
        <v>825</v>
      </c>
      <c r="K116" s="54">
        <f t="shared" si="2"/>
        <v>8250</v>
      </c>
      <c r="L116" s="55" t="b">
        <v>1</v>
      </c>
      <c r="M116" s="56">
        <v>171020241326</v>
      </c>
      <c r="N116" s="57" t="b">
        <v>1</v>
      </c>
      <c r="O116" s="58" t="s">
        <v>31</v>
      </c>
      <c r="P116" s="215"/>
      <c r="Q116" s="59" t="b">
        <v>1</v>
      </c>
      <c r="R116" s="129"/>
      <c r="S116" s="60"/>
      <c r="T116" s="47" t="b">
        <v>1</v>
      </c>
      <c r="U116" s="216" t="s">
        <v>2373</v>
      </c>
      <c r="V116" s="54"/>
      <c r="W116" s="54"/>
      <c r="X116" s="49"/>
      <c r="Y116" s="49"/>
      <c r="Z116" s="167"/>
      <c r="AA116" s="167"/>
    </row>
    <row r="117" spans="1:27">
      <c r="A117" s="101"/>
      <c r="B117" s="32"/>
      <c r="C117" s="132" t="s">
        <v>2368</v>
      </c>
      <c r="D117" s="66" t="s">
        <v>1300</v>
      </c>
      <c r="E117" s="66" t="s">
        <v>94</v>
      </c>
      <c r="F117" s="66" t="s">
        <v>2318</v>
      </c>
      <c r="G117" s="66" t="s">
        <v>2374</v>
      </c>
      <c r="H117" s="69" t="s">
        <v>30</v>
      </c>
      <c r="I117" s="69">
        <v>4</v>
      </c>
      <c r="J117" s="70">
        <v>395</v>
      </c>
      <c r="K117" s="75">
        <f t="shared" si="2"/>
        <v>1580</v>
      </c>
      <c r="L117" s="55" t="b">
        <v>1</v>
      </c>
      <c r="M117" s="154">
        <v>171020241418</v>
      </c>
      <c r="N117" s="57" t="b">
        <v>1</v>
      </c>
      <c r="O117" s="58" t="s">
        <v>31</v>
      </c>
      <c r="P117" s="215"/>
      <c r="Q117" s="59" t="b">
        <v>1</v>
      </c>
      <c r="R117" s="164"/>
      <c r="S117" s="57"/>
      <c r="T117" s="47" t="b">
        <v>1</v>
      </c>
      <c r="U117" s="216" t="s">
        <v>2375</v>
      </c>
      <c r="V117" s="75"/>
      <c r="W117" s="75"/>
      <c r="X117" s="166"/>
      <c r="Y117" s="166"/>
    </row>
    <row r="118" spans="1:27">
      <c r="A118" s="162"/>
      <c r="B118" s="163"/>
      <c r="C118" s="132" t="s">
        <v>2368</v>
      </c>
      <c r="D118" s="66" t="s">
        <v>433</v>
      </c>
      <c r="E118" s="66" t="s">
        <v>434</v>
      </c>
      <c r="F118" s="66" t="s">
        <v>2376</v>
      </c>
      <c r="G118" s="69" t="s">
        <v>1952</v>
      </c>
      <c r="H118" s="69" t="s">
        <v>30</v>
      </c>
      <c r="I118" s="69">
        <v>3</v>
      </c>
      <c r="J118" s="70">
        <v>550</v>
      </c>
      <c r="K118" s="54">
        <f t="shared" si="2"/>
        <v>1650</v>
      </c>
      <c r="L118" s="55" t="b">
        <v>1</v>
      </c>
      <c r="M118" s="56">
        <v>171020241433</v>
      </c>
      <c r="N118" s="57" t="b">
        <v>1</v>
      </c>
      <c r="O118" s="58" t="s">
        <v>39</v>
      </c>
      <c r="P118" s="215"/>
      <c r="Q118" s="59" t="b">
        <v>1</v>
      </c>
      <c r="R118" s="164"/>
      <c r="S118" s="57"/>
      <c r="T118" s="47" t="b">
        <v>1</v>
      </c>
      <c r="U118" s="216" t="s">
        <v>2377</v>
      </c>
      <c r="V118" s="75"/>
      <c r="W118" s="75"/>
      <c r="X118" s="166"/>
      <c r="Y118" s="166"/>
      <c r="Z118" s="167"/>
      <c r="AA118" s="167"/>
    </row>
    <row r="119" spans="1:27">
      <c r="A119" s="162"/>
      <c r="B119" s="163"/>
      <c r="C119" s="132" t="s">
        <v>2368</v>
      </c>
      <c r="D119" s="66" t="s">
        <v>51</v>
      </c>
      <c r="E119" s="66" t="s">
        <v>594</v>
      </c>
      <c r="F119" s="66" t="s">
        <v>595</v>
      </c>
      <c r="G119" s="159" t="s">
        <v>2378</v>
      </c>
      <c r="H119" s="69" t="s">
        <v>30</v>
      </c>
      <c r="I119" s="69">
        <v>1</v>
      </c>
      <c r="J119" s="70">
        <v>115</v>
      </c>
      <c r="K119" s="75">
        <f t="shared" si="2"/>
        <v>115</v>
      </c>
      <c r="L119" s="55" t="b">
        <v>1</v>
      </c>
      <c r="M119" s="154">
        <v>171020241716</v>
      </c>
      <c r="N119" s="57" t="b">
        <v>1</v>
      </c>
      <c r="O119" s="58" t="s">
        <v>31</v>
      </c>
      <c r="P119" s="215"/>
      <c r="Q119" s="59" t="b">
        <v>1</v>
      </c>
      <c r="R119" s="164"/>
      <c r="S119" s="167"/>
      <c r="T119" s="47" t="b">
        <v>1</v>
      </c>
      <c r="U119" s="216" t="s">
        <v>2379</v>
      </c>
      <c r="V119" s="75"/>
      <c r="W119" s="75"/>
      <c r="X119" s="166"/>
      <c r="Y119" s="166"/>
      <c r="Z119" s="167"/>
      <c r="AA119" s="167"/>
    </row>
    <row r="120" spans="1:27">
      <c r="A120" s="162"/>
      <c r="B120" s="163"/>
      <c r="C120" s="132" t="s">
        <v>2368</v>
      </c>
      <c r="D120" s="66" t="s">
        <v>51</v>
      </c>
      <c r="E120" s="66" t="s">
        <v>594</v>
      </c>
      <c r="F120" s="66" t="s">
        <v>595</v>
      </c>
      <c r="G120" s="159" t="s">
        <v>2075</v>
      </c>
      <c r="H120" s="69" t="s">
        <v>30</v>
      </c>
      <c r="I120" s="69">
        <v>10</v>
      </c>
      <c r="J120" s="70">
        <v>40</v>
      </c>
      <c r="K120" s="75">
        <f t="shared" si="2"/>
        <v>400</v>
      </c>
      <c r="L120" s="55" t="b">
        <v>1</v>
      </c>
      <c r="M120" s="154">
        <v>171020241716</v>
      </c>
      <c r="N120" s="57" t="b">
        <v>1</v>
      </c>
      <c r="O120" s="58" t="s">
        <v>2356</v>
      </c>
      <c r="P120" s="215"/>
      <c r="Q120" s="59" t="b">
        <v>1</v>
      </c>
      <c r="R120" s="164"/>
      <c r="S120" s="167"/>
      <c r="T120" s="47" t="b">
        <v>1</v>
      </c>
      <c r="U120" s="216" t="s">
        <v>2380</v>
      </c>
      <c r="V120" s="75"/>
      <c r="W120" s="75"/>
      <c r="X120" s="166"/>
      <c r="Y120" s="166"/>
      <c r="Z120" s="167"/>
      <c r="AA120" s="167"/>
    </row>
    <row r="121" spans="1:27">
      <c r="A121" s="162"/>
      <c r="B121" s="163"/>
      <c r="C121" s="132" t="s">
        <v>2368</v>
      </c>
      <c r="D121" s="66" t="s">
        <v>51</v>
      </c>
      <c r="E121" s="66" t="s">
        <v>594</v>
      </c>
      <c r="F121" s="66" t="s">
        <v>595</v>
      </c>
      <c r="G121" s="159" t="s">
        <v>2309</v>
      </c>
      <c r="H121" s="69" t="s">
        <v>30</v>
      </c>
      <c r="I121" s="69">
        <v>10</v>
      </c>
      <c r="J121" s="70">
        <v>8</v>
      </c>
      <c r="K121" s="75">
        <f t="shared" si="2"/>
        <v>80</v>
      </c>
      <c r="L121" s="55" t="b">
        <v>1</v>
      </c>
      <c r="M121" s="154">
        <v>171020241716</v>
      </c>
      <c r="N121" s="57" t="b">
        <v>1</v>
      </c>
      <c r="O121" s="58" t="s">
        <v>2356</v>
      </c>
      <c r="P121" s="215"/>
      <c r="Q121" s="59" t="b">
        <v>1</v>
      </c>
      <c r="R121" s="164"/>
      <c r="S121" s="167"/>
      <c r="T121" s="47" t="b">
        <v>1</v>
      </c>
      <c r="U121" s="216" t="s">
        <v>2380</v>
      </c>
      <c r="V121" s="75"/>
      <c r="W121" s="75"/>
      <c r="X121" s="166"/>
      <c r="Y121" s="166"/>
      <c r="Z121" s="167"/>
      <c r="AA121" s="167"/>
    </row>
    <row r="122" spans="1:27">
      <c r="A122" s="162"/>
      <c r="B122" s="163"/>
      <c r="C122" s="132" t="s">
        <v>2368</v>
      </c>
      <c r="D122" s="66" t="s">
        <v>51</v>
      </c>
      <c r="E122" s="66" t="s">
        <v>594</v>
      </c>
      <c r="F122" s="66" t="s">
        <v>595</v>
      </c>
      <c r="G122" s="159" t="s">
        <v>2381</v>
      </c>
      <c r="H122" s="69" t="s">
        <v>30</v>
      </c>
      <c r="I122" s="69">
        <v>10</v>
      </c>
      <c r="J122" s="70">
        <v>55</v>
      </c>
      <c r="K122" s="75">
        <f t="shared" si="2"/>
        <v>550</v>
      </c>
      <c r="L122" s="55" t="b">
        <v>1</v>
      </c>
      <c r="M122" s="154">
        <v>171020241716</v>
      </c>
      <c r="N122" s="57" t="b">
        <v>1</v>
      </c>
      <c r="O122" s="58" t="s">
        <v>2356</v>
      </c>
      <c r="P122" s="215"/>
      <c r="Q122" s="59" t="b">
        <v>1</v>
      </c>
      <c r="R122" s="164"/>
      <c r="S122" s="167"/>
      <c r="T122" s="47" t="b">
        <v>1</v>
      </c>
      <c r="U122" s="216" t="s">
        <v>2380</v>
      </c>
      <c r="V122" s="75"/>
      <c r="W122" s="75"/>
      <c r="X122" s="166"/>
      <c r="Y122" s="166"/>
      <c r="Z122" s="167"/>
      <c r="AA122" s="167"/>
    </row>
    <row r="123" spans="1:27">
      <c r="A123" s="162"/>
      <c r="B123" s="163"/>
      <c r="C123" s="132" t="s">
        <v>2368</v>
      </c>
      <c r="D123" s="66" t="s">
        <v>55</v>
      </c>
      <c r="E123" s="66">
        <v>41</v>
      </c>
      <c r="F123" s="66" t="s">
        <v>1552</v>
      </c>
      <c r="G123" s="159" t="s">
        <v>1952</v>
      </c>
      <c r="H123" s="69" t="s">
        <v>30</v>
      </c>
      <c r="I123" s="69">
        <v>10</v>
      </c>
      <c r="J123" s="70">
        <v>550</v>
      </c>
      <c r="K123" s="75">
        <f t="shared" si="2"/>
        <v>5500</v>
      </c>
      <c r="L123" s="55" t="b">
        <v>1</v>
      </c>
      <c r="M123" s="154">
        <v>171020241921</v>
      </c>
      <c r="N123" s="57" t="b">
        <v>1</v>
      </c>
      <c r="O123" s="58" t="s">
        <v>31</v>
      </c>
      <c r="P123" s="215"/>
      <c r="Q123" s="59" t="b">
        <v>1</v>
      </c>
      <c r="R123" s="164"/>
      <c r="S123" s="167"/>
      <c r="T123" s="47" t="b">
        <v>1</v>
      </c>
      <c r="U123" s="216" t="s">
        <v>2382</v>
      </c>
      <c r="V123" s="75"/>
      <c r="W123" s="75"/>
      <c r="X123" s="166"/>
      <c r="Y123" s="166"/>
      <c r="Z123" s="167"/>
      <c r="AA123" s="167"/>
    </row>
    <row r="124" spans="1:27">
      <c r="A124" s="162"/>
      <c r="B124" s="163"/>
      <c r="C124" s="132" t="s">
        <v>2383</v>
      </c>
      <c r="D124" s="66" t="s">
        <v>104</v>
      </c>
      <c r="E124" s="66" t="s">
        <v>2384</v>
      </c>
      <c r="F124" s="66" t="s">
        <v>2250</v>
      </c>
      <c r="G124" s="159" t="s">
        <v>2385</v>
      </c>
      <c r="H124" s="69" t="s">
        <v>30</v>
      </c>
      <c r="I124" s="69">
        <v>1</v>
      </c>
      <c r="J124" s="70">
        <v>7800</v>
      </c>
      <c r="K124" s="54">
        <f t="shared" si="2"/>
        <v>7800</v>
      </c>
      <c r="L124" s="55" t="b">
        <v>1</v>
      </c>
      <c r="M124" s="56">
        <v>171020241921</v>
      </c>
      <c r="N124" s="57" t="b">
        <v>1</v>
      </c>
      <c r="O124" s="58" t="s">
        <v>2356</v>
      </c>
      <c r="P124" s="215"/>
      <c r="Q124" s="59" t="b">
        <v>1</v>
      </c>
      <c r="R124" s="167"/>
      <c r="S124" s="57"/>
      <c r="T124" s="47" t="b">
        <v>1</v>
      </c>
      <c r="U124" s="216" t="s">
        <v>2386</v>
      </c>
      <c r="V124" s="75"/>
      <c r="W124" s="75"/>
      <c r="X124" s="166"/>
      <c r="Y124" s="166"/>
      <c r="Z124" s="167"/>
      <c r="AA124" s="167"/>
    </row>
    <row r="125" spans="1:27">
      <c r="A125" s="132"/>
      <c r="B125" s="66"/>
      <c r="C125" s="132" t="s">
        <v>2383</v>
      </c>
      <c r="D125" s="66" t="s">
        <v>51</v>
      </c>
      <c r="E125" s="66" t="s">
        <v>372</v>
      </c>
      <c r="F125" s="66" t="s">
        <v>373</v>
      </c>
      <c r="G125" s="159" t="s">
        <v>83</v>
      </c>
      <c r="H125" s="69" t="s">
        <v>30</v>
      </c>
      <c r="I125" s="69">
        <v>3000</v>
      </c>
      <c r="J125" s="70">
        <v>1.5</v>
      </c>
      <c r="K125" s="54">
        <f t="shared" si="2"/>
        <v>4500</v>
      </c>
      <c r="L125" s="55" t="b">
        <v>1</v>
      </c>
      <c r="M125" s="56">
        <v>181020241437</v>
      </c>
      <c r="N125" s="57" t="b">
        <v>1</v>
      </c>
      <c r="O125" s="58" t="s">
        <v>31</v>
      </c>
      <c r="P125" s="215"/>
      <c r="Q125" s="59" t="b">
        <v>1</v>
      </c>
      <c r="R125" s="164"/>
      <c r="S125" s="57"/>
      <c r="T125" s="47" t="b">
        <v>1</v>
      </c>
      <c r="U125" s="216" t="s">
        <v>2387</v>
      </c>
      <c r="V125" s="75"/>
      <c r="W125" s="75"/>
      <c r="X125" s="166"/>
      <c r="Y125" s="166"/>
      <c r="Z125" s="167"/>
      <c r="AA125" s="167"/>
    </row>
    <row r="126" spans="1:27">
      <c r="A126" s="132"/>
      <c r="B126" s="66"/>
      <c r="C126" s="132" t="s">
        <v>2383</v>
      </c>
      <c r="D126" s="66" t="s">
        <v>171</v>
      </c>
      <c r="E126" s="66" t="s">
        <v>137</v>
      </c>
      <c r="F126" s="66" t="s">
        <v>1965</v>
      </c>
      <c r="G126" s="159" t="s">
        <v>49</v>
      </c>
      <c r="H126" s="69" t="s">
        <v>30</v>
      </c>
      <c r="I126" s="69">
        <v>10</v>
      </c>
      <c r="J126" s="70">
        <v>550</v>
      </c>
      <c r="K126" s="54">
        <f t="shared" si="2"/>
        <v>5500</v>
      </c>
      <c r="L126" s="55" t="b">
        <v>1</v>
      </c>
      <c r="M126" s="56">
        <v>181020241625</v>
      </c>
      <c r="N126" s="57" t="b">
        <v>1</v>
      </c>
      <c r="O126" s="58" t="s">
        <v>39</v>
      </c>
      <c r="P126" s="215"/>
      <c r="Q126" s="59" t="b">
        <v>1</v>
      </c>
      <c r="R126" s="164"/>
      <c r="S126" s="57"/>
      <c r="T126" s="47" t="b">
        <v>1</v>
      </c>
      <c r="U126" s="216" t="s">
        <v>2388</v>
      </c>
      <c r="V126" s="75"/>
      <c r="W126" s="75"/>
      <c r="X126" s="166"/>
      <c r="Y126" s="166"/>
      <c r="Z126" s="167"/>
      <c r="AA126" s="167"/>
    </row>
    <row r="127" spans="1:27">
      <c r="A127" s="132"/>
      <c r="B127" s="66"/>
      <c r="C127" s="132" t="s">
        <v>2383</v>
      </c>
      <c r="D127" s="66" t="s">
        <v>1300</v>
      </c>
      <c r="E127" s="66" t="s">
        <v>94</v>
      </c>
      <c r="F127" s="66" t="s">
        <v>2318</v>
      </c>
      <c r="G127" s="159" t="s">
        <v>1700</v>
      </c>
      <c r="H127" s="69" t="s">
        <v>30</v>
      </c>
      <c r="I127" s="69">
        <v>200</v>
      </c>
      <c r="J127" s="70">
        <v>15</v>
      </c>
      <c r="K127" s="54">
        <f t="shared" si="2"/>
        <v>3000</v>
      </c>
      <c r="L127" s="55" t="b">
        <v>1</v>
      </c>
      <c r="M127" s="56">
        <v>181020241625</v>
      </c>
      <c r="N127" s="57" t="b">
        <v>1</v>
      </c>
      <c r="O127" s="58" t="s">
        <v>31</v>
      </c>
      <c r="P127" s="215"/>
      <c r="Q127" s="59" t="b">
        <v>1</v>
      </c>
      <c r="R127" s="164"/>
      <c r="S127" s="57"/>
      <c r="T127" s="47" t="b">
        <v>1</v>
      </c>
      <c r="U127" s="216" t="s">
        <v>2389</v>
      </c>
      <c r="V127" s="75"/>
      <c r="W127" s="75"/>
      <c r="X127" s="166"/>
      <c r="Y127" s="166"/>
      <c r="Z127" s="167"/>
      <c r="AA127" s="167"/>
    </row>
    <row r="128" spans="1:27">
      <c r="A128" s="132"/>
      <c r="B128" s="66"/>
      <c r="C128" s="132" t="s">
        <v>2383</v>
      </c>
      <c r="D128" s="66" t="s">
        <v>51</v>
      </c>
      <c r="E128" s="66" t="s">
        <v>335</v>
      </c>
      <c r="F128" s="66" t="s">
        <v>339</v>
      </c>
      <c r="G128" s="66" t="s">
        <v>2390</v>
      </c>
      <c r="H128" s="69" t="s">
        <v>30</v>
      </c>
      <c r="I128" s="69">
        <v>110</v>
      </c>
      <c r="J128" s="70">
        <v>190</v>
      </c>
      <c r="K128" s="54">
        <f t="shared" si="2"/>
        <v>20900</v>
      </c>
      <c r="L128" s="55" t="b">
        <v>1</v>
      </c>
      <c r="M128" s="56">
        <v>181020241626</v>
      </c>
      <c r="N128" s="57" t="b">
        <v>1</v>
      </c>
      <c r="O128" s="58" t="s">
        <v>31</v>
      </c>
      <c r="P128" s="215"/>
      <c r="Q128" s="59" t="b">
        <v>1</v>
      </c>
      <c r="R128" s="129"/>
      <c r="S128" s="60"/>
      <c r="T128" s="47" t="b">
        <v>1</v>
      </c>
      <c r="U128" s="216" t="s">
        <v>2391</v>
      </c>
      <c r="V128" s="54"/>
      <c r="W128" s="54"/>
      <c r="X128" s="49"/>
      <c r="Y128" s="49"/>
      <c r="Z128" s="167"/>
      <c r="AA128" s="167"/>
    </row>
    <row r="129" spans="1:27">
      <c r="A129" s="132"/>
      <c r="B129" s="66"/>
      <c r="C129" s="132" t="s">
        <v>2392</v>
      </c>
      <c r="D129" s="66" t="s">
        <v>98</v>
      </c>
      <c r="E129" s="66" t="s">
        <v>2296</v>
      </c>
      <c r="F129" s="66" t="s">
        <v>100</v>
      </c>
      <c r="G129" s="66" t="s">
        <v>116</v>
      </c>
      <c r="H129" s="69" t="s">
        <v>30</v>
      </c>
      <c r="I129" s="69">
        <v>48</v>
      </c>
      <c r="J129" s="70">
        <v>215</v>
      </c>
      <c r="K129" s="54">
        <f t="shared" si="2"/>
        <v>10320</v>
      </c>
      <c r="L129" s="55" t="b">
        <v>1</v>
      </c>
      <c r="M129" s="56">
        <v>191020241151</v>
      </c>
      <c r="N129" s="57" t="b">
        <v>1</v>
      </c>
      <c r="O129" s="58" t="s">
        <v>31</v>
      </c>
      <c r="P129" s="215"/>
      <c r="Q129" s="59" t="b">
        <v>1</v>
      </c>
      <c r="R129" s="129"/>
      <c r="S129" s="60"/>
      <c r="T129" s="47" t="b">
        <v>1</v>
      </c>
      <c r="U129" s="216" t="s">
        <v>2393</v>
      </c>
      <c r="V129" s="54"/>
      <c r="W129" s="54"/>
      <c r="X129" s="49"/>
      <c r="Y129" s="49"/>
      <c r="Z129" s="167"/>
      <c r="AA129" s="167"/>
    </row>
    <row r="130" spans="1:27">
      <c r="A130" s="220"/>
      <c r="B130" s="175"/>
      <c r="C130" s="132" t="s">
        <v>2392</v>
      </c>
      <c r="D130" s="66" t="s">
        <v>1300</v>
      </c>
      <c r="E130" s="66" t="s">
        <v>94</v>
      </c>
      <c r="F130" s="66" t="s">
        <v>2318</v>
      </c>
      <c r="G130" s="159" t="s">
        <v>436</v>
      </c>
      <c r="H130" s="69" t="s">
        <v>30</v>
      </c>
      <c r="I130" s="69">
        <v>50</v>
      </c>
      <c r="J130" s="70">
        <v>210</v>
      </c>
      <c r="K130" s="54">
        <f t="shared" si="2"/>
        <v>10500</v>
      </c>
      <c r="L130" s="55" t="b">
        <v>1</v>
      </c>
      <c r="M130" s="56">
        <v>191020241152</v>
      </c>
      <c r="N130" s="57" t="b">
        <v>1</v>
      </c>
      <c r="O130" s="58" t="s">
        <v>31</v>
      </c>
      <c r="P130" s="215"/>
      <c r="Q130" s="59" t="b">
        <v>1</v>
      </c>
      <c r="R130" s="164"/>
      <c r="S130" s="57"/>
      <c r="T130" s="47" t="b">
        <v>1</v>
      </c>
      <c r="U130" s="216" t="s">
        <v>2394</v>
      </c>
      <c r="V130" s="75"/>
      <c r="W130" s="75"/>
      <c r="X130" s="166"/>
      <c r="Y130" s="166"/>
      <c r="Z130" s="221"/>
      <c r="AA130" s="221"/>
    </row>
    <row r="131" spans="1:27">
      <c r="A131" s="132"/>
      <c r="B131" s="66"/>
      <c r="C131" s="132" t="s">
        <v>2392</v>
      </c>
      <c r="D131" s="66" t="s">
        <v>1959</v>
      </c>
      <c r="E131" s="66" t="s">
        <v>1959</v>
      </c>
      <c r="F131" s="66" t="s">
        <v>1235</v>
      </c>
      <c r="G131" s="159" t="s">
        <v>68</v>
      </c>
      <c r="H131" s="69" t="s">
        <v>30</v>
      </c>
      <c r="I131" s="69">
        <v>2</v>
      </c>
      <c r="J131" s="70">
        <v>2350</v>
      </c>
      <c r="K131" s="75">
        <f t="shared" si="2"/>
        <v>4700</v>
      </c>
      <c r="L131" s="55" t="b">
        <v>1</v>
      </c>
      <c r="M131" s="154">
        <v>191020241443</v>
      </c>
      <c r="N131" s="57" t="b">
        <v>1</v>
      </c>
      <c r="O131" s="58" t="s">
        <v>351</v>
      </c>
      <c r="P131" s="215"/>
      <c r="Q131" s="59" t="b">
        <v>1</v>
      </c>
      <c r="R131" s="164"/>
      <c r="S131" s="57"/>
      <c r="T131" s="47" t="b">
        <v>1</v>
      </c>
      <c r="U131" s="216" t="s">
        <v>2395</v>
      </c>
      <c r="V131" s="75"/>
      <c r="W131" s="75"/>
      <c r="X131" s="166"/>
      <c r="Y131" s="166"/>
      <c r="Z131" s="167"/>
      <c r="AA131" s="167"/>
    </row>
    <row r="132" spans="1:27">
      <c r="A132" s="132"/>
      <c r="B132" s="66"/>
      <c r="C132" s="132" t="s">
        <v>2396</v>
      </c>
      <c r="D132" s="66" t="s">
        <v>418</v>
      </c>
      <c r="E132" s="66" t="s">
        <v>1037</v>
      </c>
      <c r="F132" s="66" t="s">
        <v>420</v>
      </c>
      <c r="G132" s="159" t="s">
        <v>2397</v>
      </c>
      <c r="H132" s="69" t="s">
        <v>30</v>
      </c>
      <c r="I132" s="69">
        <v>1</v>
      </c>
      <c r="J132" s="70">
        <v>4500</v>
      </c>
      <c r="K132" s="54">
        <f t="shared" si="2"/>
        <v>4500</v>
      </c>
      <c r="L132" s="55" t="b">
        <v>1</v>
      </c>
      <c r="M132" s="56">
        <v>211020241251</v>
      </c>
      <c r="N132" s="57" t="b">
        <v>1</v>
      </c>
      <c r="O132" s="58" t="s">
        <v>351</v>
      </c>
      <c r="P132" s="215"/>
      <c r="Q132" s="59" t="b">
        <v>1</v>
      </c>
      <c r="R132" s="129"/>
      <c r="S132" s="60"/>
      <c r="T132" s="47" t="b">
        <v>1</v>
      </c>
      <c r="U132" s="216" t="s">
        <v>2398</v>
      </c>
      <c r="V132" s="54"/>
      <c r="W132" s="54"/>
      <c r="X132" s="49"/>
      <c r="Y132" s="49"/>
      <c r="Z132" s="167"/>
      <c r="AA132" s="167"/>
    </row>
    <row r="133" spans="1:27">
      <c r="A133" s="71"/>
      <c r="B133" s="53"/>
      <c r="C133" s="132" t="s">
        <v>2396</v>
      </c>
      <c r="D133" s="66" t="s">
        <v>144</v>
      </c>
      <c r="E133" s="66" t="s">
        <v>122</v>
      </c>
      <c r="F133" s="66" t="s">
        <v>582</v>
      </c>
      <c r="G133" s="159" t="s">
        <v>49</v>
      </c>
      <c r="H133" s="69" t="s">
        <v>30</v>
      </c>
      <c r="I133" s="69">
        <v>10</v>
      </c>
      <c r="J133" s="70">
        <v>550</v>
      </c>
      <c r="K133" s="54">
        <f t="shared" si="2"/>
        <v>5500</v>
      </c>
      <c r="L133" s="55" t="b">
        <v>1</v>
      </c>
      <c r="M133" s="56">
        <v>211020241358</v>
      </c>
      <c r="N133" s="57" t="b">
        <v>1</v>
      </c>
      <c r="O133" s="58" t="s">
        <v>31</v>
      </c>
      <c r="P133" s="215"/>
      <c r="Q133" s="59" t="b">
        <v>1</v>
      </c>
      <c r="R133" s="129"/>
      <c r="S133" s="60"/>
      <c r="T133" s="47" t="b">
        <v>1</v>
      </c>
      <c r="U133" s="216" t="s">
        <v>2399</v>
      </c>
      <c r="V133" s="54"/>
      <c r="W133" s="54"/>
      <c r="X133" s="49"/>
      <c r="Y133" s="49"/>
    </row>
    <row r="134" spans="1:27">
      <c r="A134" s="71"/>
      <c r="B134" s="53"/>
      <c r="C134" s="132" t="s">
        <v>2400</v>
      </c>
      <c r="D134" s="66" t="s">
        <v>51</v>
      </c>
      <c r="E134" s="66" t="s">
        <v>201</v>
      </c>
      <c r="F134" s="66" t="s">
        <v>202</v>
      </c>
      <c r="G134" s="159" t="s">
        <v>1330</v>
      </c>
      <c r="H134" s="69" t="s">
        <v>30</v>
      </c>
      <c r="I134" s="69">
        <v>1</v>
      </c>
      <c r="J134" s="70">
        <v>3000</v>
      </c>
      <c r="K134" s="54">
        <f t="shared" si="2"/>
        <v>3000</v>
      </c>
      <c r="L134" s="55" t="b">
        <v>1</v>
      </c>
      <c r="M134" s="56">
        <v>221020241231</v>
      </c>
      <c r="N134" s="57" t="b">
        <v>1</v>
      </c>
      <c r="O134" s="58" t="s">
        <v>2356</v>
      </c>
      <c r="P134" s="215"/>
      <c r="Q134" s="59" t="b">
        <v>1</v>
      </c>
      <c r="R134" s="164" t="s">
        <v>2401</v>
      </c>
      <c r="S134" s="57"/>
      <c r="T134" s="47" t="b">
        <v>1</v>
      </c>
      <c r="U134" s="216" t="s">
        <v>2402</v>
      </c>
      <c r="V134" s="75"/>
      <c r="W134" s="75"/>
      <c r="X134" s="166"/>
      <c r="Y134" s="166"/>
    </row>
    <row r="135" spans="1:27">
      <c r="A135" s="132"/>
      <c r="B135" s="66"/>
      <c r="C135" s="132" t="s">
        <v>2400</v>
      </c>
      <c r="D135" s="66" t="s">
        <v>104</v>
      </c>
      <c r="E135" s="66" t="s">
        <v>206</v>
      </c>
      <c r="F135" s="66" t="s">
        <v>241</v>
      </c>
      <c r="G135" s="159" t="s">
        <v>758</v>
      </c>
      <c r="H135" s="69" t="s">
        <v>30</v>
      </c>
      <c r="I135" s="69">
        <v>30</v>
      </c>
      <c r="J135" s="70">
        <v>300</v>
      </c>
      <c r="K135" s="54">
        <f t="shared" si="2"/>
        <v>9000</v>
      </c>
      <c r="L135" s="55" t="b">
        <v>1</v>
      </c>
      <c r="M135" s="56">
        <v>221020241501</v>
      </c>
      <c r="N135" s="57" t="b">
        <v>1</v>
      </c>
      <c r="O135" s="58" t="s">
        <v>31</v>
      </c>
      <c r="P135" s="215"/>
      <c r="Q135" s="59" t="b">
        <v>1</v>
      </c>
      <c r="R135" s="164"/>
      <c r="S135" s="165"/>
      <c r="T135" s="150" t="b">
        <v>1</v>
      </c>
      <c r="U135" s="216" t="s">
        <v>2403</v>
      </c>
      <c r="V135" s="75"/>
      <c r="W135" s="75"/>
      <c r="X135" s="166"/>
      <c r="Y135" s="166"/>
      <c r="Z135" s="167"/>
      <c r="AA135" s="167"/>
    </row>
    <row r="136" spans="1:27">
      <c r="A136" s="132"/>
      <c r="B136" s="66"/>
      <c r="C136" s="132" t="s">
        <v>2400</v>
      </c>
      <c r="D136" s="66" t="s">
        <v>104</v>
      </c>
      <c r="E136" s="66" t="s">
        <v>206</v>
      </c>
      <c r="F136" s="66" t="s">
        <v>241</v>
      </c>
      <c r="G136" s="159" t="s">
        <v>760</v>
      </c>
      <c r="H136" s="69" t="s">
        <v>30</v>
      </c>
      <c r="I136" s="69">
        <v>30</v>
      </c>
      <c r="J136" s="70">
        <v>130</v>
      </c>
      <c r="K136" s="54">
        <f t="shared" si="2"/>
        <v>3900</v>
      </c>
      <c r="L136" s="55" t="b">
        <v>1</v>
      </c>
      <c r="M136" s="56">
        <v>221020241505</v>
      </c>
      <c r="N136" s="57" t="b">
        <v>1</v>
      </c>
      <c r="O136" s="58" t="s">
        <v>31</v>
      </c>
      <c r="P136" s="215"/>
      <c r="Q136" s="59" t="b">
        <v>1</v>
      </c>
      <c r="R136" s="164"/>
      <c r="S136" s="165"/>
      <c r="T136" s="150" t="b">
        <v>1</v>
      </c>
      <c r="U136" s="216" t="s">
        <v>2403</v>
      </c>
      <c r="V136" s="75"/>
      <c r="W136" s="75"/>
      <c r="X136" s="166"/>
      <c r="Y136" s="166"/>
      <c r="Z136" s="167"/>
      <c r="AA136" s="167"/>
    </row>
    <row r="137" spans="1:27">
      <c r="A137" s="18"/>
      <c r="B137" s="18"/>
      <c r="C137" s="132" t="s">
        <v>2400</v>
      </c>
      <c r="D137" s="66" t="s">
        <v>104</v>
      </c>
      <c r="E137" s="66" t="s">
        <v>206</v>
      </c>
      <c r="F137" s="66" t="s">
        <v>241</v>
      </c>
      <c r="G137" s="159" t="s">
        <v>68</v>
      </c>
      <c r="H137" s="69" t="s">
        <v>30</v>
      </c>
      <c r="I137" s="69">
        <v>1</v>
      </c>
      <c r="J137" s="70">
        <v>2350</v>
      </c>
      <c r="K137" s="75">
        <f t="shared" si="2"/>
        <v>2350</v>
      </c>
      <c r="L137" s="55" t="b">
        <v>1</v>
      </c>
      <c r="M137" s="154">
        <v>221020241505</v>
      </c>
      <c r="N137" s="57" t="b">
        <v>1</v>
      </c>
      <c r="O137" s="58"/>
      <c r="P137" s="215"/>
      <c r="Q137" s="59" t="b">
        <v>1</v>
      </c>
      <c r="R137" s="164"/>
      <c r="S137" s="165"/>
      <c r="T137" s="47" t="b">
        <v>1</v>
      </c>
      <c r="U137" s="216" t="s">
        <v>2404</v>
      </c>
      <c r="V137" s="75"/>
      <c r="W137" s="75"/>
      <c r="X137" s="166"/>
      <c r="Y137" s="166"/>
      <c r="Z137" s="167"/>
      <c r="AA137" s="167"/>
    </row>
    <row r="138" spans="1:27">
      <c r="A138" s="18"/>
      <c r="B138" s="18"/>
      <c r="C138" s="132" t="s">
        <v>2405</v>
      </c>
      <c r="D138" s="66" t="s">
        <v>212</v>
      </c>
      <c r="E138" s="66" t="s">
        <v>213</v>
      </c>
      <c r="F138" s="66" t="s">
        <v>2364</v>
      </c>
      <c r="G138" s="159" t="s">
        <v>101</v>
      </c>
      <c r="H138" s="69" t="s">
        <v>30</v>
      </c>
      <c r="I138" s="69">
        <v>10</v>
      </c>
      <c r="J138" s="70">
        <v>875</v>
      </c>
      <c r="K138" s="75">
        <f t="shared" si="2"/>
        <v>8750</v>
      </c>
      <c r="L138" s="55" t="b">
        <v>1</v>
      </c>
      <c r="M138" s="154">
        <v>221020241505</v>
      </c>
      <c r="N138" s="57" t="b">
        <v>1</v>
      </c>
      <c r="O138" s="58" t="s">
        <v>31</v>
      </c>
      <c r="P138" s="215"/>
      <c r="Q138" s="59" t="b">
        <v>1</v>
      </c>
      <c r="R138" s="164"/>
      <c r="S138" s="165"/>
      <c r="T138" s="47" t="b">
        <v>1</v>
      </c>
      <c r="U138" s="216" t="s">
        <v>2406</v>
      </c>
      <c r="V138" s="75"/>
      <c r="W138" s="75"/>
      <c r="X138" s="166"/>
      <c r="Y138" s="166"/>
      <c r="Z138" s="167"/>
      <c r="AA138" s="167"/>
    </row>
    <row r="139" spans="1:27">
      <c r="A139" s="18"/>
      <c r="B139" s="18"/>
      <c r="C139" s="132" t="s">
        <v>2400</v>
      </c>
      <c r="D139" s="66" t="s">
        <v>104</v>
      </c>
      <c r="E139" s="66" t="s">
        <v>158</v>
      </c>
      <c r="F139" s="66" t="s">
        <v>159</v>
      </c>
      <c r="G139" s="159" t="s">
        <v>1952</v>
      </c>
      <c r="H139" s="69" t="s">
        <v>30</v>
      </c>
      <c r="I139" s="69">
        <v>10</v>
      </c>
      <c r="J139" s="70">
        <v>550</v>
      </c>
      <c r="K139" s="54">
        <f t="shared" si="2"/>
        <v>5500</v>
      </c>
      <c r="L139" s="55" t="b">
        <v>1</v>
      </c>
      <c r="M139" s="56">
        <v>221020241543</v>
      </c>
      <c r="N139" s="57" t="b">
        <v>1</v>
      </c>
      <c r="O139" s="58" t="s">
        <v>39</v>
      </c>
      <c r="P139" s="215"/>
      <c r="Q139" s="59" t="b">
        <v>1</v>
      </c>
      <c r="R139" s="164"/>
      <c r="S139" s="165"/>
      <c r="T139" s="150" t="b">
        <v>1</v>
      </c>
      <c r="U139" s="216" t="s">
        <v>2407</v>
      </c>
      <c r="V139" s="75"/>
      <c r="W139" s="75"/>
      <c r="X139" s="166"/>
      <c r="Y139" s="166"/>
      <c r="Z139" s="167"/>
      <c r="AA139" s="167"/>
    </row>
    <row r="140" spans="1:27">
      <c r="A140" s="18"/>
      <c r="B140" s="18"/>
      <c r="C140" s="132" t="s">
        <v>2400</v>
      </c>
      <c r="D140" s="66" t="s">
        <v>1300</v>
      </c>
      <c r="E140" s="66" t="s">
        <v>94</v>
      </c>
      <c r="F140" s="66" t="s">
        <v>2318</v>
      </c>
      <c r="G140" s="159" t="s">
        <v>2408</v>
      </c>
      <c r="H140" s="69" t="s">
        <v>30</v>
      </c>
      <c r="I140" s="69">
        <v>2</v>
      </c>
      <c r="J140" s="70">
        <v>625</v>
      </c>
      <c r="K140" s="54">
        <f t="shared" si="2"/>
        <v>1250</v>
      </c>
      <c r="L140" s="55" t="b">
        <v>1</v>
      </c>
      <c r="M140" s="56">
        <v>221020241552</v>
      </c>
      <c r="N140" s="57" t="b">
        <v>1</v>
      </c>
      <c r="O140" s="58" t="s">
        <v>31</v>
      </c>
      <c r="P140" s="215"/>
      <c r="Q140" s="59" t="b">
        <v>1</v>
      </c>
      <c r="R140" s="164"/>
      <c r="S140" s="165"/>
      <c r="T140" s="47" t="b">
        <v>1</v>
      </c>
      <c r="U140" s="216" t="s">
        <v>2409</v>
      </c>
      <c r="V140" s="75"/>
      <c r="W140" s="75"/>
      <c r="X140" s="166"/>
      <c r="Y140" s="166"/>
      <c r="Z140" s="167"/>
      <c r="AA140" s="167"/>
    </row>
    <row r="141" spans="1:27">
      <c r="A141" s="18"/>
      <c r="B141" s="18"/>
      <c r="C141" s="132" t="s">
        <v>2400</v>
      </c>
      <c r="D141" s="66" t="s">
        <v>263</v>
      </c>
      <c r="E141" s="66" t="s">
        <v>248</v>
      </c>
      <c r="F141" s="66" t="s">
        <v>451</v>
      </c>
      <c r="G141" s="159" t="s">
        <v>374</v>
      </c>
      <c r="H141" s="69" t="s">
        <v>30</v>
      </c>
      <c r="I141" s="69">
        <v>100</v>
      </c>
      <c r="J141" s="70">
        <v>30</v>
      </c>
      <c r="K141" s="54">
        <f t="shared" si="2"/>
        <v>3000</v>
      </c>
      <c r="L141" s="55" t="b">
        <v>1</v>
      </c>
      <c r="M141" s="56">
        <v>221020241746</v>
      </c>
      <c r="N141" s="57" t="b">
        <v>1</v>
      </c>
      <c r="O141" s="58" t="s">
        <v>31</v>
      </c>
      <c r="P141" s="215"/>
      <c r="Q141" s="59" t="b">
        <v>1</v>
      </c>
      <c r="R141" s="164"/>
      <c r="S141" s="165"/>
      <c r="T141" s="150" t="b">
        <v>1</v>
      </c>
      <c r="U141" s="216" t="s">
        <v>2410</v>
      </c>
      <c r="V141" s="75"/>
      <c r="W141" s="75"/>
      <c r="X141" s="166"/>
      <c r="Y141" s="166"/>
      <c r="Z141" s="167"/>
      <c r="AA141" s="167"/>
    </row>
    <row r="142" spans="1:27">
      <c r="A142" s="18"/>
      <c r="B142" s="18"/>
      <c r="C142" s="132" t="s">
        <v>2400</v>
      </c>
      <c r="D142" s="66" t="s">
        <v>51</v>
      </c>
      <c r="E142" s="66" t="s">
        <v>89</v>
      </c>
      <c r="F142" s="66" t="s">
        <v>2090</v>
      </c>
      <c r="G142" s="159" t="s">
        <v>758</v>
      </c>
      <c r="H142" s="69" t="s">
        <v>30</v>
      </c>
      <c r="I142" s="69">
        <v>5</v>
      </c>
      <c r="J142" s="70">
        <v>300</v>
      </c>
      <c r="K142" s="54">
        <f t="shared" si="2"/>
        <v>1500</v>
      </c>
      <c r="L142" s="55" t="b">
        <v>1</v>
      </c>
      <c r="M142" s="56">
        <v>221020241752</v>
      </c>
      <c r="N142" s="57" t="b">
        <v>1</v>
      </c>
      <c r="O142" s="58" t="s">
        <v>31</v>
      </c>
      <c r="P142" s="215"/>
      <c r="Q142" s="59" t="b">
        <v>1</v>
      </c>
      <c r="R142" s="164"/>
      <c r="S142" s="165"/>
      <c r="T142" s="150" t="b">
        <v>1</v>
      </c>
      <c r="U142" s="216" t="s">
        <v>2411</v>
      </c>
      <c r="V142" s="75"/>
      <c r="W142" s="75"/>
      <c r="X142" s="166"/>
      <c r="Y142" s="166"/>
      <c r="Z142" s="167"/>
      <c r="AA142" s="167"/>
    </row>
    <row r="143" spans="1:27">
      <c r="A143" s="18"/>
      <c r="B143" s="18"/>
      <c r="C143" s="132" t="s">
        <v>2400</v>
      </c>
      <c r="D143" s="66" t="s">
        <v>51</v>
      </c>
      <c r="E143" s="66" t="s">
        <v>89</v>
      </c>
      <c r="F143" s="66" t="s">
        <v>2090</v>
      </c>
      <c r="G143" s="159" t="s">
        <v>760</v>
      </c>
      <c r="H143" s="69" t="s">
        <v>30</v>
      </c>
      <c r="I143" s="69">
        <v>5</v>
      </c>
      <c r="J143" s="70">
        <v>130</v>
      </c>
      <c r="K143" s="54">
        <f t="shared" si="2"/>
        <v>650</v>
      </c>
      <c r="L143" s="55" t="b">
        <v>1</v>
      </c>
      <c r="M143" s="56">
        <v>221020241753</v>
      </c>
      <c r="N143" s="57" t="b">
        <v>1</v>
      </c>
      <c r="O143" s="58" t="s">
        <v>31</v>
      </c>
      <c r="P143" s="215"/>
      <c r="Q143" s="59" t="b">
        <v>1</v>
      </c>
      <c r="R143" s="164"/>
      <c r="S143" s="165"/>
      <c r="T143" s="47" t="b">
        <v>1</v>
      </c>
      <c r="U143" s="216" t="s">
        <v>2411</v>
      </c>
      <c r="V143" s="75"/>
      <c r="W143" s="75"/>
      <c r="X143" s="166"/>
      <c r="Y143" s="166"/>
      <c r="Z143" s="167"/>
      <c r="AA143" s="167"/>
    </row>
    <row r="144" spans="1:27">
      <c r="A144" s="18"/>
      <c r="B144" s="18"/>
      <c r="C144" s="132" t="s">
        <v>2400</v>
      </c>
      <c r="D144" s="66" t="s">
        <v>55</v>
      </c>
      <c r="E144" s="66" t="s">
        <v>56</v>
      </c>
      <c r="F144" s="66" t="s">
        <v>57</v>
      </c>
      <c r="G144" s="159" t="s">
        <v>236</v>
      </c>
      <c r="H144" s="69" t="s">
        <v>30</v>
      </c>
      <c r="I144" s="69">
        <v>6</v>
      </c>
      <c r="J144" s="70">
        <v>170</v>
      </c>
      <c r="K144" s="54">
        <f t="shared" si="2"/>
        <v>1020</v>
      </c>
      <c r="L144" s="55" t="b">
        <v>1</v>
      </c>
      <c r="M144" s="56">
        <v>221020241756</v>
      </c>
      <c r="N144" s="57" t="b">
        <v>1</v>
      </c>
      <c r="O144" s="58" t="s">
        <v>31</v>
      </c>
      <c r="P144" s="215"/>
      <c r="Q144" s="59" t="b">
        <v>1</v>
      </c>
      <c r="R144" s="164"/>
      <c r="S144" s="165"/>
      <c r="T144" s="150" t="b">
        <v>1</v>
      </c>
      <c r="U144" s="216" t="s">
        <v>2412</v>
      </c>
      <c r="V144" s="75"/>
      <c r="W144" s="75"/>
      <c r="X144" s="166"/>
      <c r="Y144" s="166"/>
      <c r="Z144" s="167"/>
      <c r="AA144" s="167"/>
    </row>
    <row r="145" spans="1:27">
      <c r="A145" s="18"/>
      <c r="B145" s="18"/>
      <c r="C145" s="132" t="s">
        <v>2413</v>
      </c>
      <c r="D145" s="66" t="s">
        <v>523</v>
      </c>
      <c r="E145" s="66" t="s">
        <v>523</v>
      </c>
      <c r="F145" s="66" t="s">
        <v>2048</v>
      </c>
      <c r="G145" s="159" t="s">
        <v>758</v>
      </c>
      <c r="H145" s="69" t="s">
        <v>30</v>
      </c>
      <c r="I145" s="69">
        <v>20</v>
      </c>
      <c r="J145" s="70">
        <v>300</v>
      </c>
      <c r="K145" s="54">
        <f t="shared" si="2"/>
        <v>6000</v>
      </c>
      <c r="L145" s="55" t="b">
        <v>1</v>
      </c>
      <c r="M145" s="56">
        <v>231020241130</v>
      </c>
      <c r="N145" s="57" t="b">
        <v>1</v>
      </c>
      <c r="O145" s="58" t="s">
        <v>31</v>
      </c>
      <c r="P145" s="215"/>
      <c r="Q145" s="59" t="b">
        <v>1</v>
      </c>
      <c r="R145" s="164"/>
      <c r="S145" s="165"/>
      <c r="T145" s="150" t="b">
        <v>1</v>
      </c>
      <c r="U145" s="216" t="s">
        <v>2414</v>
      </c>
      <c r="V145" s="75"/>
      <c r="W145" s="75"/>
      <c r="X145" s="166"/>
      <c r="Y145" s="166"/>
      <c r="Z145" s="167"/>
      <c r="AA145" s="167"/>
    </row>
    <row r="146" spans="1:27">
      <c r="A146" s="18"/>
      <c r="B146" s="18"/>
      <c r="C146" s="132" t="s">
        <v>2413</v>
      </c>
      <c r="D146" s="66" t="s">
        <v>523</v>
      </c>
      <c r="E146" s="66" t="s">
        <v>523</v>
      </c>
      <c r="F146" s="66" t="s">
        <v>2048</v>
      </c>
      <c r="G146" s="159" t="s">
        <v>2224</v>
      </c>
      <c r="H146" s="69" t="s">
        <v>30</v>
      </c>
      <c r="I146" s="69">
        <v>20</v>
      </c>
      <c r="J146" s="70">
        <v>90</v>
      </c>
      <c r="K146" s="54">
        <f t="shared" si="2"/>
        <v>1800</v>
      </c>
      <c r="L146" s="55" t="b">
        <v>1</v>
      </c>
      <c r="M146" s="56">
        <v>231020241130</v>
      </c>
      <c r="N146" s="57" t="b">
        <v>1</v>
      </c>
      <c r="O146" s="58" t="s">
        <v>31</v>
      </c>
      <c r="P146" s="215"/>
      <c r="Q146" s="59" t="b">
        <v>1</v>
      </c>
      <c r="R146" s="164"/>
      <c r="S146" s="165"/>
      <c r="T146" s="47" t="b">
        <v>1</v>
      </c>
      <c r="U146" s="216" t="s">
        <v>2415</v>
      </c>
      <c r="V146" s="75"/>
      <c r="W146" s="75"/>
      <c r="X146" s="166"/>
      <c r="Y146" s="166"/>
      <c r="Z146" s="167"/>
      <c r="AA146" s="167"/>
    </row>
    <row r="147" spans="1:27">
      <c r="A147" s="18"/>
      <c r="B147" s="18"/>
      <c r="C147" s="132" t="s">
        <v>2413</v>
      </c>
      <c r="D147" s="66" t="s">
        <v>523</v>
      </c>
      <c r="E147" s="66" t="s">
        <v>523</v>
      </c>
      <c r="F147" s="66" t="s">
        <v>2048</v>
      </c>
      <c r="G147" s="159" t="s">
        <v>2416</v>
      </c>
      <c r="H147" s="69" t="s">
        <v>30</v>
      </c>
      <c r="I147" s="69">
        <v>5</v>
      </c>
      <c r="J147" s="70">
        <v>125</v>
      </c>
      <c r="K147" s="54">
        <f t="shared" si="2"/>
        <v>625</v>
      </c>
      <c r="L147" s="55" t="b">
        <v>1</v>
      </c>
      <c r="M147" s="56">
        <v>231020241130</v>
      </c>
      <c r="N147" s="57" t="b">
        <v>1</v>
      </c>
      <c r="O147" s="58" t="s">
        <v>31</v>
      </c>
      <c r="P147" s="215"/>
      <c r="Q147" s="59" t="b">
        <v>1</v>
      </c>
      <c r="R147" s="129"/>
      <c r="S147" s="165"/>
      <c r="T147" s="150" t="b">
        <v>1</v>
      </c>
      <c r="U147" s="216" t="s">
        <v>2417</v>
      </c>
      <c r="V147" s="54"/>
      <c r="W147" s="54"/>
      <c r="X147" s="49"/>
      <c r="Y147" s="49"/>
      <c r="Z147" s="167"/>
      <c r="AA147" s="167"/>
    </row>
    <row r="148" spans="1:27">
      <c r="A148" s="1"/>
      <c r="B148" s="1"/>
      <c r="C148" s="132" t="s">
        <v>2413</v>
      </c>
      <c r="D148" s="66" t="s">
        <v>523</v>
      </c>
      <c r="E148" s="66" t="s">
        <v>523</v>
      </c>
      <c r="F148" s="66" t="s">
        <v>2048</v>
      </c>
      <c r="G148" s="159" t="s">
        <v>2418</v>
      </c>
      <c r="H148" s="69" t="s">
        <v>30</v>
      </c>
      <c r="I148" s="69">
        <v>3</v>
      </c>
      <c r="J148" s="70">
        <v>150</v>
      </c>
      <c r="K148" s="54">
        <f t="shared" si="2"/>
        <v>450</v>
      </c>
      <c r="L148" s="55" t="b">
        <v>1</v>
      </c>
      <c r="M148" s="56">
        <v>231020241130</v>
      </c>
      <c r="N148" s="57" t="b">
        <v>1</v>
      </c>
      <c r="O148" s="58"/>
      <c r="P148" s="215"/>
      <c r="Q148" s="59" t="b">
        <v>1</v>
      </c>
      <c r="R148" s="129"/>
      <c r="S148" s="165"/>
      <c r="T148" s="150" t="b">
        <v>1</v>
      </c>
      <c r="U148" s="216" t="s">
        <v>2419</v>
      </c>
      <c r="V148" s="54"/>
      <c r="W148" s="54"/>
      <c r="X148" s="49"/>
      <c r="Y148" s="49"/>
    </row>
    <row r="149" spans="1:27">
      <c r="A149" s="1"/>
      <c r="B149" s="1"/>
      <c r="C149" s="132" t="s">
        <v>2413</v>
      </c>
      <c r="D149" s="66" t="s">
        <v>433</v>
      </c>
      <c r="E149" s="66">
        <v>10</v>
      </c>
      <c r="F149" s="66" t="s">
        <v>2376</v>
      </c>
      <c r="G149" s="159" t="s">
        <v>436</v>
      </c>
      <c r="H149" s="69" t="s">
        <v>30</v>
      </c>
      <c r="I149" s="69">
        <v>50</v>
      </c>
      <c r="J149" s="70">
        <v>210</v>
      </c>
      <c r="K149" s="54">
        <f t="shared" si="2"/>
        <v>10500</v>
      </c>
      <c r="L149" s="55" t="b">
        <v>1</v>
      </c>
      <c r="M149" s="56">
        <v>231020241639</v>
      </c>
      <c r="N149" s="57" t="b">
        <v>1</v>
      </c>
      <c r="O149" s="58" t="s">
        <v>31</v>
      </c>
      <c r="P149" s="215"/>
      <c r="Q149" s="59" t="b">
        <v>1</v>
      </c>
      <c r="R149" s="164"/>
      <c r="S149" s="165"/>
      <c r="T149" s="47" t="b">
        <v>1</v>
      </c>
      <c r="U149" s="216" t="s">
        <v>2420</v>
      </c>
      <c r="V149" s="75"/>
      <c r="W149" s="75"/>
      <c r="X149" s="166"/>
      <c r="Y149" s="166"/>
    </row>
    <row r="150" spans="1:27">
      <c r="A150" s="18"/>
      <c r="B150" s="18"/>
      <c r="C150" s="132" t="s">
        <v>2421</v>
      </c>
      <c r="D150" s="66" t="s">
        <v>463</v>
      </c>
      <c r="E150" s="66" t="s">
        <v>463</v>
      </c>
      <c r="F150" s="66" t="s">
        <v>579</v>
      </c>
      <c r="G150" s="159" t="s">
        <v>2422</v>
      </c>
      <c r="H150" s="69" t="s">
        <v>30</v>
      </c>
      <c r="I150" s="69">
        <v>1</v>
      </c>
      <c r="J150" s="70">
        <v>1</v>
      </c>
      <c r="K150" s="54">
        <f t="shared" si="2"/>
        <v>1</v>
      </c>
      <c r="L150" s="55" t="b">
        <v>1</v>
      </c>
      <c r="M150" s="56">
        <v>241020241001</v>
      </c>
      <c r="N150" s="57" t="b">
        <v>1</v>
      </c>
      <c r="O150" s="58" t="s">
        <v>529</v>
      </c>
      <c r="P150" s="215"/>
      <c r="Q150" s="59" t="b">
        <v>1</v>
      </c>
      <c r="R150" s="129"/>
      <c r="S150" s="165"/>
      <c r="T150" s="150" t="b">
        <v>1</v>
      </c>
      <c r="U150" s="216"/>
      <c r="V150" s="54"/>
      <c r="W150" s="54"/>
      <c r="X150" s="49"/>
      <c r="Y150" s="49"/>
      <c r="Z150" s="167"/>
      <c r="AA150" s="167"/>
    </row>
    <row r="151" spans="1:27">
      <c r="A151" s="1"/>
      <c r="B151" s="1"/>
      <c r="C151" s="132" t="s">
        <v>2421</v>
      </c>
      <c r="D151" s="66" t="s">
        <v>104</v>
      </c>
      <c r="E151" s="66" t="s">
        <v>342</v>
      </c>
      <c r="F151" s="66" t="s">
        <v>866</v>
      </c>
      <c r="G151" s="159" t="s">
        <v>2423</v>
      </c>
      <c r="H151" s="69" t="s">
        <v>30</v>
      </c>
      <c r="I151" s="69">
        <v>10</v>
      </c>
      <c r="J151" s="70">
        <v>535</v>
      </c>
      <c r="K151" s="54">
        <f t="shared" si="2"/>
        <v>5350</v>
      </c>
      <c r="L151" s="55" t="b">
        <v>1</v>
      </c>
      <c r="M151" s="56">
        <v>241020241638</v>
      </c>
      <c r="N151" s="57" t="b">
        <v>1</v>
      </c>
      <c r="O151" s="58" t="s">
        <v>31</v>
      </c>
      <c r="P151" s="215"/>
      <c r="Q151" s="59" t="b">
        <v>1</v>
      </c>
      <c r="R151" s="164"/>
      <c r="S151" s="165"/>
      <c r="T151" s="150" t="b">
        <v>1</v>
      </c>
      <c r="U151" s="216" t="s">
        <v>2424</v>
      </c>
      <c r="V151" s="75"/>
      <c r="W151" s="75"/>
      <c r="X151" s="166"/>
      <c r="Y151" s="166"/>
    </row>
    <row r="152" spans="1:27">
      <c r="A152" s="18"/>
      <c r="B152" s="18"/>
      <c r="C152" s="132" t="s">
        <v>2421</v>
      </c>
      <c r="D152" s="66" t="s">
        <v>104</v>
      </c>
      <c r="E152" s="66" t="s">
        <v>342</v>
      </c>
      <c r="F152" s="66" t="s">
        <v>866</v>
      </c>
      <c r="G152" s="159" t="s">
        <v>2425</v>
      </c>
      <c r="H152" s="69" t="s">
        <v>30</v>
      </c>
      <c r="I152" s="69">
        <v>60</v>
      </c>
      <c r="J152" s="70">
        <v>12.5</v>
      </c>
      <c r="K152" s="54">
        <f t="shared" si="2"/>
        <v>750</v>
      </c>
      <c r="L152" s="55" t="b">
        <v>1</v>
      </c>
      <c r="M152" s="56">
        <v>241020241639</v>
      </c>
      <c r="N152" s="57" t="b">
        <v>1</v>
      </c>
      <c r="O152" s="58" t="s">
        <v>31</v>
      </c>
      <c r="P152" s="215"/>
      <c r="Q152" s="59" t="b">
        <v>1</v>
      </c>
      <c r="R152" s="164"/>
      <c r="S152" s="165"/>
      <c r="T152" s="47" t="b">
        <v>1</v>
      </c>
      <c r="U152" s="216" t="s">
        <v>2424</v>
      </c>
      <c r="V152" s="75"/>
      <c r="W152" s="75"/>
      <c r="X152" s="166"/>
      <c r="Y152" s="166"/>
      <c r="Z152" s="167"/>
      <c r="AA152" s="167"/>
    </row>
    <row r="153" spans="1:27">
      <c r="A153" s="18"/>
      <c r="B153" s="18"/>
      <c r="C153" s="132" t="s">
        <v>2421</v>
      </c>
      <c r="D153" s="66" t="s">
        <v>46</v>
      </c>
      <c r="E153" s="66" t="s">
        <v>47</v>
      </c>
      <c r="F153" s="66" t="s">
        <v>2426</v>
      </c>
      <c r="G153" s="159" t="s">
        <v>2427</v>
      </c>
      <c r="H153" s="69" t="s">
        <v>30</v>
      </c>
      <c r="I153" s="69">
        <v>50</v>
      </c>
      <c r="J153" s="70">
        <v>220</v>
      </c>
      <c r="K153" s="54">
        <f t="shared" si="2"/>
        <v>11000</v>
      </c>
      <c r="L153" s="55" t="b">
        <v>1</v>
      </c>
      <c r="M153" s="56">
        <v>241020241643</v>
      </c>
      <c r="N153" s="57" t="b">
        <v>1</v>
      </c>
      <c r="O153" s="58" t="s">
        <v>31</v>
      </c>
      <c r="P153" s="215"/>
      <c r="Q153" s="59" t="b">
        <v>1</v>
      </c>
      <c r="R153" s="164"/>
      <c r="S153" s="165"/>
      <c r="T153" s="150" t="b">
        <v>1</v>
      </c>
      <c r="U153" s="216" t="s">
        <v>2428</v>
      </c>
      <c r="V153" s="75"/>
      <c r="W153" s="75"/>
      <c r="X153" s="166"/>
      <c r="Y153" s="166"/>
      <c r="Z153" s="167"/>
      <c r="AA153" s="167"/>
    </row>
    <row r="154" spans="1:27">
      <c r="A154" s="18"/>
      <c r="B154" s="18"/>
      <c r="C154" s="132" t="s">
        <v>2421</v>
      </c>
      <c r="D154" s="66" t="s">
        <v>46</v>
      </c>
      <c r="E154" s="66" t="s">
        <v>47</v>
      </c>
      <c r="F154" s="66" t="s">
        <v>2426</v>
      </c>
      <c r="G154" s="159" t="s">
        <v>177</v>
      </c>
      <c r="H154" s="69" t="s">
        <v>30</v>
      </c>
      <c r="I154" s="69">
        <v>6</v>
      </c>
      <c r="J154" s="70">
        <v>925</v>
      </c>
      <c r="K154" s="54">
        <f t="shared" si="2"/>
        <v>5550</v>
      </c>
      <c r="L154" s="55" t="b">
        <v>1</v>
      </c>
      <c r="M154" s="56">
        <v>241020241644</v>
      </c>
      <c r="N154" s="57" t="b">
        <v>1</v>
      </c>
      <c r="O154" s="58" t="s">
        <v>31</v>
      </c>
      <c r="P154" s="215"/>
      <c r="Q154" s="59" t="b">
        <v>1</v>
      </c>
      <c r="R154" s="164"/>
      <c r="S154" s="165"/>
      <c r="T154" s="150" t="b">
        <v>1</v>
      </c>
      <c r="U154" s="216" t="s">
        <v>2429</v>
      </c>
      <c r="V154" s="75"/>
      <c r="W154" s="75"/>
      <c r="X154" s="166"/>
      <c r="Y154" s="166"/>
      <c r="Z154" s="167"/>
      <c r="AA154" s="167"/>
    </row>
    <row r="155" spans="1:27">
      <c r="A155" s="18"/>
      <c r="B155" s="18"/>
      <c r="C155" s="132" t="s">
        <v>2421</v>
      </c>
      <c r="D155" s="66" t="s">
        <v>171</v>
      </c>
      <c r="E155" s="66" t="s">
        <v>137</v>
      </c>
      <c r="F155" s="66" t="s">
        <v>1965</v>
      </c>
      <c r="G155" s="159" t="s">
        <v>2430</v>
      </c>
      <c r="H155" s="69" t="s">
        <v>30</v>
      </c>
      <c r="I155" s="69">
        <v>5</v>
      </c>
      <c r="J155" s="70">
        <v>165</v>
      </c>
      <c r="K155" s="75">
        <f t="shared" si="2"/>
        <v>825</v>
      </c>
      <c r="L155" s="55" t="b">
        <v>1</v>
      </c>
      <c r="M155" s="154">
        <v>241020241645</v>
      </c>
      <c r="N155" s="57" t="b">
        <v>1</v>
      </c>
      <c r="O155" s="58" t="s">
        <v>31</v>
      </c>
      <c r="P155" s="215"/>
      <c r="Q155" s="59" t="b">
        <v>1</v>
      </c>
      <c r="R155" s="164"/>
      <c r="S155" s="165"/>
      <c r="T155" s="47" t="b">
        <v>1</v>
      </c>
      <c r="U155" s="216" t="s">
        <v>2431</v>
      </c>
      <c r="V155" s="75"/>
      <c r="W155" s="75"/>
      <c r="X155" s="166"/>
      <c r="Y155" s="166"/>
      <c r="Z155" s="167"/>
      <c r="AA155" s="167"/>
    </row>
    <row r="156" spans="1:27">
      <c r="A156" s="18"/>
      <c r="B156" s="18"/>
      <c r="C156" s="132" t="s">
        <v>2432</v>
      </c>
      <c r="D156" s="66" t="s">
        <v>104</v>
      </c>
      <c r="E156" s="66" t="s">
        <v>2433</v>
      </c>
      <c r="F156" s="66" t="s">
        <v>674</v>
      </c>
      <c r="G156" s="159" t="s">
        <v>2434</v>
      </c>
      <c r="H156" s="69" t="s">
        <v>30</v>
      </c>
      <c r="I156" s="69">
        <v>50</v>
      </c>
      <c r="J156" s="70">
        <v>2.25</v>
      </c>
      <c r="K156" s="54">
        <f t="shared" si="2"/>
        <v>112.5</v>
      </c>
      <c r="L156" s="55" t="b">
        <v>1</v>
      </c>
      <c r="M156" s="56">
        <v>251020240944</v>
      </c>
      <c r="N156" s="57" t="b">
        <v>1</v>
      </c>
      <c r="O156" s="58" t="s">
        <v>31</v>
      </c>
      <c r="P156" s="215"/>
      <c r="Q156" s="59" t="b">
        <v>1</v>
      </c>
      <c r="R156" s="164"/>
      <c r="S156" s="165"/>
      <c r="T156" s="150" t="b">
        <v>1</v>
      </c>
      <c r="U156" s="216" t="s">
        <v>2435</v>
      </c>
      <c r="V156" s="75"/>
      <c r="W156" s="75"/>
      <c r="X156" s="166"/>
      <c r="Y156" s="166"/>
      <c r="Z156" s="167"/>
      <c r="AA156" s="167"/>
    </row>
    <row r="157" spans="1:27">
      <c r="A157" s="18"/>
      <c r="B157" s="18"/>
      <c r="C157" s="132" t="s">
        <v>2432</v>
      </c>
      <c r="D157" s="66" t="s">
        <v>51</v>
      </c>
      <c r="E157" s="66" t="s">
        <v>89</v>
      </c>
      <c r="F157" s="66" t="s">
        <v>2090</v>
      </c>
      <c r="G157" s="159" t="s">
        <v>2436</v>
      </c>
      <c r="H157" s="69" t="s">
        <v>30</v>
      </c>
      <c r="I157" s="69">
        <v>5</v>
      </c>
      <c r="J157" s="70">
        <v>165</v>
      </c>
      <c r="K157" s="54">
        <f t="shared" si="2"/>
        <v>825</v>
      </c>
      <c r="L157" s="55" t="b">
        <v>1</v>
      </c>
      <c r="M157" s="56">
        <v>251020241456</v>
      </c>
      <c r="N157" s="57" t="b">
        <v>1</v>
      </c>
      <c r="O157" s="58" t="s">
        <v>31</v>
      </c>
      <c r="P157" s="215"/>
      <c r="Q157" s="59" t="b">
        <v>1</v>
      </c>
      <c r="R157" s="164"/>
      <c r="S157" s="165"/>
      <c r="T157" s="150" t="b">
        <v>1</v>
      </c>
      <c r="U157" s="216" t="s">
        <v>2437</v>
      </c>
      <c r="V157" s="75"/>
      <c r="W157" s="75"/>
      <c r="X157" s="166"/>
      <c r="Y157" s="166"/>
      <c r="Z157" s="167"/>
      <c r="AA157" s="167"/>
    </row>
    <row r="158" spans="1:27">
      <c r="A158" s="18"/>
      <c r="B158" s="18"/>
      <c r="C158" s="132" t="s">
        <v>2432</v>
      </c>
      <c r="D158" s="66" t="s">
        <v>51</v>
      </c>
      <c r="E158" s="66" t="s">
        <v>89</v>
      </c>
      <c r="F158" s="66" t="s">
        <v>2090</v>
      </c>
      <c r="G158" s="69" t="s">
        <v>147</v>
      </c>
      <c r="H158" s="69" t="s">
        <v>30</v>
      </c>
      <c r="I158" s="69">
        <v>3</v>
      </c>
      <c r="J158" s="70">
        <v>800</v>
      </c>
      <c r="K158" s="54">
        <f t="shared" si="2"/>
        <v>2400</v>
      </c>
      <c r="L158" s="55" t="b">
        <v>1</v>
      </c>
      <c r="M158" s="56">
        <v>251020241456</v>
      </c>
      <c r="N158" s="57" t="b">
        <v>1</v>
      </c>
      <c r="O158" s="58" t="s">
        <v>31</v>
      </c>
      <c r="P158" s="215"/>
      <c r="Q158" s="59" t="b">
        <v>1</v>
      </c>
      <c r="R158" s="129"/>
      <c r="S158" s="165"/>
      <c r="T158" s="47" t="b">
        <v>1</v>
      </c>
      <c r="U158" s="216" t="s">
        <v>2437</v>
      </c>
      <c r="V158" s="54"/>
      <c r="W158" s="54"/>
      <c r="X158" s="49"/>
      <c r="Y158" s="49"/>
      <c r="Z158" s="167"/>
      <c r="AA158" s="167"/>
    </row>
    <row r="159" spans="1:27">
      <c r="A159" s="1"/>
      <c r="B159" s="1"/>
      <c r="C159" s="132" t="s">
        <v>2432</v>
      </c>
      <c r="D159" s="66" t="s">
        <v>51</v>
      </c>
      <c r="E159" s="66" t="s">
        <v>89</v>
      </c>
      <c r="F159" s="66" t="s">
        <v>2090</v>
      </c>
      <c r="G159" s="69" t="s">
        <v>2438</v>
      </c>
      <c r="H159" s="69" t="s">
        <v>30</v>
      </c>
      <c r="I159" s="69">
        <v>3</v>
      </c>
      <c r="J159" s="70">
        <v>875</v>
      </c>
      <c r="K159" s="54">
        <f t="shared" si="2"/>
        <v>2625</v>
      </c>
      <c r="L159" s="55" t="b">
        <v>1</v>
      </c>
      <c r="M159" s="56">
        <v>251020241456</v>
      </c>
      <c r="N159" s="57" t="b">
        <v>1</v>
      </c>
      <c r="O159" s="58" t="s">
        <v>31</v>
      </c>
      <c r="P159" s="215"/>
      <c r="Q159" s="59" t="b">
        <v>1</v>
      </c>
      <c r="R159" s="129"/>
      <c r="S159" s="165"/>
      <c r="T159" s="150" t="b">
        <v>1</v>
      </c>
      <c r="U159" s="216" t="s">
        <v>2437</v>
      </c>
      <c r="V159" s="54"/>
      <c r="W159" s="54"/>
      <c r="X159" s="49"/>
      <c r="Y159" s="49"/>
    </row>
    <row r="160" spans="1:27">
      <c r="A160" s="1"/>
      <c r="B160" s="1"/>
      <c r="C160" s="71" t="s">
        <v>2439</v>
      </c>
      <c r="D160" s="53" t="s">
        <v>51</v>
      </c>
      <c r="E160" s="53" t="s">
        <v>201</v>
      </c>
      <c r="F160" s="66" t="s">
        <v>202</v>
      </c>
      <c r="G160" s="69" t="s">
        <v>512</v>
      </c>
      <c r="H160" s="69" t="s">
        <v>30</v>
      </c>
      <c r="I160" s="69">
        <v>15</v>
      </c>
      <c r="J160" s="70">
        <v>575</v>
      </c>
      <c r="K160" s="54">
        <f t="shared" si="2"/>
        <v>8625</v>
      </c>
      <c r="L160" s="55" t="b">
        <v>1</v>
      </c>
      <c r="M160" s="56">
        <v>261020241629</v>
      </c>
      <c r="N160" s="57" t="b">
        <v>1</v>
      </c>
      <c r="O160" s="58" t="s">
        <v>2356</v>
      </c>
      <c r="P160" s="222"/>
      <c r="Q160" s="59" t="b">
        <v>1</v>
      </c>
      <c r="R160" s="129"/>
      <c r="S160" s="165"/>
      <c r="T160" s="150" t="b">
        <v>1</v>
      </c>
      <c r="U160" s="216" t="s">
        <v>2440</v>
      </c>
      <c r="V160" s="54"/>
      <c r="W160" s="54"/>
      <c r="X160" s="49"/>
      <c r="Y160" s="49"/>
    </row>
    <row r="161" spans="1:27">
      <c r="A161" s="1"/>
      <c r="B161" s="1"/>
      <c r="C161" s="132" t="s">
        <v>2439</v>
      </c>
      <c r="D161" s="66" t="s">
        <v>1133</v>
      </c>
      <c r="E161" s="66" t="s">
        <v>1234</v>
      </c>
      <c r="F161" s="66" t="s">
        <v>1439</v>
      </c>
      <c r="G161" s="69" t="s">
        <v>1952</v>
      </c>
      <c r="H161" s="69" t="s">
        <v>30</v>
      </c>
      <c r="I161" s="69">
        <v>5</v>
      </c>
      <c r="J161" s="70">
        <v>550</v>
      </c>
      <c r="K161" s="75">
        <f t="shared" si="2"/>
        <v>2750</v>
      </c>
      <c r="L161" s="55" t="b">
        <v>1</v>
      </c>
      <c r="M161" s="154">
        <v>261020241632</v>
      </c>
      <c r="N161" s="57" t="b">
        <v>1</v>
      </c>
      <c r="O161" s="58" t="s">
        <v>39</v>
      </c>
      <c r="P161" s="215"/>
      <c r="Q161" s="59" t="b">
        <v>1</v>
      </c>
      <c r="R161" s="164"/>
      <c r="S161" s="57"/>
      <c r="T161" s="47" t="b">
        <v>1</v>
      </c>
      <c r="U161" s="216" t="s">
        <v>2441</v>
      </c>
      <c r="V161" s="75"/>
      <c r="W161" s="75"/>
      <c r="X161" s="166"/>
      <c r="Y161" s="166"/>
    </row>
    <row r="162" spans="1:27">
      <c r="A162" s="18"/>
      <c r="B162" s="18"/>
      <c r="C162" s="132" t="s">
        <v>2439</v>
      </c>
      <c r="D162" s="66" t="s">
        <v>1133</v>
      </c>
      <c r="E162" s="66" t="s">
        <v>1234</v>
      </c>
      <c r="F162" s="66" t="s">
        <v>1439</v>
      </c>
      <c r="G162" s="69" t="s">
        <v>236</v>
      </c>
      <c r="H162" s="69" t="s">
        <v>30</v>
      </c>
      <c r="I162" s="69">
        <v>6</v>
      </c>
      <c r="J162" s="70">
        <v>150</v>
      </c>
      <c r="K162" s="75">
        <f t="shared" si="2"/>
        <v>900</v>
      </c>
      <c r="L162" s="55" t="b">
        <v>1</v>
      </c>
      <c r="M162" s="154">
        <v>261020241632</v>
      </c>
      <c r="N162" s="57" t="b">
        <v>1</v>
      </c>
      <c r="O162" s="58" t="s">
        <v>39</v>
      </c>
      <c r="P162" s="223"/>
      <c r="Q162" s="59" t="b">
        <v>1</v>
      </c>
      <c r="R162" s="164"/>
      <c r="S162" s="57"/>
      <c r="T162" s="47" t="b">
        <v>1</v>
      </c>
      <c r="U162" s="216" t="s">
        <v>2441</v>
      </c>
      <c r="V162" s="75"/>
      <c r="W162" s="75"/>
      <c r="X162" s="166"/>
      <c r="Y162" s="166"/>
      <c r="Z162" s="167"/>
      <c r="AA162" s="167"/>
    </row>
    <row r="163" spans="1:27">
      <c r="A163" s="18"/>
      <c r="B163" s="18"/>
      <c r="C163" s="132" t="s">
        <v>2439</v>
      </c>
      <c r="D163" s="66" t="s">
        <v>1133</v>
      </c>
      <c r="E163" s="66" t="s">
        <v>1234</v>
      </c>
      <c r="F163" s="66" t="s">
        <v>1439</v>
      </c>
      <c r="G163" s="69" t="s">
        <v>58</v>
      </c>
      <c r="H163" s="69" t="s">
        <v>30</v>
      </c>
      <c r="I163" s="69">
        <v>84</v>
      </c>
      <c r="J163" s="70">
        <v>41.5</v>
      </c>
      <c r="K163" s="75">
        <f t="shared" si="2"/>
        <v>3486</v>
      </c>
      <c r="L163" s="55" t="b">
        <v>1</v>
      </c>
      <c r="M163" s="154">
        <v>261020241632</v>
      </c>
      <c r="N163" s="57" t="b">
        <v>1</v>
      </c>
      <c r="O163" s="58"/>
      <c r="P163" s="222"/>
      <c r="Q163" s="59" t="b">
        <v>1</v>
      </c>
      <c r="R163" s="164"/>
      <c r="S163" s="57"/>
      <c r="T163" s="47" t="b">
        <v>1</v>
      </c>
      <c r="U163" s="216" t="s">
        <v>2441</v>
      </c>
      <c r="V163" s="75"/>
      <c r="W163" s="75"/>
      <c r="X163" s="166"/>
      <c r="Y163" s="166"/>
      <c r="Z163" s="167"/>
      <c r="AA163" s="167"/>
    </row>
    <row r="164" spans="1:27">
      <c r="A164" s="18"/>
      <c r="B164" s="18"/>
      <c r="C164" s="132" t="s">
        <v>2439</v>
      </c>
      <c r="D164" s="66" t="s">
        <v>1133</v>
      </c>
      <c r="E164" s="66" t="s">
        <v>1234</v>
      </c>
      <c r="F164" s="66" t="s">
        <v>1439</v>
      </c>
      <c r="G164" s="69" t="s">
        <v>2442</v>
      </c>
      <c r="H164" s="69" t="s">
        <v>30</v>
      </c>
      <c r="I164" s="69">
        <v>5</v>
      </c>
      <c r="J164" s="70">
        <v>165</v>
      </c>
      <c r="K164" s="75">
        <f t="shared" si="2"/>
        <v>825</v>
      </c>
      <c r="L164" s="55" t="b">
        <v>1</v>
      </c>
      <c r="M164" s="154">
        <v>261020241632</v>
      </c>
      <c r="N164" s="57" t="b">
        <v>1</v>
      </c>
      <c r="O164" s="58" t="s">
        <v>529</v>
      </c>
      <c r="P164" s="215"/>
      <c r="Q164" s="59" t="b">
        <v>1</v>
      </c>
      <c r="R164" s="164"/>
      <c r="S164" s="57"/>
      <c r="T164" s="47" t="b">
        <v>1</v>
      </c>
      <c r="U164" s="216" t="s">
        <v>2441</v>
      </c>
      <c r="V164" s="75"/>
      <c r="W164" s="75"/>
      <c r="X164" s="166"/>
      <c r="Y164" s="166"/>
      <c r="Z164" s="167"/>
      <c r="AA164" s="167"/>
    </row>
    <row r="165" spans="1:27">
      <c r="A165" s="18"/>
      <c r="B165" s="18"/>
      <c r="C165" s="132" t="s">
        <v>2443</v>
      </c>
      <c r="D165" s="66" t="s">
        <v>397</v>
      </c>
      <c r="E165" s="66" t="s">
        <v>646</v>
      </c>
      <c r="F165" s="66" t="s">
        <v>2260</v>
      </c>
      <c r="G165" s="69" t="s">
        <v>68</v>
      </c>
      <c r="H165" s="69" t="s">
        <v>30</v>
      </c>
      <c r="I165" s="69">
        <v>2</v>
      </c>
      <c r="J165" s="70">
        <v>2350</v>
      </c>
      <c r="K165" s="75">
        <f t="shared" si="2"/>
        <v>4700</v>
      </c>
      <c r="L165" s="55" t="b">
        <v>1</v>
      </c>
      <c r="M165" s="154">
        <v>281020241032</v>
      </c>
      <c r="N165" s="57" t="b">
        <v>1</v>
      </c>
      <c r="O165" s="58"/>
      <c r="P165" s="215"/>
      <c r="Q165" s="59" t="b">
        <v>1</v>
      </c>
      <c r="R165" s="164"/>
      <c r="S165" s="57"/>
      <c r="T165" s="47" t="b">
        <v>1</v>
      </c>
      <c r="U165" s="216" t="s">
        <v>2444</v>
      </c>
      <c r="V165" s="75"/>
      <c r="W165" s="75"/>
      <c r="X165" s="166"/>
      <c r="Y165" s="166"/>
      <c r="Z165" s="167"/>
      <c r="AA165" s="167"/>
    </row>
    <row r="166" spans="1:27">
      <c r="A166" s="18"/>
      <c r="B166" s="18"/>
      <c r="C166" s="71" t="s">
        <v>2443</v>
      </c>
      <c r="D166" s="53" t="s">
        <v>104</v>
      </c>
      <c r="E166" s="53" t="s">
        <v>2445</v>
      </c>
      <c r="F166" s="66" t="s">
        <v>2446</v>
      </c>
      <c r="G166" s="69" t="s">
        <v>49</v>
      </c>
      <c r="H166" s="69" t="s">
        <v>30</v>
      </c>
      <c r="I166" s="69">
        <v>10</v>
      </c>
      <c r="J166" s="70">
        <v>550</v>
      </c>
      <c r="K166" s="54">
        <f t="shared" si="2"/>
        <v>5500</v>
      </c>
      <c r="L166" s="55" t="b">
        <v>1</v>
      </c>
      <c r="M166" s="56">
        <v>281020241512</v>
      </c>
      <c r="N166" s="57" t="b">
        <v>1</v>
      </c>
      <c r="O166" s="58" t="s">
        <v>39</v>
      </c>
      <c r="P166" s="222">
        <v>45595</v>
      </c>
      <c r="Q166" s="59" t="b">
        <v>1</v>
      </c>
      <c r="R166" s="129"/>
      <c r="S166" s="60"/>
      <c r="T166" s="150" t="b">
        <v>1</v>
      </c>
      <c r="U166" s="216" t="s">
        <v>2447</v>
      </c>
      <c r="V166" s="54"/>
      <c r="W166" s="54"/>
      <c r="X166" s="49"/>
      <c r="Y166" s="49"/>
      <c r="Z166" s="167"/>
      <c r="AA166" s="167"/>
    </row>
    <row r="167" spans="1:27">
      <c r="A167" s="1"/>
      <c r="B167" s="1"/>
      <c r="C167" s="71" t="s">
        <v>2448</v>
      </c>
      <c r="D167" s="53" t="s">
        <v>55</v>
      </c>
      <c r="E167" s="53">
        <v>41</v>
      </c>
      <c r="F167" s="66" t="s">
        <v>1552</v>
      </c>
      <c r="G167" s="69" t="s">
        <v>760</v>
      </c>
      <c r="H167" s="69" t="s">
        <v>30</v>
      </c>
      <c r="I167" s="69">
        <v>50</v>
      </c>
      <c r="J167" s="70">
        <v>135</v>
      </c>
      <c r="K167" s="54">
        <f t="shared" si="2"/>
        <v>6750</v>
      </c>
      <c r="L167" s="55" t="b">
        <v>1</v>
      </c>
      <c r="M167" s="56">
        <v>291020241347</v>
      </c>
      <c r="N167" s="57" t="b">
        <v>1</v>
      </c>
      <c r="O167" s="58" t="s">
        <v>2356</v>
      </c>
      <c r="P167" s="222">
        <v>45595</v>
      </c>
      <c r="Q167" s="59" t="b">
        <v>1</v>
      </c>
      <c r="R167" s="129"/>
      <c r="S167" s="60"/>
      <c r="T167" s="47" t="b">
        <v>1</v>
      </c>
      <c r="U167" s="216" t="s">
        <v>2449</v>
      </c>
      <c r="V167" s="54"/>
      <c r="W167" s="54"/>
      <c r="X167" s="49"/>
      <c r="Y167" s="49"/>
    </row>
    <row r="168" spans="1:27">
      <c r="A168" s="1"/>
      <c r="B168" s="1"/>
      <c r="C168" s="71" t="s">
        <v>2448</v>
      </c>
      <c r="D168" s="53" t="s">
        <v>104</v>
      </c>
      <c r="E168" s="53" t="s">
        <v>1941</v>
      </c>
      <c r="F168" s="66" t="s">
        <v>2450</v>
      </c>
      <c r="G168" s="66" t="s">
        <v>142</v>
      </c>
      <c r="H168" s="69" t="s">
        <v>30</v>
      </c>
      <c r="I168" s="69">
        <v>3000</v>
      </c>
      <c r="J168" s="70">
        <v>1.4</v>
      </c>
      <c r="K168" s="54">
        <f t="shared" si="2"/>
        <v>4200</v>
      </c>
      <c r="L168" s="55" t="b">
        <v>1</v>
      </c>
      <c r="M168" s="56">
        <v>291020241349</v>
      </c>
      <c r="N168" s="57" t="b">
        <v>1</v>
      </c>
      <c r="O168" s="58" t="s">
        <v>2356</v>
      </c>
      <c r="P168" s="222">
        <v>45595</v>
      </c>
      <c r="Q168" s="59" t="b">
        <v>1</v>
      </c>
      <c r="R168" s="129"/>
      <c r="S168" s="60"/>
      <c r="T168" s="150" t="b">
        <v>1</v>
      </c>
      <c r="U168" s="216" t="s">
        <v>2451</v>
      </c>
      <c r="V168" s="54"/>
      <c r="W168" s="54"/>
      <c r="X168" s="49"/>
      <c r="Y168" s="49"/>
    </row>
    <row r="169" spans="1:27">
      <c r="A169" s="1"/>
      <c r="B169" s="1"/>
      <c r="C169" s="71" t="s">
        <v>2452</v>
      </c>
      <c r="D169" s="53" t="s">
        <v>1300</v>
      </c>
      <c r="E169" s="53" t="s">
        <v>94</v>
      </c>
      <c r="F169" s="66" t="s">
        <v>2318</v>
      </c>
      <c r="G169" s="69" t="s">
        <v>2453</v>
      </c>
      <c r="H169" s="69" t="s">
        <v>30</v>
      </c>
      <c r="I169" s="69">
        <v>4</v>
      </c>
      <c r="J169" s="70">
        <v>125</v>
      </c>
      <c r="K169" s="54">
        <f t="shared" si="2"/>
        <v>500</v>
      </c>
      <c r="L169" s="55" t="b">
        <v>1</v>
      </c>
      <c r="M169" s="56">
        <v>301020240846</v>
      </c>
      <c r="N169" s="57" t="b">
        <v>1</v>
      </c>
      <c r="O169" s="58" t="s">
        <v>39</v>
      </c>
      <c r="P169" s="222">
        <v>45595</v>
      </c>
      <c r="Q169" s="59" t="b">
        <v>1</v>
      </c>
      <c r="R169" s="129"/>
      <c r="S169" s="60"/>
      <c r="T169" s="150" t="b">
        <v>1</v>
      </c>
      <c r="U169" s="216" t="s">
        <v>2454</v>
      </c>
      <c r="V169" s="54"/>
      <c r="W169" s="54"/>
      <c r="X169" s="49"/>
      <c r="Y169" s="49"/>
    </row>
    <row r="170" spans="1:27">
      <c r="A170" s="1"/>
      <c r="B170" s="1"/>
      <c r="C170" s="71" t="s">
        <v>2452</v>
      </c>
      <c r="D170" s="53" t="s">
        <v>1133</v>
      </c>
      <c r="E170" s="53" t="s">
        <v>1234</v>
      </c>
      <c r="F170" s="53" t="s">
        <v>2455</v>
      </c>
      <c r="G170" s="131" t="s">
        <v>760</v>
      </c>
      <c r="H170" s="131" t="s">
        <v>30</v>
      </c>
      <c r="I170" s="131">
        <v>20</v>
      </c>
      <c r="J170" s="188">
        <v>135</v>
      </c>
      <c r="K170" s="54">
        <f t="shared" si="2"/>
        <v>2700</v>
      </c>
      <c r="L170" s="189" t="b">
        <v>1</v>
      </c>
      <c r="M170" s="56">
        <v>301020240851</v>
      </c>
      <c r="N170" s="60" t="b">
        <v>1</v>
      </c>
      <c r="O170" s="190" t="s">
        <v>2356</v>
      </c>
      <c r="P170" s="224">
        <v>45595</v>
      </c>
      <c r="Q170" s="191" t="b">
        <v>1</v>
      </c>
      <c r="R170" s="129"/>
      <c r="S170" s="60"/>
      <c r="T170" s="150" t="b">
        <v>1</v>
      </c>
      <c r="U170" s="216" t="s">
        <v>2441</v>
      </c>
      <c r="V170" s="54"/>
      <c r="W170" s="54"/>
      <c r="X170" s="192"/>
      <c r="Y170" s="192"/>
    </row>
    <row r="171" spans="1:27">
      <c r="A171" s="1"/>
      <c r="B171" s="1"/>
      <c r="C171" s="71" t="s">
        <v>2452</v>
      </c>
      <c r="D171" s="53" t="s">
        <v>1133</v>
      </c>
      <c r="E171" s="53" t="s">
        <v>1234</v>
      </c>
      <c r="F171" s="53" t="s">
        <v>2455</v>
      </c>
      <c r="G171" s="131" t="s">
        <v>758</v>
      </c>
      <c r="H171" s="131" t="s">
        <v>30</v>
      </c>
      <c r="I171" s="131">
        <v>20</v>
      </c>
      <c r="J171" s="188">
        <v>300</v>
      </c>
      <c r="K171" s="54">
        <f t="shared" si="2"/>
        <v>6000</v>
      </c>
      <c r="L171" s="189" t="b">
        <v>1</v>
      </c>
      <c r="M171" s="56">
        <v>301020240851</v>
      </c>
      <c r="N171" s="60" t="b">
        <v>1</v>
      </c>
      <c r="O171" s="190" t="s">
        <v>2356</v>
      </c>
      <c r="P171" s="224">
        <v>45595</v>
      </c>
      <c r="Q171" s="191" t="b">
        <v>1</v>
      </c>
      <c r="R171" s="129"/>
      <c r="S171" s="60"/>
      <c r="T171" s="150" t="b">
        <v>1</v>
      </c>
      <c r="U171" s="216" t="s">
        <v>2441</v>
      </c>
      <c r="V171" s="54"/>
      <c r="W171" s="54"/>
      <c r="X171" s="192"/>
      <c r="Y171" s="192"/>
      <c r="Z171" s="193"/>
      <c r="AA171" s="193"/>
    </row>
    <row r="172" spans="1:27">
      <c r="A172" s="193"/>
      <c r="B172" s="193"/>
      <c r="C172" s="71" t="s">
        <v>2452</v>
      </c>
      <c r="D172" s="53" t="s">
        <v>1133</v>
      </c>
      <c r="E172" s="53" t="s">
        <v>1234</v>
      </c>
      <c r="F172" s="53" t="s">
        <v>2455</v>
      </c>
      <c r="G172" s="131" t="s">
        <v>639</v>
      </c>
      <c r="H172" s="131" t="s">
        <v>30</v>
      </c>
      <c r="I172" s="131">
        <v>24</v>
      </c>
      <c r="J172" s="188">
        <v>220</v>
      </c>
      <c r="K172" s="54">
        <f t="shared" si="2"/>
        <v>5280</v>
      </c>
      <c r="L172" s="189" t="b">
        <v>1</v>
      </c>
      <c r="M172" s="56">
        <v>301020240851</v>
      </c>
      <c r="N172" s="60" t="b">
        <v>1</v>
      </c>
      <c r="O172" s="190" t="s">
        <v>2356</v>
      </c>
      <c r="P172" s="224">
        <v>45595</v>
      </c>
      <c r="Q172" s="191" t="b">
        <v>1</v>
      </c>
      <c r="R172" s="129"/>
      <c r="S172" s="60"/>
      <c r="T172" s="150" t="b">
        <v>1</v>
      </c>
      <c r="U172" s="216" t="s">
        <v>2441</v>
      </c>
      <c r="V172" s="54"/>
      <c r="W172" s="54"/>
      <c r="X172" s="192"/>
      <c r="Y172" s="192"/>
      <c r="Z172" s="193"/>
      <c r="AA172" s="193"/>
    </row>
    <row r="173" spans="1:27">
      <c r="A173" s="193"/>
      <c r="B173" s="193"/>
      <c r="C173" s="132" t="s">
        <v>2452</v>
      </c>
      <c r="D173" s="66" t="s">
        <v>523</v>
      </c>
      <c r="E173" s="66" t="s">
        <v>523</v>
      </c>
      <c r="F173" s="66" t="s">
        <v>2048</v>
      </c>
      <c r="G173" s="69" t="s">
        <v>68</v>
      </c>
      <c r="H173" s="69" t="s">
        <v>30</v>
      </c>
      <c r="I173" s="69">
        <v>1</v>
      </c>
      <c r="J173" s="70">
        <v>2350</v>
      </c>
      <c r="K173" s="75">
        <f t="shared" si="2"/>
        <v>2350</v>
      </c>
      <c r="L173" s="55" t="b">
        <v>1</v>
      </c>
      <c r="M173" s="154">
        <v>301020241649</v>
      </c>
      <c r="N173" s="57" t="b">
        <v>1</v>
      </c>
      <c r="O173" s="58"/>
      <c r="P173" s="215"/>
      <c r="Q173" s="59" t="b">
        <v>1</v>
      </c>
      <c r="R173" s="164"/>
      <c r="S173" s="57"/>
      <c r="T173" s="47" t="b">
        <v>1</v>
      </c>
      <c r="U173" s="216" t="s">
        <v>2456</v>
      </c>
      <c r="V173" s="75"/>
      <c r="W173" s="75"/>
      <c r="X173" s="166"/>
      <c r="Y173" s="166"/>
      <c r="Z173" s="193"/>
      <c r="AA173" s="193"/>
    </row>
    <row r="174" spans="1:27">
      <c r="A174" s="167"/>
      <c r="B174" s="167"/>
      <c r="C174" s="71" t="s">
        <v>2452</v>
      </c>
      <c r="D174" s="53" t="s">
        <v>282</v>
      </c>
      <c r="E174" s="53" t="s">
        <v>282</v>
      </c>
      <c r="F174" s="66" t="s">
        <v>365</v>
      </c>
      <c r="G174" s="69" t="s">
        <v>2457</v>
      </c>
      <c r="H174" s="69" t="s">
        <v>30</v>
      </c>
      <c r="I174" s="69">
        <v>5</v>
      </c>
      <c r="J174" s="70">
        <v>125</v>
      </c>
      <c r="K174" s="54">
        <f t="shared" si="2"/>
        <v>625</v>
      </c>
      <c r="L174" s="55" t="b">
        <v>1</v>
      </c>
      <c r="M174" s="56">
        <v>301020241654</v>
      </c>
      <c r="N174" s="57" t="b">
        <v>1</v>
      </c>
      <c r="O174" s="58" t="s">
        <v>39</v>
      </c>
      <c r="P174" s="222">
        <v>45596</v>
      </c>
      <c r="Q174" s="59" t="b">
        <v>1</v>
      </c>
      <c r="R174" s="129"/>
      <c r="S174" s="60"/>
      <c r="T174" s="150" t="b">
        <v>1</v>
      </c>
      <c r="U174" s="216" t="s">
        <v>2458</v>
      </c>
      <c r="V174" s="54"/>
      <c r="W174" s="54"/>
      <c r="X174" s="49"/>
      <c r="Y174" s="49"/>
      <c r="Z174" s="167"/>
      <c r="AA174" s="167"/>
    </row>
    <row r="175" spans="1:27">
      <c r="C175" s="71" t="s">
        <v>2459</v>
      </c>
      <c r="D175" s="53" t="s">
        <v>282</v>
      </c>
      <c r="E175" s="53" t="s">
        <v>282</v>
      </c>
      <c r="F175" s="66" t="s">
        <v>365</v>
      </c>
      <c r="G175" s="69" t="s">
        <v>2460</v>
      </c>
      <c r="H175" s="69" t="s">
        <v>30</v>
      </c>
      <c r="I175" s="69">
        <v>2</v>
      </c>
      <c r="J175" s="70">
        <v>900</v>
      </c>
      <c r="K175" s="54">
        <f t="shared" si="2"/>
        <v>1800</v>
      </c>
      <c r="L175" s="55" t="b">
        <v>1</v>
      </c>
      <c r="M175" s="56">
        <v>311020241145</v>
      </c>
      <c r="N175" s="57" t="b">
        <v>1</v>
      </c>
      <c r="O175" s="58" t="s">
        <v>2461</v>
      </c>
      <c r="P175" s="222">
        <v>45596</v>
      </c>
      <c r="Q175" s="59" t="b">
        <v>1</v>
      </c>
      <c r="R175" s="129"/>
      <c r="S175" s="60"/>
      <c r="T175" s="150" t="b">
        <v>1</v>
      </c>
      <c r="U175" s="216" t="s">
        <v>2462</v>
      </c>
      <c r="V175" s="54"/>
      <c r="W175" s="54"/>
      <c r="X175" s="49"/>
      <c r="Y175" s="49"/>
    </row>
    <row r="176" spans="1:27">
      <c r="C176" s="71" t="s">
        <v>2459</v>
      </c>
      <c r="D176" s="53" t="s">
        <v>418</v>
      </c>
      <c r="E176" s="53" t="s">
        <v>61</v>
      </c>
      <c r="F176" s="66" t="s">
        <v>2463</v>
      </c>
      <c r="G176" s="69" t="s">
        <v>2464</v>
      </c>
      <c r="H176" s="69" t="s">
        <v>30</v>
      </c>
      <c r="I176" s="69">
        <v>1</v>
      </c>
      <c r="J176" s="70">
        <v>875</v>
      </c>
      <c r="K176" s="54">
        <f t="shared" si="2"/>
        <v>875</v>
      </c>
      <c r="L176" s="55" t="b">
        <v>1</v>
      </c>
      <c r="M176" s="56">
        <v>311020241317</v>
      </c>
      <c r="N176" s="57" t="b">
        <v>1</v>
      </c>
      <c r="O176" s="58"/>
      <c r="P176" s="215"/>
      <c r="Q176" s="59" t="b">
        <v>1</v>
      </c>
      <c r="R176" s="129"/>
      <c r="S176" s="60"/>
      <c r="T176" s="150" t="b">
        <v>1</v>
      </c>
      <c r="U176" s="216" t="s">
        <v>2465</v>
      </c>
      <c r="V176" s="54"/>
      <c r="W176" s="54"/>
      <c r="X176" s="49"/>
      <c r="Y176" s="49"/>
    </row>
    <row r="177" spans="3:25">
      <c r="C177" s="71" t="s">
        <v>2459</v>
      </c>
      <c r="D177" s="53" t="s">
        <v>418</v>
      </c>
      <c r="E177" s="53" t="s">
        <v>61</v>
      </c>
      <c r="F177" s="66" t="s">
        <v>2463</v>
      </c>
      <c r="G177" s="69" t="s">
        <v>2215</v>
      </c>
      <c r="H177" s="69" t="s">
        <v>30</v>
      </c>
      <c r="I177" s="69">
        <v>5</v>
      </c>
      <c r="J177" s="70">
        <v>165</v>
      </c>
      <c r="K177" s="54">
        <f t="shared" si="2"/>
        <v>825</v>
      </c>
      <c r="L177" s="55" t="b">
        <v>1</v>
      </c>
      <c r="M177" s="56">
        <v>311020241317</v>
      </c>
      <c r="N177" s="57" t="b">
        <v>1</v>
      </c>
      <c r="O177" s="58"/>
      <c r="P177" s="215"/>
      <c r="Q177" s="59" t="b">
        <v>1</v>
      </c>
      <c r="R177" s="129"/>
      <c r="S177" s="60"/>
      <c r="T177" s="150" t="b">
        <v>1</v>
      </c>
      <c r="U177" s="216" t="s">
        <v>2465</v>
      </c>
      <c r="V177" s="54"/>
      <c r="W177" s="54"/>
      <c r="X177" s="49"/>
      <c r="Y177" s="49"/>
    </row>
    <row r="178" spans="3:25">
      <c r="C178" s="71"/>
      <c r="D178" s="53"/>
      <c r="E178" s="53"/>
      <c r="F178" s="66"/>
      <c r="G178" s="69"/>
      <c r="H178" s="69"/>
      <c r="I178" s="69"/>
      <c r="J178" s="70"/>
      <c r="K178" s="54">
        <f t="shared" si="2"/>
        <v>0</v>
      </c>
      <c r="L178" s="55" t="b">
        <v>0</v>
      </c>
      <c r="M178" s="56"/>
      <c r="N178" s="57" t="b">
        <v>0</v>
      </c>
      <c r="O178" s="58"/>
      <c r="P178" s="215"/>
      <c r="Q178" s="59" t="b">
        <v>0</v>
      </c>
      <c r="R178" s="129"/>
      <c r="S178" s="60"/>
      <c r="T178" s="150" t="b">
        <v>0</v>
      </c>
      <c r="U178" s="216"/>
      <c r="V178" s="54"/>
      <c r="W178" s="54"/>
      <c r="X178" s="49"/>
      <c r="Y178" s="49"/>
    </row>
    <row r="179" spans="3:25">
      <c r="C179" s="71"/>
      <c r="D179" s="53"/>
      <c r="E179" s="53"/>
      <c r="F179" s="66"/>
      <c r="G179" s="69"/>
      <c r="H179" s="69"/>
      <c r="I179" s="69"/>
      <c r="J179" s="70"/>
      <c r="K179" s="54">
        <f t="shared" si="2"/>
        <v>0</v>
      </c>
      <c r="L179" s="55" t="b">
        <v>0</v>
      </c>
      <c r="M179" s="56"/>
      <c r="N179" s="57" t="b">
        <v>0</v>
      </c>
      <c r="O179" s="58"/>
      <c r="P179" s="215"/>
      <c r="Q179" s="59" t="b">
        <v>0</v>
      </c>
      <c r="R179" s="129"/>
      <c r="S179" s="60"/>
      <c r="T179" s="150" t="b">
        <v>0</v>
      </c>
      <c r="U179" s="216"/>
      <c r="V179" s="54"/>
      <c r="W179" s="54"/>
      <c r="X179" s="49"/>
      <c r="Y179" s="49"/>
    </row>
    <row r="180" spans="3:25">
      <c r="C180" s="71"/>
      <c r="D180" s="53"/>
      <c r="E180" s="53"/>
      <c r="F180" s="66"/>
      <c r="G180" s="69"/>
      <c r="H180" s="69"/>
      <c r="I180" s="69"/>
      <c r="J180" s="70"/>
      <c r="K180" s="54">
        <f t="shared" si="2"/>
        <v>0</v>
      </c>
      <c r="L180" s="55" t="b">
        <v>0</v>
      </c>
      <c r="M180" s="56"/>
      <c r="N180" s="57" t="b">
        <v>0</v>
      </c>
      <c r="O180" s="58"/>
      <c r="P180" s="215"/>
      <c r="Q180" s="59" t="b">
        <v>0</v>
      </c>
      <c r="R180" s="129"/>
      <c r="S180" s="60"/>
      <c r="T180" s="150" t="b">
        <v>0</v>
      </c>
      <c r="U180" s="216"/>
      <c r="V180" s="54"/>
      <c r="W180" s="54"/>
      <c r="X180" s="49"/>
      <c r="Y180" s="49"/>
    </row>
    <row r="181" spans="3:25">
      <c r="C181" s="71"/>
      <c r="D181" s="53"/>
      <c r="E181" s="53"/>
      <c r="F181" s="66"/>
      <c r="G181" s="69"/>
      <c r="H181" s="69"/>
      <c r="I181" s="69"/>
      <c r="J181" s="70"/>
      <c r="K181" s="54">
        <f t="shared" si="2"/>
        <v>0</v>
      </c>
      <c r="L181" s="55" t="b">
        <v>0</v>
      </c>
      <c r="M181" s="56"/>
      <c r="N181" s="57" t="b">
        <v>0</v>
      </c>
      <c r="O181" s="58"/>
      <c r="P181" s="215"/>
      <c r="Q181" s="59" t="b">
        <v>0</v>
      </c>
      <c r="R181" s="129"/>
      <c r="S181" s="60"/>
      <c r="T181" s="150" t="b">
        <v>0</v>
      </c>
      <c r="U181" s="214"/>
      <c r="V181" s="54"/>
      <c r="W181" s="54"/>
      <c r="X181" s="49"/>
      <c r="Y181" s="49"/>
    </row>
    <row r="182" spans="3:25">
      <c r="C182" s="71"/>
      <c r="D182" s="53"/>
      <c r="E182" s="53"/>
      <c r="F182" s="66"/>
      <c r="G182" s="69"/>
      <c r="H182" s="69"/>
      <c r="I182" s="69"/>
      <c r="J182" s="70"/>
      <c r="K182" s="54">
        <f t="shared" si="2"/>
        <v>0</v>
      </c>
      <c r="L182" s="55" t="b">
        <v>0</v>
      </c>
      <c r="M182" s="56"/>
      <c r="N182" s="57" t="b">
        <v>0</v>
      </c>
      <c r="O182" s="58"/>
      <c r="P182" s="215"/>
      <c r="Q182" s="59" t="b">
        <v>0</v>
      </c>
      <c r="R182" s="129"/>
      <c r="S182" s="60"/>
      <c r="T182" s="150" t="b">
        <v>0</v>
      </c>
      <c r="U182" s="214"/>
      <c r="V182" s="54"/>
      <c r="W182" s="54"/>
      <c r="X182" s="49"/>
      <c r="Y182" s="49"/>
    </row>
    <row r="183" spans="3:25">
      <c r="C183" s="71"/>
      <c r="D183" s="53"/>
      <c r="E183" s="53"/>
      <c r="F183" s="66"/>
      <c r="G183" s="69"/>
      <c r="H183" s="69"/>
      <c r="I183" s="69"/>
      <c r="J183" s="70"/>
      <c r="K183" s="54">
        <f t="shared" si="2"/>
        <v>0</v>
      </c>
      <c r="L183" s="55" t="b">
        <v>0</v>
      </c>
      <c r="M183" s="56"/>
      <c r="N183" s="57" t="b">
        <v>0</v>
      </c>
      <c r="O183" s="58"/>
      <c r="P183" s="215"/>
      <c r="Q183" s="59" t="b">
        <v>0</v>
      </c>
      <c r="R183" s="129"/>
      <c r="S183" s="60"/>
      <c r="T183" s="150" t="b">
        <v>0</v>
      </c>
      <c r="U183" s="214"/>
      <c r="V183" s="54"/>
      <c r="W183" s="54"/>
      <c r="X183" s="49"/>
      <c r="Y183" s="49"/>
    </row>
    <row r="184" spans="3:25">
      <c r="C184" s="71"/>
      <c r="D184" s="53"/>
      <c r="E184" s="53"/>
      <c r="F184" s="66"/>
      <c r="G184" s="69"/>
      <c r="H184" s="69"/>
      <c r="I184" s="69"/>
      <c r="J184" s="70"/>
      <c r="K184" s="54">
        <f t="shared" si="2"/>
        <v>0</v>
      </c>
      <c r="L184" s="55" t="b">
        <v>0</v>
      </c>
      <c r="M184" s="56"/>
      <c r="N184" s="57" t="b">
        <v>0</v>
      </c>
      <c r="O184" s="58"/>
      <c r="P184" s="215"/>
      <c r="Q184" s="59" t="b">
        <v>0</v>
      </c>
      <c r="R184" s="129"/>
      <c r="S184" s="60"/>
      <c r="T184" s="150" t="b">
        <v>0</v>
      </c>
      <c r="U184" s="214"/>
      <c r="V184" s="54"/>
      <c r="W184" s="54"/>
      <c r="X184" s="49"/>
      <c r="Y184" s="49"/>
    </row>
    <row r="185" spans="3:25">
      <c r="C185" s="71"/>
      <c r="D185" s="53"/>
      <c r="E185" s="53"/>
      <c r="F185" s="66"/>
      <c r="G185" s="69"/>
      <c r="H185" s="69"/>
      <c r="I185" s="69"/>
      <c r="J185" s="70"/>
      <c r="K185" s="54">
        <f t="shared" si="2"/>
        <v>0</v>
      </c>
      <c r="L185" s="55" t="b">
        <v>0</v>
      </c>
      <c r="M185" s="56"/>
      <c r="N185" s="57" t="b">
        <v>0</v>
      </c>
      <c r="O185" s="58"/>
      <c r="P185" s="215"/>
      <c r="Q185" s="59" t="b">
        <v>0</v>
      </c>
      <c r="R185" s="129"/>
      <c r="S185" s="60"/>
      <c r="T185" s="150" t="b">
        <v>0</v>
      </c>
      <c r="U185" s="214"/>
      <c r="V185" s="54"/>
      <c r="W185" s="54"/>
      <c r="X185" s="49"/>
      <c r="Y185" s="49"/>
    </row>
    <row r="187" spans="3:25">
      <c r="P187" s="225"/>
      <c r="U187" s="205"/>
    </row>
    <row r="188" spans="3:25">
      <c r="P188" s="225"/>
      <c r="U188" s="205"/>
    </row>
    <row r="189" spans="3:25">
      <c r="P189" s="225"/>
      <c r="U189" s="205"/>
    </row>
    <row r="190" spans="3:25">
      <c r="P190" s="225"/>
      <c r="U190" s="205"/>
    </row>
    <row r="191" spans="3:25">
      <c r="P191" s="225"/>
      <c r="U191" s="205"/>
    </row>
    <row r="192" spans="3:25">
      <c r="P192" s="225"/>
      <c r="U192" s="205"/>
    </row>
    <row r="193" spans="16:21">
      <c r="P193" s="225"/>
      <c r="U193" s="205"/>
    </row>
    <row r="194" spans="16:21">
      <c r="P194" s="225"/>
      <c r="U194" s="205"/>
    </row>
    <row r="195" spans="16:21">
      <c r="P195" s="225"/>
      <c r="U195" s="205"/>
    </row>
    <row r="196" spans="16:21">
      <c r="P196" s="225"/>
      <c r="U196" s="205"/>
    </row>
    <row r="197" spans="16:21">
      <c r="P197" s="225"/>
      <c r="U197" s="205"/>
    </row>
    <row r="198" spans="16:21">
      <c r="P198" s="225"/>
      <c r="U198" s="205"/>
    </row>
    <row r="199" spans="16:21">
      <c r="P199" s="225"/>
      <c r="U199" s="205"/>
    </row>
    <row r="200" spans="16:21">
      <c r="P200" s="225"/>
      <c r="U200" s="205"/>
    </row>
    <row r="201" spans="16:21">
      <c r="P201" s="225"/>
      <c r="U201" s="205"/>
    </row>
    <row r="202" spans="16:21">
      <c r="P202" s="225"/>
      <c r="U202" s="205"/>
    </row>
    <row r="203" spans="16:21">
      <c r="P203" s="225"/>
      <c r="U203" s="205"/>
    </row>
    <row r="204" spans="16:21">
      <c r="P204" s="225"/>
      <c r="U204" s="205"/>
    </row>
    <row r="205" spans="16:21">
      <c r="P205" s="225"/>
      <c r="U205" s="205"/>
    </row>
    <row r="206" spans="16:21">
      <c r="P206" s="225"/>
      <c r="U206" s="205"/>
    </row>
    <row r="207" spans="16:21">
      <c r="P207" s="225"/>
      <c r="U207" s="205"/>
    </row>
    <row r="208" spans="16:21">
      <c r="P208" s="225"/>
      <c r="U208" s="205"/>
    </row>
    <row r="209" spans="16:21">
      <c r="P209" s="225"/>
      <c r="U209" s="205"/>
    </row>
    <row r="210" spans="16:21">
      <c r="P210" s="225"/>
      <c r="U210" s="205"/>
    </row>
    <row r="211" spans="16:21">
      <c r="P211" s="225"/>
      <c r="U211" s="205"/>
    </row>
    <row r="212" spans="16:21">
      <c r="P212" s="225"/>
      <c r="U212" s="205"/>
    </row>
    <row r="213" spans="16:21">
      <c r="P213" s="225"/>
      <c r="U213" s="205"/>
    </row>
    <row r="214" spans="16:21">
      <c r="P214" s="225"/>
      <c r="U214" s="205"/>
    </row>
    <row r="215" spans="16:21">
      <c r="P215" s="225"/>
      <c r="U215" s="205"/>
    </row>
    <row r="216" spans="16:21">
      <c r="P216" s="225"/>
      <c r="U216" s="205"/>
    </row>
    <row r="217" spans="16:21">
      <c r="P217" s="225"/>
      <c r="U217" s="205"/>
    </row>
    <row r="218" spans="16:21">
      <c r="P218" s="225"/>
      <c r="U218" s="205"/>
    </row>
    <row r="219" spans="16:21">
      <c r="P219" s="225"/>
      <c r="U219" s="205"/>
    </row>
    <row r="220" spans="16:21">
      <c r="P220" s="225"/>
      <c r="U220" s="205"/>
    </row>
    <row r="221" spans="16:21">
      <c r="P221" s="225"/>
      <c r="U221" s="205"/>
    </row>
    <row r="222" spans="16:21">
      <c r="P222" s="225"/>
      <c r="U222" s="205"/>
    </row>
    <row r="223" spans="16:21">
      <c r="P223" s="225"/>
      <c r="U223" s="205"/>
    </row>
    <row r="224" spans="16:21">
      <c r="P224" s="225"/>
      <c r="U224" s="205"/>
    </row>
    <row r="225" spans="16:21">
      <c r="P225" s="225"/>
      <c r="U225" s="205"/>
    </row>
    <row r="226" spans="16:21">
      <c r="P226" s="225"/>
      <c r="U226" s="205"/>
    </row>
    <row r="227" spans="16:21">
      <c r="P227" s="225"/>
      <c r="U227" s="205"/>
    </row>
    <row r="228" spans="16:21">
      <c r="P228" s="225"/>
      <c r="U228" s="205"/>
    </row>
    <row r="229" spans="16:21">
      <c r="P229" s="225"/>
      <c r="U229" s="205"/>
    </row>
    <row r="230" spans="16:21">
      <c r="P230" s="225"/>
      <c r="U230" s="205"/>
    </row>
    <row r="231" spans="16:21">
      <c r="P231" s="225"/>
      <c r="U231" s="205"/>
    </row>
    <row r="232" spans="16:21">
      <c r="P232" s="225"/>
      <c r="U232" s="205"/>
    </row>
    <row r="233" spans="16:21">
      <c r="P233" s="225"/>
      <c r="U233" s="205"/>
    </row>
    <row r="234" spans="16:21">
      <c r="P234" s="225"/>
      <c r="U234" s="205"/>
    </row>
    <row r="235" spans="16:21">
      <c r="P235" s="225"/>
      <c r="U235" s="205"/>
    </row>
    <row r="236" spans="16:21">
      <c r="P236" s="225"/>
      <c r="U236" s="205"/>
    </row>
    <row r="237" spans="16:21">
      <c r="P237" s="225"/>
      <c r="U237" s="205"/>
    </row>
    <row r="238" spans="16:21">
      <c r="P238" s="225"/>
      <c r="U238" s="205"/>
    </row>
    <row r="239" spans="16:21">
      <c r="P239" s="225"/>
      <c r="U239" s="205"/>
    </row>
    <row r="240" spans="16:21">
      <c r="P240" s="225"/>
      <c r="U240" s="205"/>
    </row>
    <row r="241" spans="16:21">
      <c r="P241" s="225"/>
      <c r="U241" s="205"/>
    </row>
    <row r="242" spans="16:21">
      <c r="P242" s="225"/>
      <c r="U242" s="205"/>
    </row>
    <row r="243" spans="16:21">
      <c r="P243" s="225"/>
      <c r="U243" s="205"/>
    </row>
    <row r="244" spans="16:21">
      <c r="P244" s="225"/>
      <c r="U244" s="205"/>
    </row>
    <row r="245" spans="16:21">
      <c r="P245" s="225"/>
      <c r="U245" s="205"/>
    </row>
    <row r="246" spans="16:21">
      <c r="P246" s="225"/>
      <c r="U246" s="205"/>
    </row>
    <row r="247" spans="16:21">
      <c r="P247" s="225"/>
      <c r="U247" s="205"/>
    </row>
    <row r="248" spans="16:21">
      <c r="P248" s="225"/>
      <c r="U248" s="205"/>
    </row>
    <row r="249" spans="16:21">
      <c r="P249" s="225"/>
      <c r="U249" s="205"/>
    </row>
    <row r="250" spans="16:21">
      <c r="P250" s="225"/>
      <c r="U250" s="205"/>
    </row>
    <row r="251" spans="16:21">
      <c r="P251" s="225"/>
      <c r="U251" s="205"/>
    </row>
    <row r="252" spans="16:21">
      <c r="P252" s="225"/>
      <c r="U252" s="205"/>
    </row>
    <row r="253" spans="16:21">
      <c r="P253" s="225"/>
      <c r="U253" s="205"/>
    </row>
    <row r="254" spans="16:21">
      <c r="P254" s="225"/>
      <c r="U254" s="205"/>
    </row>
    <row r="255" spans="16:21">
      <c r="P255" s="225"/>
      <c r="U255" s="205"/>
    </row>
    <row r="256" spans="16:21">
      <c r="P256" s="225"/>
      <c r="U256" s="205"/>
    </row>
    <row r="257" spans="16:21">
      <c r="P257" s="225"/>
      <c r="U257" s="205"/>
    </row>
    <row r="258" spans="16:21">
      <c r="P258" s="225"/>
      <c r="U258" s="205"/>
    </row>
    <row r="259" spans="16:21">
      <c r="P259" s="225"/>
      <c r="U259" s="205"/>
    </row>
    <row r="260" spans="16:21">
      <c r="P260" s="225"/>
      <c r="U260" s="205"/>
    </row>
    <row r="261" spans="16:21">
      <c r="P261" s="225"/>
      <c r="U261" s="205"/>
    </row>
    <row r="262" spans="16:21">
      <c r="P262" s="225"/>
      <c r="U262" s="205"/>
    </row>
    <row r="263" spans="16:21">
      <c r="P263" s="225"/>
      <c r="U263" s="205"/>
    </row>
    <row r="264" spans="16:21">
      <c r="P264" s="225"/>
      <c r="U264" s="205"/>
    </row>
    <row r="265" spans="16:21">
      <c r="P265" s="225"/>
      <c r="U265" s="205"/>
    </row>
    <row r="266" spans="16:21">
      <c r="P266" s="225"/>
      <c r="U266" s="205"/>
    </row>
    <row r="267" spans="16:21">
      <c r="P267" s="225"/>
      <c r="U267" s="205"/>
    </row>
    <row r="268" spans="16:21">
      <c r="P268" s="225"/>
      <c r="U268" s="205"/>
    </row>
    <row r="269" spans="16:21">
      <c r="P269" s="225"/>
      <c r="U269" s="205"/>
    </row>
    <row r="270" spans="16:21">
      <c r="P270" s="225"/>
      <c r="U270" s="205"/>
    </row>
    <row r="271" spans="16:21">
      <c r="P271" s="225"/>
      <c r="U271" s="205"/>
    </row>
    <row r="272" spans="16:21">
      <c r="P272" s="225"/>
      <c r="U272" s="205"/>
    </row>
    <row r="273" spans="16:21">
      <c r="P273" s="225"/>
      <c r="U273" s="205"/>
    </row>
    <row r="274" spans="16:21">
      <c r="P274" s="225"/>
      <c r="U274" s="205"/>
    </row>
    <row r="275" spans="16:21">
      <c r="P275" s="225"/>
      <c r="U275" s="205"/>
    </row>
    <row r="276" spans="16:21">
      <c r="P276" s="225"/>
      <c r="U276" s="205"/>
    </row>
    <row r="277" spans="16:21">
      <c r="P277" s="225"/>
      <c r="U277" s="205"/>
    </row>
    <row r="278" spans="16:21">
      <c r="P278" s="225"/>
      <c r="U278" s="205"/>
    </row>
    <row r="279" spans="16:21">
      <c r="P279" s="225"/>
      <c r="U279" s="205"/>
    </row>
    <row r="280" spans="16:21">
      <c r="P280" s="225"/>
      <c r="U280" s="205"/>
    </row>
    <row r="281" spans="16:21">
      <c r="P281" s="225"/>
      <c r="U281" s="205"/>
    </row>
    <row r="282" spans="16:21">
      <c r="P282" s="225"/>
      <c r="U282" s="205"/>
    </row>
    <row r="283" spans="16:21">
      <c r="P283" s="225"/>
      <c r="U283" s="205"/>
    </row>
    <row r="284" spans="16:21">
      <c r="P284" s="225"/>
      <c r="U284" s="205"/>
    </row>
    <row r="285" spans="16:21">
      <c r="P285" s="225"/>
      <c r="U285" s="205"/>
    </row>
    <row r="286" spans="16:21">
      <c r="P286" s="225"/>
      <c r="U286" s="205"/>
    </row>
    <row r="287" spans="16:21">
      <c r="P287" s="225"/>
      <c r="U287" s="205"/>
    </row>
    <row r="288" spans="16:21">
      <c r="P288" s="225"/>
      <c r="U288" s="205"/>
    </row>
    <row r="289" spans="16:21">
      <c r="P289" s="225"/>
      <c r="U289" s="205"/>
    </row>
    <row r="290" spans="16:21">
      <c r="P290" s="225"/>
      <c r="U290" s="205"/>
    </row>
    <row r="291" spans="16:21">
      <c r="P291" s="225"/>
      <c r="U291" s="205"/>
    </row>
    <row r="292" spans="16:21">
      <c r="P292" s="225"/>
      <c r="U292" s="205"/>
    </row>
    <row r="293" spans="16:21">
      <c r="P293" s="225"/>
      <c r="U293" s="205"/>
    </row>
    <row r="294" spans="16:21">
      <c r="P294" s="225"/>
      <c r="U294" s="205"/>
    </row>
    <row r="295" spans="16:21">
      <c r="P295" s="225"/>
      <c r="U295" s="205"/>
    </row>
    <row r="296" spans="16:21">
      <c r="P296" s="225"/>
      <c r="U296" s="205"/>
    </row>
    <row r="297" spans="16:21">
      <c r="P297" s="225"/>
      <c r="U297" s="205"/>
    </row>
    <row r="298" spans="16:21">
      <c r="P298" s="225"/>
      <c r="U298" s="205"/>
    </row>
    <row r="299" spans="16:21">
      <c r="P299" s="225"/>
      <c r="U299" s="205"/>
    </row>
    <row r="300" spans="16:21">
      <c r="P300" s="225"/>
      <c r="U300" s="205"/>
    </row>
    <row r="301" spans="16:21">
      <c r="P301" s="225"/>
      <c r="U301" s="205"/>
    </row>
    <row r="302" spans="16:21">
      <c r="P302" s="225"/>
      <c r="U302" s="205"/>
    </row>
    <row r="303" spans="16:21">
      <c r="P303" s="225"/>
      <c r="U303" s="205"/>
    </row>
    <row r="304" spans="16:21">
      <c r="P304" s="225"/>
      <c r="U304" s="205"/>
    </row>
    <row r="305" spans="16:21">
      <c r="P305" s="225"/>
      <c r="U305" s="205"/>
    </row>
    <row r="306" spans="16:21">
      <c r="P306" s="225"/>
      <c r="U306" s="205"/>
    </row>
    <row r="307" spans="16:21">
      <c r="P307" s="225"/>
      <c r="U307" s="205"/>
    </row>
    <row r="308" spans="16:21">
      <c r="P308" s="225"/>
      <c r="U308" s="205"/>
    </row>
    <row r="309" spans="16:21">
      <c r="P309" s="225"/>
      <c r="U309" s="205"/>
    </row>
    <row r="310" spans="16:21">
      <c r="P310" s="225"/>
      <c r="U310" s="205"/>
    </row>
    <row r="311" spans="16:21">
      <c r="P311" s="225"/>
      <c r="U311" s="205"/>
    </row>
    <row r="312" spans="16:21">
      <c r="P312" s="225"/>
      <c r="U312" s="205"/>
    </row>
    <row r="313" spans="16:21">
      <c r="P313" s="225"/>
      <c r="U313" s="205"/>
    </row>
    <row r="314" spans="16:21">
      <c r="P314" s="225"/>
      <c r="U314" s="205"/>
    </row>
    <row r="315" spans="16:21">
      <c r="P315" s="225"/>
      <c r="U315" s="205"/>
    </row>
    <row r="316" spans="16:21">
      <c r="P316" s="225"/>
      <c r="U316" s="205"/>
    </row>
    <row r="317" spans="16:21">
      <c r="P317" s="225"/>
      <c r="U317" s="205"/>
    </row>
    <row r="318" spans="16:21">
      <c r="P318" s="225"/>
      <c r="U318" s="205"/>
    </row>
    <row r="319" spans="16:21">
      <c r="P319" s="225"/>
      <c r="U319" s="205"/>
    </row>
    <row r="320" spans="16:21">
      <c r="P320" s="225"/>
      <c r="U320" s="205"/>
    </row>
    <row r="321" spans="16:21">
      <c r="P321" s="225"/>
      <c r="U321" s="205"/>
    </row>
    <row r="322" spans="16:21">
      <c r="P322" s="225"/>
      <c r="U322" s="205"/>
    </row>
    <row r="323" spans="16:21">
      <c r="P323" s="225"/>
      <c r="U323" s="205"/>
    </row>
    <row r="324" spans="16:21">
      <c r="P324" s="225"/>
      <c r="U324" s="205"/>
    </row>
    <row r="325" spans="16:21">
      <c r="P325" s="225"/>
      <c r="U325" s="205"/>
    </row>
    <row r="326" spans="16:21">
      <c r="P326" s="225"/>
      <c r="U326" s="205"/>
    </row>
    <row r="327" spans="16:21">
      <c r="P327" s="225"/>
      <c r="U327" s="205"/>
    </row>
    <row r="328" spans="16:21">
      <c r="P328" s="225"/>
      <c r="U328" s="205"/>
    </row>
    <row r="329" spans="16:21">
      <c r="P329" s="225"/>
      <c r="U329" s="205"/>
    </row>
    <row r="330" spans="16:21">
      <c r="P330" s="225"/>
      <c r="U330" s="205"/>
    </row>
    <row r="331" spans="16:21">
      <c r="P331" s="225"/>
      <c r="U331" s="205"/>
    </row>
    <row r="332" spans="16:21">
      <c r="P332" s="225"/>
      <c r="U332" s="205"/>
    </row>
    <row r="333" spans="16:21">
      <c r="P333" s="225"/>
      <c r="U333" s="205"/>
    </row>
    <row r="334" spans="16:21">
      <c r="P334" s="225"/>
      <c r="U334" s="205"/>
    </row>
    <row r="335" spans="16:21">
      <c r="P335" s="225"/>
      <c r="U335" s="205"/>
    </row>
    <row r="336" spans="16:21">
      <c r="P336" s="225"/>
      <c r="U336" s="205"/>
    </row>
    <row r="337" spans="16:21">
      <c r="P337" s="225"/>
      <c r="U337" s="205"/>
    </row>
    <row r="338" spans="16:21">
      <c r="P338" s="225"/>
      <c r="U338" s="205"/>
    </row>
    <row r="339" spans="16:21">
      <c r="P339" s="225"/>
      <c r="U339" s="205"/>
    </row>
    <row r="340" spans="16:21">
      <c r="P340" s="225"/>
      <c r="U340" s="205"/>
    </row>
    <row r="341" spans="16:21">
      <c r="P341" s="225"/>
      <c r="U341" s="205"/>
    </row>
    <row r="342" spans="16:21">
      <c r="P342" s="225"/>
      <c r="U342" s="205"/>
    </row>
    <row r="343" spans="16:21">
      <c r="P343" s="225"/>
      <c r="U343" s="205"/>
    </row>
    <row r="344" spans="16:21">
      <c r="P344" s="225"/>
      <c r="U344" s="205"/>
    </row>
    <row r="345" spans="16:21">
      <c r="P345" s="225"/>
      <c r="U345" s="205"/>
    </row>
    <row r="346" spans="16:21">
      <c r="P346" s="225"/>
      <c r="U346" s="205"/>
    </row>
    <row r="347" spans="16:21">
      <c r="P347" s="225"/>
      <c r="U347" s="205"/>
    </row>
    <row r="348" spans="16:21">
      <c r="P348" s="225"/>
      <c r="U348" s="205"/>
    </row>
    <row r="349" spans="16:21">
      <c r="P349" s="225"/>
      <c r="U349" s="205"/>
    </row>
    <row r="350" spans="16:21">
      <c r="P350" s="225"/>
      <c r="U350" s="205"/>
    </row>
    <row r="351" spans="16:21">
      <c r="P351" s="225"/>
      <c r="U351" s="205"/>
    </row>
    <row r="352" spans="16:21">
      <c r="P352" s="225"/>
      <c r="U352" s="205"/>
    </row>
    <row r="353" spans="16:21">
      <c r="P353" s="225"/>
      <c r="U353" s="205"/>
    </row>
    <row r="354" spans="16:21">
      <c r="P354" s="225"/>
      <c r="U354" s="205"/>
    </row>
    <row r="355" spans="16:21">
      <c r="P355" s="225"/>
      <c r="U355" s="205"/>
    </row>
    <row r="356" spans="16:21">
      <c r="P356" s="225"/>
      <c r="U356" s="205"/>
    </row>
    <row r="357" spans="16:21">
      <c r="P357" s="225"/>
      <c r="U357" s="205"/>
    </row>
    <row r="358" spans="16:21">
      <c r="P358" s="225"/>
      <c r="U358" s="205"/>
    </row>
    <row r="359" spans="16:21">
      <c r="P359" s="225"/>
      <c r="U359" s="205"/>
    </row>
    <row r="360" spans="16:21">
      <c r="P360" s="225"/>
      <c r="U360" s="205"/>
    </row>
    <row r="361" spans="16:21">
      <c r="P361" s="225"/>
      <c r="U361" s="205"/>
    </row>
    <row r="362" spans="16:21">
      <c r="P362" s="225"/>
      <c r="U362" s="205"/>
    </row>
    <row r="363" spans="16:21">
      <c r="P363" s="225"/>
      <c r="U363" s="205"/>
    </row>
    <row r="364" spans="16:21">
      <c r="P364" s="225"/>
      <c r="U364" s="205"/>
    </row>
    <row r="365" spans="16:21">
      <c r="P365" s="225"/>
      <c r="U365" s="205"/>
    </row>
    <row r="366" spans="16:21">
      <c r="P366" s="225"/>
      <c r="U366" s="205"/>
    </row>
    <row r="367" spans="16:21">
      <c r="P367" s="225"/>
      <c r="U367" s="205"/>
    </row>
    <row r="368" spans="16:21">
      <c r="P368" s="225"/>
      <c r="U368" s="205"/>
    </row>
    <row r="369" spans="16:21">
      <c r="P369" s="225"/>
      <c r="U369" s="205"/>
    </row>
    <row r="370" spans="16:21">
      <c r="P370" s="225"/>
      <c r="U370" s="205"/>
    </row>
    <row r="371" spans="16:21">
      <c r="P371" s="225"/>
      <c r="U371" s="205"/>
    </row>
    <row r="372" spans="16:21">
      <c r="P372" s="225"/>
      <c r="U372" s="205"/>
    </row>
    <row r="373" spans="16:21">
      <c r="P373" s="225"/>
      <c r="U373" s="205"/>
    </row>
    <row r="374" spans="16:21">
      <c r="P374" s="225"/>
      <c r="U374" s="205"/>
    </row>
    <row r="375" spans="16:21">
      <c r="P375" s="225"/>
      <c r="U375" s="205"/>
    </row>
    <row r="376" spans="16:21">
      <c r="P376" s="225"/>
      <c r="U376" s="205"/>
    </row>
    <row r="377" spans="16:21">
      <c r="P377" s="225"/>
      <c r="U377" s="205"/>
    </row>
    <row r="378" spans="16:21">
      <c r="P378" s="225"/>
      <c r="U378" s="205"/>
    </row>
    <row r="379" spans="16:21">
      <c r="P379" s="225"/>
      <c r="U379" s="205"/>
    </row>
    <row r="380" spans="16:21">
      <c r="P380" s="225"/>
      <c r="U380" s="205"/>
    </row>
    <row r="381" spans="16:21">
      <c r="P381" s="225"/>
      <c r="U381" s="205"/>
    </row>
    <row r="382" spans="16:21">
      <c r="P382" s="225"/>
      <c r="U382" s="205"/>
    </row>
    <row r="383" spans="16:21">
      <c r="P383" s="225"/>
      <c r="U383" s="205"/>
    </row>
    <row r="384" spans="16:21">
      <c r="P384" s="225"/>
      <c r="U384" s="205"/>
    </row>
    <row r="385" spans="16:21">
      <c r="P385" s="225"/>
      <c r="U385" s="205"/>
    </row>
    <row r="386" spans="16:21">
      <c r="P386" s="225"/>
      <c r="U386" s="205"/>
    </row>
    <row r="387" spans="16:21">
      <c r="P387" s="225"/>
      <c r="U387" s="205"/>
    </row>
    <row r="388" spans="16:21">
      <c r="P388" s="225"/>
      <c r="U388" s="205"/>
    </row>
    <row r="389" spans="16:21">
      <c r="P389" s="225"/>
      <c r="U389" s="205"/>
    </row>
    <row r="390" spans="16:21">
      <c r="P390" s="225"/>
      <c r="U390" s="205"/>
    </row>
    <row r="391" spans="16:21">
      <c r="P391" s="225"/>
      <c r="U391" s="205"/>
    </row>
    <row r="392" spans="16:21">
      <c r="P392" s="225"/>
      <c r="U392" s="205"/>
    </row>
    <row r="393" spans="16:21">
      <c r="P393" s="225"/>
      <c r="U393" s="205"/>
    </row>
    <row r="394" spans="16:21">
      <c r="P394" s="225"/>
      <c r="U394" s="205"/>
    </row>
    <row r="395" spans="16:21">
      <c r="P395" s="225"/>
      <c r="U395" s="205"/>
    </row>
    <row r="396" spans="16:21">
      <c r="P396" s="225"/>
      <c r="U396" s="205"/>
    </row>
    <row r="397" spans="16:21">
      <c r="P397" s="225"/>
      <c r="U397" s="205"/>
    </row>
    <row r="398" spans="16:21">
      <c r="P398" s="225"/>
      <c r="U398" s="205"/>
    </row>
    <row r="399" spans="16:21">
      <c r="P399" s="225"/>
      <c r="U399" s="205"/>
    </row>
    <row r="400" spans="16:21">
      <c r="P400" s="225"/>
      <c r="U400" s="205"/>
    </row>
    <row r="401" spans="16:21">
      <c r="P401" s="225"/>
      <c r="U401" s="205"/>
    </row>
    <row r="402" spans="16:21">
      <c r="P402" s="225"/>
      <c r="U402" s="205"/>
    </row>
    <row r="403" spans="16:21">
      <c r="P403" s="225"/>
      <c r="U403" s="205"/>
    </row>
    <row r="404" spans="16:21">
      <c r="P404" s="225"/>
      <c r="U404" s="205"/>
    </row>
    <row r="405" spans="16:21">
      <c r="P405" s="225"/>
      <c r="U405" s="205"/>
    </row>
    <row r="406" spans="16:21">
      <c r="P406" s="225"/>
      <c r="U406" s="205"/>
    </row>
    <row r="407" spans="16:21">
      <c r="P407" s="225"/>
      <c r="U407" s="205"/>
    </row>
    <row r="408" spans="16:21">
      <c r="P408" s="225"/>
      <c r="U408" s="205"/>
    </row>
    <row r="409" spans="16:21">
      <c r="P409" s="225"/>
      <c r="U409" s="205"/>
    </row>
    <row r="410" spans="16:21">
      <c r="P410" s="225"/>
      <c r="U410" s="205"/>
    </row>
    <row r="411" spans="16:21">
      <c r="P411" s="225"/>
      <c r="U411" s="205"/>
    </row>
    <row r="412" spans="16:21">
      <c r="P412" s="225"/>
      <c r="U412" s="205"/>
    </row>
    <row r="413" spans="16:21">
      <c r="P413" s="225"/>
      <c r="U413" s="205"/>
    </row>
    <row r="414" spans="16:21">
      <c r="P414" s="225"/>
      <c r="U414" s="205"/>
    </row>
    <row r="415" spans="16:21">
      <c r="P415" s="225"/>
      <c r="U415" s="205"/>
    </row>
    <row r="416" spans="16:21">
      <c r="P416" s="225"/>
      <c r="U416" s="205"/>
    </row>
    <row r="417" spans="16:21">
      <c r="P417" s="225"/>
      <c r="U417" s="205"/>
    </row>
    <row r="418" spans="16:21">
      <c r="P418" s="225"/>
      <c r="U418" s="205"/>
    </row>
    <row r="419" spans="16:21">
      <c r="P419" s="225"/>
      <c r="U419" s="205"/>
    </row>
    <row r="420" spans="16:21">
      <c r="P420" s="225"/>
      <c r="U420" s="205"/>
    </row>
    <row r="421" spans="16:21">
      <c r="P421" s="225"/>
      <c r="U421" s="205"/>
    </row>
    <row r="422" spans="16:21">
      <c r="P422" s="225"/>
      <c r="U422" s="205"/>
    </row>
    <row r="423" spans="16:21">
      <c r="P423" s="225"/>
      <c r="U423" s="205"/>
    </row>
    <row r="424" spans="16:21">
      <c r="P424" s="225"/>
      <c r="U424" s="205"/>
    </row>
    <row r="425" spans="16:21">
      <c r="P425" s="225"/>
      <c r="U425" s="205"/>
    </row>
    <row r="426" spans="16:21">
      <c r="P426" s="225"/>
      <c r="U426" s="205"/>
    </row>
    <row r="427" spans="16:21">
      <c r="P427" s="225"/>
      <c r="U427" s="205"/>
    </row>
    <row r="428" spans="16:21">
      <c r="P428" s="225"/>
      <c r="U428" s="205"/>
    </row>
    <row r="429" spans="16:21">
      <c r="P429" s="225"/>
      <c r="U429" s="205"/>
    </row>
    <row r="430" spans="16:21">
      <c r="P430" s="225"/>
      <c r="U430" s="205"/>
    </row>
    <row r="431" spans="16:21">
      <c r="P431" s="225"/>
      <c r="U431" s="205"/>
    </row>
    <row r="432" spans="16:21">
      <c r="P432" s="225"/>
      <c r="U432" s="205"/>
    </row>
    <row r="433" spans="16:21">
      <c r="P433" s="225"/>
      <c r="U433" s="205"/>
    </row>
    <row r="434" spans="16:21">
      <c r="P434" s="225"/>
      <c r="U434" s="205"/>
    </row>
    <row r="435" spans="16:21">
      <c r="P435" s="225"/>
      <c r="U435" s="205"/>
    </row>
    <row r="436" spans="16:21">
      <c r="P436" s="225"/>
      <c r="U436" s="205"/>
    </row>
    <row r="437" spans="16:21">
      <c r="P437" s="225"/>
      <c r="U437" s="205"/>
    </row>
    <row r="438" spans="16:21">
      <c r="P438" s="225"/>
      <c r="U438" s="205"/>
    </row>
    <row r="439" spans="16:21">
      <c r="P439" s="225"/>
      <c r="U439" s="205"/>
    </row>
    <row r="440" spans="16:21">
      <c r="P440" s="225"/>
      <c r="U440" s="205"/>
    </row>
    <row r="441" spans="16:21">
      <c r="P441" s="225"/>
      <c r="U441" s="205"/>
    </row>
    <row r="442" spans="16:21">
      <c r="P442" s="225"/>
      <c r="U442" s="205"/>
    </row>
    <row r="443" spans="16:21">
      <c r="P443" s="225"/>
      <c r="U443" s="205"/>
    </row>
    <row r="444" spans="16:21">
      <c r="P444" s="225"/>
      <c r="U444" s="205"/>
    </row>
    <row r="445" spans="16:21">
      <c r="P445" s="225"/>
      <c r="U445" s="205"/>
    </row>
    <row r="446" spans="16:21">
      <c r="P446" s="225"/>
      <c r="U446" s="205"/>
    </row>
    <row r="447" spans="16:21">
      <c r="P447" s="225"/>
      <c r="U447" s="205"/>
    </row>
    <row r="448" spans="16:21">
      <c r="P448" s="225"/>
      <c r="U448" s="205"/>
    </row>
    <row r="449" spans="16:21">
      <c r="P449" s="225"/>
      <c r="U449" s="205"/>
    </row>
    <row r="450" spans="16:21">
      <c r="P450" s="225"/>
      <c r="U450" s="205"/>
    </row>
    <row r="451" spans="16:21">
      <c r="P451" s="225"/>
      <c r="U451" s="205"/>
    </row>
    <row r="452" spans="16:21">
      <c r="P452" s="225"/>
      <c r="U452" s="205"/>
    </row>
    <row r="453" spans="16:21">
      <c r="P453" s="225"/>
      <c r="U453" s="205"/>
    </row>
    <row r="454" spans="16:21">
      <c r="P454" s="225"/>
      <c r="U454" s="205"/>
    </row>
    <row r="455" spans="16:21">
      <c r="P455" s="225"/>
      <c r="U455" s="205"/>
    </row>
    <row r="456" spans="16:21">
      <c r="P456" s="225"/>
      <c r="U456" s="205"/>
    </row>
    <row r="457" spans="16:21">
      <c r="P457" s="225"/>
      <c r="U457" s="205"/>
    </row>
    <row r="458" spans="16:21">
      <c r="P458" s="225"/>
      <c r="U458" s="205"/>
    </row>
    <row r="459" spans="16:21">
      <c r="P459" s="225"/>
      <c r="U459" s="205"/>
    </row>
    <row r="460" spans="16:21">
      <c r="P460" s="225"/>
      <c r="U460" s="205"/>
    </row>
    <row r="461" spans="16:21">
      <c r="P461" s="225"/>
      <c r="U461" s="205"/>
    </row>
    <row r="462" spans="16:21">
      <c r="P462" s="225"/>
      <c r="U462" s="205"/>
    </row>
    <row r="463" spans="16:21">
      <c r="P463" s="225"/>
      <c r="U463" s="205"/>
    </row>
    <row r="464" spans="16:21">
      <c r="P464" s="225"/>
      <c r="U464" s="205"/>
    </row>
    <row r="465" spans="16:21">
      <c r="P465" s="225"/>
      <c r="U465" s="205"/>
    </row>
    <row r="466" spans="16:21">
      <c r="P466" s="225"/>
      <c r="U466" s="205"/>
    </row>
    <row r="467" spans="16:21">
      <c r="P467" s="225"/>
      <c r="U467" s="205"/>
    </row>
    <row r="468" spans="16:21">
      <c r="P468" s="225"/>
      <c r="U468" s="205"/>
    </row>
    <row r="469" spans="16:21">
      <c r="P469" s="225"/>
      <c r="U469" s="205"/>
    </row>
    <row r="470" spans="16:21">
      <c r="P470" s="225"/>
      <c r="U470" s="205"/>
    </row>
    <row r="471" spans="16:21">
      <c r="P471" s="225"/>
      <c r="U471" s="205"/>
    </row>
    <row r="472" spans="16:21">
      <c r="P472" s="225"/>
      <c r="U472" s="205"/>
    </row>
    <row r="473" spans="16:21">
      <c r="P473" s="225"/>
      <c r="U473" s="205"/>
    </row>
    <row r="474" spans="16:21">
      <c r="P474" s="225"/>
      <c r="U474" s="205"/>
    </row>
    <row r="475" spans="16:21">
      <c r="P475" s="225"/>
      <c r="U475" s="205"/>
    </row>
    <row r="476" spans="16:21">
      <c r="P476" s="225"/>
      <c r="U476" s="205"/>
    </row>
    <row r="477" spans="16:21">
      <c r="P477" s="225"/>
      <c r="U477" s="205"/>
    </row>
    <row r="478" spans="16:21">
      <c r="P478" s="225"/>
      <c r="U478" s="205"/>
    </row>
    <row r="479" spans="16:21">
      <c r="P479" s="225"/>
      <c r="U479" s="205"/>
    </row>
    <row r="480" spans="16:21">
      <c r="P480" s="225"/>
      <c r="U480" s="205"/>
    </row>
    <row r="481" spans="16:21">
      <c r="P481" s="225"/>
      <c r="U481" s="205"/>
    </row>
    <row r="482" spans="16:21">
      <c r="P482" s="225"/>
      <c r="U482" s="205"/>
    </row>
    <row r="483" spans="16:21">
      <c r="P483" s="225"/>
      <c r="U483" s="205"/>
    </row>
    <row r="484" spans="16:21">
      <c r="P484" s="225"/>
      <c r="U484" s="205"/>
    </row>
    <row r="485" spans="16:21">
      <c r="P485" s="225"/>
      <c r="U485" s="205"/>
    </row>
    <row r="486" spans="16:21">
      <c r="P486" s="225"/>
      <c r="U486" s="205"/>
    </row>
    <row r="487" spans="16:21">
      <c r="P487" s="225"/>
      <c r="U487" s="205"/>
    </row>
    <row r="488" spans="16:21">
      <c r="P488" s="225"/>
      <c r="U488" s="205"/>
    </row>
    <row r="489" spans="16:21">
      <c r="P489" s="225"/>
      <c r="U489" s="205"/>
    </row>
    <row r="490" spans="16:21">
      <c r="P490" s="225"/>
      <c r="U490" s="205"/>
    </row>
    <row r="491" spans="16:21">
      <c r="P491" s="225"/>
      <c r="U491" s="205"/>
    </row>
    <row r="492" spans="16:21">
      <c r="P492" s="225"/>
      <c r="U492" s="205"/>
    </row>
    <row r="493" spans="16:21">
      <c r="P493" s="225"/>
      <c r="U493" s="205"/>
    </row>
    <row r="494" spans="16:21">
      <c r="P494" s="225"/>
      <c r="U494" s="205"/>
    </row>
    <row r="495" spans="16:21">
      <c r="P495" s="225"/>
      <c r="U495" s="205"/>
    </row>
    <row r="496" spans="16:21">
      <c r="P496" s="225"/>
      <c r="U496" s="205"/>
    </row>
    <row r="497" spans="16:21">
      <c r="P497" s="225"/>
      <c r="U497" s="205"/>
    </row>
    <row r="498" spans="16:21">
      <c r="P498" s="225"/>
      <c r="U498" s="205"/>
    </row>
    <row r="499" spans="16:21">
      <c r="P499" s="225"/>
      <c r="U499" s="205"/>
    </row>
    <row r="500" spans="16:21">
      <c r="P500" s="225"/>
      <c r="U500" s="205"/>
    </row>
    <row r="501" spans="16:21">
      <c r="P501" s="225"/>
      <c r="U501" s="205"/>
    </row>
    <row r="502" spans="16:21">
      <c r="P502" s="225"/>
      <c r="U502" s="205"/>
    </row>
    <row r="503" spans="16:21">
      <c r="P503" s="225"/>
      <c r="U503" s="205"/>
    </row>
    <row r="504" spans="16:21">
      <c r="P504" s="225"/>
      <c r="U504" s="205"/>
    </row>
    <row r="505" spans="16:21">
      <c r="P505" s="225"/>
      <c r="U505" s="205"/>
    </row>
    <row r="506" spans="16:21">
      <c r="P506" s="225"/>
      <c r="U506" s="205"/>
    </row>
    <row r="507" spans="16:21">
      <c r="P507" s="225"/>
      <c r="U507" s="205"/>
    </row>
    <row r="508" spans="16:21">
      <c r="P508" s="225"/>
      <c r="U508" s="205"/>
    </row>
    <row r="509" spans="16:21">
      <c r="P509" s="225"/>
      <c r="U509" s="205"/>
    </row>
    <row r="510" spans="16:21">
      <c r="P510" s="225"/>
      <c r="U510" s="205"/>
    </row>
    <row r="511" spans="16:21">
      <c r="P511" s="225"/>
      <c r="U511" s="205"/>
    </row>
    <row r="512" spans="16:21">
      <c r="P512" s="225"/>
      <c r="U512" s="205"/>
    </row>
    <row r="513" spans="16:21">
      <c r="P513" s="225"/>
      <c r="U513" s="205"/>
    </row>
    <row r="514" spans="16:21">
      <c r="P514" s="225"/>
      <c r="U514" s="205"/>
    </row>
    <row r="515" spans="16:21">
      <c r="P515" s="225"/>
      <c r="U515" s="205"/>
    </row>
    <row r="516" spans="16:21">
      <c r="P516" s="225"/>
      <c r="U516" s="205"/>
    </row>
    <row r="517" spans="16:21">
      <c r="P517" s="225"/>
      <c r="U517" s="205"/>
    </row>
    <row r="518" spans="16:21">
      <c r="P518" s="225"/>
      <c r="U518" s="205"/>
    </row>
    <row r="519" spans="16:21">
      <c r="P519" s="225"/>
      <c r="U519" s="205"/>
    </row>
    <row r="520" spans="16:21">
      <c r="P520" s="225"/>
      <c r="U520" s="205"/>
    </row>
    <row r="521" spans="16:21">
      <c r="P521" s="225"/>
      <c r="U521" s="205"/>
    </row>
    <row r="522" spans="16:21">
      <c r="P522" s="225"/>
      <c r="U522" s="205"/>
    </row>
    <row r="523" spans="16:21">
      <c r="P523" s="225"/>
      <c r="U523" s="205"/>
    </row>
    <row r="524" spans="16:21">
      <c r="P524" s="225"/>
      <c r="U524" s="205"/>
    </row>
    <row r="525" spans="16:21">
      <c r="P525" s="225"/>
      <c r="U525" s="205"/>
    </row>
    <row r="526" spans="16:21">
      <c r="P526" s="225"/>
      <c r="U526" s="205"/>
    </row>
    <row r="527" spans="16:21">
      <c r="P527" s="225"/>
      <c r="U527" s="205"/>
    </row>
    <row r="528" spans="16:21">
      <c r="P528" s="225"/>
      <c r="U528" s="205"/>
    </row>
    <row r="529" spans="16:21">
      <c r="P529" s="225"/>
      <c r="U529" s="205"/>
    </row>
    <row r="530" spans="16:21">
      <c r="P530" s="225"/>
      <c r="U530" s="205"/>
    </row>
    <row r="531" spans="16:21">
      <c r="P531" s="225"/>
      <c r="U531" s="205"/>
    </row>
    <row r="532" spans="16:21">
      <c r="P532" s="225"/>
      <c r="U532" s="205"/>
    </row>
    <row r="533" spans="16:21">
      <c r="P533" s="225"/>
      <c r="U533" s="205"/>
    </row>
    <row r="534" spans="16:21">
      <c r="P534" s="225"/>
      <c r="U534" s="205"/>
    </row>
    <row r="535" spans="16:21">
      <c r="P535" s="225"/>
      <c r="U535" s="205"/>
    </row>
    <row r="536" spans="16:21">
      <c r="P536" s="225"/>
      <c r="U536" s="205"/>
    </row>
    <row r="537" spans="16:21">
      <c r="P537" s="225"/>
      <c r="U537" s="205"/>
    </row>
    <row r="538" spans="16:21">
      <c r="P538" s="225"/>
      <c r="U538" s="205"/>
    </row>
    <row r="539" spans="16:21">
      <c r="P539" s="225"/>
      <c r="U539" s="205"/>
    </row>
    <row r="540" spans="16:21">
      <c r="P540" s="225"/>
      <c r="U540" s="205"/>
    </row>
    <row r="541" spans="16:21">
      <c r="P541" s="225"/>
      <c r="U541" s="205"/>
    </row>
    <row r="542" spans="16:21">
      <c r="P542" s="225"/>
      <c r="U542" s="205"/>
    </row>
    <row r="543" spans="16:21">
      <c r="P543" s="225"/>
      <c r="U543" s="205"/>
    </row>
    <row r="544" spans="16:21">
      <c r="P544" s="225"/>
      <c r="U544" s="205"/>
    </row>
    <row r="545" spans="16:21">
      <c r="P545" s="225"/>
      <c r="U545" s="205"/>
    </row>
    <row r="546" spans="16:21">
      <c r="P546" s="225"/>
      <c r="U546" s="205"/>
    </row>
    <row r="547" spans="16:21">
      <c r="P547" s="225"/>
      <c r="U547" s="205"/>
    </row>
    <row r="548" spans="16:21">
      <c r="P548" s="225"/>
      <c r="U548" s="205"/>
    </row>
    <row r="549" spans="16:21">
      <c r="P549" s="225"/>
      <c r="U549" s="205"/>
    </row>
    <row r="550" spans="16:21">
      <c r="P550" s="225"/>
      <c r="U550" s="205"/>
    </row>
    <row r="551" spans="16:21">
      <c r="P551" s="225"/>
      <c r="U551" s="205"/>
    </row>
    <row r="552" spans="16:21">
      <c r="P552" s="225"/>
      <c r="U552" s="205"/>
    </row>
    <row r="553" spans="16:21">
      <c r="P553" s="225"/>
      <c r="U553" s="205"/>
    </row>
    <row r="554" spans="16:21">
      <c r="P554" s="225"/>
      <c r="U554" s="205"/>
    </row>
    <row r="555" spans="16:21">
      <c r="P555" s="225"/>
      <c r="U555" s="205"/>
    </row>
    <row r="556" spans="16:21">
      <c r="P556" s="225"/>
      <c r="U556" s="205"/>
    </row>
    <row r="557" spans="16:21">
      <c r="P557" s="225"/>
      <c r="U557" s="205"/>
    </row>
    <row r="558" spans="16:21">
      <c r="P558" s="225"/>
      <c r="U558" s="205"/>
    </row>
    <row r="559" spans="16:21">
      <c r="P559" s="225"/>
      <c r="U559" s="205"/>
    </row>
    <row r="560" spans="16:21">
      <c r="P560" s="225"/>
      <c r="U560" s="205"/>
    </row>
    <row r="561" spans="16:21">
      <c r="P561" s="225"/>
      <c r="U561" s="205"/>
    </row>
    <row r="562" spans="16:21">
      <c r="P562" s="225"/>
      <c r="U562" s="205"/>
    </row>
    <row r="563" spans="16:21">
      <c r="P563" s="225"/>
      <c r="U563" s="205"/>
    </row>
    <row r="564" spans="16:21">
      <c r="P564" s="225"/>
      <c r="U564" s="205"/>
    </row>
    <row r="565" spans="16:21">
      <c r="P565" s="225"/>
      <c r="U565" s="205"/>
    </row>
    <row r="566" spans="16:21">
      <c r="P566" s="225"/>
      <c r="U566" s="205"/>
    </row>
    <row r="567" spans="16:21">
      <c r="P567" s="225"/>
      <c r="U567" s="205"/>
    </row>
    <row r="568" spans="16:21">
      <c r="P568" s="225"/>
      <c r="U568" s="205"/>
    </row>
    <row r="569" spans="16:21">
      <c r="P569" s="225"/>
      <c r="U569" s="205"/>
    </row>
    <row r="570" spans="16:21">
      <c r="P570" s="225"/>
      <c r="U570" s="205"/>
    </row>
    <row r="571" spans="16:21">
      <c r="P571" s="225"/>
      <c r="U571" s="205"/>
    </row>
    <row r="572" spans="16:21">
      <c r="P572" s="225"/>
      <c r="U572" s="205"/>
    </row>
    <row r="573" spans="16:21">
      <c r="P573" s="225"/>
      <c r="U573" s="205"/>
    </row>
    <row r="574" spans="16:21">
      <c r="P574" s="225"/>
      <c r="U574" s="205"/>
    </row>
    <row r="575" spans="16:21">
      <c r="P575" s="225"/>
      <c r="U575" s="205"/>
    </row>
    <row r="576" spans="16:21">
      <c r="P576" s="225"/>
      <c r="U576" s="205"/>
    </row>
    <row r="577" spans="16:21">
      <c r="P577" s="225"/>
      <c r="U577" s="205"/>
    </row>
    <row r="578" spans="16:21">
      <c r="P578" s="225"/>
      <c r="U578" s="205"/>
    </row>
    <row r="579" spans="16:21">
      <c r="P579" s="225"/>
      <c r="U579" s="205"/>
    </row>
    <row r="580" spans="16:21">
      <c r="P580" s="225"/>
      <c r="U580" s="205"/>
    </row>
    <row r="581" spans="16:21">
      <c r="P581" s="225"/>
      <c r="U581" s="205"/>
    </row>
    <row r="582" spans="16:21">
      <c r="P582" s="225"/>
      <c r="U582" s="205"/>
    </row>
    <row r="583" spans="16:21">
      <c r="P583" s="225"/>
      <c r="U583" s="205"/>
    </row>
    <row r="584" spans="16:21">
      <c r="P584" s="225"/>
      <c r="U584" s="205"/>
    </row>
    <row r="585" spans="16:21">
      <c r="P585" s="225"/>
      <c r="U585" s="205"/>
    </row>
    <row r="586" spans="16:21">
      <c r="P586" s="225"/>
      <c r="U586" s="205"/>
    </row>
    <row r="587" spans="16:21">
      <c r="P587" s="225"/>
      <c r="U587" s="205"/>
    </row>
    <row r="588" spans="16:21">
      <c r="P588" s="225"/>
      <c r="U588" s="205"/>
    </row>
    <row r="589" spans="16:21">
      <c r="P589" s="225"/>
      <c r="U589" s="205"/>
    </row>
    <row r="590" spans="16:21">
      <c r="P590" s="225"/>
      <c r="U590" s="205"/>
    </row>
    <row r="591" spans="16:21">
      <c r="P591" s="225"/>
      <c r="U591" s="205"/>
    </row>
    <row r="592" spans="16:21">
      <c r="P592" s="225"/>
      <c r="U592" s="205"/>
    </row>
    <row r="593" spans="16:21">
      <c r="P593" s="225"/>
      <c r="U593" s="205"/>
    </row>
    <row r="594" spans="16:21">
      <c r="P594" s="225"/>
      <c r="U594" s="205"/>
    </row>
    <row r="595" spans="16:21">
      <c r="P595" s="225"/>
      <c r="U595" s="205"/>
    </row>
    <row r="596" spans="16:21">
      <c r="P596" s="225"/>
      <c r="U596" s="205"/>
    </row>
    <row r="597" spans="16:21">
      <c r="P597" s="225"/>
      <c r="U597" s="205"/>
    </row>
    <row r="598" spans="16:21">
      <c r="P598" s="225"/>
      <c r="U598" s="205"/>
    </row>
    <row r="599" spans="16:21">
      <c r="P599" s="225"/>
      <c r="U599" s="205"/>
    </row>
    <row r="600" spans="16:21">
      <c r="P600" s="225"/>
      <c r="U600" s="205"/>
    </row>
    <row r="601" spans="16:21">
      <c r="P601" s="225"/>
      <c r="U601" s="205"/>
    </row>
    <row r="602" spans="16:21">
      <c r="P602" s="225"/>
      <c r="U602" s="205"/>
    </row>
    <row r="603" spans="16:21">
      <c r="P603" s="225"/>
      <c r="U603" s="205"/>
    </row>
    <row r="604" spans="16:21">
      <c r="P604" s="225"/>
      <c r="U604" s="205"/>
    </row>
    <row r="605" spans="16:21">
      <c r="P605" s="225"/>
      <c r="U605" s="205"/>
    </row>
    <row r="606" spans="16:21">
      <c r="P606" s="225"/>
      <c r="U606" s="205"/>
    </row>
    <row r="607" spans="16:21">
      <c r="P607" s="225"/>
      <c r="U607" s="205"/>
    </row>
    <row r="608" spans="16:21">
      <c r="P608" s="225"/>
      <c r="U608" s="205"/>
    </row>
    <row r="609" spans="16:21">
      <c r="P609" s="225"/>
      <c r="U609" s="205"/>
    </row>
    <row r="610" spans="16:21">
      <c r="P610" s="225"/>
      <c r="U610" s="205"/>
    </row>
    <row r="611" spans="16:21">
      <c r="P611" s="225"/>
      <c r="U611" s="205"/>
    </row>
    <row r="612" spans="16:21">
      <c r="P612" s="225"/>
      <c r="U612" s="205"/>
    </row>
    <row r="613" spans="16:21">
      <c r="P613" s="225"/>
      <c r="U613" s="205"/>
    </row>
    <row r="614" spans="16:21">
      <c r="P614" s="225"/>
      <c r="U614" s="205"/>
    </row>
    <row r="615" spans="16:21">
      <c r="P615" s="225"/>
      <c r="U615" s="205"/>
    </row>
    <row r="616" spans="16:21">
      <c r="P616" s="225"/>
      <c r="U616" s="205"/>
    </row>
    <row r="617" spans="16:21">
      <c r="P617" s="225"/>
      <c r="U617" s="205"/>
    </row>
    <row r="618" spans="16:21">
      <c r="P618" s="225"/>
      <c r="U618" s="205"/>
    </row>
    <row r="619" spans="16:21">
      <c r="P619" s="225"/>
      <c r="U619" s="205"/>
    </row>
    <row r="620" spans="16:21">
      <c r="P620" s="225"/>
      <c r="U620" s="205"/>
    </row>
    <row r="621" spans="16:21">
      <c r="P621" s="225"/>
      <c r="U621" s="205"/>
    </row>
    <row r="622" spans="16:21">
      <c r="P622" s="225"/>
      <c r="U622" s="205"/>
    </row>
    <row r="623" spans="16:21">
      <c r="P623" s="225"/>
      <c r="U623" s="205"/>
    </row>
    <row r="624" spans="16:21">
      <c r="P624" s="225"/>
      <c r="U624" s="205"/>
    </row>
    <row r="625" spans="16:21">
      <c r="P625" s="225"/>
      <c r="U625" s="205"/>
    </row>
    <row r="626" spans="16:21">
      <c r="P626" s="225"/>
      <c r="U626" s="205"/>
    </row>
    <row r="627" spans="16:21">
      <c r="P627" s="225"/>
      <c r="U627" s="205"/>
    </row>
    <row r="628" spans="16:21">
      <c r="P628" s="225"/>
      <c r="U628" s="205"/>
    </row>
    <row r="629" spans="16:21">
      <c r="P629" s="225"/>
      <c r="U629" s="205"/>
    </row>
    <row r="630" spans="16:21">
      <c r="P630" s="225"/>
      <c r="U630" s="205"/>
    </row>
    <row r="631" spans="16:21">
      <c r="P631" s="225"/>
      <c r="U631" s="205"/>
    </row>
    <row r="632" spans="16:21">
      <c r="P632" s="225"/>
      <c r="U632" s="205"/>
    </row>
    <row r="633" spans="16:21">
      <c r="P633" s="225"/>
      <c r="U633" s="205"/>
    </row>
    <row r="634" spans="16:21">
      <c r="P634" s="225"/>
      <c r="U634" s="205"/>
    </row>
    <row r="635" spans="16:21">
      <c r="P635" s="225"/>
      <c r="U635" s="205"/>
    </row>
    <row r="636" spans="16:21">
      <c r="P636" s="225"/>
      <c r="U636" s="205"/>
    </row>
    <row r="637" spans="16:21">
      <c r="P637" s="225"/>
      <c r="U637" s="205"/>
    </row>
    <row r="638" spans="16:21">
      <c r="P638" s="225"/>
      <c r="U638" s="205"/>
    </row>
    <row r="639" spans="16:21">
      <c r="P639" s="225"/>
      <c r="U639" s="205"/>
    </row>
    <row r="640" spans="16:21">
      <c r="P640" s="225"/>
      <c r="U640" s="205"/>
    </row>
    <row r="641" spans="16:21">
      <c r="P641" s="225"/>
      <c r="U641" s="205"/>
    </row>
    <row r="642" spans="16:21">
      <c r="P642" s="225"/>
      <c r="U642" s="205"/>
    </row>
    <row r="643" spans="16:21">
      <c r="P643" s="225"/>
      <c r="U643" s="205"/>
    </row>
    <row r="644" spans="16:21">
      <c r="P644" s="225"/>
      <c r="U644" s="205"/>
    </row>
    <row r="645" spans="16:21">
      <c r="P645" s="225"/>
      <c r="U645" s="205"/>
    </row>
    <row r="646" spans="16:21">
      <c r="P646" s="225"/>
      <c r="U646" s="205"/>
    </row>
    <row r="647" spans="16:21">
      <c r="P647" s="225"/>
      <c r="U647" s="205"/>
    </row>
    <row r="648" spans="16:21">
      <c r="P648" s="225"/>
      <c r="U648" s="205"/>
    </row>
    <row r="649" spans="16:21">
      <c r="P649" s="225"/>
      <c r="U649" s="205"/>
    </row>
    <row r="650" spans="16:21">
      <c r="P650" s="225"/>
      <c r="U650" s="205"/>
    </row>
    <row r="651" spans="16:21">
      <c r="P651" s="225"/>
      <c r="U651" s="205"/>
    </row>
    <row r="652" spans="16:21">
      <c r="P652" s="225"/>
      <c r="U652" s="205"/>
    </row>
    <row r="653" spans="16:21">
      <c r="P653" s="225"/>
      <c r="U653" s="205"/>
    </row>
    <row r="654" spans="16:21">
      <c r="P654" s="225"/>
      <c r="U654" s="205"/>
    </row>
    <row r="655" spans="16:21">
      <c r="P655" s="225"/>
      <c r="U655" s="205"/>
    </row>
    <row r="656" spans="16:21">
      <c r="P656" s="225"/>
      <c r="U656" s="205"/>
    </row>
    <row r="657" spans="16:21">
      <c r="P657" s="225"/>
      <c r="U657" s="205"/>
    </row>
    <row r="658" spans="16:21">
      <c r="P658" s="225"/>
      <c r="U658" s="205"/>
    </row>
    <row r="659" spans="16:21">
      <c r="P659" s="225"/>
      <c r="U659" s="205"/>
    </row>
    <row r="660" spans="16:21">
      <c r="P660" s="225"/>
      <c r="U660" s="205"/>
    </row>
    <row r="661" spans="16:21">
      <c r="P661" s="225"/>
      <c r="U661" s="205"/>
    </row>
    <row r="662" spans="16:21">
      <c r="P662" s="225"/>
      <c r="U662" s="205"/>
    </row>
    <row r="663" spans="16:21">
      <c r="P663" s="225"/>
      <c r="U663" s="205"/>
    </row>
    <row r="664" spans="16:21">
      <c r="P664" s="225"/>
      <c r="U664" s="205"/>
    </row>
    <row r="665" spans="16:21">
      <c r="P665" s="225"/>
      <c r="U665" s="205"/>
    </row>
    <row r="666" spans="16:21">
      <c r="P666" s="225"/>
      <c r="U666" s="205"/>
    </row>
    <row r="667" spans="16:21">
      <c r="P667" s="225"/>
      <c r="U667" s="205"/>
    </row>
    <row r="668" spans="16:21">
      <c r="P668" s="225"/>
      <c r="U668" s="205"/>
    </row>
    <row r="669" spans="16:21">
      <c r="P669" s="225"/>
      <c r="U669" s="205"/>
    </row>
    <row r="670" spans="16:21">
      <c r="P670" s="225"/>
      <c r="U670" s="205"/>
    </row>
    <row r="671" spans="16:21">
      <c r="P671" s="225"/>
      <c r="U671" s="205"/>
    </row>
    <row r="672" spans="16:21">
      <c r="P672" s="225"/>
      <c r="U672" s="205"/>
    </row>
    <row r="673" spans="16:21">
      <c r="P673" s="225"/>
      <c r="U673" s="205"/>
    </row>
    <row r="674" spans="16:21">
      <c r="P674" s="225"/>
      <c r="U674" s="205"/>
    </row>
    <row r="675" spans="16:21">
      <c r="P675" s="225"/>
      <c r="U675" s="205"/>
    </row>
    <row r="676" spans="16:21">
      <c r="P676" s="225"/>
      <c r="U676" s="205"/>
    </row>
    <row r="677" spans="16:21">
      <c r="P677" s="225"/>
      <c r="U677" s="205"/>
    </row>
    <row r="678" spans="16:21">
      <c r="P678" s="225"/>
      <c r="U678" s="205"/>
    </row>
    <row r="679" spans="16:21">
      <c r="P679" s="225"/>
      <c r="U679" s="205"/>
    </row>
    <row r="680" spans="16:21">
      <c r="P680" s="225"/>
      <c r="U680" s="205"/>
    </row>
    <row r="681" spans="16:21">
      <c r="P681" s="225"/>
      <c r="U681" s="205"/>
    </row>
    <row r="682" spans="16:21">
      <c r="P682" s="225"/>
      <c r="U682" s="205"/>
    </row>
    <row r="683" spans="16:21">
      <c r="P683" s="225"/>
      <c r="U683" s="205"/>
    </row>
    <row r="684" spans="16:21">
      <c r="P684" s="225"/>
      <c r="U684" s="205"/>
    </row>
    <row r="685" spans="16:21">
      <c r="P685" s="225"/>
      <c r="U685" s="205"/>
    </row>
    <row r="686" spans="16:21">
      <c r="P686" s="225"/>
      <c r="U686" s="205"/>
    </row>
    <row r="687" spans="16:21">
      <c r="P687" s="225"/>
      <c r="U687" s="205"/>
    </row>
    <row r="688" spans="16:21">
      <c r="P688" s="225"/>
      <c r="U688" s="205"/>
    </row>
    <row r="689" spans="16:21">
      <c r="P689" s="225"/>
      <c r="U689" s="205"/>
    </row>
    <row r="690" spans="16:21">
      <c r="P690" s="225"/>
      <c r="U690" s="205"/>
    </row>
    <row r="691" spans="16:21">
      <c r="P691" s="225"/>
      <c r="U691" s="205"/>
    </row>
    <row r="692" spans="16:21">
      <c r="P692" s="225"/>
      <c r="U692" s="205"/>
    </row>
    <row r="693" spans="16:21">
      <c r="P693" s="225"/>
      <c r="U693" s="205"/>
    </row>
    <row r="694" spans="16:21">
      <c r="P694" s="225"/>
      <c r="U694" s="205"/>
    </row>
    <row r="695" spans="16:21">
      <c r="P695" s="225"/>
      <c r="U695" s="205"/>
    </row>
    <row r="696" spans="16:21">
      <c r="P696" s="225"/>
      <c r="U696" s="205"/>
    </row>
    <row r="697" spans="16:21">
      <c r="P697" s="225"/>
      <c r="U697" s="205"/>
    </row>
    <row r="698" spans="16:21">
      <c r="P698" s="225"/>
      <c r="U698" s="205"/>
    </row>
    <row r="699" spans="16:21">
      <c r="P699" s="225"/>
      <c r="U699" s="205"/>
    </row>
    <row r="700" spans="16:21">
      <c r="P700" s="225"/>
      <c r="U700" s="205"/>
    </row>
    <row r="701" spans="16:21">
      <c r="P701" s="225"/>
      <c r="U701" s="205"/>
    </row>
    <row r="702" spans="16:21">
      <c r="P702" s="225"/>
      <c r="U702" s="205"/>
    </row>
    <row r="703" spans="16:21">
      <c r="P703" s="225"/>
      <c r="U703" s="205"/>
    </row>
    <row r="704" spans="16:21">
      <c r="P704" s="225"/>
      <c r="U704" s="205"/>
    </row>
    <row r="705" spans="16:21">
      <c r="P705" s="225"/>
      <c r="U705" s="205"/>
    </row>
    <row r="706" spans="16:21">
      <c r="P706" s="225"/>
      <c r="U706" s="205"/>
    </row>
    <row r="707" spans="16:21">
      <c r="P707" s="225"/>
      <c r="U707" s="205"/>
    </row>
    <row r="708" spans="16:21">
      <c r="P708" s="225"/>
      <c r="U708" s="205"/>
    </row>
    <row r="709" spans="16:21">
      <c r="P709" s="225"/>
      <c r="U709" s="205"/>
    </row>
    <row r="710" spans="16:21">
      <c r="P710" s="225"/>
      <c r="U710" s="205"/>
    </row>
    <row r="711" spans="16:21">
      <c r="P711" s="225"/>
      <c r="U711" s="205"/>
    </row>
    <row r="712" spans="16:21">
      <c r="P712" s="225"/>
      <c r="U712" s="205"/>
    </row>
    <row r="713" spans="16:21">
      <c r="P713" s="225"/>
      <c r="U713" s="205"/>
    </row>
    <row r="714" spans="16:21">
      <c r="P714" s="225"/>
      <c r="U714" s="205"/>
    </row>
    <row r="715" spans="16:21">
      <c r="P715" s="225"/>
      <c r="U715" s="205"/>
    </row>
    <row r="716" spans="16:21">
      <c r="P716" s="225"/>
      <c r="U716" s="205"/>
    </row>
    <row r="717" spans="16:21">
      <c r="P717" s="225"/>
      <c r="U717" s="205"/>
    </row>
    <row r="718" spans="16:21">
      <c r="P718" s="225"/>
      <c r="U718" s="205"/>
    </row>
    <row r="719" spans="16:21">
      <c r="P719" s="225"/>
      <c r="U719" s="205"/>
    </row>
    <row r="720" spans="16:21">
      <c r="P720" s="225"/>
      <c r="U720" s="205"/>
    </row>
    <row r="721" spans="16:21">
      <c r="P721" s="225"/>
      <c r="U721" s="205"/>
    </row>
    <row r="722" spans="16:21">
      <c r="P722" s="225"/>
      <c r="U722" s="205"/>
    </row>
    <row r="723" spans="16:21">
      <c r="P723" s="225"/>
      <c r="U723" s="205"/>
    </row>
    <row r="724" spans="16:21">
      <c r="P724" s="225"/>
      <c r="U724" s="205"/>
    </row>
    <row r="725" spans="16:21">
      <c r="P725" s="225"/>
      <c r="U725" s="205"/>
    </row>
    <row r="726" spans="16:21">
      <c r="P726" s="225"/>
      <c r="U726" s="205"/>
    </row>
    <row r="727" spans="16:21">
      <c r="P727" s="225"/>
      <c r="U727" s="205"/>
    </row>
    <row r="728" spans="16:21">
      <c r="P728" s="225"/>
      <c r="U728" s="205"/>
    </row>
    <row r="729" spans="16:21">
      <c r="P729" s="225"/>
      <c r="U729" s="205"/>
    </row>
    <row r="730" spans="16:21">
      <c r="P730" s="225"/>
      <c r="U730" s="205"/>
    </row>
    <row r="731" spans="16:21">
      <c r="P731" s="225"/>
      <c r="U731" s="205"/>
    </row>
    <row r="732" spans="16:21">
      <c r="P732" s="225"/>
      <c r="U732" s="205"/>
    </row>
    <row r="733" spans="16:21">
      <c r="P733" s="225"/>
      <c r="U733" s="205"/>
    </row>
    <row r="734" spans="16:21">
      <c r="P734" s="225"/>
      <c r="U734" s="205"/>
    </row>
    <row r="735" spans="16:21">
      <c r="P735" s="225"/>
      <c r="U735" s="205"/>
    </row>
    <row r="736" spans="16:21">
      <c r="P736" s="225"/>
      <c r="U736" s="205"/>
    </row>
    <row r="737" spans="16:21">
      <c r="P737" s="225"/>
      <c r="U737" s="205"/>
    </row>
    <row r="738" spans="16:21">
      <c r="P738" s="225"/>
      <c r="U738" s="205"/>
    </row>
    <row r="739" spans="16:21">
      <c r="P739" s="225"/>
      <c r="U739" s="205"/>
    </row>
    <row r="740" spans="16:21">
      <c r="P740" s="225"/>
      <c r="U740" s="205"/>
    </row>
    <row r="741" spans="16:21">
      <c r="P741" s="225"/>
      <c r="U741" s="205"/>
    </row>
    <row r="742" spans="16:21">
      <c r="P742" s="225"/>
      <c r="U742" s="205"/>
    </row>
    <row r="743" spans="16:21">
      <c r="P743" s="225"/>
      <c r="U743" s="205"/>
    </row>
    <row r="744" spans="16:21">
      <c r="P744" s="225"/>
      <c r="U744" s="205"/>
    </row>
    <row r="745" spans="16:21">
      <c r="P745" s="225"/>
      <c r="U745" s="205"/>
    </row>
    <row r="746" spans="16:21">
      <c r="P746" s="225"/>
      <c r="U746" s="205"/>
    </row>
    <row r="747" spans="16:21">
      <c r="P747" s="225"/>
      <c r="U747" s="205"/>
    </row>
    <row r="748" spans="16:21">
      <c r="P748" s="225"/>
      <c r="U748" s="205"/>
    </row>
    <row r="749" spans="16:21">
      <c r="P749" s="225"/>
      <c r="U749" s="205"/>
    </row>
    <row r="750" spans="16:21">
      <c r="P750" s="225"/>
      <c r="U750" s="205"/>
    </row>
    <row r="751" spans="16:21">
      <c r="P751" s="225"/>
      <c r="U751" s="205"/>
    </row>
    <row r="752" spans="16:21">
      <c r="P752" s="225"/>
      <c r="U752" s="205"/>
    </row>
    <row r="753" spans="16:21">
      <c r="P753" s="225"/>
      <c r="U753" s="205"/>
    </row>
    <row r="754" spans="16:21">
      <c r="P754" s="225"/>
      <c r="U754" s="205"/>
    </row>
    <row r="755" spans="16:21">
      <c r="P755" s="225"/>
      <c r="U755" s="205"/>
    </row>
    <row r="756" spans="16:21">
      <c r="P756" s="225"/>
      <c r="U756" s="205"/>
    </row>
    <row r="757" spans="16:21">
      <c r="P757" s="225"/>
      <c r="U757" s="205"/>
    </row>
    <row r="758" spans="16:21">
      <c r="P758" s="225"/>
      <c r="U758" s="205"/>
    </row>
    <row r="759" spans="16:21">
      <c r="P759" s="225"/>
      <c r="U759" s="205"/>
    </row>
    <row r="760" spans="16:21">
      <c r="P760" s="225"/>
      <c r="U760" s="205"/>
    </row>
    <row r="761" spans="16:21">
      <c r="P761" s="225"/>
      <c r="U761" s="205"/>
    </row>
    <row r="762" spans="16:21">
      <c r="P762" s="225"/>
      <c r="U762" s="205"/>
    </row>
    <row r="763" spans="16:21">
      <c r="P763" s="225"/>
      <c r="U763" s="205"/>
    </row>
    <row r="764" spans="16:21">
      <c r="P764" s="225"/>
      <c r="U764" s="205"/>
    </row>
    <row r="765" spans="16:21">
      <c r="P765" s="225"/>
      <c r="U765" s="205"/>
    </row>
    <row r="766" spans="16:21">
      <c r="P766" s="225"/>
      <c r="U766" s="205"/>
    </row>
    <row r="767" spans="16:21">
      <c r="P767" s="225"/>
      <c r="U767" s="205"/>
    </row>
    <row r="768" spans="16:21">
      <c r="P768" s="225"/>
      <c r="U768" s="205"/>
    </row>
    <row r="769" spans="16:21">
      <c r="P769" s="225"/>
      <c r="U769" s="205"/>
    </row>
    <row r="770" spans="16:21">
      <c r="P770" s="225"/>
      <c r="U770" s="205"/>
    </row>
    <row r="771" spans="16:21">
      <c r="P771" s="225"/>
      <c r="U771" s="205"/>
    </row>
    <row r="772" spans="16:21">
      <c r="P772" s="225"/>
      <c r="U772" s="205"/>
    </row>
    <row r="773" spans="16:21">
      <c r="P773" s="225"/>
      <c r="U773" s="205"/>
    </row>
    <row r="774" spans="16:21">
      <c r="P774" s="225"/>
      <c r="U774" s="205"/>
    </row>
    <row r="775" spans="16:21">
      <c r="P775" s="225"/>
      <c r="U775" s="205"/>
    </row>
    <row r="776" spans="16:21">
      <c r="P776" s="225"/>
      <c r="U776" s="205"/>
    </row>
    <row r="777" spans="16:21">
      <c r="P777" s="225"/>
      <c r="U777" s="205"/>
    </row>
    <row r="778" spans="16:21">
      <c r="P778" s="225"/>
      <c r="U778" s="205"/>
    </row>
    <row r="779" spans="16:21">
      <c r="P779" s="225"/>
      <c r="U779" s="205"/>
    </row>
    <row r="780" spans="16:21">
      <c r="P780" s="225"/>
      <c r="U780" s="205"/>
    </row>
    <row r="781" spans="16:21">
      <c r="P781" s="225"/>
      <c r="U781" s="205"/>
    </row>
    <row r="782" spans="16:21">
      <c r="P782" s="225"/>
      <c r="U782" s="205"/>
    </row>
    <row r="783" spans="16:21">
      <c r="P783" s="225"/>
      <c r="U783" s="205"/>
    </row>
    <row r="784" spans="16:21">
      <c r="P784" s="225"/>
      <c r="U784" s="205"/>
    </row>
    <row r="785" spans="16:21">
      <c r="P785" s="225"/>
      <c r="U785" s="205"/>
    </row>
    <row r="786" spans="16:21">
      <c r="P786" s="225"/>
      <c r="U786" s="205"/>
    </row>
    <row r="787" spans="16:21">
      <c r="P787" s="225"/>
      <c r="U787" s="205"/>
    </row>
    <row r="788" spans="16:21">
      <c r="P788" s="225"/>
      <c r="U788" s="205"/>
    </row>
    <row r="789" spans="16:21">
      <c r="P789" s="225"/>
      <c r="U789" s="205"/>
    </row>
    <row r="790" spans="16:21">
      <c r="P790" s="225"/>
      <c r="U790" s="205"/>
    </row>
    <row r="791" spans="16:21">
      <c r="P791" s="225"/>
      <c r="U791" s="205"/>
    </row>
    <row r="792" spans="16:21">
      <c r="P792" s="225"/>
      <c r="U792" s="205"/>
    </row>
    <row r="793" spans="16:21">
      <c r="P793" s="225"/>
      <c r="U793" s="205"/>
    </row>
    <row r="794" spans="16:21">
      <c r="P794" s="225"/>
      <c r="U794" s="205"/>
    </row>
    <row r="795" spans="16:21">
      <c r="P795" s="225"/>
      <c r="U795" s="205"/>
    </row>
    <row r="796" spans="16:21">
      <c r="P796" s="225"/>
      <c r="U796" s="205"/>
    </row>
    <row r="797" spans="16:21">
      <c r="P797" s="225"/>
      <c r="U797" s="205"/>
    </row>
    <row r="798" spans="16:21">
      <c r="P798" s="225"/>
      <c r="U798" s="205"/>
    </row>
    <row r="799" spans="16:21">
      <c r="P799" s="225"/>
      <c r="U799" s="205"/>
    </row>
    <row r="800" spans="16:21">
      <c r="P800" s="225"/>
      <c r="U800" s="205"/>
    </row>
    <row r="801" spans="16:21">
      <c r="P801" s="225"/>
      <c r="U801" s="205"/>
    </row>
    <row r="802" spans="16:21">
      <c r="P802" s="225"/>
      <c r="U802" s="205"/>
    </row>
    <row r="803" spans="16:21">
      <c r="P803" s="225"/>
      <c r="U803" s="205"/>
    </row>
    <row r="804" spans="16:21">
      <c r="P804" s="225"/>
      <c r="U804" s="205"/>
    </row>
    <row r="805" spans="16:21">
      <c r="P805" s="225"/>
      <c r="U805" s="205"/>
    </row>
    <row r="806" spans="16:21">
      <c r="P806" s="225"/>
      <c r="U806" s="205"/>
    </row>
    <row r="807" spans="16:21">
      <c r="P807" s="225"/>
      <c r="U807" s="205"/>
    </row>
    <row r="808" spans="16:21">
      <c r="P808" s="225"/>
      <c r="U808" s="205"/>
    </row>
    <row r="809" spans="16:21">
      <c r="P809" s="225"/>
      <c r="U809" s="205"/>
    </row>
    <row r="810" spans="16:21">
      <c r="P810" s="225"/>
      <c r="U810" s="205"/>
    </row>
    <row r="811" spans="16:21">
      <c r="P811" s="225"/>
      <c r="U811" s="205"/>
    </row>
    <row r="812" spans="16:21">
      <c r="P812" s="225"/>
      <c r="U812" s="205"/>
    </row>
    <row r="813" spans="16:21">
      <c r="P813" s="225"/>
      <c r="U813" s="205"/>
    </row>
    <row r="814" spans="16:21">
      <c r="P814" s="225"/>
      <c r="U814" s="205"/>
    </row>
    <row r="815" spans="16:21">
      <c r="P815" s="225"/>
      <c r="U815" s="205"/>
    </row>
    <row r="816" spans="16:21">
      <c r="P816" s="225"/>
      <c r="U816" s="205"/>
    </row>
    <row r="817" spans="16:21">
      <c r="P817" s="225"/>
      <c r="U817" s="205"/>
    </row>
    <row r="818" spans="16:21">
      <c r="P818" s="225"/>
      <c r="U818" s="205"/>
    </row>
    <row r="819" spans="16:21">
      <c r="P819" s="225"/>
      <c r="U819" s="205"/>
    </row>
    <row r="820" spans="16:21">
      <c r="P820" s="225"/>
      <c r="U820" s="205"/>
    </row>
    <row r="821" spans="16:21">
      <c r="P821" s="225"/>
      <c r="U821" s="205"/>
    </row>
    <row r="822" spans="16:21">
      <c r="P822" s="225"/>
      <c r="U822" s="205"/>
    </row>
    <row r="823" spans="16:21">
      <c r="P823" s="225"/>
      <c r="U823" s="205"/>
    </row>
    <row r="824" spans="16:21">
      <c r="P824" s="225"/>
      <c r="U824" s="205"/>
    </row>
    <row r="825" spans="16:21">
      <c r="P825" s="225"/>
      <c r="U825" s="205"/>
    </row>
    <row r="826" spans="16:21">
      <c r="P826" s="225"/>
      <c r="U826" s="205"/>
    </row>
    <row r="827" spans="16:21">
      <c r="P827" s="225"/>
      <c r="U827" s="205"/>
    </row>
    <row r="828" spans="16:21">
      <c r="P828" s="225"/>
      <c r="U828" s="205"/>
    </row>
    <row r="829" spans="16:21">
      <c r="P829" s="225"/>
      <c r="U829" s="205"/>
    </row>
    <row r="830" spans="16:21">
      <c r="P830" s="225"/>
      <c r="U830" s="205"/>
    </row>
    <row r="831" spans="16:21">
      <c r="P831" s="225"/>
      <c r="U831" s="205"/>
    </row>
    <row r="832" spans="16:21">
      <c r="P832" s="225"/>
      <c r="U832" s="205"/>
    </row>
    <row r="833" spans="16:21">
      <c r="P833" s="225"/>
      <c r="U833" s="205"/>
    </row>
    <row r="834" spans="16:21">
      <c r="P834" s="225"/>
      <c r="U834" s="205"/>
    </row>
    <row r="835" spans="16:21">
      <c r="P835" s="225"/>
      <c r="U835" s="205"/>
    </row>
    <row r="836" spans="16:21">
      <c r="P836" s="225"/>
      <c r="U836" s="205"/>
    </row>
    <row r="837" spans="16:21">
      <c r="P837" s="225"/>
      <c r="U837" s="205"/>
    </row>
    <row r="838" spans="16:21">
      <c r="P838" s="225"/>
      <c r="U838" s="205"/>
    </row>
    <row r="839" spans="16:21">
      <c r="P839" s="225"/>
      <c r="U839" s="205"/>
    </row>
    <row r="840" spans="16:21">
      <c r="P840" s="225"/>
      <c r="U840" s="205"/>
    </row>
    <row r="841" spans="16:21">
      <c r="P841" s="225"/>
      <c r="U841" s="205"/>
    </row>
    <row r="842" spans="16:21">
      <c r="P842" s="225"/>
      <c r="U842" s="205"/>
    </row>
    <row r="843" spans="16:21">
      <c r="P843" s="225"/>
      <c r="U843" s="205"/>
    </row>
    <row r="844" spans="16:21">
      <c r="P844" s="225"/>
      <c r="U844" s="205"/>
    </row>
    <row r="845" spans="16:21">
      <c r="P845" s="225"/>
      <c r="U845" s="205"/>
    </row>
    <row r="846" spans="16:21">
      <c r="P846" s="225"/>
      <c r="U846" s="205"/>
    </row>
    <row r="847" spans="16:21">
      <c r="P847" s="225"/>
      <c r="U847" s="205"/>
    </row>
    <row r="848" spans="16:21">
      <c r="P848" s="225"/>
      <c r="U848" s="205"/>
    </row>
    <row r="849" spans="16:21">
      <c r="P849" s="225"/>
      <c r="U849" s="205"/>
    </row>
    <row r="850" spans="16:21">
      <c r="P850" s="225"/>
      <c r="U850" s="205"/>
    </row>
    <row r="851" spans="16:21">
      <c r="P851" s="225"/>
      <c r="U851" s="205"/>
    </row>
    <row r="852" spans="16:21">
      <c r="P852" s="225"/>
      <c r="U852" s="205"/>
    </row>
    <row r="853" spans="16:21">
      <c r="P853" s="225"/>
      <c r="U853" s="205"/>
    </row>
    <row r="854" spans="16:21">
      <c r="P854" s="225"/>
      <c r="U854" s="205"/>
    </row>
    <row r="855" spans="16:21">
      <c r="P855" s="225"/>
      <c r="U855" s="205"/>
    </row>
    <row r="856" spans="16:21">
      <c r="P856" s="225"/>
      <c r="U856" s="205"/>
    </row>
    <row r="857" spans="16:21">
      <c r="P857" s="225"/>
      <c r="U857" s="205"/>
    </row>
    <row r="858" spans="16:21">
      <c r="P858" s="225"/>
      <c r="U858" s="205"/>
    </row>
    <row r="859" spans="16:21">
      <c r="P859" s="225"/>
      <c r="U859" s="205"/>
    </row>
    <row r="860" spans="16:21">
      <c r="P860" s="225"/>
      <c r="U860" s="205"/>
    </row>
    <row r="861" spans="16:21">
      <c r="P861" s="225"/>
      <c r="U861" s="205"/>
    </row>
    <row r="862" spans="16:21">
      <c r="P862" s="225"/>
      <c r="U862" s="205"/>
    </row>
    <row r="863" spans="16:21">
      <c r="P863" s="225"/>
      <c r="U863" s="205"/>
    </row>
    <row r="864" spans="16:21">
      <c r="P864" s="225"/>
      <c r="U864" s="205"/>
    </row>
    <row r="865" spans="16:21">
      <c r="P865" s="225"/>
      <c r="U865" s="205"/>
    </row>
    <row r="866" spans="16:21">
      <c r="P866" s="225"/>
      <c r="U866" s="205"/>
    </row>
    <row r="867" spans="16:21">
      <c r="P867" s="225"/>
      <c r="U867" s="205"/>
    </row>
    <row r="868" spans="16:21">
      <c r="P868" s="225"/>
      <c r="U868" s="205"/>
    </row>
    <row r="869" spans="16:21">
      <c r="P869" s="225"/>
      <c r="U869" s="205"/>
    </row>
    <row r="870" spans="16:21">
      <c r="P870" s="225"/>
      <c r="U870" s="205"/>
    </row>
    <row r="871" spans="16:21">
      <c r="P871" s="225"/>
      <c r="U871" s="205"/>
    </row>
    <row r="872" spans="16:21">
      <c r="P872" s="225"/>
      <c r="U872" s="205"/>
    </row>
    <row r="873" spans="16:21">
      <c r="P873" s="225"/>
      <c r="U873" s="205"/>
    </row>
    <row r="874" spans="16:21">
      <c r="P874" s="225"/>
      <c r="U874" s="205"/>
    </row>
    <row r="875" spans="16:21">
      <c r="P875" s="225"/>
      <c r="U875" s="205"/>
    </row>
    <row r="876" spans="16:21">
      <c r="P876" s="225"/>
      <c r="U876" s="205"/>
    </row>
    <row r="877" spans="16:21">
      <c r="P877" s="225"/>
      <c r="U877" s="205"/>
    </row>
    <row r="878" spans="16:21">
      <c r="P878" s="225"/>
      <c r="U878" s="205"/>
    </row>
    <row r="879" spans="16:21">
      <c r="P879" s="225"/>
      <c r="U879" s="205"/>
    </row>
    <row r="880" spans="16:21">
      <c r="P880" s="225"/>
      <c r="U880" s="205"/>
    </row>
    <row r="881" spans="16:21">
      <c r="P881" s="225"/>
      <c r="U881" s="205"/>
    </row>
    <row r="882" spans="16:21">
      <c r="P882" s="225"/>
      <c r="U882" s="205"/>
    </row>
    <row r="883" spans="16:21">
      <c r="P883" s="225"/>
      <c r="U883" s="205"/>
    </row>
    <row r="884" spans="16:21">
      <c r="P884" s="225"/>
      <c r="U884" s="205"/>
    </row>
    <row r="885" spans="16:21">
      <c r="P885" s="225"/>
      <c r="U885" s="205"/>
    </row>
    <row r="886" spans="16:21">
      <c r="P886" s="225"/>
      <c r="U886" s="205"/>
    </row>
    <row r="887" spans="16:21">
      <c r="P887" s="225"/>
      <c r="U887" s="205"/>
    </row>
    <row r="888" spans="16:21">
      <c r="P888" s="225"/>
      <c r="U888" s="205"/>
    </row>
    <row r="889" spans="16:21">
      <c r="P889" s="225"/>
      <c r="U889" s="205"/>
    </row>
    <row r="890" spans="16:21">
      <c r="P890" s="225"/>
      <c r="U890" s="205"/>
    </row>
    <row r="891" spans="16:21">
      <c r="P891" s="225"/>
      <c r="U891" s="205"/>
    </row>
    <row r="892" spans="16:21">
      <c r="P892" s="225"/>
      <c r="U892" s="205"/>
    </row>
    <row r="893" spans="16:21">
      <c r="P893" s="225"/>
      <c r="U893" s="205"/>
    </row>
    <row r="894" spans="16:21">
      <c r="P894" s="225"/>
      <c r="U894" s="205"/>
    </row>
    <row r="895" spans="16:21">
      <c r="P895" s="225"/>
      <c r="U895" s="205"/>
    </row>
    <row r="896" spans="16:21">
      <c r="P896" s="225"/>
      <c r="U896" s="205"/>
    </row>
    <row r="897" spans="16:21">
      <c r="P897" s="225"/>
      <c r="U897" s="205"/>
    </row>
    <row r="898" spans="16:21">
      <c r="P898" s="225"/>
      <c r="U898" s="205"/>
    </row>
    <row r="899" spans="16:21">
      <c r="P899" s="225"/>
      <c r="U899" s="205"/>
    </row>
    <row r="900" spans="16:21">
      <c r="P900" s="225"/>
      <c r="U900" s="205"/>
    </row>
    <row r="901" spans="16:21">
      <c r="P901" s="225"/>
      <c r="U901" s="205"/>
    </row>
    <row r="902" spans="16:21">
      <c r="P902" s="225"/>
      <c r="U902" s="205"/>
    </row>
    <row r="903" spans="16:21">
      <c r="P903" s="225"/>
      <c r="U903" s="205"/>
    </row>
    <row r="904" spans="16:21">
      <c r="P904" s="225"/>
      <c r="U904" s="205"/>
    </row>
    <row r="905" spans="16:21">
      <c r="P905" s="225"/>
      <c r="U905" s="205"/>
    </row>
    <row r="906" spans="16:21">
      <c r="P906" s="225"/>
      <c r="U906" s="205"/>
    </row>
    <row r="907" spans="16:21">
      <c r="P907" s="225"/>
      <c r="U907" s="205"/>
    </row>
    <row r="908" spans="16:21">
      <c r="P908" s="225"/>
      <c r="U908" s="205"/>
    </row>
    <row r="909" spans="16:21">
      <c r="P909" s="225"/>
      <c r="U909" s="205"/>
    </row>
    <row r="910" spans="16:21">
      <c r="P910" s="225"/>
      <c r="U910" s="205"/>
    </row>
    <row r="911" spans="16:21">
      <c r="P911" s="225"/>
      <c r="U911" s="205"/>
    </row>
    <row r="912" spans="16:21">
      <c r="P912" s="225"/>
      <c r="U912" s="205"/>
    </row>
    <row r="913" spans="16:21">
      <c r="P913" s="225"/>
      <c r="U913" s="205"/>
    </row>
    <row r="914" spans="16:21">
      <c r="P914" s="225"/>
      <c r="U914" s="205"/>
    </row>
    <row r="915" spans="16:21">
      <c r="P915" s="225"/>
      <c r="U915" s="205"/>
    </row>
    <row r="916" spans="16:21">
      <c r="P916" s="225"/>
      <c r="U916" s="205"/>
    </row>
    <row r="917" spans="16:21">
      <c r="P917" s="225"/>
      <c r="U917" s="205"/>
    </row>
    <row r="918" spans="16:21">
      <c r="P918" s="225"/>
      <c r="U918" s="205"/>
    </row>
    <row r="919" spans="16:21">
      <c r="P919" s="225"/>
      <c r="U919" s="205"/>
    </row>
    <row r="920" spans="16:21">
      <c r="P920" s="225"/>
      <c r="U920" s="205"/>
    </row>
    <row r="921" spans="16:21">
      <c r="P921" s="225"/>
      <c r="U921" s="205"/>
    </row>
    <row r="922" spans="16:21">
      <c r="P922" s="225"/>
      <c r="U922" s="205"/>
    </row>
    <row r="923" spans="16:21">
      <c r="P923" s="225"/>
      <c r="U923" s="205"/>
    </row>
    <row r="924" spans="16:21">
      <c r="P924" s="225"/>
      <c r="U924" s="205"/>
    </row>
    <row r="925" spans="16:21">
      <c r="P925" s="225"/>
      <c r="U925" s="205"/>
    </row>
    <row r="926" spans="16:21">
      <c r="P926" s="225"/>
      <c r="U926" s="205"/>
    </row>
    <row r="927" spans="16:21">
      <c r="P927" s="225"/>
      <c r="U927" s="205"/>
    </row>
    <row r="928" spans="16:21">
      <c r="P928" s="225"/>
      <c r="U928" s="205"/>
    </row>
    <row r="929" spans="16:21">
      <c r="P929" s="225"/>
      <c r="U929" s="205"/>
    </row>
    <row r="930" spans="16:21">
      <c r="P930" s="225"/>
      <c r="U930" s="205"/>
    </row>
    <row r="931" spans="16:21">
      <c r="P931" s="225"/>
      <c r="U931" s="205"/>
    </row>
    <row r="932" spans="16:21">
      <c r="P932" s="225"/>
      <c r="U932" s="205"/>
    </row>
    <row r="933" spans="16:21">
      <c r="P933" s="225"/>
      <c r="U933" s="205"/>
    </row>
    <row r="934" spans="16:21">
      <c r="P934" s="225"/>
      <c r="U934" s="205"/>
    </row>
    <row r="935" spans="16:21">
      <c r="P935" s="225"/>
      <c r="U935" s="205"/>
    </row>
    <row r="936" spans="16:21">
      <c r="P936" s="225"/>
      <c r="U936" s="205"/>
    </row>
    <row r="937" spans="16:21">
      <c r="P937" s="225"/>
      <c r="U937" s="205"/>
    </row>
    <row r="938" spans="16:21">
      <c r="P938" s="225"/>
      <c r="U938" s="205"/>
    </row>
    <row r="939" spans="16:21">
      <c r="P939" s="225"/>
      <c r="U939" s="205"/>
    </row>
    <row r="940" spans="16:21">
      <c r="P940" s="225"/>
      <c r="U940" s="205"/>
    </row>
    <row r="941" spans="16:21">
      <c r="P941" s="225"/>
      <c r="U941" s="205"/>
    </row>
    <row r="942" spans="16:21">
      <c r="P942" s="225"/>
      <c r="U942" s="205"/>
    </row>
    <row r="943" spans="16:21">
      <c r="P943" s="225"/>
      <c r="U943" s="205"/>
    </row>
    <row r="944" spans="16:21">
      <c r="P944" s="225"/>
      <c r="U944" s="205"/>
    </row>
    <row r="945" spans="16:21">
      <c r="P945" s="225"/>
      <c r="U945" s="205"/>
    </row>
    <row r="946" spans="16:21">
      <c r="P946" s="225"/>
      <c r="U946" s="205"/>
    </row>
    <row r="947" spans="16:21">
      <c r="P947" s="225"/>
      <c r="U947" s="205"/>
    </row>
    <row r="948" spans="16:21">
      <c r="P948" s="225"/>
      <c r="U948" s="205"/>
    </row>
    <row r="949" spans="16:21">
      <c r="P949" s="225"/>
      <c r="U949" s="205"/>
    </row>
    <row r="950" spans="16:21">
      <c r="P950" s="225"/>
      <c r="U950" s="205"/>
    </row>
    <row r="951" spans="16:21">
      <c r="P951" s="225"/>
      <c r="U951" s="205"/>
    </row>
    <row r="952" spans="16:21">
      <c r="P952" s="225"/>
      <c r="U952" s="205"/>
    </row>
    <row r="953" spans="16:21">
      <c r="P953" s="225"/>
      <c r="U953" s="205"/>
    </row>
    <row r="954" spans="16:21">
      <c r="P954" s="225"/>
      <c r="U954" s="205"/>
    </row>
    <row r="955" spans="16:21">
      <c r="P955" s="225"/>
      <c r="U955" s="205"/>
    </row>
    <row r="956" spans="16:21">
      <c r="P956" s="225"/>
      <c r="U956" s="205"/>
    </row>
    <row r="957" spans="16:21">
      <c r="P957" s="225"/>
      <c r="U957" s="205"/>
    </row>
    <row r="958" spans="16:21">
      <c r="P958" s="225"/>
      <c r="U958" s="205"/>
    </row>
    <row r="959" spans="16:21">
      <c r="P959" s="225"/>
      <c r="U959" s="205"/>
    </row>
    <row r="960" spans="16:21">
      <c r="P960" s="225"/>
      <c r="U960" s="205"/>
    </row>
    <row r="961" spans="16:21">
      <c r="P961" s="225"/>
      <c r="U961" s="205"/>
    </row>
    <row r="962" spans="16:21">
      <c r="P962" s="225"/>
      <c r="U962" s="205"/>
    </row>
    <row r="963" spans="16:21">
      <c r="P963" s="225"/>
      <c r="U963" s="205"/>
    </row>
    <row r="964" spans="16:21">
      <c r="P964" s="225"/>
      <c r="U964" s="205"/>
    </row>
    <row r="965" spans="16:21">
      <c r="P965" s="225"/>
      <c r="U965" s="205"/>
    </row>
    <row r="966" spans="16:21">
      <c r="P966" s="225"/>
      <c r="U966" s="205"/>
    </row>
    <row r="967" spans="16:21">
      <c r="P967" s="225"/>
      <c r="U967" s="205"/>
    </row>
    <row r="968" spans="16:21">
      <c r="P968" s="225"/>
      <c r="U968" s="205"/>
    </row>
    <row r="969" spans="16:21">
      <c r="P969" s="225"/>
      <c r="U969" s="205"/>
    </row>
    <row r="970" spans="16:21">
      <c r="P970" s="225"/>
      <c r="U970" s="205"/>
    </row>
    <row r="971" spans="16:21">
      <c r="P971" s="225"/>
      <c r="U971" s="205"/>
    </row>
    <row r="972" spans="16:21">
      <c r="P972" s="225"/>
      <c r="U972" s="205"/>
    </row>
    <row r="973" spans="16:21">
      <c r="P973" s="225"/>
      <c r="U973" s="205"/>
    </row>
    <row r="974" spans="16:21">
      <c r="P974" s="225"/>
      <c r="U974" s="205"/>
    </row>
    <row r="975" spans="16:21">
      <c r="P975" s="225"/>
      <c r="U975" s="205"/>
    </row>
    <row r="976" spans="16:21">
      <c r="P976" s="225"/>
      <c r="U976" s="205"/>
    </row>
    <row r="977" spans="16:21">
      <c r="P977" s="225"/>
      <c r="U977" s="205"/>
    </row>
    <row r="978" spans="16:21">
      <c r="P978" s="225"/>
      <c r="U978" s="205"/>
    </row>
    <row r="979" spans="16:21">
      <c r="P979" s="225"/>
      <c r="U979" s="205"/>
    </row>
    <row r="980" spans="16:21">
      <c r="P980" s="225"/>
      <c r="U980" s="205"/>
    </row>
    <row r="981" spans="16:21">
      <c r="P981" s="225"/>
      <c r="U981" s="205"/>
    </row>
    <row r="982" spans="16:21">
      <c r="P982" s="225"/>
      <c r="U982" s="205"/>
    </row>
    <row r="983" spans="16:21">
      <c r="P983" s="225"/>
      <c r="U983" s="205"/>
    </row>
    <row r="984" spans="16:21">
      <c r="P984" s="225"/>
      <c r="U984" s="205"/>
    </row>
    <row r="985" spans="16:21">
      <c r="P985" s="225"/>
      <c r="U985" s="205"/>
    </row>
    <row r="986" spans="16:21">
      <c r="P986" s="225"/>
      <c r="U986" s="205"/>
    </row>
    <row r="987" spans="16:21">
      <c r="P987" s="225"/>
      <c r="U987" s="205"/>
    </row>
    <row r="988" spans="16:21">
      <c r="P988" s="225"/>
      <c r="U988" s="205"/>
    </row>
    <row r="989" spans="16:21">
      <c r="P989" s="225"/>
      <c r="U989" s="205"/>
    </row>
    <row r="990" spans="16:21">
      <c r="P990" s="225"/>
      <c r="U990" s="205"/>
    </row>
    <row r="991" spans="16:21">
      <c r="P991" s="225"/>
      <c r="U991" s="205"/>
    </row>
    <row r="992" spans="16:21">
      <c r="P992" s="225"/>
      <c r="U992" s="205"/>
    </row>
    <row r="993" spans="16:21">
      <c r="P993" s="225"/>
      <c r="U993" s="205"/>
    </row>
    <row r="994" spans="16:21">
      <c r="P994" s="225"/>
      <c r="U994" s="205"/>
    </row>
    <row r="995" spans="16:21">
      <c r="P995" s="225"/>
      <c r="U995" s="205"/>
    </row>
    <row r="996" spans="16:21">
      <c r="P996" s="225"/>
      <c r="U996" s="205"/>
    </row>
    <row r="997" spans="16:21">
      <c r="P997" s="225"/>
      <c r="U997" s="205"/>
    </row>
  </sheetData>
  <mergeCells count="7">
    <mergeCell ref="V7:W7"/>
    <mergeCell ref="X7:Y7"/>
    <mergeCell ref="A1:U1"/>
    <mergeCell ref="L7:M7"/>
    <mergeCell ref="N7:O7"/>
    <mergeCell ref="Q7:R7"/>
    <mergeCell ref="T7:U7"/>
  </mergeCells>
  <conditionalFormatting sqref="E2 C7:F8 H7:I8 K7:X8 B8">
    <cfRule type="notContainsBlanks" dxfId="15" priority="1">
      <formula>LEN(TRIM(E2))&gt;0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996"/>
  <sheetViews>
    <sheetView topLeftCell="A66" workbookViewId="0">
      <selection activeCell="C87" sqref="C87"/>
    </sheetView>
  </sheetViews>
  <sheetFormatPr baseColWidth="10" defaultColWidth="14.5" defaultRowHeight="15" customHeight="1"/>
  <cols>
    <col min="1" max="2" width="0.5" customWidth="1"/>
    <col min="3" max="3" width="14.1640625" customWidth="1"/>
    <col min="4" max="4" width="14.5" customWidth="1"/>
    <col min="5" max="5" width="17.5" customWidth="1"/>
    <col min="6" max="6" width="16.83203125" customWidth="1"/>
    <col min="7" max="7" width="57.5" customWidth="1"/>
    <col min="8" max="8" width="8.5" customWidth="1"/>
    <col min="9" max="9" width="5.5" customWidth="1"/>
    <col min="10" max="10" width="10.5" customWidth="1"/>
    <col min="11" max="11" width="11.6640625" customWidth="1"/>
    <col min="12" max="12" width="4.5" customWidth="1"/>
    <col min="13" max="13" width="12.5" customWidth="1"/>
    <col min="14" max="14" width="5.5" customWidth="1"/>
    <col min="15" max="15" width="4.5" customWidth="1"/>
    <col min="16" max="16" width="15.33203125" customWidth="1"/>
    <col min="17" max="17" width="4.83203125" customWidth="1"/>
    <col min="18" max="18" width="21.83203125" customWidth="1"/>
    <col min="19" max="19" width="23.1640625" customWidth="1"/>
    <col min="20" max="20" width="6.1640625" customWidth="1"/>
    <col min="21" max="21" width="23.33203125" customWidth="1"/>
  </cols>
  <sheetData>
    <row r="1" spans="1:27" ht="86.25" customHeight="1">
      <c r="A1" s="535"/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28"/>
      <c r="V1" s="1"/>
    </row>
    <row r="2" spans="1:27" ht="16">
      <c r="A2" s="1"/>
      <c r="B2" s="3"/>
      <c r="C2" s="93" t="s">
        <v>1</v>
      </c>
      <c r="D2" s="14">
        <v>700000</v>
      </c>
      <c r="E2" s="6">
        <f>D3/D2</f>
        <v>1.3606314285714285</v>
      </c>
      <c r="F2" s="168">
        <v>45538</v>
      </c>
      <c r="G2" s="7">
        <v>45322</v>
      </c>
      <c r="H2" s="1"/>
      <c r="I2" s="1"/>
      <c r="J2" s="8"/>
      <c r="K2" s="8"/>
      <c r="L2" s="8"/>
      <c r="M2" s="8"/>
      <c r="N2" s="8"/>
      <c r="O2" s="8"/>
      <c r="P2" s="2"/>
      <c r="Q2" s="8"/>
      <c r="R2" s="126"/>
      <c r="S2" s="1"/>
      <c r="T2" s="1"/>
      <c r="U2" s="195"/>
      <c r="V2" s="1"/>
    </row>
    <row r="3" spans="1:27" ht="16">
      <c r="A3" s="1"/>
      <c r="B3" s="11"/>
      <c r="C3" s="94" t="s">
        <v>2</v>
      </c>
      <c r="D3" s="14">
        <f>SUM(K10:K219)</f>
        <v>952442</v>
      </c>
      <c r="E3" s="14" t="s">
        <v>3</v>
      </c>
      <c r="F3" s="14" t="s">
        <v>3</v>
      </c>
      <c r="G3" s="7"/>
      <c r="H3" s="7"/>
      <c r="I3" s="7"/>
      <c r="J3" s="1"/>
      <c r="K3" s="1"/>
      <c r="L3" s="8"/>
      <c r="M3" s="8"/>
      <c r="N3" s="1"/>
      <c r="O3" s="1"/>
      <c r="P3" s="206"/>
      <c r="Q3" s="9"/>
      <c r="R3" s="10"/>
      <c r="S3" s="1"/>
      <c r="T3" s="126"/>
      <c r="U3" s="1"/>
      <c r="V3" s="1"/>
      <c r="W3" s="195"/>
      <c r="X3" s="1"/>
    </row>
    <row r="4" spans="1:27" ht="16">
      <c r="A4" s="1"/>
      <c r="B4" s="1"/>
      <c r="C4" s="177" t="s">
        <v>2218</v>
      </c>
      <c r="D4" s="177">
        <f ca="1">(E5-TODAY())</f>
        <v>-400</v>
      </c>
      <c r="E4" s="178"/>
      <c r="F4" s="90"/>
      <c r="G4" s="1"/>
      <c r="H4" s="1"/>
      <c r="I4" s="1"/>
      <c r="J4" s="8"/>
      <c r="K4" s="8"/>
      <c r="L4" s="1"/>
      <c r="M4" s="1"/>
      <c r="N4" s="9"/>
      <c r="O4" s="10"/>
      <c r="P4" s="207"/>
      <c r="Q4" s="1"/>
      <c r="R4" s="126"/>
      <c r="S4" s="1"/>
      <c r="T4" s="1"/>
      <c r="U4" s="195"/>
      <c r="V4" s="1"/>
    </row>
    <row r="5" spans="1:27" ht="16">
      <c r="A5" s="1"/>
      <c r="B5" s="1"/>
      <c r="C5" s="208" t="s">
        <v>6</v>
      </c>
      <c r="D5" s="209">
        <f ca="1">TODAY()</f>
        <v>46026</v>
      </c>
      <c r="E5" s="210">
        <v>45626</v>
      </c>
      <c r="F5" s="90"/>
      <c r="G5" s="7">
        <v>45325</v>
      </c>
      <c r="H5" s="1"/>
      <c r="I5" s="1"/>
      <c r="J5" s="8"/>
      <c r="K5" s="8"/>
      <c r="L5" s="1"/>
      <c r="M5" s="1"/>
      <c r="N5" s="9"/>
      <c r="O5" s="10"/>
      <c r="P5" s="207"/>
      <c r="Q5" s="1"/>
      <c r="R5" s="126"/>
      <c r="S5" s="1"/>
      <c r="T5" s="1"/>
      <c r="U5" s="195"/>
      <c r="V5" s="1"/>
    </row>
    <row r="6" spans="1:27" ht="22">
      <c r="A6" s="1"/>
      <c r="B6" s="22" t="s">
        <v>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  <c r="P6" s="211"/>
      <c r="Q6" s="23"/>
      <c r="R6" s="127"/>
      <c r="S6" s="26"/>
      <c r="T6" s="26"/>
      <c r="U6" s="196"/>
      <c r="V6" s="1"/>
    </row>
    <row r="7" spans="1:27" ht="16">
      <c r="A7" s="1"/>
      <c r="B7" s="28"/>
      <c r="C7" s="169"/>
      <c r="D7" s="170"/>
      <c r="E7" s="31"/>
      <c r="F7" s="1"/>
      <c r="G7" s="18"/>
      <c r="H7" s="1"/>
      <c r="I7" s="1"/>
      <c r="J7" s="8"/>
      <c r="K7" s="8"/>
      <c r="L7" s="1"/>
      <c r="M7" s="1"/>
      <c r="N7" s="9"/>
      <c r="O7" s="10"/>
      <c r="P7" s="207"/>
      <c r="Q7" s="1"/>
      <c r="R7" s="126"/>
      <c r="S7" s="1"/>
      <c r="T7" s="1"/>
      <c r="U7" s="195"/>
      <c r="V7" s="1"/>
    </row>
    <row r="8" spans="1:27">
      <c r="A8" s="1"/>
      <c r="B8" s="32"/>
      <c r="C8" s="31"/>
      <c r="D8" s="33"/>
      <c r="E8" s="31" t="s">
        <v>9</v>
      </c>
      <c r="F8" s="31"/>
      <c r="G8" s="18"/>
      <c r="H8" s="31"/>
      <c r="I8" s="31"/>
      <c r="J8" s="34"/>
      <c r="K8" s="31"/>
      <c r="L8" s="531" t="s">
        <v>10</v>
      </c>
      <c r="M8" s="528"/>
      <c r="N8" s="532" t="s">
        <v>11</v>
      </c>
      <c r="O8" s="528"/>
      <c r="P8" s="212" t="s">
        <v>2219</v>
      </c>
      <c r="Q8" s="533" t="s">
        <v>12</v>
      </c>
      <c r="R8" s="528"/>
      <c r="S8" s="35" t="s">
        <v>13</v>
      </c>
      <c r="T8" s="527" t="s">
        <v>14</v>
      </c>
      <c r="U8" s="528"/>
      <c r="V8" s="527" t="s">
        <v>15</v>
      </c>
      <c r="W8" s="528"/>
      <c r="X8" s="527" t="s">
        <v>16</v>
      </c>
      <c r="Y8" s="528"/>
    </row>
    <row r="9" spans="1:27" ht="14.25" customHeight="1">
      <c r="A9" s="98"/>
      <c r="B9" s="99"/>
      <c r="C9" s="38" t="s">
        <v>18</v>
      </c>
      <c r="D9" s="38" t="s">
        <v>19</v>
      </c>
      <c r="E9" s="38" t="s">
        <v>20</v>
      </c>
      <c r="F9" s="38" t="s">
        <v>21</v>
      </c>
      <c r="G9" s="38" t="s">
        <v>2018</v>
      </c>
      <c r="H9" s="38" t="s">
        <v>22</v>
      </c>
      <c r="I9" s="38"/>
      <c r="J9" s="40"/>
      <c r="K9" s="41" t="s">
        <v>23</v>
      </c>
      <c r="L9" s="42"/>
      <c r="M9" s="43"/>
      <c r="N9" s="43"/>
      <c r="O9" s="44"/>
      <c r="P9" s="213"/>
      <c r="Q9" s="45"/>
      <c r="R9" s="128"/>
      <c r="S9" s="165"/>
      <c r="T9" s="47"/>
      <c r="U9" s="214"/>
      <c r="V9" s="100" t="s">
        <v>24</v>
      </c>
      <c r="W9" s="100" t="s">
        <v>25</v>
      </c>
      <c r="X9" s="49"/>
      <c r="Y9" s="49"/>
    </row>
    <row r="10" spans="1:27">
      <c r="A10" s="1"/>
      <c r="B10" s="32"/>
      <c r="C10" s="71" t="s">
        <v>2466</v>
      </c>
      <c r="D10" s="53" t="s">
        <v>51</v>
      </c>
      <c r="E10" s="53" t="s">
        <v>137</v>
      </c>
      <c r="F10" s="66" t="s">
        <v>138</v>
      </c>
      <c r="G10" s="69" t="s">
        <v>1658</v>
      </c>
      <c r="H10" s="69" t="s">
        <v>30</v>
      </c>
      <c r="I10" s="69">
        <v>1</v>
      </c>
      <c r="J10" s="70">
        <v>4250</v>
      </c>
      <c r="K10" s="54">
        <f t="shared" ref="K10:K87" si="0">I10*J10</f>
        <v>4250</v>
      </c>
      <c r="L10" s="55" t="b">
        <v>1</v>
      </c>
      <c r="M10" s="56">
        <v>11120240958</v>
      </c>
      <c r="N10" s="57" t="b">
        <v>1</v>
      </c>
      <c r="O10" s="58" t="s">
        <v>39</v>
      </c>
      <c r="P10" s="226">
        <v>45597</v>
      </c>
      <c r="Q10" s="59" t="b">
        <v>1</v>
      </c>
      <c r="R10" s="129" t="s">
        <v>1682</v>
      </c>
      <c r="S10" s="165"/>
      <c r="T10" s="47" t="b">
        <v>1</v>
      </c>
      <c r="U10" s="227" t="s">
        <v>2467</v>
      </c>
      <c r="V10" s="54"/>
      <c r="W10" s="54"/>
      <c r="X10" s="49"/>
      <c r="Y10" s="49"/>
    </row>
    <row r="11" spans="1:27">
      <c r="A11" s="1"/>
      <c r="B11" s="32"/>
      <c r="C11" s="71" t="s">
        <v>2466</v>
      </c>
      <c r="D11" s="53" t="s">
        <v>51</v>
      </c>
      <c r="E11" s="53" t="s">
        <v>137</v>
      </c>
      <c r="F11" s="66" t="s">
        <v>138</v>
      </c>
      <c r="G11" s="131" t="s">
        <v>2468</v>
      </c>
      <c r="H11" s="131" t="s">
        <v>30</v>
      </c>
      <c r="I11" s="131">
        <v>80</v>
      </c>
      <c r="J11" s="188">
        <v>42.5</v>
      </c>
      <c r="K11" s="54">
        <f t="shared" si="0"/>
        <v>3400</v>
      </c>
      <c r="L11" s="55" t="b">
        <v>1</v>
      </c>
      <c r="M11" s="56">
        <v>11120240958</v>
      </c>
      <c r="N11" s="57" t="b">
        <v>1</v>
      </c>
      <c r="O11" s="58" t="s">
        <v>39</v>
      </c>
      <c r="P11" s="226">
        <v>45597</v>
      </c>
      <c r="Q11" s="59" t="b">
        <v>1</v>
      </c>
      <c r="R11" s="129" t="s">
        <v>2469</v>
      </c>
      <c r="S11" s="165"/>
      <c r="T11" s="47" t="b">
        <v>1</v>
      </c>
      <c r="U11" s="227" t="s">
        <v>2467</v>
      </c>
      <c r="V11" s="54"/>
      <c r="W11" s="54"/>
      <c r="X11" s="49"/>
      <c r="Y11" s="49"/>
    </row>
    <row r="12" spans="1:27">
      <c r="A12" s="1"/>
      <c r="B12" s="32"/>
      <c r="C12" s="82">
        <v>45597</v>
      </c>
      <c r="D12" s="53" t="s">
        <v>418</v>
      </c>
      <c r="E12" s="53" t="s">
        <v>61</v>
      </c>
      <c r="F12" s="53" t="s">
        <v>2463</v>
      </c>
      <c r="G12" s="53" t="s">
        <v>101</v>
      </c>
      <c r="H12" s="53" t="s">
        <v>30</v>
      </c>
      <c r="I12" s="53">
        <v>25</v>
      </c>
      <c r="J12" s="54">
        <v>925</v>
      </c>
      <c r="K12" s="54">
        <f t="shared" si="0"/>
        <v>23125</v>
      </c>
      <c r="L12" s="55" t="b">
        <v>1</v>
      </c>
      <c r="M12" s="56">
        <v>110120241017</v>
      </c>
      <c r="N12" s="57" t="b">
        <v>1</v>
      </c>
      <c r="O12" s="58" t="s">
        <v>351</v>
      </c>
      <c r="P12" s="215"/>
      <c r="Q12" s="59" t="b">
        <v>1</v>
      </c>
      <c r="R12" s="129"/>
      <c r="S12" s="165"/>
      <c r="T12" s="47" t="b">
        <v>1</v>
      </c>
      <c r="U12" s="227" t="s">
        <v>2470</v>
      </c>
      <c r="V12" s="54"/>
      <c r="W12" s="54"/>
      <c r="X12" s="49"/>
      <c r="Y12" s="49"/>
    </row>
    <row r="13" spans="1:27">
      <c r="A13" s="18"/>
      <c r="B13" s="163"/>
      <c r="C13" s="82">
        <v>45597</v>
      </c>
      <c r="D13" s="53" t="s">
        <v>418</v>
      </c>
      <c r="E13" s="53" t="s">
        <v>61</v>
      </c>
      <c r="F13" s="53" t="s">
        <v>2463</v>
      </c>
      <c r="G13" s="66" t="s">
        <v>2471</v>
      </c>
      <c r="H13" s="66" t="s">
        <v>30</v>
      </c>
      <c r="I13" s="66">
        <v>30</v>
      </c>
      <c r="J13" s="75">
        <v>725</v>
      </c>
      <c r="K13" s="54">
        <f t="shared" si="0"/>
        <v>21750</v>
      </c>
      <c r="L13" s="55" t="b">
        <v>1</v>
      </c>
      <c r="M13" s="56">
        <v>110120241017</v>
      </c>
      <c r="N13" s="57" t="b">
        <v>1</v>
      </c>
      <c r="O13" s="58" t="s">
        <v>351</v>
      </c>
      <c r="P13" s="215"/>
      <c r="Q13" s="59" t="b">
        <v>1</v>
      </c>
      <c r="R13" s="129"/>
      <c r="S13" s="165"/>
      <c r="T13" s="47" t="b">
        <v>1</v>
      </c>
      <c r="U13" s="227" t="s">
        <v>2472</v>
      </c>
      <c r="V13" s="75"/>
      <c r="W13" s="75"/>
      <c r="X13" s="166"/>
      <c r="Y13" s="166"/>
      <c r="Z13" s="167"/>
      <c r="AA13" s="167"/>
    </row>
    <row r="14" spans="1:27">
      <c r="A14" s="18"/>
      <c r="B14" s="163"/>
      <c r="C14" s="82">
        <v>45597</v>
      </c>
      <c r="D14" s="53" t="s">
        <v>418</v>
      </c>
      <c r="E14" s="53" t="s">
        <v>61</v>
      </c>
      <c r="F14" s="53" t="s">
        <v>2463</v>
      </c>
      <c r="G14" s="66" t="s">
        <v>308</v>
      </c>
      <c r="H14" s="66" t="s">
        <v>30</v>
      </c>
      <c r="I14" s="66">
        <v>30</v>
      </c>
      <c r="J14" s="75">
        <v>850</v>
      </c>
      <c r="K14" s="75">
        <f t="shared" si="0"/>
        <v>25500</v>
      </c>
      <c r="L14" s="55" t="b">
        <v>1</v>
      </c>
      <c r="M14" s="56">
        <v>110120241017</v>
      </c>
      <c r="N14" s="57" t="b">
        <v>1</v>
      </c>
      <c r="O14" s="58" t="s">
        <v>351</v>
      </c>
      <c r="P14" s="215"/>
      <c r="Q14" s="59" t="b">
        <v>1</v>
      </c>
      <c r="R14" s="129"/>
      <c r="S14" s="165"/>
      <c r="T14" s="47" t="b">
        <v>1</v>
      </c>
      <c r="U14" s="227" t="s">
        <v>2470</v>
      </c>
      <c r="V14" s="75"/>
      <c r="W14" s="75"/>
      <c r="X14" s="166"/>
      <c r="Y14" s="166"/>
      <c r="Z14" s="167"/>
      <c r="AA14" s="167"/>
    </row>
    <row r="15" spans="1:27">
      <c r="A15" s="18"/>
      <c r="B15" s="163"/>
      <c r="C15" s="76">
        <v>45597</v>
      </c>
      <c r="D15" s="66" t="s">
        <v>51</v>
      </c>
      <c r="E15" s="66" t="s">
        <v>335</v>
      </c>
      <c r="F15" s="66" t="s">
        <v>457</v>
      </c>
      <c r="G15" s="66" t="s">
        <v>1658</v>
      </c>
      <c r="H15" s="66" t="s">
        <v>30</v>
      </c>
      <c r="I15" s="66">
        <v>2</v>
      </c>
      <c r="J15" s="75">
        <v>4250</v>
      </c>
      <c r="K15" s="75">
        <f t="shared" si="0"/>
        <v>8500</v>
      </c>
      <c r="L15" s="55" t="b">
        <v>1</v>
      </c>
      <c r="M15" s="56">
        <v>11120241306</v>
      </c>
      <c r="N15" s="57" t="b">
        <v>1</v>
      </c>
      <c r="O15" s="58" t="s">
        <v>39</v>
      </c>
      <c r="P15" s="226">
        <v>45597</v>
      </c>
      <c r="Q15" s="59" t="b">
        <v>1</v>
      </c>
      <c r="R15" s="129" t="s">
        <v>1682</v>
      </c>
      <c r="S15" s="165"/>
      <c r="T15" s="47" t="b">
        <v>1</v>
      </c>
      <c r="U15" s="227" t="s">
        <v>2473</v>
      </c>
      <c r="V15" s="75"/>
      <c r="W15" s="75"/>
      <c r="X15" s="166"/>
      <c r="Y15" s="166"/>
      <c r="Z15" s="167"/>
      <c r="AA15" s="167"/>
    </row>
    <row r="16" spans="1:27">
      <c r="A16" s="18"/>
      <c r="B16" s="163"/>
      <c r="C16" s="197">
        <v>45597</v>
      </c>
      <c r="D16" s="66" t="s">
        <v>51</v>
      </c>
      <c r="E16" s="66" t="s">
        <v>335</v>
      </c>
      <c r="F16" s="66" t="s">
        <v>457</v>
      </c>
      <c r="G16" s="66" t="s">
        <v>2468</v>
      </c>
      <c r="H16" s="66" t="s">
        <v>30</v>
      </c>
      <c r="I16" s="66">
        <v>60</v>
      </c>
      <c r="J16" s="75">
        <v>42.5</v>
      </c>
      <c r="K16" s="75">
        <f t="shared" si="0"/>
        <v>2550</v>
      </c>
      <c r="L16" s="55" t="b">
        <v>1</v>
      </c>
      <c r="M16" s="56">
        <v>11120241306</v>
      </c>
      <c r="N16" s="57" t="b">
        <v>1</v>
      </c>
      <c r="O16" s="58" t="s">
        <v>39</v>
      </c>
      <c r="P16" s="226">
        <v>45597</v>
      </c>
      <c r="Q16" s="59" t="b">
        <v>1</v>
      </c>
      <c r="R16" s="129" t="s">
        <v>882</v>
      </c>
      <c r="S16" s="165"/>
      <c r="T16" s="47" t="b">
        <v>1</v>
      </c>
      <c r="U16" s="227" t="s">
        <v>2473</v>
      </c>
      <c r="V16" s="75"/>
      <c r="W16" s="75"/>
      <c r="X16" s="166"/>
      <c r="Y16" s="166"/>
      <c r="Z16" s="167"/>
      <c r="AA16" s="167"/>
    </row>
    <row r="17" spans="1:27">
      <c r="A17" s="18"/>
      <c r="B17" s="163"/>
      <c r="C17" s="197">
        <v>45598</v>
      </c>
      <c r="D17" s="66" t="s">
        <v>418</v>
      </c>
      <c r="E17" s="66" t="s">
        <v>42</v>
      </c>
      <c r="F17" s="66" t="s">
        <v>209</v>
      </c>
      <c r="G17" s="67" t="s">
        <v>2474</v>
      </c>
      <c r="H17" s="67" t="s">
        <v>30</v>
      </c>
      <c r="I17" s="67">
        <v>5</v>
      </c>
      <c r="J17" s="68">
        <v>125</v>
      </c>
      <c r="K17" s="54">
        <f t="shared" si="0"/>
        <v>625</v>
      </c>
      <c r="L17" s="55" t="b">
        <v>1</v>
      </c>
      <c r="M17" s="56">
        <v>21120240847</v>
      </c>
      <c r="N17" s="57" t="b">
        <v>1</v>
      </c>
      <c r="O17" s="58" t="s">
        <v>31</v>
      </c>
      <c r="P17" s="215"/>
      <c r="Q17" s="59" t="b">
        <v>1</v>
      </c>
      <c r="R17" s="129"/>
      <c r="S17" s="165"/>
      <c r="T17" s="47" t="b">
        <v>1</v>
      </c>
      <c r="U17" s="227" t="s">
        <v>2475</v>
      </c>
      <c r="V17" s="75"/>
      <c r="W17" s="75"/>
      <c r="X17" s="166"/>
      <c r="Y17" s="166"/>
      <c r="Z17" s="167"/>
      <c r="AA17" s="167"/>
    </row>
    <row r="18" spans="1:27">
      <c r="A18" s="18"/>
      <c r="B18" s="163"/>
      <c r="C18" s="197">
        <v>45598</v>
      </c>
      <c r="D18" s="66" t="s">
        <v>418</v>
      </c>
      <c r="E18" s="66" t="s">
        <v>42</v>
      </c>
      <c r="F18" s="66" t="s">
        <v>209</v>
      </c>
      <c r="G18" s="66" t="s">
        <v>2476</v>
      </c>
      <c r="H18" s="67" t="s">
        <v>30</v>
      </c>
      <c r="I18" s="67">
        <v>30</v>
      </c>
      <c r="J18" s="68">
        <v>95</v>
      </c>
      <c r="K18" s="54">
        <f t="shared" si="0"/>
        <v>2850</v>
      </c>
      <c r="L18" s="55" t="b">
        <v>1</v>
      </c>
      <c r="M18" s="56">
        <v>21120240847</v>
      </c>
      <c r="N18" s="57" t="b">
        <v>1</v>
      </c>
      <c r="O18" s="58" t="s">
        <v>31</v>
      </c>
      <c r="P18" s="215"/>
      <c r="Q18" s="59" t="b">
        <v>1</v>
      </c>
      <c r="R18" s="129"/>
      <c r="S18" s="165"/>
      <c r="T18" s="47" t="b">
        <v>1</v>
      </c>
      <c r="U18" s="227" t="s">
        <v>2475</v>
      </c>
      <c r="V18" s="75"/>
      <c r="W18" s="75"/>
      <c r="X18" s="166"/>
      <c r="Y18" s="166"/>
      <c r="Z18" s="167"/>
      <c r="AA18" s="167"/>
    </row>
    <row r="19" spans="1:27">
      <c r="A19" s="1"/>
      <c r="B19" s="32"/>
      <c r="C19" s="82">
        <v>45598</v>
      </c>
      <c r="D19" s="66" t="s">
        <v>51</v>
      </c>
      <c r="E19" s="67" t="s">
        <v>201</v>
      </c>
      <c r="F19" s="67" t="s">
        <v>395</v>
      </c>
      <c r="G19" s="67" t="s">
        <v>2468</v>
      </c>
      <c r="H19" s="69" t="s">
        <v>30</v>
      </c>
      <c r="I19" s="69">
        <v>100</v>
      </c>
      <c r="J19" s="70">
        <v>42.5</v>
      </c>
      <c r="K19" s="54">
        <f t="shared" si="0"/>
        <v>4250</v>
      </c>
      <c r="L19" s="55" t="b">
        <v>1</v>
      </c>
      <c r="M19" s="56">
        <v>21120240852</v>
      </c>
      <c r="N19" s="57" t="b">
        <v>1</v>
      </c>
      <c r="O19" s="58" t="s">
        <v>39</v>
      </c>
      <c r="P19" s="226">
        <v>45598</v>
      </c>
      <c r="Q19" s="59" t="b">
        <v>1</v>
      </c>
      <c r="R19" s="129" t="s">
        <v>882</v>
      </c>
      <c r="S19" s="165"/>
      <c r="T19" s="47" t="b">
        <v>1</v>
      </c>
      <c r="U19" s="227" t="s">
        <v>2477</v>
      </c>
      <c r="V19" s="54"/>
      <c r="W19" s="54"/>
      <c r="X19" s="49"/>
      <c r="Y19" s="49"/>
    </row>
    <row r="20" spans="1:27">
      <c r="A20" s="18"/>
      <c r="B20" s="163"/>
      <c r="C20" s="197">
        <v>45598</v>
      </c>
      <c r="D20" s="66" t="s">
        <v>51</v>
      </c>
      <c r="E20" s="67" t="s">
        <v>372</v>
      </c>
      <c r="F20" s="66" t="s">
        <v>373</v>
      </c>
      <c r="G20" s="66" t="s">
        <v>1658</v>
      </c>
      <c r="H20" s="66" t="s">
        <v>30</v>
      </c>
      <c r="I20" s="66">
        <v>1</v>
      </c>
      <c r="J20" s="75">
        <v>4250</v>
      </c>
      <c r="K20" s="54">
        <f t="shared" si="0"/>
        <v>4250</v>
      </c>
      <c r="L20" s="55" t="b">
        <v>1</v>
      </c>
      <c r="M20" s="56">
        <v>21120240853</v>
      </c>
      <c r="N20" s="57" t="b">
        <v>1</v>
      </c>
      <c r="O20" s="58" t="s">
        <v>39</v>
      </c>
      <c r="P20" s="226">
        <v>45598</v>
      </c>
      <c r="Q20" s="59" t="b">
        <v>1</v>
      </c>
      <c r="R20" s="129" t="s">
        <v>1682</v>
      </c>
      <c r="S20" s="165"/>
      <c r="T20" s="47" t="b">
        <v>1</v>
      </c>
      <c r="U20" s="227" t="s">
        <v>2478</v>
      </c>
      <c r="V20" s="75"/>
      <c r="W20" s="75"/>
      <c r="X20" s="166"/>
      <c r="Y20" s="166"/>
      <c r="Z20" s="167"/>
      <c r="AA20" s="167"/>
    </row>
    <row r="21" spans="1:27">
      <c r="A21" s="18"/>
      <c r="B21" s="163"/>
      <c r="C21" s="197">
        <v>45598</v>
      </c>
      <c r="D21" s="66" t="s">
        <v>51</v>
      </c>
      <c r="E21" s="67" t="s">
        <v>372</v>
      </c>
      <c r="F21" s="66" t="s">
        <v>373</v>
      </c>
      <c r="G21" s="66" t="s">
        <v>2468</v>
      </c>
      <c r="H21" s="66" t="s">
        <v>30</v>
      </c>
      <c r="I21" s="66">
        <v>50</v>
      </c>
      <c r="J21" s="75">
        <v>42.5</v>
      </c>
      <c r="K21" s="54">
        <f t="shared" si="0"/>
        <v>2125</v>
      </c>
      <c r="L21" s="55" t="b">
        <v>1</v>
      </c>
      <c r="M21" s="56">
        <v>21120240853</v>
      </c>
      <c r="N21" s="57" t="b">
        <v>1</v>
      </c>
      <c r="O21" s="58" t="s">
        <v>39</v>
      </c>
      <c r="P21" s="226">
        <v>45598</v>
      </c>
      <c r="Q21" s="59" t="b">
        <v>1</v>
      </c>
      <c r="R21" s="129" t="s">
        <v>701</v>
      </c>
      <c r="S21" s="165"/>
      <c r="T21" s="47" t="b">
        <v>1</v>
      </c>
      <c r="U21" s="227" t="s">
        <v>2478</v>
      </c>
      <c r="V21" s="75"/>
      <c r="W21" s="75"/>
      <c r="X21" s="166"/>
      <c r="Y21" s="166"/>
      <c r="Z21" s="167"/>
      <c r="AA21" s="167"/>
    </row>
    <row r="22" spans="1:27">
      <c r="A22" s="18"/>
      <c r="B22" s="163"/>
      <c r="C22" s="197">
        <v>45598</v>
      </c>
      <c r="D22" s="66" t="s">
        <v>51</v>
      </c>
      <c r="E22" s="67" t="s">
        <v>335</v>
      </c>
      <c r="F22" s="66" t="s">
        <v>457</v>
      </c>
      <c r="G22" s="66" t="s">
        <v>2479</v>
      </c>
      <c r="H22" s="66" t="s">
        <v>30</v>
      </c>
      <c r="I22" s="66">
        <v>1</v>
      </c>
      <c r="J22" s="75">
        <v>2750</v>
      </c>
      <c r="K22" s="75">
        <f t="shared" si="0"/>
        <v>2750</v>
      </c>
      <c r="L22" s="55" t="b">
        <v>1</v>
      </c>
      <c r="M22" s="56">
        <v>21120240924</v>
      </c>
      <c r="N22" s="57" t="b">
        <v>1</v>
      </c>
      <c r="O22" s="58" t="s">
        <v>529</v>
      </c>
      <c r="P22" s="226">
        <v>45598</v>
      </c>
      <c r="Q22" s="59" t="b">
        <v>1</v>
      </c>
      <c r="R22" s="129"/>
      <c r="S22" s="165"/>
      <c r="T22" s="47" t="b">
        <v>1</v>
      </c>
      <c r="U22" s="227" t="s">
        <v>2480</v>
      </c>
      <c r="V22" s="75"/>
      <c r="W22" s="75"/>
      <c r="X22" s="166"/>
      <c r="Y22" s="166"/>
      <c r="Z22" s="167"/>
      <c r="AA22" s="167"/>
    </row>
    <row r="23" spans="1:27">
      <c r="A23" s="219"/>
      <c r="B23" s="219"/>
      <c r="C23" s="197">
        <v>45599</v>
      </c>
      <c r="D23" s="66" t="s">
        <v>51</v>
      </c>
      <c r="E23" s="66" t="s">
        <v>594</v>
      </c>
      <c r="F23" s="66" t="s">
        <v>595</v>
      </c>
      <c r="G23" s="67" t="s">
        <v>2468</v>
      </c>
      <c r="H23" s="67" t="s">
        <v>30</v>
      </c>
      <c r="I23" s="67">
        <v>100</v>
      </c>
      <c r="J23" s="68">
        <v>42.5</v>
      </c>
      <c r="K23" s="75">
        <f t="shared" si="0"/>
        <v>4250</v>
      </c>
      <c r="L23" s="55" t="b">
        <v>1</v>
      </c>
      <c r="M23" s="56">
        <v>31120241816</v>
      </c>
      <c r="N23" s="57" t="b">
        <v>1</v>
      </c>
      <c r="O23" s="58" t="s">
        <v>39</v>
      </c>
      <c r="P23" s="226">
        <v>45599</v>
      </c>
      <c r="Q23" s="59" t="b">
        <v>1</v>
      </c>
      <c r="R23" s="129" t="s">
        <v>2481</v>
      </c>
      <c r="S23" s="165"/>
      <c r="T23" s="47" t="b">
        <v>1</v>
      </c>
      <c r="U23" s="227" t="s">
        <v>2482</v>
      </c>
      <c r="V23" s="218"/>
      <c r="W23" s="218"/>
      <c r="X23" s="42"/>
      <c r="Y23" s="42"/>
      <c r="Z23" s="219"/>
      <c r="AA23" s="219"/>
    </row>
    <row r="24" spans="1:27">
      <c r="A24" s="198"/>
      <c r="B24" s="198"/>
      <c r="C24" s="197">
        <v>45599</v>
      </c>
      <c r="D24" s="66" t="s">
        <v>51</v>
      </c>
      <c r="E24" s="66" t="s">
        <v>594</v>
      </c>
      <c r="F24" s="66" t="s">
        <v>595</v>
      </c>
      <c r="G24" s="74" t="s">
        <v>894</v>
      </c>
      <c r="H24" s="74" t="s">
        <v>30</v>
      </c>
      <c r="I24" s="74">
        <v>3</v>
      </c>
      <c r="J24" s="73">
        <v>1875</v>
      </c>
      <c r="K24" s="54">
        <f t="shared" si="0"/>
        <v>5625</v>
      </c>
      <c r="L24" s="55" t="b">
        <v>1</v>
      </c>
      <c r="M24" s="56">
        <v>31120241816</v>
      </c>
      <c r="N24" s="57" t="b">
        <v>1</v>
      </c>
      <c r="O24" s="58" t="s">
        <v>39</v>
      </c>
      <c r="P24" s="226">
        <v>45599</v>
      </c>
      <c r="Q24" s="59" t="b">
        <v>1</v>
      </c>
      <c r="R24" s="129" t="s">
        <v>2483</v>
      </c>
      <c r="S24" s="165"/>
      <c r="T24" s="47" t="b">
        <v>1</v>
      </c>
      <c r="U24" s="227" t="s">
        <v>2482</v>
      </c>
      <c r="V24" s="200"/>
      <c r="W24" s="200"/>
      <c r="X24" s="199"/>
      <c r="Y24" s="199"/>
      <c r="Z24" s="198"/>
      <c r="AA24" s="198"/>
    </row>
    <row r="25" spans="1:27">
      <c r="A25" s="219"/>
      <c r="B25" s="219"/>
      <c r="C25" s="197">
        <v>45599</v>
      </c>
      <c r="D25" s="66" t="s">
        <v>51</v>
      </c>
      <c r="E25" s="66" t="s">
        <v>594</v>
      </c>
      <c r="F25" s="66" t="s">
        <v>595</v>
      </c>
      <c r="G25" s="66" t="s">
        <v>147</v>
      </c>
      <c r="H25" s="66" t="s">
        <v>30</v>
      </c>
      <c r="I25" s="66">
        <v>2</v>
      </c>
      <c r="J25" s="75">
        <v>800</v>
      </c>
      <c r="K25" s="75">
        <f t="shared" si="0"/>
        <v>1600</v>
      </c>
      <c r="L25" s="55" t="b">
        <v>1</v>
      </c>
      <c r="M25" s="56">
        <v>31120241816</v>
      </c>
      <c r="N25" s="57" t="b">
        <v>1</v>
      </c>
      <c r="O25" s="58" t="s">
        <v>31</v>
      </c>
      <c r="P25" s="215" t="s">
        <v>64</v>
      </c>
      <c r="Q25" s="59" t="b">
        <v>1</v>
      </c>
      <c r="R25" s="129"/>
      <c r="S25" s="165"/>
      <c r="T25" s="47" t="b">
        <v>1</v>
      </c>
      <c r="U25" s="227" t="s">
        <v>2482</v>
      </c>
      <c r="V25" s="218"/>
      <c r="W25" s="218"/>
      <c r="X25" s="42"/>
      <c r="Y25" s="42"/>
      <c r="Z25" s="219"/>
      <c r="AA25" s="219"/>
    </row>
    <row r="26" spans="1:27">
      <c r="A26" s="18"/>
      <c r="B26" s="163"/>
      <c r="C26" s="197">
        <v>45599</v>
      </c>
      <c r="D26" s="66" t="s">
        <v>51</v>
      </c>
      <c r="E26" s="66" t="s">
        <v>594</v>
      </c>
      <c r="F26" s="66" t="s">
        <v>595</v>
      </c>
      <c r="G26" s="66" t="s">
        <v>877</v>
      </c>
      <c r="H26" s="66" t="s">
        <v>30</v>
      </c>
      <c r="I26" s="66">
        <v>2</v>
      </c>
      <c r="J26" s="75">
        <v>875</v>
      </c>
      <c r="K26" s="54">
        <f t="shared" si="0"/>
        <v>1750</v>
      </c>
      <c r="L26" s="55" t="b">
        <v>1</v>
      </c>
      <c r="M26" s="56">
        <v>31120241816</v>
      </c>
      <c r="N26" s="57" t="b">
        <v>1</v>
      </c>
      <c r="O26" s="58" t="s">
        <v>31</v>
      </c>
      <c r="P26" s="215" t="s">
        <v>64</v>
      </c>
      <c r="Q26" s="59" t="b">
        <v>1</v>
      </c>
      <c r="R26" s="129"/>
      <c r="S26" s="165"/>
      <c r="T26" s="47" t="b">
        <v>1</v>
      </c>
      <c r="U26" s="227" t="s">
        <v>2482</v>
      </c>
      <c r="V26" s="75"/>
      <c r="W26" s="75"/>
      <c r="X26" s="166"/>
      <c r="Y26" s="166"/>
      <c r="Z26" s="167"/>
      <c r="AA26" s="167"/>
    </row>
    <row r="27" spans="1:27">
      <c r="A27" s="18"/>
      <c r="B27" s="163"/>
      <c r="C27" s="197">
        <v>45599</v>
      </c>
      <c r="D27" s="66" t="s">
        <v>104</v>
      </c>
      <c r="E27" s="67" t="s">
        <v>61</v>
      </c>
      <c r="F27" s="67" t="s">
        <v>2484</v>
      </c>
      <c r="G27" s="159" t="s">
        <v>278</v>
      </c>
      <c r="H27" s="66" t="s">
        <v>30</v>
      </c>
      <c r="I27" s="66">
        <v>5</v>
      </c>
      <c r="J27" s="75">
        <v>185</v>
      </c>
      <c r="K27" s="75">
        <f t="shared" si="0"/>
        <v>925</v>
      </c>
      <c r="L27" s="55" t="b">
        <v>1</v>
      </c>
      <c r="M27" s="56">
        <v>31120241816</v>
      </c>
      <c r="N27" s="57" t="b">
        <v>1</v>
      </c>
      <c r="O27" s="58" t="s">
        <v>31</v>
      </c>
      <c r="P27" s="226">
        <v>45600</v>
      </c>
      <c r="Q27" s="59" t="b">
        <v>1</v>
      </c>
      <c r="R27" s="129"/>
      <c r="S27" s="165"/>
      <c r="T27" s="47" t="b">
        <v>1</v>
      </c>
      <c r="U27" s="227" t="s">
        <v>2485</v>
      </c>
      <c r="V27" s="75"/>
      <c r="W27" s="75"/>
      <c r="X27" s="166"/>
      <c r="Y27" s="166"/>
      <c r="Z27" s="167"/>
      <c r="AA27" s="167"/>
    </row>
    <row r="28" spans="1:27">
      <c r="A28" s="18"/>
      <c r="B28" s="163"/>
      <c r="C28" s="197">
        <v>45599</v>
      </c>
      <c r="D28" s="66" t="s">
        <v>104</v>
      </c>
      <c r="E28" s="67" t="s">
        <v>61</v>
      </c>
      <c r="F28" s="67" t="s">
        <v>2484</v>
      </c>
      <c r="G28" s="159" t="s">
        <v>304</v>
      </c>
      <c r="H28" s="66" t="s">
        <v>30</v>
      </c>
      <c r="I28" s="66">
        <v>24</v>
      </c>
      <c r="J28" s="75">
        <v>58</v>
      </c>
      <c r="K28" s="75">
        <f t="shared" si="0"/>
        <v>1392</v>
      </c>
      <c r="L28" s="55" t="b">
        <v>1</v>
      </c>
      <c r="M28" s="56">
        <v>31120241816</v>
      </c>
      <c r="N28" s="57" t="b">
        <v>1</v>
      </c>
      <c r="O28" s="58" t="s">
        <v>2356</v>
      </c>
      <c r="P28" s="215"/>
      <c r="Q28" s="59" t="b">
        <v>1</v>
      </c>
      <c r="R28" s="129"/>
      <c r="S28" s="165"/>
      <c r="T28" s="47" t="b">
        <v>1</v>
      </c>
      <c r="U28" s="227" t="s">
        <v>2486</v>
      </c>
      <c r="V28" s="75"/>
      <c r="W28" s="75"/>
      <c r="X28" s="166"/>
      <c r="Y28" s="166"/>
      <c r="Z28" s="167"/>
      <c r="AA28" s="167"/>
    </row>
    <row r="29" spans="1:27">
      <c r="A29" s="18"/>
      <c r="B29" s="163"/>
      <c r="C29" s="197">
        <v>45600</v>
      </c>
      <c r="D29" s="66" t="s">
        <v>418</v>
      </c>
      <c r="E29" s="66" t="s">
        <v>84</v>
      </c>
      <c r="F29" s="66" t="s">
        <v>2487</v>
      </c>
      <c r="G29" s="159" t="s">
        <v>142</v>
      </c>
      <c r="H29" s="66" t="s">
        <v>30</v>
      </c>
      <c r="I29" s="66">
        <v>3000</v>
      </c>
      <c r="J29" s="75">
        <v>1.27</v>
      </c>
      <c r="K29" s="54">
        <f t="shared" si="0"/>
        <v>3810</v>
      </c>
      <c r="L29" s="55" t="b">
        <v>1</v>
      </c>
      <c r="M29" s="56">
        <v>41120241055</v>
      </c>
      <c r="N29" s="57" t="b">
        <v>1</v>
      </c>
      <c r="O29" s="58" t="s">
        <v>2356</v>
      </c>
      <c r="P29" s="226">
        <v>45600</v>
      </c>
      <c r="Q29" s="59" t="b">
        <v>1</v>
      </c>
      <c r="R29" s="129"/>
      <c r="S29" s="165"/>
      <c r="T29" s="47" t="b">
        <v>1</v>
      </c>
      <c r="U29" s="227" t="s">
        <v>2488</v>
      </c>
      <c r="V29" s="75"/>
      <c r="W29" s="165"/>
      <c r="X29" s="166"/>
      <c r="Y29" s="166"/>
      <c r="Z29" s="167"/>
      <c r="AA29" s="167"/>
    </row>
    <row r="30" spans="1:27">
      <c r="A30" s="18"/>
      <c r="B30" s="163"/>
      <c r="C30" s="197">
        <v>45600</v>
      </c>
      <c r="D30" s="66" t="s">
        <v>418</v>
      </c>
      <c r="E30" s="66" t="s">
        <v>84</v>
      </c>
      <c r="F30" s="66" t="s">
        <v>2487</v>
      </c>
      <c r="G30" s="66" t="s">
        <v>83</v>
      </c>
      <c r="H30" s="66" t="s">
        <v>30</v>
      </c>
      <c r="I30" s="66">
        <v>2</v>
      </c>
      <c r="J30" s="75">
        <v>1500</v>
      </c>
      <c r="K30" s="54">
        <f t="shared" si="0"/>
        <v>3000</v>
      </c>
      <c r="L30" s="55" t="b">
        <v>1</v>
      </c>
      <c r="M30" s="56">
        <v>41120241055</v>
      </c>
      <c r="N30" s="57" t="b">
        <v>1</v>
      </c>
      <c r="O30" s="58" t="s">
        <v>31</v>
      </c>
      <c r="P30" s="215" t="s">
        <v>64</v>
      </c>
      <c r="Q30" s="59" t="b">
        <v>1</v>
      </c>
      <c r="R30" s="129"/>
      <c r="S30" s="165"/>
      <c r="T30" s="47" t="b">
        <v>1</v>
      </c>
      <c r="U30" s="227" t="s">
        <v>2489</v>
      </c>
      <c r="V30" s="75"/>
      <c r="W30" s="75"/>
      <c r="X30" s="166"/>
      <c r="Y30" s="166"/>
      <c r="Z30" s="167"/>
      <c r="AA30" s="167"/>
    </row>
    <row r="31" spans="1:27">
      <c r="A31" s="1"/>
      <c r="B31" s="32"/>
      <c r="C31" s="197">
        <v>45600</v>
      </c>
      <c r="D31" s="66" t="s">
        <v>418</v>
      </c>
      <c r="E31" s="66" t="s">
        <v>84</v>
      </c>
      <c r="F31" s="66" t="s">
        <v>2487</v>
      </c>
      <c r="G31" s="53" t="s">
        <v>717</v>
      </c>
      <c r="H31" s="53" t="s">
        <v>30</v>
      </c>
      <c r="I31" s="53">
        <v>100</v>
      </c>
      <c r="J31" s="54">
        <v>9.5</v>
      </c>
      <c r="K31" s="54">
        <f t="shared" si="0"/>
        <v>950</v>
      </c>
      <c r="L31" s="55" t="b">
        <v>1</v>
      </c>
      <c r="M31" s="56">
        <v>41120241055</v>
      </c>
      <c r="N31" s="57" t="b">
        <v>1</v>
      </c>
      <c r="O31" s="58" t="s">
        <v>39</v>
      </c>
      <c r="P31" s="226">
        <v>45600</v>
      </c>
      <c r="Q31" s="59" t="b">
        <v>1</v>
      </c>
      <c r="R31" s="129"/>
      <c r="S31" s="165"/>
      <c r="T31" s="47" t="b">
        <v>1</v>
      </c>
      <c r="U31" s="227" t="s">
        <v>2490</v>
      </c>
      <c r="V31" s="54"/>
      <c r="W31" s="54"/>
      <c r="X31" s="49"/>
      <c r="Y31" s="49"/>
    </row>
    <row r="32" spans="1:27">
      <c r="A32" s="1"/>
      <c r="B32" s="32"/>
      <c r="C32" s="197">
        <v>45600</v>
      </c>
      <c r="D32" s="66" t="s">
        <v>418</v>
      </c>
      <c r="E32" s="66" t="s">
        <v>84</v>
      </c>
      <c r="F32" s="66" t="s">
        <v>2487</v>
      </c>
      <c r="G32" s="53" t="s">
        <v>68</v>
      </c>
      <c r="H32" s="53" t="s">
        <v>30</v>
      </c>
      <c r="I32" s="53">
        <v>1</v>
      </c>
      <c r="J32" s="54">
        <v>2350</v>
      </c>
      <c r="K32" s="54">
        <f t="shared" si="0"/>
        <v>2350</v>
      </c>
      <c r="L32" s="55" t="b">
        <v>1</v>
      </c>
      <c r="M32" s="56">
        <v>41120241055</v>
      </c>
      <c r="N32" s="57" t="b">
        <v>1</v>
      </c>
      <c r="O32" s="58"/>
      <c r="P32" s="215"/>
      <c r="Q32" s="59" t="b">
        <v>1</v>
      </c>
      <c r="R32" s="129"/>
      <c r="S32" s="165"/>
      <c r="T32" s="47" t="b">
        <v>1</v>
      </c>
      <c r="U32" s="227" t="s">
        <v>2488</v>
      </c>
      <c r="V32" s="54"/>
      <c r="W32" s="54"/>
      <c r="X32" s="49"/>
      <c r="Y32" s="49"/>
    </row>
    <row r="33" spans="1:27" ht="15.75" customHeight="1">
      <c r="A33" s="18"/>
      <c r="B33" s="163"/>
      <c r="C33" s="197">
        <v>45600</v>
      </c>
      <c r="D33" s="66" t="s">
        <v>418</v>
      </c>
      <c r="E33" s="66" t="s">
        <v>84</v>
      </c>
      <c r="F33" s="66" t="s">
        <v>2487</v>
      </c>
      <c r="G33" s="66" t="s">
        <v>1794</v>
      </c>
      <c r="H33" s="66" t="s">
        <v>30</v>
      </c>
      <c r="I33" s="66">
        <v>5</v>
      </c>
      <c r="J33" s="75">
        <v>90</v>
      </c>
      <c r="K33" s="75">
        <f t="shared" si="0"/>
        <v>450</v>
      </c>
      <c r="L33" s="55" t="b">
        <v>1</v>
      </c>
      <c r="M33" s="56">
        <v>41120241055</v>
      </c>
      <c r="N33" s="57" t="b">
        <v>1</v>
      </c>
      <c r="O33" s="58" t="s">
        <v>31</v>
      </c>
      <c r="P33" s="226">
        <v>45600</v>
      </c>
      <c r="Q33" s="59" t="b">
        <v>1</v>
      </c>
      <c r="R33" s="129"/>
      <c r="S33" s="165"/>
      <c r="T33" s="47" t="b">
        <v>1</v>
      </c>
      <c r="U33" s="227" t="s">
        <v>2489</v>
      </c>
      <c r="V33" s="75"/>
      <c r="W33" s="75"/>
      <c r="X33" s="166"/>
      <c r="Y33" s="166"/>
      <c r="Z33" s="167"/>
      <c r="AA33" s="167"/>
    </row>
    <row r="34" spans="1:27">
      <c r="A34" s="18"/>
      <c r="B34" s="163"/>
      <c r="C34" s="197">
        <v>45600</v>
      </c>
      <c r="D34" s="66" t="s">
        <v>418</v>
      </c>
      <c r="E34" s="66" t="s">
        <v>84</v>
      </c>
      <c r="F34" s="66" t="s">
        <v>2487</v>
      </c>
      <c r="G34" s="159" t="s">
        <v>147</v>
      </c>
      <c r="H34" s="159" t="s">
        <v>30</v>
      </c>
      <c r="I34" s="66">
        <v>3</v>
      </c>
      <c r="J34" s="160">
        <v>800</v>
      </c>
      <c r="K34" s="75">
        <f t="shared" si="0"/>
        <v>2400</v>
      </c>
      <c r="L34" s="55" t="b">
        <v>1</v>
      </c>
      <c r="M34" s="56">
        <v>41120241055</v>
      </c>
      <c r="N34" s="57" t="b">
        <v>1</v>
      </c>
      <c r="O34" s="58" t="s">
        <v>31</v>
      </c>
      <c r="P34" s="215" t="s">
        <v>64</v>
      </c>
      <c r="Q34" s="59" t="b">
        <v>1</v>
      </c>
      <c r="S34" s="165"/>
      <c r="T34" s="47" t="b">
        <v>1</v>
      </c>
      <c r="U34" s="227" t="s">
        <v>2489</v>
      </c>
      <c r="V34" s="75"/>
      <c r="W34" s="75"/>
      <c r="X34" s="166"/>
      <c r="Y34" s="166"/>
      <c r="Z34" s="167"/>
      <c r="AA34" s="167"/>
    </row>
    <row r="35" spans="1:27">
      <c r="A35" s="18"/>
      <c r="B35" s="163"/>
      <c r="C35" s="197">
        <v>45600</v>
      </c>
      <c r="D35" s="66" t="s">
        <v>418</v>
      </c>
      <c r="E35" s="66" t="s">
        <v>84</v>
      </c>
      <c r="F35" s="66" t="s">
        <v>2487</v>
      </c>
      <c r="G35" s="159" t="s">
        <v>877</v>
      </c>
      <c r="H35" s="159" t="s">
        <v>30</v>
      </c>
      <c r="I35" s="66">
        <v>3</v>
      </c>
      <c r="J35" s="70">
        <v>875</v>
      </c>
      <c r="K35" s="75">
        <f t="shared" si="0"/>
        <v>2625</v>
      </c>
      <c r="L35" s="55" t="b">
        <v>1</v>
      </c>
      <c r="M35" s="56">
        <v>41120241055</v>
      </c>
      <c r="N35" s="57" t="b">
        <v>1</v>
      </c>
      <c r="O35" s="58" t="s">
        <v>31</v>
      </c>
      <c r="P35" s="215" t="s">
        <v>64</v>
      </c>
      <c r="Q35" s="59" t="b">
        <v>1</v>
      </c>
      <c r="R35" s="129"/>
      <c r="S35" s="165"/>
      <c r="T35" s="47" t="b">
        <v>1</v>
      </c>
      <c r="U35" s="227" t="s">
        <v>2489</v>
      </c>
      <c r="V35" s="75"/>
      <c r="W35" s="75"/>
      <c r="X35" s="166"/>
      <c r="Y35" s="166"/>
      <c r="Z35" s="167"/>
      <c r="AA35" s="167"/>
    </row>
    <row r="36" spans="1:27">
      <c r="A36" s="18"/>
      <c r="B36" s="163"/>
      <c r="C36" s="197">
        <v>45600</v>
      </c>
      <c r="D36" s="66" t="s">
        <v>418</v>
      </c>
      <c r="E36" s="66" t="s">
        <v>84</v>
      </c>
      <c r="F36" s="66" t="s">
        <v>2487</v>
      </c>
      <c r="G36" s="69" t="s">
        <v>907</v>
      </c>
      <c r="H36" s="69" t="s">
        <v>30</v>
      </c>
      <c r="I36" s="66">
        <v>300</v>
      </c>
      <c r="J36" s="70">
        <v>6.75</v>
      </c>
      <c r="K36" s="75">
        <f t="shared" si="0"/>
        <v>2025</v>
      </c>
      <c r="L36" s="55" t="b">
        <v>1</v>
      </c>
      <c r="M36" s="56">
        <v>41120241055</v>
      </c>
      <c r="N36" s="57" t="b">
        <v>1</v>
      </c>
      <c r="O36" s="58" t="s">
        <v>2356</v>
      </c>
      <c r="P36" s="226">
        <v>45600</v>
      </c>
      <c r="Q36" s="59" t="b">
        <v>1</v>
      </c>
      <c r="R36" s="129"/>
      <c r="S36" s="165"/>
      <c r="T36" s="47" t="b">
        <v>1</v>
      </c>
      <c r="U36" s="227" t="s">
        <v>2491</v>
      </c>
      <c r="V36" s="75"/>
      <c r="W36" s="75"/>
      <c r="X36" s="166"/>
      <c r="Y36" s="166"/>
      <c r="Z36" s="167"/>
      <c r="AA36" s="167"/>
    </row>
    <row r="37" spans="1:27">
      <c r="A37" s="18"/>
      <c r="B37" s="163"/>
      <c r="C37" s="197">
        <v>45600</v>
      </c>
      <c r="D37" s="66" t="s">
        <v>104</v>
      </c>
      <c r="E37" s="66" t="s">
        <v>2492</v>
      </c>
      <c r="F37" s="66" t="s">
        <v>2250</v>
      </c>
      <c r="G37" s="69" t="s">
        <v>2493</v>
      </c>
      <c r="H37" s="69" t="s">
        <v>30</v>
      </c>
      <c r="I37" s="66">
        <v>3</v>
      </c>
      <c r="J37" s="70">
        <v>2850</v>
      </c>
      <c r="K37" s="75">
        <f t="shared" si="0"/>
        <v>8550</v>
      </c>
      <c r="L37" s="55" t="b">
        <v>1</v>
      </c>
      <c r="M37" s="56" t="s">
        <v>529</v>
      </c>
      <c r="N37" s="57" t="b">
        <v>1</v>
      </c>
      <c r="O37" s="58" t="s">
        <v>2356</v>
      </c>
      <c r="P37" s="222">
        <v>45611</v>
      </c>
      <c r="Q37" s="59" t="b">
        <v>1</v>
      </c>
      <c r="R37" s="129"/>
      <c r="S37" s="165"/>
      <c r="T37" s="47" t="b">
        <v>1</v>
      </c>
      <c r="U37" s="227" t="s">
        <v>2494</v>
      </c>
      <c r="V37" s="75"/>
      <c r="W37" s="75"/>
      <c r="X37" s="166"/>
      <c r="Y37" s="166"/>
      <c r="Z37" s="167"/>
      <c r="AA37" s="167"/>
    </row>
    <row r="38" spans="1:27" ht="15.75" customHeight="1">
      <c r="A38" s="18"/>
      <c r="B38" s="163"/>
      <c r="C38" s="132" t="s">
        <v>2495</v>
      </c>
      <c r="D38" s="66" t="s">
        <v>51</v>
      </c>
      <c r="E38" s="66" t="s">
        <v>475</v>
      </c>
      <c r="F38" s="66" t="s">
        <v>2105</v>
      </c>
      <c r="G38" s="69" t="s">
        <v>1658</v>
      </c>
      <c r="H38" s="69" t="s">
        <v>30</v>
      </c>
      <c r="I38" s="66">
        <v>1</v>
      </c>
      <c r="J38" s="70">
        <v>4250</v>
      </c>
      <c r="K38" s="75">
        <f t="shared" si="0"/>
        <v>4250</v>
      </c>
      <c r="L38" s="55" t="b">
        <v>1</v>
      </c>
      <c r="M38" s="56">
        <v>51120241023</v>
      </c>
      <c r="N38" s="57" t="b">
        <v>1</v>
      </c>
      <c r="O38" s="58" t="s">
        <v>39</v>
      </c>
      <c r="P38" s="226">
        <v>45601</v>
      </c>
      <c r="Q38" s="59" t="b">
        <v>1</v>
      </c>
      <c r="R38" s="129"/>
      <c r="S38" s="165"/>
      <c r="T38" s="47" t="b">
        <v>1</v>
      </c>
      <c r="U38" s="227" t="s">
        <v>2496</v>
      </c>
      <c r="V38" s="75"/>
      <c r="W38" s="75"/>
      <c r="X38" s="166"/>
      <c r="Y38" s="166"/>
      <c r="Z38" s="167"/>
      <c r="AA38" s="167"/>
    </row>
    <row r="39" spans="1:27">
      <c r="A39" s="1"/>
      <c r="B39" s="32"/>
      <c r="C39" s="71" t="s">
        <v>2495</v>
      </c>
      <c r="D39" s="66" t="s">
        <v>51</v>
      </c>
      <c r="E39" s="66" t="s">
        <v>475</v>
      </c>
      <c r="F39" s="66" t="s">
        <v>2105</v>
      </c>
      <c r="G39" s="69" t="s">
        <v>2497</v>
      </c>
      <c r="H39" s="69" t="s">
        <v>30</v>
      </c>
      <c r="I39" s="53">
        <v>4</v>
      </c>
      <c r="J39" s="70">
        <v>850</v>
      </c>
      <c r="K39" s="54">
        <f t="shared" si="0"/>
        <v>3400</v>
      </c>
      <c r="L39" s="55" t="b">
        <v>1</v>
      </c>
      <c r="M39" s="56">
        <v>51120241023</v>
      </c>
      <c r="N39" s="57" t="b">
        <v>1</v>
      </c>
      <c r="O39" s="58"/>
      <c r="P39" s="215" t="s">
        <v>2498</v>
      </c>
      <c r="Q39" s="59" t="b">
        <v>1</v>
      </c>
      <c r="R39" s="129"/>
      <c r="S39" s="165"/>
      <c r="T39" s="47" t="b">
        <v>1</v>
      </c>
      <c r="U39" s="227" t="s">
        <v>2499</v>
      </c>
      <c r="V39" s="54"/>
      <c r="W39" s="54"/>
      <c r="X39" s="49"/>
      <c r="Y39" s="49"/>
    </row>
    <row r="40" spans="1:27">
      <c r="A40" s="18"/>
      <c r="B40" s="163"/>
      <c r="C40" s="71" t="s">
        <v>2495</v>
      </c>
      <c r="D40" s="66" t="s">
        <v>51</v>
      </c>
      <c r="E40" s="66" t="s">
        <v>475</v>
      </c>
      <c r="F40" s="66" t="s">
        <v>2120</v>
      </c>
      <c r="G40" s="69" t="s">
        <v>2500</v>
      </c>
      <c r="H40" s="69" t="s">
        <v>30</v>
      </c>
      <c r="I40" s="53">
        <v>4</v>
      </c>
      <c r="J40" s="70">
        <v>1050</v>
      </c>
      <c r="K40" s="54">
        <f t="shared" si="0"/>
        <v>4200</v>
      </c>
      <c r="L40" s="55" t="b">
        <v>1</v>
      </c>
      <c r="M40" s="56">
        <v>51120241023</v>
      </c>
      <c r="N40" s="57" t="b">
        <v>1</v>
      </c>
      <c r="O40" s="58"/>
      <c r="P40" s="58"/>
      <c r="Q40" s="59" t="b">
        <v>1</v>
      </c>
      <c r="R40" s="129"/>
      <c r="S40" s="165"/>
      <c r="T40" s="47" t="b">
        <v>1</v>
      </c>
      <c r="U40" s="227" t="s">
        <v>2499</v>
      </c>
      <c r="V40" s="75"/>
      <c r="W40" s="75"/>
      <c r="X40" s="166"/>
      <c r="Y40" s="166"/>
      <c r="Z40" s="167"/>
      <c r="AA40" s="167"/>
    </row>
    <row r="41" spans="1:27">
      <c r="A41" s="18"/>
      <c r="B41" s="163"/>
      <c r="C41" s="132" t="s">
        <v>2495</v>
      </c>
      <c r="D41" s="66" t="s">
        <v>51</v>
      </c>
      <c r="E41" s="66" t="s">
        <v>475</v>
      </c>
      <c r="F41" s="66" t="s">
        <v>2120</v>
      </c>
      <c r="G41" s="228" t="s">
        <v>2501</v>
      </c>
      <c r="H41" s="69" t="s">
        <v>30</v>
      </c>
      <c r="I41" s="66">
        <v>1</v>
      </c>
      <c r="J41" s="70">
        <v>7250</v>
      </c>
      <c r="K41" s="54">
        <f t="shared" si="0"/>
        <v>7250</v>
      </c>
      <c r="L41" s="55" t="b">
        <v>1</v>
      </c>
      <c r="M41" s="56">
        <v>51120241023</v>
      </c>
      <c r="N41" s="57" t="b">
        <v>1</v>
      </c>
      <c r="O41" s="58"/>
      <c r="P41" s="226"/>
      <c r="Q41" s="59" t="b">
        <v>1</v>
      </c>
      <c r="R41" s="129"/>
      <c r="S41" s="165"/>
      <c r="T41" s="47" t="b">
        <v>1</v>
      </c>
      <c r="U41" s="227" t="s">
        <v>2502</v>
      </c>
      <c r="V41" s="75"/>
      <c r="W41" s="75"/>
      <c r="X41" s="166"/>
      <c r="Y41" s="166"/>
      <c r="Z41" s="167"/>
      <c r="AA41" s="167"/>
    </row>
    <row r="42" spans="1:27">
      <c r="A42" s="18"/>
      <c r="B42" s="163"/>
      <c r="C42" s="132" t="s">
        <v>2495</v>
      </c>
      <c r="D42" s="66" t="s">
        <v>51</v>
      </c>
      <c r="E42" s="66" t="s">
        <v>201</v>
      </c>
      <c r="F42" s="66" t="s">
        <v>202</v>
      </c>
      <c r="G42" s="66" t="s">
        <v>101</v>
      </c>
      <c r="H42" s="69" t="s">
        <v>30</v>
      </c>
      <c r="I42" s="66">
        <v>10</v>
      </c>
      <c r="J42" s="70">
        <v>925</v>
      </c>
      <c r="K42" s="54">
        <f t="shared" si="0"/>
        <v>9250</v>
      </c>
      <c r="L42" s="55" t="b">
        <v>1</v>
      </c>
      <c r="M42" s="56">
        <v>51120241024</v>
      </c>
      <c r="N42" s="57" t="b">
        <v>1</v>
      </c>
      <c r="O42" s="58" t="s">
        <v>2356</v>
      </c>
      <c r="P42" s="226">
        <v>45601</v>
      </c>
      <c r="Q42" s="59" t="b">
        <v>1</v>
      </c>
      <c r="R42" s="129"/>
      <c r="S42" s="165"/>
      <c r="T42" s="47" t="b">
        <v>1</v>
      </c>
      <c r="U42" s="227" t="s">
        <v>2503</v>
      </c>
      <c r="V42" s="75"/>
      <c r="W42" s="75"/>
      <c r="X42" s="166"/>
      <c r="Y42" s="166"/>
      <c r="Z42" s="167"/>
      <c r="AA42" s="167"/>
    </row>
    <row r="43" spans="1:27">
      <c r="A43" s="18"/>
      <c r="B43" s="163"/>
      <c r="C43" s="132" t="s">
        <v>2495</v>
      </c>
      <c r="D43" s="66" t="s">
        <v>51</v>
      </c>
      <c r="E43" s="66" t="s">
        <v>201</v>
      </c>
      <c r="F43" s="66" t="s">
        <v>1208</v>
      </c>
      <c r="G43" s="66" t="s">
        <v>785</v>
      </c>
      <c r="H43" s="69" t="s">
        <v>30</v>
      </c>
      <c r="I43" s="66">
        <v>1</v>
      </c>
      <c r="J43" s="70">
        <v>2750</v>
      </c>
      <c r="K43" s="54">
        <f t="shared" si="0"/>
        <v>2750</v>
      </c>
      <c r="L43" s="55" t="b">
        <v>1</v>
      </c>
      <c r="M43" s="56">
        <v>51120241024</v>
      </c>
      <c r="N43" s="57" t="b">
        <v>1</v>
      </c>
      <c r="O43" s="58"/>
      <c r="P43" s="215"/>
      <c r="Q43" s="59" t="b">
        <v>1</v>
      </c>
      <c r="R43" s="129"/>
      <c r="S43" s="165"/>
      <c r="T43" s="47" t="b">
        <v>1</v>
      </c>
      <c r="U43" s="227" t="s">
        <v>2504</v>
      </c>
      <c r="V43" s="75"/>
      <c r="W43" s="75"/>
      <c r="X43" s="166"/>
      <c r="Y43" s="166"/>
      <c r="Z43" s="167"/>
      <c r="AA43" s="167"/>
    </row>
    <row r="44" spans="1:27">
      <c r="A44" s="18"/>
      <c r="B44" s="163"/>
      <c r="C44" s="132" t="s">
        <v>2495</v>
      </c>
      <c r="D44" s="66" t="s">
        <v>51</v>
      </c>
      <c r="E44" s="66" t="s">
        <v>201</v>
      </c>
      <c r="F44" s="66" t="s">
        <v>1208</v>
      </c>
      <c r="G44" s="66" t="s">
        <v>787</v>
      </c>
      <c r="H44" s="69" t="s">
        <v>30</v>
      </c>
      <c r="I44" s="66">
        <v>1</v>
      </c>
      <c r="J44" s="70">
        <v>3400</v>
      </c>
      <c r="K44" s="54">
        <f t="shared" si="0"/>
        <v>3400</v>
      </c>
      <c r="L44" s="55" t="b">
        <v>1</v>
      </c>
      <c r="M44" s="56">
        <v>51120241024</v>
      </c>
      <c r="N44" s="57" t="b">
        <v>1</v>
      </c>
      <c r="O44" s="58"/>
      <c r="P44" s="215"/>
      <c r="Q44" s="59" t="b">
        <v>1</v>
      </c>
      <c r="R44" s="129"/>
      <c r="S44" s="165"/>
      <c r="T44" s="47" t="b">
        <v>1</v>
      </c>
      <c r="U44" s="227" t="s">
        <v>2504</v>
      </c>
      <c r="V44" s="75"/>
      <c r="W44" s="75"/>
      <c r="X44" s="166"/>
      <c r="Y44" s="166"/>
      <c r="Z44" s="167"/>
      <c r="AA44" s="167"/>
    </row>
    <row r="45" spans="1:27">
      <c r="A45" s="18"/>
      <c r="B45" s="163"/>
      <c r="C45" s="132" t="s">
        <v>2495</v>
      </c>
      <c r="D45" s="66" t="s">
        <v>51</v>
      </c>
      <c r="E45" s="66" t="s">
        <v>201</v>
      </c>
      <c r="F45" s="66" t="s">
        <v>1208</v>
      </c>
      <c r="G45" s="69" t="s">
        <v>2505</v>
      </c>
      <c r="H45" s="69" t="s">
        <v>30</v>
      </c>
      <c r="I45" s="66">
        <v>1</v>
      </c>
      <c r="J45" s="70">
        <v>2750</v>
      </c>
      <c r="K45" s="54">
        <f t="shared" si="0"/>
        <v>2750</v>
      </c>
      <c r="L45" s="55" t="b">
        <v>1</v>
      </c>
      <c r="M45" s="56">
        <v>51120241024</v>
      </c>
      <c r="N45" s="57" t="b">
        <v>1</v>
      </c>
      <c r="O45" s="58"/>
      <c r="P45" s="215"/>
      <c r="Q45" s="59" t="b">
        <v>1</v>
      </c>
      <c r="R45" s="129"/>
      <c r="S45" s="165"/>
      <c r="T45" s="47" t="b">
        <v>1</v>
      </c>
      <c r="U45" s="227" t="s">
        <v>2504</v>
      </c>
      <c r="V45" s="75"/>
      <c r="W45" s="75"/>
      <c r="X45" s="166"/>
      <c r="Y45" s="166"/>
      <c r="Z45" s="167"/>
      <c r="AA45" s="167"/>
    </row>
    <row r="46" spans="1:27">
      <c r="A46" s="18"/>
      <c r="B46" s="163"/>
      <c r="C46" s="132" t="s">
        <v>2495</v>
      </c>
      <c r="D46" s="66" t="s">
        <v>890</v>
      </c>
      <c r="E46" s="66" t="s">
        <v>890</v>
      </c>
      <c r="F46" s="66" t="s">
        <v>131</v>
      </c>
      <c r="G46" s="69" t="s">
        <v>467</v>
      </c>
      <c r="H46" s="69" t="s">
        <v>30</v>
      </c>
      <c r="I46" s="66">
        <v>10</v>
      </c>
      <c r="J46" s="70">
        <v>725</v>
      </c>
      <c r="K46" s="75">
        <f t="shared" si="0"/>
        <v>7250</v>
      </c>
      <c r="L46" s="55" t="b">
        <v>1</v>
      </c>
      <c r="M46" s="56">
        <v>51120241026</v>
      </c>
      <c r="N46" s="57" t="b">
        <v>1</v>
      </c>
      <c r="O46" s="58" t="s">
        <v>31</v>
      </c>
      <c r="P46" s="226">
        <v>45601</v>
      </c>
      <c r="Q46" s="59" t="b">
        <v>1</v>
      </c>
      <c r="R46" s="129"/>
      <c r="S46" s="165"/>
      <c r="T46" s="47" t="b">
        <v>1</v>
      </c>
      <c r="U46" s="227" t="s">
        <v>2506</v>
      </c>
      <c r="V46" s="75"/>
      <c r="W46" s="75"/>
      <c r="X46" s="166"/>
      <c r="Y46" s="166"/>
      <c r="Z46" s="167"/>
      <c r="AA46" s="167"/>
    </row>
    <row r="47" spans="1:27">
      <c r="A47" s="18"/>
      <c r="B47" s="163"/>
      <c r="C47" s="132" t="s">
        <v>2495</v>
      </c>
      <c r="D47" s="66" t="s">
        <v>26</v>
      </c>
      <c r="E47" s="66" t="s">
        <v>27</v>
      </c>
      <c r="F47" s="66" t="s">
        <v>28</v>
      </c>
      <c r="G47" s="69" t="s">
        <v>2507</v>
      </c>
      <c r="H47" s="67" t="s">
        <v>30</v>
      </c>
      <c r="I47" s="66">
        <v>2</v>
      </c>
      <c r="J47" s="68">
        <v>395</v>
      </c>
      <c r="K47" s="75">
        <f t="shared" si="0"/>
        <v>790</v>
      </c>
      <c r="L47" s="55" t="b">
        <v>1</v>
      </c>
      <c r="M47" s="56">
        <v>51120241029</v>
      </c>
      <c r="N47" s="57" t="b">
        <v>1</v>
      </c>
      <c r="O47" s="58" t="s">
        <v>31</v>
      </c>
      <c r="P47" s="226">
        <v>45601</v>
      </c>
      <c r="Q47" s="59" t="b">
        <v>1</v>
      </c>
      <c r="R47" s="129"/>
      <c r="S47" s="165"/>
      <c r="T47" s="47" t="b">
        <v>1</v>
      </c>
      <c r="U47" s="227" t="s">
        <v>2508</v>
      </c>
      <c r="V47" s="75"/>
      <c r="W47" s="75"/>
      <c r="X47" s="166"/>
      <c r="Y47" s="166"/>
      <c r="Z47" s="167"/>
      <c r="AA47" s="167"/>
    </row>
    <row r="48" spans="1:27">
      <c r="A48" s="18"/>
      <c r="B48" s="163"/>
      <c r="C48" s="71" t="s">
        <v>2495</v>
      </c>
      <c r="D48" s="53" t="s">
        <v>51</v>
      </c>
      <c r="E48" s="53" t="s">
        <v>475</v>
      </c>
      <c r="F48" s="66" t="s">
        <v>168</v>
      </c>
      <c r="G48" s="69" t="s">
        <v>1247</v>
      </c>
      <c r="H48" s="69" t="s">
        <v>30</v>
      </c>
      <c r="I48" s="53">
        <v>1</v>
      </c>
      <c r="J48" s="70">
        <v>1200</v>
      </c>
      <c r="K48" s="54">
        <f t="shared" si="0"/>
        <v>1200</v>
      </c>
      <c r="L48" s="55" t="b">
        <v>1</v>
      </c>
      <c r="M48" s="56">
        <v>51120241032</v>
      </c>
      <c r="N48" s="57" t="b">
        <v>1</v>
      </c>
      <c r="O48" s="58" t="s">
        <v>31</v>
      </c>
      <c r="P48" s="226">
        <v>45601</v>
      </c>
      <c r="Q48" s="59" t="b">
        <v>1</v>
      </c>
      <c r="R48" s="129"/>
      <c r="S48" s="165"/>
      <c r="T48" s="47" t="b">
        <v>1</v>
      </c>
      <c r="U48" s="227" t="s">
        <v>2509</v>
      </c>
      <c r="V48" s="75"/>
      <c r="W48" s="75"/>
      <c r="X48" s="166"/>
      <c r="Y48" s="166"/>
      <c r="Z48" s="167"/>
      <c r="AA48" s="167"/>
    </row>
    <row r="49" spans="1:27">
      <c r="A49" s="18"/>
      <c r="B49" s="163"/>
      <c r="C49" s="132" t="s">
        <v>2495</v>
      </c>
      <c r="D49" s="66" t="s">
        <v>98</v>
      </c>
      <c r="E49" s="66" t="s">
        <v>2296</v>
      </c>
      <c r="F49" s="66" t="s">
        <v>100</v>
      </c>
      <c r="G49" s="69" t="s">
        <v>2510</v>
      </c>
      <c r="H49" s="69" t="s">
        <v>30</v>
      </c>
      <c r="I49" s="66">
        <v>4</v>
      </c>
      <c r="J49" s="75">
        <v>875</v>
      </c>
      <c r="K49" s="54">
        <f t="shared" si="0"/>
        <v>3500</v>
      </c>
      <c r="L49" s="55" t="b">
        <v>1</v>
      </c>
      <c r="M49" s="56">
        <v>51120242038</v>
      </c>
      <c r="N49" s="57" t="b">
        <v>1</v>
      </c>
      <c r="O49" s="58" t="s">
        <v>39</v>
      </c>
      <c r="P49" s="226">
        <v>45601</v>
      </c>
      <c r="Q49" s="59" t="b">
        <v>1</v>
      </c>
      <c r="R49" s="129"/>
      <c r="S49" s="165"/>
      <c r="T49" s="47" t="b">
        <v>1</v>
      </c>
      <c r="U49" s="227" t="s">
        <v>2511</v>
      </c>
      <c r="V49" s="75"/>
      <c r="W49" s="75"/>
      <c r="X49" s="166"/>
      <c r="Y49" s="166"/>
      <c r="Z49" s="167"/>
      <c r="AA49" s="167"/>
    </row>
    <row r="50" spans="1:27">
      <c r="A50" s="18"/>
      <c r="B50" s="163"/>
      <c r="C50" s="132" t="s">
        <v>2495</v>
      </c>
      <c r="D50" s="66" t="s">
        <v>890</v>
      </c>
      <c r="E50" s="66" t="s">
        <v>890</v>
      </c>
      <c r="F50" s="66" t="s">
        <v>131</v>
      </c>
      <c r="G50" s="69" t="s">
        <v>2512</v>
      </c>
      <c r="H50" s="69" t="s">
        <v>30</v>
      </c>
      <c r="I50" s="66">
        <v>4</v>
      </c>
      <c r="J50" s="70">
        <v>450</v>
      </c>
      <c r="K50" s="75">
        <f t="shared" si="0"/>
        <v>1800</v>
      </c>
      <c r="L50" s="55" t="b">
        <v>1</v>
      </c>
      <c r="M50" s="56">
        <v>51120242039</v>
      </c>
      <c r="N50" s="57" t="b">
        <v>1</v>
      </c>
      <c r="O50" s="58" t="s">
        <v>31</v>
      </c>
      <c r="P50" s="226">
        <v>45601</v>
      </c>
      <c r="Q50" s="59" t="b">
        <v>1</v>
      </c>
      <c r="R50" s="129"/>
      <c r="S50" s="165"/>
      <c r="T50" s="47" t="b">
        <v>1</v>
      </c>
      <c r="U50" s="227" t="s">
        <v>2513</v>
      </c>
      <c r="V50" s="75"/>
      <c r="W50" s="75"/>
      <c r="X50" s="166"/>
      <c r="Y50" s="166"/>
      <c r="Z50" s="167"/>
      <c r="AA50" s="167"/>
    </row>
    <row r="51" spans="1:27">
      <c r="A51" s="18"/>
      <c r="B51" s="163"/>
      <c r="C51" s="132" t="s">
        <v>2495</v>
      </c>
      <c r="D51" s="66" t="s">
        <v>263</v>
      </c>
      <c r="E51" s="66" t="s">
        <v>956</v>
      </c>
      <c r="F51" s="66" t="s">
        <v>2514</v>
      </c>
      <c r="G51" s="53" t="s">
        <v>717</v>
      </c>
      <c r="H51" s="69" t="s">
        <v>30</v>
      </c>
      <c r="I51" s="66">
        <v>100</v>
      </c>
      <c r="J51" s="70">
        <v>9.5</v>
      </c>
      <c r="K51" s="75">
        <f t="shared" si="0"/>
        <v>950</v>
      </c>
      <c r="L51" s="55" t="b">
        <v>1</v>
      </c>
      <c r="M51" s="56">
        <v>51120242045</v>
      </c>
      <c r="N51" s="57" t="b">
        <v>1</v>
      </c>
      <c r="O51" s="58" t="s">
        <v>39</v>
      </c>
      <c r="P51" s="226">
        <v>45601</v>
      </c>
      <c r="Q51" s="59" t="b">
        <v>1</v>
      </c>
      <c r="R51" s="129"/>
      <c r="S51" s="165"/>
      <c r="T51" s="47" t="b">
        <v>1</v>
      </c>
      <c r="U51" s="227" t="s">
        <v>2515</v>
      </c>
      <c r="V51" s="75"/>
      <c r="W51" s="75"/>
      <c r="X51" s="166"/>
      <c r="Y51" s="166"/>
      <c r="Z51" s="167"/>
      <c r="AA51" s="167"/>
    </row>
    <row r="52" spans="1:27">
      <c r="A52" s="162"/>
      <c r="B52" s="201"/>
      <c r="C52" s="132" t="s">
        <v>2495</v>
      </c>
      <c r="D52" s="66" t="s">
        <v>263</v>
      </c>
      <c r="E52" s="66" t="s">
        <v>956</v>
      </c>
      <c r="F52" s="66" t="s">
        <v>2514</v>
      </c>
      <c r="G52" s="69" t="s">
        <v>304</v>
      </c>
      <c r="H52" s="69" t="s">
        <v>30</v>
      </c>
      <c r="I52" s="66">
        <v>24</v>
      </c>
      <c r="J52" s="70">
        <v>55</v>
      </c>
      <c r="K52" s="75">
        <f t="shared" si="0"/>
        <v>1320</v>
      </c>
      <c r="L52" s="55" t="b">
        <v>1</v>
      </c>
      <c r="M52" s="154">
        <v>51120242047</v>
      </c>
      <c r="N52" s="57" t="b">
        <v>1</v>
      </c>
      <c r="O52" s="58" t="s">
        <v>2356</v>
      </c>
      <c r="P52" s="215"/>
      <c r="Q52" s="59" t="b">
        <v>1</v>
      </c>
      <c r="R52" s="164"/>
      <c r="S52" s="165"/>
      <c r="T52" s="47" t="b">
        <v>1</v>
      </c>
      <c r="U52" s="227" t="s">
        <v>2516</v>
      </c>
      <c r="V52" s="75"/>
      <c r="W52" s="75"/>
      <c r="X52" s="166"/>
      <c r="Y52" s="166"/>
      <c r="Z52" s="167"/>
      <c r="AA52" s="167"/>
    </row>
    <row r="53" spans="1:27">
      <c r="A53" s="162"/>
      <c r="B53" s="201"/>
      <c r="C53" s="132" t="s">
        <v>2495</v>
      </c>
      <c r="D53" s="66" t="s">
        <v>263</v>
      </c>
      <c r="E53" s="66" t="s">
        <v>956</v>
      </c>
      <c r="F53" s="66" t="s">
        <v>2514</v>
      </c>
      <c r="G53" s="69" t="s">
        <v>639</v>
      </c>
      <c r="H53" s="69" t="s">
        <v>30</v>
      </c>
      <c r="I53" s="66">
        <v>24</v>
      </c>
      <c r="J53" s="70">
        <v>218</v>
      </c>
      <c r="K53" s="75">
        <f t="shared" si="0"/>
        <v>5232</v>
      </c>
      <c r="L53" s="55" t="b">
        <v>1</v>
      </c>
      <c r="M53" s="154">
        <v>51120242047</v>
      </c>
      <c r="N53" s="57" t="b">
        <v>1</v>
      </c>
      <c r="O53" s="58" t="s">
        <v>2356</v>
      </c>
      <c r="P53" s="215"/>
      <c r="Q53" s="59" t="b">
        <v>1</v>
      </c>
      <c r="R53" s="164"/>
      <c r="S53" s="165"/>
      <c r="T53" s="47" t="b">
        <v>1</v>
      </c>
      <c r="U53" s="227" t="s">
        <v>2516</v>
      </c>
      <c r="V53" s="75"/>
      <c r="W53" s="75"/>
      <c r="X53" s="166"/>
      <c r="Y53" s="166"/>
      <c r="Z53" s="167"/>
      <c r="AA53" s="167"/>
    </row>
    <row r="54" spans="1:27">
      <c r="A54" s="162"/>
      <c r="B54" s="163"/>
      <c r="C54" s="132" t="s">
        <v>2495</v>
      </c>
      <c r="D54" s="66" t="s">
        <v>263</v>
      </c>
      <c r="E54" s="66" t="s">
        <v>956</v>
      </c>
      <c r="F54" s="66" t="s">
        <v>2514</v>
      </c>
      <c r="G54" s="69" t="s">
        <v>758</v>
      </c>
      <c r="H54" s="69" t="s">
        <v>30</v>
      </c>
      <c r="I54" s="66">
        <v>4</v>
      </c>
      <c r="J54" s="70">
        <v>30</v>
      </c>
      <c r="K54" s="75">
        <f t="shared" si="0"/>
        <v>120</v>
      </c>
      <c r="L54" s="55" t="b">
        <v>1</v>
      </c>
      <c r="M54" s="56">
        <v>51120242047</v>
      </c>
      <c r="N54" s="57" t="b">
        <v>1</v>
      </c>
      <c r="O54" s="58"/>
      <c r="P54" s="215"/>
      <c r="Q54" s="59" t="b">
        <v>1</v>
      </c>
      <c r="R54" s="129"/>
      <c r="S54" s="165"/>
      <c r="T54" s="47" t="b">
        <v>1</v>
      </c>
      <c r="U54" s="227" t="s">
        <v>2515</v>
      </c>
      <c r="V54" s="75"/>
      <c r="W54" s="75"/>
      <c r="X54" s="166"/>
      <c r="Y54" s="166"/>
      <c r="Z54" s="167"/>
      <c r="AA54" s="167"/>
    </row>
    <row r="55" spans="1:27">
      <c r="A55" s="162"/>
      <c r="B55" s="163"/>
      <c r="C55" s="132" t="s">
        <v>2495</v>
      </c>
      <c r="D55" s="66" t="s">
        <v>263</v>
      </c>
      <c r="E55" s="66" t="s">
        <v>956</v>
      </c>
      <c r="F55" s="66" t="s">
        <v>2514</v>
      </c>
      <c r="G55" s="69" t="s">
        <v>760</v>
      </c>
      <c r="H55" s="69" t="s">
        <v>30</v>
      </c>
      <c r="I55" s="66">
        <v>5</v>
      </c>
      <c r="J55" s="70">
        <v>130</v>
      </c>
      <c r="K55" s="75">
        <f t="shared" si="0"/>
        <v>650</v>
      </c>
      <c r="L55" s="55" t="b">
        <v>1</v>
      </c>
      <c r="M55" s="56">
        <v>51120242047</v>
      </c>
      <c r="N55" s="57" t="b">
        <v>1</v>
      </c>
      <c r="O55" s="58"/>
      <c r="P55" s="215"/>
      <c r="Q55" s="59" t="b">
        <v>1</v>
      </c>
      <c r="R55" s="129"/>
      <c r="S55" s="165"/>
      <c r="T55" s="47" t="b">
        <v>1</v>
      </c>
      <c r="U55" s="227" t="s">
        <v>2515</v>
      </c>
      <c r="V55" s="75"/>
      <c r="W55" s="75"/>
      <c r="X55" s="166"/>
      <c r="Y55" s="166"/>
      <c r="Z55" s="167"/>
      <c r="AA55" s="167"/>
    </row>
    <row r="56" spans="1:27">
      <c r="A56" s="162"/>
      <c r="B56" s="163"/>
      <c r="C56" s="132" t="s">
        <v>2495</v>
      </c>
      <c r="D56" s="66" t="s">
        <v>263</v>
      </c>
      <c r="E56" s="66" t="s">
        <v>956</v>
      </c>
      <c r="F56" s="66" t="s">
        <v>2514</v>
      </c>
      <c r="G56" s="159" t="s">
        <v>278</v>
      </c>
      <c r="H56" s="69" t="s">
        <v>30</v>
      </c>
      <c r="I56" s="66">
        <v>2</v>
      </c>
      <c r="J56" s="70">
        <v>165</v>
      </c>
      <c r="K56" s="75">
        <f t="shared" si="0"/>
        <v>330</v>
      </c>
      <c r="L56" s="55" t="b">
        <v>1</v>
      </c>
      <c r="M56" s="154">
        <v>51120242047</v>
      </c>
      <c r="N56" s="57" t="b">
        <v>1</v>
      </c>
      <c r="O56" s="58" t="s">
        <v>2356</v>
      </c>
      <c r="P56" s="226">
        <v>45602</v>
      </c>
      <c r="Q56" s="59" t="b">
        <v>1</v>
      </c>
      <c r="R56" s="164"/>
      <c r="S56" s="165"/>
      <c r="T56" s="47" t="b">
        <v>1</v>
      </c>
      <c r="U56" s="227" t="s">
        <v>2516</v>
      </c>
      <c r="V56" s="75"/>
      <c r="W56" s="75"/>
      <c r="X56" s="166"/>
      <c r="Y56" s="166"/>
      <c r="Z56" s="167"/>
      <c r="AA56" s="167"/>
    </row>
    <row r="57" spans="1:27">
      <c r="A57" s="162"/>
      <c r="B57" s="163"/>
      <c r="C57" s="132" t="s">
        <v>2495</v>
      </c>
      <c r="D57" s="66" t="s">
        <v>263</v>
      </c>
      <c r="E57" s="66" t="s">
        <v>956</v>
      </c>
      <c r="F57" s="66" t="s">
        <v>2514</v>
      </c>
      <c r="G57" s="69" t="s">
        <v>2517</v>
      </c>
      <c r="H57" s="69" t="s">
        <v>30</v>
      </c>
      <c r="I57" s="66">
        <v>100</v>
      </c>
      <c r="J57" s="75">
        <v>55</v>
      </c>
      <c r="K57" s="75">
        <f t="shared" si="0"/>
        <v>5500</v>
      </c>
      <c r="L57" s="55" t="b">
        <v>1</v>
      </c>
      <c r="M57" s="56">
        <v>51120242047</v>
      </c>
      <c r="N57" s="57" t="b">
        <v>1</v>
      </c>
      <c r="O57" s="58" t="s">
        <v>2356</v>
      </c>
      <c r="P57" s="226">
        <v>45602</v>
      </c>
      <c r="Q57" s="59" t="b">
        <v>1</v>
      </c>
      <c r="R57" s="129"/>
      <c r="S57" s="165"/>
      <c r="T57" s="47" t="b">
        <v>1</v>
      </c>
      <c r="U57" s="227" t="s">
        <v>2518</v>
      </c>
      <c r="V57" s="75"/>
      <c r="W57" s="75"/>
      <c r="X57" s="166"/>
      <c r="Y57" s="166"/>
      <c r="Z57" s="167"/>
      <c r="AA57" s="167"/>
    </row>
    <row r="58" spans="1:27">
      <c r="A58" s="162"/>
      <c r="B58" s="163"/>
      <c r="C58" s="132" t="s">
        <v>2495</v>
      </c>
      <c r="D58" s="66" t="s">
        <v>263</v>
      </c>
      <c r="E58" s="66" t="s">
        <v>956</v>
      </c>
      <c r="F58" s="66" t="s">
        <v>2514</v>
      </c>
      <c r="G58" s="69" t="s">
        <v>2519</v>
      </c>
      <c r="H58" s="69" t="s">
        <v>30</v>
      </c>
      <c r="I58" s="66">
        <v>100</v>
      </c>
      <c r="J58" s="70">
        <v>8</v>
      </c>
      <c r="K58" s="75">
        <f t="shared" si="0"/>
        <v>800</v>
      </c>
      <c r="L58" s="55" t="b">
        <v>1</v>
      </c>
      <c r="M58" s="56">
        <v>51120242047</v>
      </c>
      <c r="N58" s="57" t="b">
        <v>1</v>
      </c>
      <c r="O58" s="58" t="s">
        <v>2356</v>
      </c>
      <c r="P58" s="226">
        <v>45602</v>
      </c>
      <c r="Q58" s="59" t="b">
        <v>1</v>
      </c>
      <c r="R58" s="129"/>
      <c r="S58" s="165"/>
      <c r="T58" s="47" t="b">
        <v>1</v>
      </c>
      <c r="U58" s="227" t="s">
        <v>2518</v>
      </c>
      <c r="V58" s="75"/>
      <c r="W58" s="75"/>
      <c r="X58" s="166"/>
      <c r="Y58" s="166"/>
      <c r="Z58" s="167"/>
      <c r="AA58" s="167"/>
    </row>
    <row r="59" spans="1:27">
      <c r="A59" s="162"/>
      <c r="B59" s="163"/>
      <c r="C59" s="132" t="s">
        <v>2495</v>
      </c>
      <c r="D59" s="66" t="s">
        <v>263</v>
      </c>
      <c r="E59" s="66" t="s">
        <v>956</v>
      </c>
      <c r="F59" s="66" t="s">
        <v>2514</v>
      </c>
      <c r="G59" s="69" t="s">
        <v>1794</v>
      </c>
      <c r="H59" s="69" t="s">
        <v>30</v>
      </c>
      <c r="I59" s="66">
        <v>5</v>
      </c>
      <c r="J59" s="70">
        <v>95</v>
      </c>
      <c r="K59" s="75">
        <f t="shared" si="0"/>
        <v>475</v>
      </c>
      <c r="L59" s="55" t="b">
        <v>1</v>
      </c>
      <c r="M59" s="154">
        <v>51120242047</v>
      </c>
      <c r="N59" s="57" t="b">
        <v>1</v>
      </c>
      <c r="O59" s="58" t="s">
        <v>2356</v>
      </c>
      <c r="P59" s="226">
        <v>45602</v>
      </c>
      <c r="Q59" s="59" t="b">
        <v>1</v>
      </c>
      <c r="R59" s="164"/>
      <c r="S59" s="165"/>
      <c r="T59" s="47" t="b">
        <v>1</v>
      </c>
      <c r="U59" s="227" t="s">
        <v>2516</v>
      </c>
      <c r="V59" s="75"/>
      <c r="W59" s="75"/>
      <c r="X59" s="166"/>
      <c r="Y59" s="166"/>
      <c r="Z59" s="167"/>
      <c r="AA59" s="167"/>
    </row>
    <row r="60" spans="1:27">
      <c r="A60" s="162"/>
      <c r="B60" s="163"/>
      <c r="C60" s="132" t="s">
        <v>2495</v>
      </c>
      <c r="D60" s="66" t="s">
        <v>263</v>
      </c>
      <c r="E60" s="66" t="s">
        <v>956</v>
      </c>
      <c r="F60" s="66" t="s">
        <v>2514</v>
      </c>
      <c r="G60" s="69" t="s">
        <v>2520</v>
      </c>
      <c r="H60" s="69" t="s">
        <v>30</v>
      </c>
      <c r="I60" s="66">
        <v>10</v>
      </c>
      <c r="J60" s="70">
        <v>185</v>
      </c>
      <c r="K60" s="75">
        <f t="shared" si="0"/>
        <v>1850</v>
      </c>
      <c r="L60" s="55" t="b">
        <v>1</v>
      </c>
      <c r="M60" s="154">
        <v>51120242047</v>
      </c>
      <c r="N60" s="57" t="b">
        <v>1</v>
      </c>
      <c r="O60" s="58"/>
      <c r="P60" s="215"/>
      <c r="Q60" s="59" t="b">
        <v>1</v>
      </c>
      <c r="R60" s="164"/>
      <c r="S60" s="165"/>
      <c r="T60" s="47" t="b">
        <v>1</v>
      </c>
      <c r="U60" s="227" t="s">
        <v>2516</v>
      </c>
      <c r="V60" s="75"/>
      <c r="W60" s="75"/>
      <c r="X60" s="166"/>
      <c r="Y60" s="166"/>
      <c r="Z60" s="167"/>
      <c r="AA60" s="167"/>
    </row>
    <row r="61" spans="1:27">
      <c r="A61" s="162"/>
      <c r="B61" s="163"/>
      <c r="C61" s="132" t="s">
        <v>2495</v>
      </c>
      <c r="D61" s="66" t="s">
        <v>263</v>
      </c>
      <c r="E61" s="66" t="s">
        <v>956</v>
      </c>
      <c r="F61" s="66" t="s">
        <v>2514</v>
      </c>
      <c r="G61" s="69" t="s">
        <v>2434</v>
      </c>
      <c r="H61" s="69" t="s">
        <v>30</v>
      </c>
      <c r="I61" s="66">
        <v>100</v>
      </c>
      <c r="J61" s="70">
        <v>2.25</v>
      </c>
      <c r="K61" s="75">
        <f t="shared" si="0"/>
        <v>225</v>
      </c>
      <c r="L61" s="55" t="b">
        <v>1</v>
      </c>
      <c r="M61" s="154">
        <v>51120242047</v>
      </c>
      <c r="N61" s="57" t="b">
        <v>1</v>
      </c>
      <c r="O61" s="58" t="s">
        <v>31</v>
      </c>
      <c r="P61" s="215"/>
      <c r="Q61" s="59" t="b">
        <v>1</v>
      </c>
      <c r="R61" s="164"/>
      <c r="S61" s="165"/>
      <c r="T61" s="47" t="b">
        <v>1</v>
      </c>
      <c r="U61" s="227" t="s">
        <v>2516</v>
      </c>
      <c r="V61" s="75"/>
      <c r="W61" s="75"/>
      <c r="X61" s="166"/>
      <c r="Y61" s="166"/>
      <c r="Z61" s="167"/>
      <c r="AA61" s="167"/>
    </row>
    <row r="62" spans="1:27">
      <c r="A62" s="162"/>
      <c r="B62" s="163"/>
      <c r="C62" s="132" t="s">
        <v>2521</v>
      </c>
      <c r="D62" s="66" t="s">
        <v>51</v>
      </c>
      <c r="E62" s="66" t="s">
        <v>594</v>
      </c>
      <c r="F62" s="66" t="s">
        <v>595</v>
      </c>
      <c r="G62" s="69" t="s">
        <v>2522</v>
      </c>
      <c r="H62" s="69" t="s">
        <v>30</v>
      </c>
      <c r="I62" s="66">
        <v>4</v>
      </c>
      <c r="J62" s="70">
        <v>275</v>
      </c>
      <c r="K62" s="75">
        <f t="shared" si="0"/>
        <v>1100</v>
      </c>
      <c r="L62" s="55" t="b">
        <v>1</v>
      </c>
      <c r="M62" s="56">
        <v>61120240858</v>
      </c>
      <c r="N62" s="57" t="b">
        <v>1</v>
      </c>
      <c r="O62" s="58" t="s">
        <v>31</v>
      </c>
      <c r="P62" s="215"/>
      <c r="Q62" s="59" t="b">
        <v>1</v>
      </c>
      <c r="R62" s="129"/>
      <c r="S62" s="165"/>
      <c r="T62" s="47" t="b">
        <v>1</v>
      </c>
      <c r="U62" s="227" t="s">
        <v>2523</v>
      </c>
      <c r="V62" s="75"/>
      <c r="W62" s="75"/>
      <c r="X62" s="166"/>
      <c r="Y62" s="166"/>
      <c r="Z62" s="167"/>
      <c r="AA62" s="167"/>
    </row>
    <row r="63" spans="1:27">
      <c r="A63" s="162"/>
      <c r="B63" s="163"/>
      <c r="C63" s="132" t="s">
        <v>2521</v>
      </c>
      <c r="D63" s="66" t="s">
        <v>212</v>
      </c>
      <c r="E63" s="66" t="s">
        <v>213</v>
      </c>
      <c r="F63" s="66" t="s">
        <v>2364</v>
      </c>
      <c r="G63" s="69" t="s">
        <v>1952</v>
      </c>
      <c r="H63" s="69" t="s">
        <v>30</v>
      </c>
      <c r="I63" s="66">
        <v>10</v>
      </c>
      <c r="J63" s="70">
        <v>550</v>
      </c>
      <c r="K63" s="75">
        <f t="shared" si="0"/>
        <v>5500</v>
      </c>
      <c r="L63" s="55" t="b">
        <v>1</v>
      </c>
      <c r="M63" s="56">
        <v>61120241824</v>
      </c>
      <c r="N63" s="57" t="b">
        <v>1</v>
      </c>
      <c r="O63" s="58" t="s">
        <v>39</v>
      </c>
      <c r="P63" s="226">
        <v>45602</v>
      </c>
      <c r="Q63" s="59" t="b">
        <v>1</v>
      </c>
      <c r="R63" s="129"/>
      <c r="S63" s="165"/>
      <c r="T63" s="47" t="b">
        <v>1</v>
      </c>
      <c r="U63" s="227" t="s">
        <v>2524</v>
      </c>
      <c r="V63" s="75"/>
      <c r="W63" s="75"/>
      <c r="X63" s="166"/>
      <c r="Y63" s="166"/>
      <c r="Z63" s="167"/>
      <c r="AA63" s="167"/>
    </row>
    <row r="64" spans="1:27">
      <c r="A64" s="162"/>
      <c r="B64" s="163"/>
      <c r="C64" s="132" t="s">
        <v>2521</v>
      </c>
      <c r="D64" s="66" t="s">
        <v>438</v>
      </c>
      <c r="E64" s="66" t="s">
        <v>439</v>
      </c>
      <c r="F64" s="66"/>
      <c r="G64" s="69" t="s">
        <v>2525</v>
      </c>
      <c r="H64" s="69" t="s">
        <v>30</v>
      </c>
      <c r="I64" s="66">
        <v>1</v>
      </c>
      <c r="J64" s="70">
        <v>4000</v>
      </c>
      <c r="K64" s="75">
        <f t="shared" si="0"/>
        <v>4000</v>
      </c>
      <c r="L64" s="55" t="b">
        <v>1</v>
      </c>
      <c r="M64" s="56">
        <v>61120241826</v>
      </c>
      <c r="N64" s="57" t="b">
        <v>1</v>
      </c>
      <c r="O64" s="58" t="s">
        <v>529</v>
      </c>
      <c r="P64" s="215"/>
      <c r="Q64" s="59" t="b">
        <v>1</v>
      </c>
      <c r="R64" s="129"/>
      <c r="S64" s="165"/>
      <c r="T64" s="47" t="b">
        <v>1</v>
      </c>
      <c r="U64" s="227" t="s">
        <v>2526</v>
      </c>
      <c r="V64" s="75"/>
      <c r="W64" s="75"/>
      <c r="X64" s="166"/>
      <c r="Y64" s="166"/>
      <c r="Z64" s="167"/>
      <c r="AA64" s="167"/>
    </row>
    <row r="65" spans="1:27">
      <c r="A65" s="162"/>
      <c r="B65" s="163"/>
      <c r="C65" s="132" t="s">
        <v>2521</v>
      </c>
      <c r="D65" s="66" t="s">
        <v>104</v>
      </c>
      <c r="E65" s="66" t="s">
        <v>486</v>
      </c>
      <c r="F65" s="66" t="s">
        <v>241</v>
      </c>
      <c r="G65" s="69" t="s">
        <v>49</v>
      </c>
      <c r="H65" s="69" t="s">
        <v>30</v>
      </c>
      <c r="I65" s="66">
        <v>10</v>
      </c>
      <c r="J65" s="70">
        <v>550</v>
      </c>
      <c r="K65" s="75">
        <f t="shared" si="0"/>
        <v>5500</v>
      </c>
      <c r="L65" s="55" t="b">
        <v>1</v>
      </c>
      <c r="M65" s="56">
        <v>61120241826</v>
      </c>
      <c r="N65" s="57" t="b">
        <v>1</v>
      </c>
      <c r="O65" s="58" t="s">
        <v>31</v>
      </c>
      <c r="P65" s="226">
        <v>45603</v>
      </c>
      <c r="Q65" s="59" t="b">
        <v>1</v>
      </c>
      <c r="R65" s="129"/>
      <c r="S65" s="165"/>
      <c r="T65" s="47" t="b">
        <v>1</v>
      </c>
      <c r="U65" s="227" t="s">
        <v>2527</v>
      </c>
      <c r="V65" s="75"/>
      <c r="W65" s="75"/>
      <c r="X65" s="166"/>
      <c r="Y65" s="166"/>
      <c r="Z65" s="167"/>
      <c r="AA65" s="167"/>
    </row>
    <row r="66" spans="1:27">
      <c r="A66" s="162"/>
      <c r="B66" s="163"/>
      <c r="C66" s="132" t="s">
        <v>2521</v>
      </c>
      <c r="D66" s="66" t="s">
        <v>104</v>
      </c>
      <c r="E66" s="66" t="s">
        <v>486</v>
      </c>
      <c r="F66" s="66" t="s">
        <v>241</v>
      </c>
      <c r="G66" s="69" t="s">
        <v>83</v>
      </c>
      <c r="H66" s="69" t="s">
        <v>30</v>
      </c>
      <c r="I66" s="66">
        <v>1000</v>
      </c>
      <c r="J66" s="70">
        <v>1.5</v>
      </c>
      <c r="K66" s="75">
        <f t="shared" si="0"/>
        <v>1500</v>
      </c>
      <c r="L66" s="55" t="b">
        <v>1</v>
      </c>
      <c r="M66" s="56">
        <v>61120241828</v>
      </c>
      <c r="N66" s="57" t="b">
        <v>1</v>
      </c>
      <c r="O66" s="58" t="s">
        <v>31</v>
      </c>
      <c r="P66" s="215" t="s">
        <v>77</v>
      </c>
      <c r="Q66" s="59" t="b">
        <v>1</v>
      </c>
      <c r="R66" s="129"/>
      <c r="S66" s="165"/>
      <c r="T66" s="47" t="b">
        <v>1</v>
      </c>
      <c r="U66" s="227" t="s">
        <v>2527</v>
      </c>
      <c r="V66" s="75"/>
      <c r="W66" s="75"/>
      <c r="X66" s="166"/>
      <c r="Y66" s="166"/>
      <c r="Z66" s="167"/>
      <c r="AA66" s="167"/>
    </row>
    <row r="67" spans="1:27">
      <c r="A67" s="162"/>
      <c r="B67" s="163"/>
      <c r="C67" s="71" t="s">
        <v>2521</v>
      </c>
      <c r="D67" s="53" t="s">
        <v>98</v>
      </c>
      <c r="E67" s="53" t="s">
        <v>2296</v>
      </c>
      <c r="F67" s="66" t="s">
        <v>2528</v>
      </c>
      <c r="G67" s="69" t="s">
        <v>2529</v>
      </c>
      <c r="H67" s="69" t="s">
        <v>30</v>
      </c>
      <c r="I67" s="53">
        <v>2</v>
      </c>
      <c r="J67" s="70">
        <v>395</v>
      </c>
      <c r="K67" s="54">
        <f t="shared" si="0"/>
        <v>790</v>
      </c>
      <c r="L67" s="55" t="b">
        <v>1</v>
      </c>
      <c r="M67" s="56">
        <v>61120241828</v>
      </c>
      <c r="N67" s="57" t="b">
        <v>1</v>
      </c>
      <c r="O67" s="58" t="s">
        <v>31</v>
      </c>
      <c r="P67" s="226">
        <v>45602</v>
      </c>
      <c r="Q67" s="59" t="b">
        <v>1</v>
      </c>
      <c r="R67" s="129"/>
      <c r="S67" s="165"/>
      <c r="T67" s="47" t="b">
        <v>1</v>
      </c>
      <c r="U67" s="227" t="s">
        <v>2530</v>
      </c>
      <c r="V67" s="75"/>
      <c r="W67" s="75"/>
      <c r="X67" s="166"/>
      <c r="Y67" s="166"/>
      <c r="Z67" s="167"/>
      <c r="AA67" s="167"/>
    </row>
    <row r="68" spans="1:27">
      <c r="A68" s="162"/>
      <c r="B68" s="163"/>
      <c r="C68" s="132" t="s">
        <v>2521</v>
      </c>
      <c r="D68" s="66" t="s">
        <v>345</v>
      </c>
      <c r="E68" s="66" t="s">
        <v>342</v>
      </c>
      <c r="F68" s="66" t="s">
        <v>2228</v>
      </c>
      <c r="G68" s="69" t="s">
        <v>2531</v>
      </c>
      <c r="H68" s="69" t="s">
        <v>30</v>
      </c>
      <c r="I68" s="66">
        <v>13</v>
      </c>
      <c r="J68" s="70">
        <v>125</v>
      </c>
      <c r="K68" s="75">
        <f t="shared" si="0"/>
        <v>1625</v>
      </c>
      <c r="L68" s="55" t="b">
        <v>1</v>
      </c>
      <c r="M68" s="56">
        <v>61120241828</v>
      </c>
      <c r="N68" s="57" t="b">
        <v>1</v>
      </c>
      <c r="O68" s="58" t="s">
        <v>39</v>
      </c>
      <c r="P68" s="215"/>
      <c r="Q68" s="59" t="b">
        <v>1</v>
      </c>
      <c r="R68" s="129"/>
      <c r="S68" s="165"/>
      <c r="T68" s="47" t="b">
        <v>1</v>
      </c>
      <c r="U68" s="227" t="s">
        <v>2532</v>
      </c>
      <c r="V68" s="75"/>
      <c r="W68" s="75"/>
      <c r="X68" s="166"/>
      <c r="Y68" s="166"/>
      <c r="Z68" s="167"/>
      <c r="AA68" s="167"/>
    </row>
    <row r="69" spans="1:27">
      <c r="A69" s="101"/>
      <c r="B69" s="32"/>
      <c r="C69" s="132" t="s">
        <v>2521</v>
      </c>
      <c r="D69" s="66" t="s">
        <v>51</v>
      </c>
      <c r="E69" s="66" t="s">
        <v>594</v>
      </c>
      <c r="F69" s="66" t="s">
        <v>595</v>
      </c>
      <c r="G69" s="69" t="s">
        <v>2533</v>
      </c>
      <c r="H69" s="69" t="s">
        <v>30</v>
      </c>
      <c r="I69" s="53">
        <v>2</v>
      </c>
      <c r="J69" s="70">
        <v>950</v>
      </c>
      <c r="K69" s="54">
        <f t="shared" si="0"/>
        <v>1900</v>
      </c>
      <c r="L69" s="55" t="b">
        <v>1</v>
      </c>
      <c r="M69" s="56">
        <v>61120241828</v>
      </c>
      <c r="N69" s="57" t="b">
        <v>1</v>
      </c>
      <c r="O69" s="58" t="s">
        <v>31</v>
      </c>
      <c r="P69" s="222">
        <v>45603</v>
      </c>
      <c r="Q69" s="59" t="b">
        <v>1</v>
      </c>
      <c r="R69" s="129"/>
      <c r="S69" s="165"/>
      <c r="T69" s="47" t="b">
        <v>1</v>
      </c>
      <c r="U69" s="227" t="s">
        <v>2523</v>
      </c>
      <c r="V69" s="54"/>
      <c r="W69" s="54"/>
      <c r="X69" s="49"/>
      <c r="Y69" s="49"/>
    </row>
    <row r="70" spans="1:27">
      <c r="A70" s="162"/>
      <c r="B70" s="163"/>
      <c r="C70" s="132" t="s">
        <v>2521</v>
      </c>
      <c r="D70" s="66" t="s">
        <v>51</v>
      </c>
      <c r="E70" s="66" t="s">
        <v>594</v>
      </c>
      <c r="F70" s="66" t="s">
        <v>595</v>
      </c>
      <c r="G70" s="69" t="s">
        <v>2534</v>
      </c>
      <c r="H70" s="69" t="s">
        <v>30</v>
      </c>
      <c r="I70" s="66">
        <v>1</v>
      </c>
      <c r="J70" s="70">
        <v>1250</v>
      </c>
      <c r="K70" s="75">
        <f t="shared" si="0"/>
        <v>1250</v>
      </c>
      <c r="L70" s="55" t="b">
        <v>1</v>
      </c>
      <c r="M70" s="56">
        <v>61120241828</v>
      </c>
      <c r="N70" s="57" t="b">
        <v>1</v>
      </c>
      <c r="O70" s="58" t="s">
        <v>31</v>
      </c>
      <c r="P70" s="222">
        <v>45603</v>
      </c>
      <c r="Q70" s="59" t="b">
        <v>1</v>
      </c>
      <c r="R70" s="129"/>
      <c r="S70" s="165"/>
      <c r="T70" s="47" t="b">
        <v>1</v>
      </c>
      <c r="U70" s="227" t="s">
        <v>2523</v>
      </c>
      <c r="V70" s="75"/>
      <c r="W70" s="75"/>
      <c r="X70" s="166"/>
      <c r="Y70" s="166"/>
      <c r="Z70" s="167"/>
      <c r="AA70" s="167"/>
    </row>
    <row r="71" spans="1:27">
      <c r="A71" s="162"/>
      <c r="B71" s="163"/>
      <c r="C71" s="132" t="s">
        <v>2521</v>
      </c>
      <c r="D71" s="66" t="s">
        <v>51</v>
      </c>
      <c r="E71" s="66" t="s">
        <v>594</v>
      </c>
      <c r="F71" s="66" t="s">
        <v>595</v>
      </c>
      <c r="G71" s="69" t="s">
        <v>2535</v>
      </c>
      <c r="H71" s="69" t="s">
        <v>30</v>
      </c>
      <c r="I71" s="66">
        <v>2</v>
      </c>
      <c r="J71" s="70">
        <v>750</v>
      </c>
      <c r="K71" s="75">
        <f t="shared" si="0"/>
        <v>1500</v>
      </c>
      <c r="L71" s="55" t="b">
        <v>1</v>
      </c>
      <c r="M71" s="56">
        <v>61120241828</v>
      </c>
      <c r="N71" s="57" t="b">
        <v>1</v>
      </c>
      <c r="O71" s="58" t="s">
        <v>31</v>
      </c>
      <c r="P71" s="222">
        <v>45603</v>
      </c>
      <c r="Q71" s="59" t="b">
        <v>1</v>
      </c>
      <c r="R71" s="129"/>
      <c r="S71" s="165"/>
      <c r="T71" s="47" t="b">
        <v>1</v>
      </c>
      <c r="U71" s="227" t="s">
        <v>2523</v>
      </c>
      <c r="V71" s="75"/>
      <c r="W71" s="75"/>
      <c r="X71" s="166"/>
      <c r="Y71" s="166"/>
      <c r="Z71" s="167"/>
      <c r="AA71" s="167"/>
    </row>
    <row r="72" spans="1:27">
      <c r="A72" s="162"/>
      <c r="B72" s="163"/>
      <c r="C72" s="132" t="s">
        <v>2521</v>
      </c>
      <c r="D72" s="66" t="s">
        <v>51</v>
      </c>
      <c r="E72" s="66" t="s">
        <v>594</v>
      </c>
      <c r="F72" s="66" t="s">
        <v>595</v>
      </c>
      <c r="G72" s="69" t="s">
        <v>2536</v>
      </c>
      <c r="H72" s="69" t="s">
        <v>30</v>
      </c>
      <c r="I72" s="66">
        <v>1</v>
      </c>
      <c r="J72" s="70">
        <v>400</v>
      </c>
      <c r="K72" s="75">
        <f t="shared" si="0"/>
        <v>400</v>
      </c>
      <c r="L72" s="55" t="b">
        <v>1</v>
      </c>
      <c r="M72" s="56">
        <v>61120241828</v>
      </c>
      <c r="N72" s="57" t="b">
        <v>1</v>
      </c>
      <c r="O72" s="58" t="s">
        <v>31</v>
      </c>
      <c r="P72" s="222">
        <v>45603</v>
      </c>
      <c r="Q72" s="59" t="b">
        <v>1</v>
      </c>
      <c r="R72" s="129"/>
      <c r="S72" s="165"/>
      <c r="T72" s="47" t="b">
        <v>1</v>
      </c>
      <c r="U72" s="227" t="s">
        <v>2523</v>
      </c>
      <c r="V72" s="75"/>
      <c r="W72" s="75"/>
      <c r="X72" s="166"/>
      <c r="Y72" s="166"/>
      <c r="Z72" s="167"/>
      <c r="AA72" s="167"/>
    </row>
    <row r="73" spans="1:27">
      <c r="A73" s="162"/>
      <c r="B73" s="163"/>
      <c r="C73" s="132" t="s">
        <v>2521</v>
      </c>
      <c r="D73" s="66" t="s">
        <v>51</v>
      </c>
      <c r="E73" s="66" t="s">
        <v>594</v>
      </c>
      <c r="F73" s="66" t="s">
        <v>595</v>
      </c>
      <c r="G73" s="69" t="s">
        <v>2537</v>
      </c>
      <c r="H73" s="69" t="s">
        <v>30</v>
      </c>
      <c r="I73" s="66">
        <v>1</v>
      </c>
      <c r="J73" s="70">
        <v>550</v>
      </c>
      <c r="K73" s="75">
        <f t="shared" si="0"/>
        <v>550</v>
      </c>
      <c r="L73" s="55" t="b">
        <v>1</v>
      </c>
      <c r="M73" s="56">
        <v>61120241828</v>
      </c>
      <c r="N73" s="57" t="b">
        <v>1</v>
      </c>
      <c r="O73" s="58" t="s">
        <v>31</v>
      </c>
      <c r="P73" s="222">
        <v>45603</v>
      </c>
      <c r="Q73" s="59" t="b">
        <v>1</v>
      </c>
      <c r="R73" s="129"/>
      <c r="S73" s="165"/>
      <c r="T73" s="47" t="b">
        <v>1</v>
      </c>
      <c r="U73" s="227" t="s">
        <v>2523</v>
      </c>
      <c r="V73" s="75"/>
      <c r="W73" s="75"/>
      <c r="X73" s="166"/>
      <c r="Y73" s="166"/>
      <c r="Z73" s="167"/>
      <c r="AA73" s="167"/>
    </row>
    <row r="74" spans="1:27">
      <c r="A74" s="162"/>
      <c r="B74" s="163"/>
      <c r="C74" s="132" t="s">
        <v>2521</v>
      </c>
      <c r="D74" s="66" t="s">
        <v>433</v>
      </c>
      <c r="E74" s="66" t="s">
        <v>751</v>
      </c>
      <c r="F74" s="66" t="s">
        <v>2538</v>
      </c>
      <c r="G74" s="69" t="s">
        <v>2539</v>
      </c>
      <c r="H74" s="69" t="s">
        <v>30</v>
      </c>
      <c r="I74" s="66">
        <v>10</v>
      </c>
      <c r="J74" s="70">
        <v>525</v>
      </c>
      <c r="K74" s="75">
        <f t="shared" si="0"/>
        <v>5250</v>
      </c>
      <c r="L74" s="55" t="b">
        <v>1</v>
      </c>
      <c r="M74" s="56">
        <v>61120241855</v>
      </c>
      <c r="N74" s="57" t="b">
        <v>1</v>
      </c>
      <c r="O74" s="58" t="s">
        <v>2356</v>
      </c>
      <c r="P74" s="222">
        <v>45603</v>
      </c>
      <c r="Q74" s="59" t="b">
        <v>1</v>
      </c>
      <c r="R74" s="129"/>
      <c r="S74" s="165"/>
      <c r="T74" s="47" t="b">
        <v>1</v>
      </c>
      <c r="U74" s="227" t="s">
        <v>2540</v>
      </c>
      <c r="V74" s="75"/>
      <c r="W74" s="75"/>
      <c r="X74" s="166"/>
      <c r="Y74" s="166"/>
      <c r="Z74" s="167"/>
      <c r="AA74" s="167"/>
    </row>
    <row r="75" spans="1:27">
      <c r="A75" s="162"/>
      <c r="B75" s="163"/>
      <c r="C75" s="132" t="s">
        <v>2541</v>
      </c>
      <c r="D75" s="66" t="s">
        <v>104</v>
      </c>
      <c r="E75" s="66" t="s">
        <v>2492</v>
      </c>
      <c r="F75" s="66" t="s">
        <v>2250</v>
      </c>
      <c r="G75" s="69" t="s">
        <v>2542</v>
      </c>
      <c r="H75" s="69" t="s">
        <v>30</v>
      </c>
      <c r="I75" s="66">
        <v>20</v>
      </c>
      <c r="J75" s="70">
        <v>13.5</v>
      </c>
      <c r="K75" s="75">
        <f t="shared" si="0"/>
        <v>270</v>
      </c>
      <c r="L75" s="55" t="b">
        <v>1</v>
      </c>
      <c r="M75" s="56">
        <v>71120241214</v>
      </c>
      <c r="N75" s="57" t="b">
        <v>1</v>
      </c>
      <c r="O75" s="58"/>
      <c r="P75" s="215"/>
      <c r="Q75" s="59" t="b">
        <v>1</v>
      </c>
      <c r="R75" s="129"/>
      <c r="S75" s="165"/>
      <c r="T75" s="47" t="b">
        <v>1</v>
      </c>
      <c r="U75" s="227" t="s">
        <v>2527</v>
      </c>
      <c r="V75" s="75"/>
      <c r="W75" s="75"/>
      <c r="X75" s="166"/>
      <c r="Y75" s="166"/>
      <c r="Z75" s="167"/>
      <c r="AA75" s="167"/>
    </row>
    <row r="76" spans="1:27">
      <c r="A76" s="162"/>
      <c r="B76" s="163"/>
      <c r="C76" s="132" t="s">
        <v>2541</v>
      </c>
      <c r="D76" s="66" t="s">
        <v>104</v>
      </c>
      <c r="E76" s="66" t="s">
        <v>2492</v>
      </c>
      <c r="F76" s="66" t="s">
        <v>2250</v>
      </c>
      <c r="G76" s="69" t="s">
        <v>2543</v>
      </c>
      <c r="H76" s="69" t="s">
        <v>30</v>
      </c>
      <c r="I76" s="66">
        <v>100</v>
      </c>
      <c r="J76" s="70">
        <v>17.5</v>
      </c>
      <c r="K76" s="75">
        <f t="shared" si="0"/>
        <v>1750</v>
      </c>
      <c r="L76" s="55" t="b">
        <v>1</v>
      </c>
      <c r="M76" s="56">
        <v>71120241214</v>
      </c>
      <c r="N76" s="57" t="b">
        <v>1</v>
      </c>
      <c r="O76" s="58"/>
      <c r="P76" s="215"/>
      <c r="Q76" s="59" t="b">
        <v>1</v>
      </c>
      <c r="R76" s="129"/>
      <c r="S76" s="165"/>
      <c r="T76" s="47" t="b">
        <v>1</v>
      </c>
      <c r="U76" s="227" t="s">
        <v>2544</v>
      </c>
      <c r="V76" s="75"/>
      <c r="W76" s="75"/>
      <c r="X76" s="166"/>
      <c r="Y76" s="166"/>
      <c r="Z76" s="167"/>
      <c r="AA76" s="167"/>
    </row>
    <row r="77" spans="1:27">
      <c r="A77" s="162"/>
      <c r="B77" s="163"/>
      <c r="C77" s="132" t="s">
        <v>2541</v>
      </c>
      <c r="D77" s="66" t="s">
        <v>194</v>
      </c>
      <c r="E77" s="66" t="s">
        <v>195</v>
      </c>
      <c r="F77" s="66" t="s">
        <v>196</v>
      </c>
      <c r="G77" s="69" t="s">
        <v>142</v>
      </c>
      <c r="H77" s="69" t="s">
        <v>30</v>
      </c>
      <c r="I77" s="66">
        <v>1500</v>
      </c>
      <c r="J77" s="70">
        <v>1.3</v>
      </c>
      <c r="K77" s="75">
        <f t="shared" si="0"/>
        <v>1950</v>
      </c>
      <c r="L77" s="55" t="b">
        <v>1</v>
      </c>
      <c r="M77" s="56">
        <v>71120241414</v>
      </c>
      <c r="N77" s="57" t="b">
        <v>1</v>
      </c>
      <c r="O77" s="58" t="s">
        <v>2356</v>
      </c>
      <c r="P77" s="222">
        <v>45603</v>
      </c>
      <c r="Q77" s="59" t="b">
        <v>1</v>
      </c>
      <c r="R77" s="129"/>
      <c r="S77" s="165"/>
      <c r="T77" s="47" t="b">
        <v>1</v>
      </c>
      <c r="U77" s="227" t="s">
        <v>2545</v>
      </c>
      <c r="V77" s="75"/>
      <c r="W77" s="75"/>
      <c r="X77" s="166"/>
      <c r="Y77" s="166"/>
      <c r="Z77" s="167"/>
      <c r="AA77" s="167"/>
    </row>
    <row r="78" spans="1:27">
      <c r="A78" s="162"/>
      <c r="B78" s="163"/>
      <c r="C78" s="132" t="s">
        <v>2541</v>
      </c>
      <c r="D78" s="66" t="s">
        <v>104</v>
      </c>
      <c r="E78" s="66" t="s">
        <v>2445</v>
      </c>
      <c r="F78" s="66" t="s">
        <v>2446</v>
      </c>
      <c r="G78" s="69" t="s">
        <v>68</v>
      </c>
      <c r="H78" s="69" t="s">
        <v>30</v>
      </c>
      <c r="I78" s="66">
        <v>1</v>
      </c>
      <c r="J78" s="70">
        <v>2350</v>
      </c>
      <c r="K78" s="75">
        <f t="shared" si="0"/>
        <v>2350</v>
      </c>
      <c r="L78" s="55" t="b">
        <v>1</v>
      </c>
      <c r="M78" s="56">
        <v>71120241658</v>
      </c>
      <c r="N78" s="57" t="b">
        <v>1</v>
      </c>
      <c r="O78" s="58" t="s">
        <v>31</v>
      </c>
      <c r="P78" s="215"/>
      <c r="Q78" s="59" t="b">
        <v>1</v>
      </c>
      <c r="R78" s="129"/>
      <c r="S78" s="165"/>
      <c r="T78" s="47" t="b">
        <v>1</v>
      </c>
      <c r="U78" s="227" t="s">
        <v>2546</v>
      </c>
      <c r="V78" s="75"/>
      <c r="W78" s="75"/>
      <c r="X78" s="166"/>
      <c r="Y78" s="166"/>
      <c r="Z78" s="167"/>
      <c r="AA78" s="167"/>
    </row>
    <row r="79" spans="1:27">
      <c r="A79" s="101"/>
      <c r="B79" s="32"/>
      <c r="C79" s="132" t="s">
        <v>2541</v>
      </c>
      <c r="D79" s="66" t="s">
        <v>345</v>
      </c>
      <c r="E79" s="66" t="s">
        <v>342</v>
      </c>
      <c r="F79" s="66" t="s">
        <v>2228</v>
      </c>
      <c r="G79" s="69" t="s">
        <v>1781</v>
      </c>
      <c r="H79" s="69" t="s">
        <v>30</v>
      </c>
      <c r="I79" s="53">
        <v>84</v>
      </c>
      <c r="J79" s="70">
        <v>41.5</v>
      </c>
      <c r="K79" s="54">
        <f t="shared" si="0"/>
        <v>3486</v>
      </c>
      <c r="L79" s="55" t="b">
        <v>1</v>
      </c>
      <c r="M79" s="56">
        <v>71120241706</v>
      </c>
      <c r="N79" s="57" t="b">
        <v>1</v>
      </c>
      <c r="O79" s="58" t="s">
        <v>31</v>
      </c>
      <c r="P79" s="215"/>
      <c r="Q79" s="59" t="b">
        <v>1</v>
      </c>
      <c r="R79" s="129"/>
      <c r="S79" s="165"/>
      <c r="T79" s="47" t="b">
        <v>1</v>
      </c>
      <c r="U79" s="227" t="s">
        <v>2532</v>
      </c>
      <c r="V79" s="54"/>
      <c r="W79" s="54"/>
      <c r="X79" s="49"/>
      <c r="Y79" s="49"/>
    </row>
    <row r="80" spans="1:27">
      <c r="A80" s="162"/>
      <c r="B80" s="163"/>
      <c r="C80" s="132" t="s">
        <v>2541</v>
      </c>
      <c r="D80" s="66" t="s">
        <v>345</v>
      </c>
      <c r="E80" s="66" t="s">
        <v>342</v>
      </c>
      <c r="F80" s="66" t="s">
        <v>2228</v>
      </c>
      <c r="G80" s="69" t="s">
        <v>2547</v>
      </c>
      <c r="H80" s="69" t="s">
        <v>30</v>
      </c>
      <c r="I80" s="66">
        <v>84</v>
      </c>
      <c r="J80" s="70">
        <v>35</v>
      </c>
      <c r="K80" s="75">
        <f t="shared" si="0"/>
        <v>2940</v>
      </c>
      <c r="L80" s="55" t="b">
        <v>1</v>
      </c>
      <c r="M80" s="56">
        <v>71120241737</v>
      </c>
      <c r="N80" s="57" t="b">
        <v>1</v>
      </c>
      <c r="O80" s="58" t="s">
        <v>31</v>
      </c>
      <c r="P80" s="215"/>
      <c r="Q80" s="59" t="b">
        <v>1</v>
      </c>
      <c r="R80" s="129"/>
      <c r="S80" s="165"/>
      <c r="T80" s="47" t="b">
        <v>1</v>
      </c>
      <c r="U80" s="227" t="s">
        <v>2532</v>
      </c>
      <c r="V80" s="75"/>
      <c r="W80" s="75"/>
      <c r="X80" s="166"/>
      <c r="Y80" s="166"/>
      <c r="Z80" s="167"/>
      <c r="AA80" s="167"/>
    </row>
    <row r="81" spans="1:27" ht="15.75" customHeight="1">
      <c r="A81" s="162"/>
      <c r="B81" s="163"/>
      <c r="C81" s="132" t="s">
        <v>2548</v>
      </c>
      <c r="D81" s="66" t="s">
        <v>104</v>
      </c>
      <c r="E81" s="66" t="s">
        <v>2336</v>
      </c>
      <c r="F81" s="66" t="s">
        <v>674</v>
      </c>
      <c r="G81" s="69" t="s">
        <v>436</v>
      </c>
      <c r="H81" s="69" t="s">
        <v>30</v>
      </c>
      <c r="I81" s="69">
        <v>60</v>
      </c>
      <c r="J81" s="70">
        <v>300</v>
      </c>
      <c r="K81" s="75">
        <f t="shared" si="0"/>
        <v>18000</v>
      </c>
      <c r="L81" s="55" t="b">
        <v>1</v>
      </c>
      <c r="M81" s="154">
        <v>81120241118</v>
      </c>
      <c r="N81" s="57" t="b">
        <v>1</v>
      </c>
      <c r="O81" s="58" t="s">
        <v>2356</v>
      </c>
      <c r="P81" s="215"/>
      <c r="Q81" s="59" t="b">
        <v>1</v>
      </c>
      <c r="R81" s="164" t="s">
        <v>2549</v>
      </c>
      <c r="S81" s="165"/>
      <c r="T81" s="47" t="b">
        <v>1</v>
      </c>
      <c r="U81" s="227" t="s">
        <v>2550</v>
      </c>
      <c r="V81" s="75"/>
      <c r="W81" s="75"/>
      <c r="X81" s="166"/>
      <c r="Y81" s="166"/>
      <c r="Z81" s="167"/>
      <c r="AA81" s="167"/>
    </row>
    <row r="82" spans="1:27" ht="15.75" customHeight="1">
      <c r="A82" s="162"/>
      <c r="B82" s="163"/>
      <c r="C82" s="132" t="s">
        <v>2548</v>
      </c>
      <c r="D82" s="66" t="s">
        <v>104</v>
      </c>
      <c r="E82" s="66" t="s">
        <v>2336</v>
      </c>
      <c r="F82" s="66" t="s">
        <v>674</v>
      </c>
      <c r="G82" s="69" t="s">
        <v>2551</v>
      </c>
      <c r="H82" s="69" t="s">
        <v>30</v>
      </c>
      <c r="I82" s="69">
        <v>1</v>
      </c>
      <c r="J82" s="70">
        <v>2350</v>
      </c>
      <c r="K82" s="54">
        <f t="shared" si="0"/>
        <v>2350</v>
      </c>
      <c r="L82" s="55" t="b">
        <v>1</v>
      </c>
      <c r="M82" s="56">
        <v>81120241127</v>
      </c>
      <c r="N82" s="57" t="b">
        <v>1</v>
      </c>
      <c r="O82" s="58"/>
      <c r="P82" s="215"/>
      <c r="Q82" s="59" t="b">
        <v>1</v>
      </c>
      <c r="R82" s="129"/>
      <c r="S82" s="165"/>
      <c r="T82" s="47" t="b">
        <v>1</v>
      </c>
      <c r="U82" s="227" t="s">
        <v>2550</v>
      </c>
      <c r="V82" s="75"/>
      <c r="W82" s="75"/>
      <c r="X82" s="166"/>
      <c r="Y82" s="166"/>
      <c r="Z82" s="167"/>
      <c r="AA82" s="167"/>
    </row>
    <row r="83" spans="1:27" ht="15.75" customHeight="1">
      <c r="A83" s="162"/>
      <c r="B83" s="163"/>
      <c r="C83" s="132" t="s">
        <v>2548</v>
      </c>
      <c r="D83" s="66" t="s">
        <v>104</v>
      </c>
      <c r="E83" s="66" t="s">
        <v>2492</v>
      </c>
      <c r="F83" s="66" t="s">
        <v>2250</v>
      </c>
      <c r="G83" s="69" t="s">
        <v>1301</v>
      </c>
      <c r="H83" s="69" t="s">
        <v>30</v>
      </c>
      <c r="I83" s="69">
        <v>1</v>
      </c>
      <c r="J83" s="70">
        <v>11750</v>
      </c>
      <c r="K83" s="75">
        <f t="shared" si="0"/>
        <v>11750</v>
      </c>
      <c r="L83" s="55" t="b">
        <v>1</v>
      </c>
      <c r="M83" s="56">
        <v>81120241127</v>
      </c>
      <c r="N83" s="57" t="b">
        <v>1</v>
      </c>
      <c r="O83" s="58" t="s">
        <v>529</v>
      </c>
      <c r="P83" s="215"/>
      <c r="Q83" s="59" t="b">
        <v>1</v>
      </c>
      <c r="R83" s="129"/>
      <c r="S83" s="165"/>
      <c r="T83" s="47" t="b">
        <v>1</v>
      </c>
      <c r="U83" s="227" t="s">
        <v>2552</v>
      </c>
      <c r="V83" s="75"/>
      <c r="W83" s="75"/>
      <c r="X83" s="166"/>
      <c r="Y83" s="166"/>
      <c r="Z83" s="167"/>
      <c r="AA83" s="167"/>
    </row>
    <row r="84" spans="1:27">
      <c r="A84" s="162"/>
      <c r="B84" s="163"/>
      <c r="C84" s="132" t="s">
        <v>2548</v>
      </c>
      <c r="D84" s="66" t="s">
        <v>171</v>
      </c>
      <c r="E84" s="66" t="s">
        <v>137</v>
      </c>
      <c r="F84" s="66" t="s">
        <v>1965</v>
      </c>
      <c r="G84" s="69" t="s">
        <v>49</v>
      </c>
      <c r="H84" s="69" t="s">
        <v>30</v>
      </c>
      <c r="I84" s="66">
        <v>20</v>
      </c>
      <c r="J84" s="70">
        <v>550</v>
      </c>
      <c r="K84" s="75">
        <f t="shared" si="0"/>
        <v>11000</v>
      </c>
      <c r="L84" s="55" t="b">
        <v>1</v>
      </c>
      <c r="M84" s="56">
        <v>81120241550</v>
      </c>
      <c r="N84" s="57" t="b">
        <v>1</v>
      </c>
      <c r="O84" s="58" t="s">
        <v>2356</v>
      </c>
      <c r="P84" s="226">
        <v>45604</v>
      </c>
      <c r="Q84" s="59" t="b">
        <v>1</v>
      </c>
      <c r="R84" s="129"/>
      <c r="S84" s="165"/>
      <c r="T84" s="47" t="b">
        <v>1</v>
      </c>
      <c r="U84" s="227" t="s">
        <v>2553</v>
      </c>
      <c r="V84" s="75"/>
      <c r="W84" s="75"/>
      <c r="X84" s="166"/>
      <c r="Y84" s="166"/>
      <c r="Z84" s="167"/>
      <c r="AA84" s="167"/>
    </row>
    <row r="85" spans="1:27">
      <c r="A85" s="162"/>
      <c r="B85" s="163"/>
      <c r="C85" s="132" t="s">
        <v>2548</v>
      </c>
      <c r="D85" s="66" t="s">
        <v>55</v>
      </c>
      <c r="E85" s="66">
        <v>41</v>
      </c>
      <c r="F85" s="66" t="s">
        <v>1552</v>
      </c>
      <c r="G85" s="69" t="s">
        <v>321</v>
      </c>
      <c r="H85" s="69" t="s">
        <v>30</v>
      </c>
      <c r="I85" s="66">
        <v>84</v>
      </c>
      <c r="J85" s="70">
        <v>41.5</v>
      </c>
      <c r="K85" s="75">
        <f t="shared" si="0"/>
        <v>3486</v>
      </c>
      <c r="L85" s="55" t="b">
        <v>1</v>
      </c>
      <c r="M85" s="154">
        <v>81120241552</v>
      </c>
      <c r="N85" s="57" t="b">
        <v>1</v>
      </c>
      <c r="O85" s="58"/>
      <c r="P85" s="215"/>
      <c r="Q85" s="59" t="b">
        <v>1</v>
      </c>
      <c r="R85" s="164"/>
      <c r="S85" s="165"/>
      <c r="T85" s="47" t="b">
        <v>1</v>
      </c>
      <c r="U85" s="227" t="s">
        <v>2554</v>
      </c>
      <c r="V85" s="75"/>
      <c r="W85" s="75"/>
      <c r="X85" s="166"/>
      <c r="Y85" s="166"/>
      <c r="Z85" s="167"/>
      <c r="AA85" s="167"/>
    </row>
    <row r="86" spans="1:27">
      <c r="A86" s="162"/>
      <c r="B86" s="163"/>
      <c r="C86" s="132" t="s">
        <v>2548</v>
      </c>
      <c r="D86" s="66" t="s">
        <v>55</v>
      </c>
      <c r="E86" s="66">
        <v>41</v>
      </c>
      <c r="F86" s="66" t="s">
        <v>1552</v>
      </c>
      <c r="G86" s="66" t="s">
        <v>236</v>
      </c>
      <c r="H86" s="69" t="s">
        <v>30</v>
      </c>
      <c r="I86" s="66">
        <v>12</v>
      </c>
      <c r="J86" s="70">
        <v>150</v>
      </c>
      <c r="K86" s="75">
        <f t="shared" si="0"/>
        <v>1800</v>
      </c>
      <c r="L86" s="55" t="b">
        <v>1</v>
      </c>
      <c r="M86" s="56">
        <v>81120241553</v>
      </c>
      <c r="N86" s="57" t="b">
        <v>1</v>
      </c>
      <c r="O86" s="58"/>
      <c r="P86" s="215"/>
      <c r="Q86" s="59" t="b">
        <v>1</v>
      </c>
      <c r="R86" s="129"/>
      <c r="S86" s="165"/>
      <c r="T86" s="47" t="b">
        <v>1</v>
      </c>
      <c r="U86" s="227" t="s">
        <v>2554</v>
      </c>
      <c r="V86" s="75"/>
      <c r="W86" s="75"/>
      <c r="X86" s="166"/>
      <c r="Y86" s="166"/>
      <c r="Z86" s="167"/>
      <c r="AA86" s="167"/>
    </row>
    <row r="87" spans="1:27">
      <c r="A87" s="162"/>
      <c r="B87" s="163"/>
      <c r="C87" s="132" t="s">
        <v>2548</v>
      </c>
      <c r="D87" s="66" t="s">
        <v>55</v>
      </c>
      <c r="E87" s="66">
        <v>41</v>
      </c>
      <c r="F87" s="66" t="s">
        <v>1552</v>
      </c>
      <c r="G87" s="69" t="s">
        <v>2125</v>
      </c>
      <c r="H87" s="69" t="s">
        <v>30</v>
      </c>
      <c r="I87" s="66">
        <v>1500</v>
      </c>
      <c r="J87" s="70">
        <v>1.4</v>
      </c>
      <c r="K87" s="75">
        <f t="shared" si="0"/>
        <v>2100</v>
      </c>
      <c r="L87" s="55" t="b">
        <v>1</v>
      </c>
      <c r="M87" s="56">
        <v>81120241555</v>
      </c>
      <c r="N87" s="57" t="b">
        <v>1</v>
      </c>
      <c r="O87" s="58" t="s">
        <v>2356</v>
      </c>
      <c r="P87" s="222">
        <v>45607</v>
      </c>
      <c r="Q87" s="59" t="b">
        <v>1</v>
      </c>
      <c r="R87" s="129"/>
      <c r="S87" s="165"/>
      <c r="T87" s="47" t="b">
        <v>1</v>
      </c>
      <c r="U87" s="227" t="s">
        <v>2555</v>
      </c>
      <c r="V87" s="75"/>
      <c r="W87" s="75"/>
      <c r="X87" s="166"/>
      <c r="Y87" s="166"/>
      <c r="Z87" s="167"/>
      <c r="AA87" s="167"/>
    </row>
    <row r="88" spans="1:27" ht="14.25" customHeight="1">
      <c r="A88" s="162"/>
      <c r="B88" s="163"/>
      <c r="C88" s="132" t="s">
        <v>2556</v>
      </c>
      <c r="D88" s="66" t="s">
        <v>51</v>
      </c>
      <c r="E88" s="66" t="s">
        <v>201</v>
      </c>
      <c r="F88" s="66" t="s">
        <v>1208</v>
      </c>
      <c r="G88" s="69" t="s">
        <v>2557</v>
      </c>
      <c r="H88" s="69" t="s">
        <v>30</v>
      </c>
      <c r="I88" s="66">
        <v>2</v>
      </c>
      <c r="J88" s="70">
        <v>1875</v>
      </c>
      <c r="K88" s="75">
        <v>3750</v>
      </c>
      <c r="L88" s="55" t="b">
        <v>1</v>
      </c>
      <c r="M88" s="56">
        <v>91120241517</v>
      </c>
      <c r="N88" s="57" t="b">
        <v>1</v>
      </c>
      <c r="O88" s="58"/>
      <c r="P88" s="215"/>
      <c r="Q88" s="59" t="b">
        <v>1</v>
      </c>
      <c r="R88" s="129"/>
      <c r="S88" s="165"/>
      <c r="T88" s="47" t="b">
        <v>1</v>
      </c>
      <c r="U88" s="227" t="s">
        <v>2558</v>
      </c>
      <c r="V88" s="75"/>
      <c r="W88" s="75"/>
      <c r="X88" s="166"/>
      <c r="Y88" s="166"/>
      <c r="Z88" s="167"/>
      <c r="AA88" s="167"/>
    </row>
    <row r="89" spans="1:27">
      <c r="A89" s="162"/>
      <c r="B89" s="163"/>
      <c r="C89" s="132" t="s">
        <v>2556</v>
      </c>
      <c r="D89" s="66" t="s">
        <v>55</v>
      </c>
      <c r="E89" s="66" t="s">
        <v>56</v>
      </c>
      <c r="F89" s="66" t="s">
        <v>57</v>
      </c>
      <c r="G89" s="66" t="s">
        <v>57</v>
      </c>
      <c r="H89" s="69" t="s">
        <v>30</v>
      </c>
      <c r="I89" s="66">
        <v>30</v>
      </c>
      <c r="J89" s="70">
        <v>925</v>
      </c>
      <c r="K89" s="75">
        <f>I89*J89</f>
        <v>27750</v>
      </c>
      <c r="L89" s="55" t="b">
        <v>1</v>
      </c>
      <c r="M89" s="154">
        <v>91120241517</v>
      </c>
      <c r="N89" s="57" t="b">
        <v>1</v>
      </c>
      <c r="O89" s="58"/>
      <c r="P89" s="215"/>
      <c r="Q89" s="59" t="b">
        <v>1</v>
      </c>
      <c r="R89" s="164" t="s">
        <v>2549</v>
      </c>
      <c r="S89" s="165"/>
      <c r="T89" s="47" t="b">
        <v>1</v>
      </c>
      <c r="U89" s="227" t="s">
        <v>2559</v>
      </c>
      <c r="V89" s="75"/>
      <c r="W89" s="75"/>
      <c r="X89" s="166"/>
      <c r="Y89" s="166"/>
      <c r="Z89" s="167"/>
      <c r="AA89" s="167"/>
    </row>
    <row r="90" spans="1:27">
      <c r="A90" s="162"/>
      <c r="B90" s="163"/>
      <c r="C90" s="132" t="s">
        <v>2556</v>
      </c>
      <c r="D90" s="66" t="s">
        <v>55</v>
      </c>
      <c r="E90" s="66" t="s">
        <v>56</v>
      </c>
      <c r="F90" s="66" t="s">
        <v>57</v>
      </c>
      <c r="G90" s="69" t="s">
        <v>72</v>
      </c>
      <c r="H90" s="69" t="s">
        <v>30</v>
      </c>
      <c r="I90" s="66">
        <v>1</v>
      </c>
      <c r="J90" s="70">
        <v>1500</v>
      </c>
      <c r="K90" s="75">
        <v>1500</v>
      </c>
      <c r="L90" s="55" t="b">
        <v>1</v>
      </c>
      <c r="M90" s="154"/>
      <c r="N90" s="57" t="b">
        <v>1</v>
      </c>
      <c r="O90" s="58"/>
      <c r="P90" s="215"/>
      <c r="Q90" s="59" t="b">
        <v>1</v>
      </c>
      <c r="R90" s="164"/>
      <c r="S90" s="165"/>
      <c r="T90" s="47" t="b">
        <v>1</v>
      </c>
      <c r="U90" s="227" t="s">
        <v>2559</v>
      </c>
      <c r="V90" s="75"/>
      <c r="W90" s="75"/>
      <c r="X90" s="166"/>
      <c r="Y90" s="166"/>
      <c r="Z90" s="167"/>
      <c r="AA90" s="167"/>
    </row>
    <row r="91" spans="1:27">
      <c r="A91" s="162"/>
      <c r="B91" s="163"/>
      <c r="C91" s="132" t="s">
        <v>2556</v>
      </c>
      <c r="D91" s="66" t="s">
        <v>104</v>
      </c>
      <c r="E91" s="66" t="s">
        <v>2560</v>
      </c>
      <c r="F91" s="66" t="s">
        <v>2561</v>
      </c>
      <c r="G91" s="69" t="s">
        <v>2562</v>
      </c>
      <c r="H91" s="69" t="s">
        <v>30</v>
      </c>
      <c r="I91" s="66">
        <v>18</v>
      </c>
      <c r="J91" s="70">
        <v>125</v>
      </c>
      <c r="K91" s="75">
        <f t="shared" ref="K91:K145" si="1">I91*J91</f>
        <v>2250</v>
      </c>
      <c r="L91" s="55" t="b">
        <v>1</v>
      </c>
      <c r="M91" s="56">
        <v>91120241519</v>
      </c>
      <c r="N91" s="57" t="b">
        <v>1</v>
      </c>
      <c r="O91" s="58" t="s">
        <v>31</v>
      </c>
      <c r="P91" s="222">
        <v>45607</v>
      </c>
      <c r="Q91" s="59" t="b">
        <v>1</v>
      </c>
      <c r="R91" s="129"/>
      <c r="S91" s="165"/>
      <c r="T91" s="47" t="b">
        <v>1</v>
      </c>
      <c r="U91" s="227" t="s">
        <v>2563</v>
      </c>
      <c r="V91" s="75"/>
      <c r="W91" s="75"/>
      <c r="X91" s="166"/>
      <c r="Y91" s="166"/>
      <c r="Z91" s="167"/>
      <c r="AA91" s="167"/>
    </row>
    <row r="92" spans="1:27">
      <c r="A92" s="162"/>
      <c r="B92" s="163"/>
      <c r="C92" s="132" t="s">
        <v>2556</v>
      </c>
      <c r="D92" s="66" t="s">
        <v>51</v>
      </c>
      <c r="E92" s="66" t="s">
        <v>594</v>
      </c>
      <c r="F92" s="66" t="s">
        <v>595</v>
      </c>
      <c r="G92" s="69" t="s">
        <v>2564</v>
      </c>
      <c r="H92" s="69" t="s">
        <v>30</v>
      </c>
      <c r="I92" s="66">
        <v>2</v>
      </c>
      <c r="J92" s="70">
        <v>1250</v>
      </c>
      <c r="K92" s="75">
        <f t="shared" si="1"/>
        <v>2500</v>
      </c>
      <c r="L92" s="55" t="b">
        <v>1</v>
      </c>
      <c r="M92" s="56">
        <v>91120241806</v>
      </c>
      <c r="N92" s="57" t="b">
        <v>1</v>
      </c>
      <c r="O92" s="58" t="s">
        <v>31</v>
      </c>
      <c r="P92" s="222">
        <v>45607</v>
      </c>
      <c r="Q92" s="59" t="b">
        <v>1</v>
      </c>
      <c r="R92" s="129"/>
      <c r="S92" s="165"/>
      <c r="T92" s="47" t="b">
        <v>1</v>
      </c>
      <c r="U92" s="227" t="s">
        <v>2565</v>
      </c>
      <c r="V92" s="75" t="s">
        <v>2149</v>
      </c>
      <c r="W92" s="75"/>
      <c r="X92" s="166"/>
      <c r="Y92" s="166"/>
      <c r="Z92" s="167"/>
      <c r="AA92" s="167"/>
    </row>
    <row r="93" spans="1:27">
      <c r="A93" s="162"/>
      <c r="B93" s="163"/>
      <c r="C93" s="132" t="s">
        <v>2566</v>
      </c>
      <c r="D93" s="66" t="s">
        <v>26</v>
      </c>
      <c r="E93" s="66" t="s">
        <v>2567</v>
      </c>
      <c r="F93" s="66" t="s">
        <v>221</v>
      </c>
      <c r="G93" s="69" t="s">
        <v>2206</v>
      </c>
      <c r="H93" s="69" t="s">
        <v>30</v>
      </c>
      <c r="I93" s="66">
        <v>10</v>
      </c>
      <c r="J93" s="70">
        <v>550</v>
      </c>
      <c r="K93" s="75">
        <f t="shared" si="1"/>
        <v>5500</v>
      </c>
      <c r="L93" s="55" t="b">
        <v>1</v>
      </c>
      <c r="M93" s="56">
        <v>111120240944</v>
      </c>
      <c r="N93" s="57" t="b">
        <v>1</v>
      </c>
      <c r="O93" s="58" t="s">
        <v>31</v>
      </c>
      <c r="P93" s="222">
        <v>45607</v>
      </c>
      <c r="Q93" s="59" t="b">
        <v>1</v>
      </c>
      <c r="R93" s="129"/>
      <c r="S93" s="165"/>
      <c r="T93" s="47" t="b">
        <v>1</v>
      </c>
      <c r="U93" s="227" t="s">
        <v>2568</v>
      </c>
      <c r="V93" s="75"/>
      <c r="W93" s="75"/>
      <c r="X93" s="166"/>
      <c r="Y93" s="166"/>
      <c r="Z93" s="167"/>
      <c r="AA93" s="167"/>
    </row>
    <row r="94" spans="1:27">
      <c r="A94" s="162"/>
      <c r="B94" s="163"/>
      <c r="C94" s="132" t="s">
        <v>2566</v>
      </c>
      <c r="D94" s="66" t="s">
        <v>51</v>
      </c>
      <c r="E94" s="66" t="s">
        <v>594</v>
      </c>
      <c r="F94" s="66" t="s">
        <v>595</v>
      </c>
      <c r="G94" s="69" t="s">
        <v>2569</v>
      </c>
      <c r="H94" s="70" t="s">
        <v>30</v>
      </c>
      <c r="I94" s="69">
        <v>1</v>
      </c>
      <c r="J94" s="70">
        <v>1250</v>
      </c>
      <c r="K94" s="75">
        <f t="shared" si="1"/>
        <v>1250</v>
      </c>
      <c r="L94" s="55" t="b">
        <v>1</v>
      </c>
      <c r="M94" s="56">
        <v>111120241007</v>
      </c>
      <c r="N94" s="57" t="b">
        <v>1</v>
      </c>
      <c r="O94" s="58" t="s">
        <v>31</v>
      </c>
      <c r="P94" s="222">
        <v>45607</v>
      </c>
      <c r="Q94" s="59" t="b">
        <v>1</v>
      </c>
      <c r="R94" s="129"/>
      <c r="S94" s="165"/>
      <c r="T94" s="47" t="b">
        <v>1</v>
      </c>
      <c r="U94" s="227" t="s">
        <v>2565</v>
      </c>
      <c r="V94" s="75"/>
      <c r="W94" s="75"/>
      <c r="X94" s="166"/>
      <c r="Y94" s="166"/>
      <c r="Z94" s="167"/>
      <c r="AA94" s="167"/>
    </row>
    <row r="95" spans="1:27">
      <c r="A95" s="162"/>
      <c r="B95" s="163"/>
      <c r="C95" s="132" t="s">
        <v>2566</v>
      </c>
      <c r="D95" s="66" t="s">
        <v>463</v>
      </c>
      <c r="E95" s="66" t="s">
        <v>463</v>
      </c>
      <c r="F95" s="69" t="s">
        <v>579</v>
      </c>
      <c r="G95" s="69" t="s">
        <v>2570</v>
      </c>
      <c r="H95" s="69" t="s">
        <v>30</v>
      </c>
      <c r="I95" s="66">
        <v>20</v>
      </c>
      <c r="J95" s="70">
        <v>155</v>
      </c>
      <c r="K95" s="75">
        <f t="shared" si="1"/>
        <v>3100</v>
      </c>
      <c r="L95" s="55" t="b">
        <v>1</v>
      </c>
      <c r="M95" s="56">
        <v>111120241250</v>
      </c>
      <c r="N95" s="57" t="b">
        <v>1</v>
      </c>
      <c r="O95" s="58"/>
      <c r="P95" s="215"/>
      <c r="Q95" s="59" t="b">
        <v>1</v>
      </c>
      <c r="R95" s="129"/>
      <c r="S95" s="165"/>
      <c r="T95" s="47" t="b">
        <v>1</v>
      </c>
      <c r="U95" s="227" t="s">
        <v>2571</v>
      </c>
      <c r="V95" s="75"/>
      <c r="W95" s="75"/>
      <c r="X95" s="166"/>
      <c r="Y95" s="166"/>
      <c r="Z95" s="167"/>
      <c r="AA95" s="167"/>
    </row>
    <row r="96" spans="1:27">
      <c r="A96" s="162"/>
      <c r="B96" s="163"/>
      <c r="C96" s="132" t="s">
        <v>2566</v>
      </c>
      <c r="D96" s="66" t="s">
        <v>463</v>
      </c>
      <c r="E96" s="66" t="s">
        <v>463</v>
      </c>
      <c r="F96" s="69" t="s">
        <v>579</v>
      </c>
      <c r="G96" s="69" t="s">
        <v>436</v>
      </c>
      <c r="H96" s="69" t="s">
        <v>30</v>
      </c>
      <c r="I96" s="66">
        <v>20</v>
      </c>
      <c r="J96" s="70">
        <v>220</v>
      </c>
      <c r="K96" s="75">
        <f t="shared" si="1"/>
        <v>4400</v>
      </c>
      <c r="L96" s="55" t="b">
        <v>1</v>
      </c>
      <c r="M96" s="56">
        <v>111120241250</v>
      </c>
      <c r="N96" s="57" t="b">
        <v>1</v>
      </c>
      <c r="O96" s="58"/>
      <c r="P96" s="222">
        <v>45608</v>
      </c>
      <c r="Q96" s="59" t="b">
        <v>1</v>
      </c>
      <c r="R96" s="129" t="s">
        <v>2549</v>
      </c>
      <c r="S96" s="165"/>
      <c r="T96" s="47" t="b">
        <v>1</v>
      </c>
      <c r="U96" s="227" t="s">
        <v>2571</v>
      </c>
      <c r="V96" s="75"/>
      <c r="W96" s="75"/>
      <c r="X96" s="166"/>
      <c r="Y96" s="166"/>
      <c r="Z96" s="167"/>
      <c r="AA96" s="167"/>
    </row>
    <row r="97" spans="1:27">
      <c r="A97" s="162"/>
      <c r="B97" s="163"/>
      <c r="C97" s="132" t="s">
        <v>2566</v>
      </c>
      <c r="D97" s="66" t="s">
        <v>463</v>
      </c>
      <c r="E97" s="66" t="s">
        <v>463</v>
      </c>
      <c r="F97" s="69" t="s">
        <v>579</v>
      </c>
      <c r="G97" s="159" t="s">
        <v>986</v>
      </c>
      <c r="H97" s="69" t="s">
        <v>30</v>
      </c>
      <c r="I97" s="53">
        <v>10</v>
      </c>
      <c r="J97" s="70">
        <v>480</v>
      </c>
      <c r="K97" s="54">
        <f t="shared" si="1"/>
        <v>4800</v>
      </c>
      <c r="L97" s="55" t="b">
        <v>1</v>
      </c>
      <c r="M97" s="56">
        <v>111120241250</v>
      </c>
      <c r="N97" s="57" t="b">
        <v>1</v>
      </c>
      <c r="O97" s="58"/>
      <c r="P97" s="222">
        <v>45608</v>
      </c>
      <c r="Q97" s="59" t="b">
        <v>1</v>
      </c>
      <c r="R97" s="129" t="s">
        <v>2549</v>
      </c>
      <c r="S97" s="165"/>
      <c r="T97" s="47" t="b">
        <v>1</v>
      </c>
      <c r="U97" s="227" t="s">
        <v>2571</v>
      </c>
      <c r="V97" s="75"/>
      <c r="W97" s="75"/>
      <c r="X97" s="166"/>
      <c r="Y97" s="166"/>
      <c r="Z97" s="167"/>
      <c r="AA97" s="167"/>
    </row>
    <row r="98" spans="1:27">
      <c r="A98" s="162"/>
      <c r="B98" s="163"/>
      <c r="C98" s="132" t="s">
        <v>2566</v>
      </c>
      <c r="D98" s="66" t="s">
        <v>194</v>
      </c>
      <c r="E98" s="66" t="s">
        <v>195</v>
      </c>
      <c r="F98" s="66" t="s">
        <v>196</v>
      </c>
      <c r="G98" s="69" t="s">
        <v>49</v>
      </c>
      <c r="H98" s="69" t="s">
        <v>30</v>
      </c>
      <c r="I98" s="53">
        <v>10</v>
      </c>
      <c r="J98" s="70">
        <v>550</v>
      </c>
      <c r="K98" s="54">
        <f t="shared" si="1"/>
        <v>5500</v>
      </c>
      <c r="L98" s="55" t="b">
        <v>1</v>
      </c>
      <c r="M98" s="56">
        <v>111120241442</v>
      </c>
      <c r="N98" s="57" t="b">
        <v>1</v>
      </c>
      <c r="O98" s="58" t="s">
        <v>39</v>
      </c>
      <c r="P98" s="215"/>
      <c r="Q98" s="59" t="b">
        <v>1</v>
      </c>
      <c r="R98" s="129"/>
      <c r="S98" s="165"/>
      <c r="T98" s="47" t="b">
        <v>1</v>
      </c>
      <c r="U98" s="227" t="s">
        <v>2572</v>
      </c>
      <c r="V98" s="75"/>
      <c r="W98" s="75"/>
      <c r="X98" s="166"/>
      <c r="Y98" s="166"/>
      <c r="Z98" s="167"/>
      <c r="AA98" s="167"/>
    </row>
    <row r="99" spans="1:27">
      <c r="A99" s="162"/>
      <c r="B99" s="163"/>
      <c r="C99" s="132" t="s">
        <v>2566</v>
      </c>
      <c r="D99" s="66" t="s">
        <v>60</v>
      </c>
      <c r="E99" s="66" t="s">
        <v>61</v>
      </c>
      <c r="F99" s="66" t="s">
        <v>2573</v>
      </c>
      <c r="G99" s="229" t="s">
        <v>49</v>
      </c>
      <c r="H99" s="69" t="s">
        <v>30</v>
      </c>
      <c r="I99" s="66">
        <v>50</v>
      </c>
      <c r="J99" s="70">
        <v>530</v>
      </c>
      <c r="K99" s="75">
        <f t="shared" si="1"/>
        <v>26500</v>
      </c>
      <c r="L99" s="55" t="b">
        <v>1</v>
      </c>
      <c r="M99" s="56">
        <v>111120241530</v>
      </c>
      <c r="N99" s="57" t="b">
        <v>1</v>
      </c>
      <c r="O99" s="58" t="s">
        <v>39</v>
      </c>
      <c r="P99" s="215"/>
      <c r="Q99" s="59" t="b">
        <v>1</v>
      </c>
      <c r="R99" s="129"/>
      <c r="S99" s="165"/>
      <c r="T99" s="47" t="b">
        <v>1</v>
      </c>
      <c r="U99" s="227" t="s">
        <v>2574</v>
      </c>
      <c r="V99" s="75"/>
      <c r="W99" s="75"/>
      <c r="X99" s="166"/>
      <c r="Y99" s="166"/>
      <c r="Z99" s="167"/>
      <c r="AA99" s="167"/>
    </row>
    <row r="100" spans="1:27">
      <c r="A100" s="162"/>
      <c r="B100" s="163"/>
      <c r="C100" s="132" t="s">
        <v>2566</v>
      </c>
      <c r="D100" s="66" t="s">
        <v>55</v>
      </c>
      <c r="E100" s="66">
        <v>41</v>
      </c>
      <c r="F100" s="66" t="s">
        <v>1552</v>
      </c>
      <c r="G100" s="67" t="s">
        <v>746</v>
      </c>
      <c r="H100" s="69" t="s">
        <v>30</v>
      </c>
      <c r="I100" s="66">
        <v>3</v>
      </c>
      <c r="J100" s="70">
        <v>850</v>
      </c>
      <c r="K100" s="75">
        <f t="shared" si="1"/>
        <v>2550</v>
      </c>
      <c r="L100" s="55" t="b">
        <v>1</v>
      </c>
      <c r="M100" s="56">
        <v>111120241540</v>
      </c>
      <c r="N100" s="57" t="b">
        <v>1</v>
      </c>
      <c r="O100" s="58"/>
      <c r="P100" s="215"/>
      <c r="Q100" s="59" t="b">
        <v>1</v>
      </c>
      <c r="R100" s="129"/>
      <c r="S100" s="165"/>
      <c r="T100" s="47" t="b">
        <v>1</v>
      </c>
      <c r="U100" s="227" t="s">
        <v>2575</v>
      </c>
      <c r="V100" s="75"/>
      <c r="W100" s="75"/>
      <c r="X100" s="166"/>
      <c r="Y100" s="166"/>
      <c r="Z100" s="167"/>
      <c r="AA100" s="167"/>
    </row>
    <row r="101" spans="1:27">
      <c r="A101" s="162"/>
      <c r="B101" s="163"/>
      <c r="C101" s="132" t="s">
        <v>2566</v>
      </c>
      <c r="D101" s="66" t="s">
        <v>60</v>
      </c>
      <c r="E101" s="66" t="s">
        <v>61</v>
      </c>
      <c r="F101" s="66" t="s">
        <v>2573</v>
      </c>
      <c r="G101" s="69" t="s">
        <v>2576</v>
      </c>
      <c r="H101" s="69" t="s">
        <v>30</v>
      </c>
      <c r="I101" s="66">
        <v>50</v>
      </c>
      <c r="J101" s="70">
        <v>210</v>
      </c>
      <c r="K101" s="75">
        <f t="shared" si="1"/>
        <v>10500</v>
      </c>
      <c r="L101" s="55" t="b">
        <v>1</v>
      </c>
      <c r="M101" s="56">
        <v>111120241547</v>
      </c>
      <c r="N101" s="57" t="b">
        <v>1</v>
      </c>
      <c r="O101" s="58"/>
      <c r="P101" s="222">
        <v>45608</v>
      </c>
      <c r="Q101" s="59" t="b">
        <v>1</v>
      </c>
      <c r="R101" s="129" t="s">
        <v>2549</v>
      </c>
      <c r="S101" s="165"/>
      <c r="T101" s="47" t="b">
        <v>1</v>
      </c>
      <c r="U101" s="227" t="s">
        <v>2574</v>
      </c>
      <c r="V101" s="75"/>
      <c r="W101" s="75"/>
      <c r="X101" s="166"/>
      <c r="Y101" s="166"/>
      <c r="Z101" s="167"/>
      <c r="AA101" s="167"/>
    </row>
    <row r="102" spans="1:27">
      <c r="A102" s="162"/>
      <c r="B102" s="163"/>
      <c r="C102" s="132" t="s">
        <v>2566</v>
      </c>
      <c r="D102" s="66" t="s">
        <v>104</v>
      </c>
      <c r="E102" s="66" t="s">
        <v>974</v>
      </c>
      <c r="F102" s="66" t="s">
        <v>975</v>
      </c>
      <c r="G102" s="69" t="s">
        <v>2577</v>
      </c>
      <c r="H102" s="69" t="s">
        <v>30</v>
      </c>
      <c r="I102" s="53">
        <v>25</v>
      </c>
      <c r="J102" s="70">
        <v>275</v>
      </c>
      <c r="K102" s="54">
        <f t="shared" si="1"/>
        <v>6875</v>
      </c>
      <c r="L102" s="55" t="b">
        <v>1</v>
      </c>
      <c r="M102" s="56">
        <v>111120241855</v>
      </c>
      <c r="N102" s="57" t="b">
        <v>1</v>
      </c>
      <c r="O102" s="58"/>
      <c r="P102" s="215"/>
      <c r="Q102" s="59" t="b">
        <v>1</v>
      </c>
      <c r="R102" s="129" t="s">
        <v>2578</v>
      </c>
      <c r="S102" s="165"/>
      <c r="T102" s="47" t="b">
        <v>1</v>
      </c>
      <c r="U102" s="227" t="s">
        <v>2579</v>
      </c>
      <c r="V102" s="75"/>
      <c r="W102" s="75"/>
      <c r="X102" s="166"/>
      <c r="Y102" s="166"/>
      <c r="Z102" s="167"/>
      <c r="AA102" s="167"/>
    </row>
    <row r="103" spans="1:27">
      <c r="A103" s="162"/>
      <c r="B103" s="163"/>
      <c r="C103" s="132" t="s">
        <v>2580</v>
      </c>
      <c r="D103" s="66" t="s">
        <v>55</v>
      </c>
      <c r="E103" s="66">
        <v>41</v>
      </c>
      <c r="F103" s="66" t="s">
        <v>1552</v>
      </c>
      <c r="G103" s="69" t="s">
        <v>1700</v>
      </c>
      <c r="H103" s="69" t="s">
        <v>2581</v>
      </c>
      <c r="I103" s="53">
        <v>100</v>
      </c>
      <c r="J103" s="70">
        <v>15</v>
      </c>
      <c r="K103" s="54">
        <f t="shared" si="1"/>
        <v>1500</v>
      </c>
      <c r="L103" s="55" t="b">
        <v>1</v>
      </c>
      <c r="M103" s="56">
        <v>121120241307</v>
      </c>
      <c r="N103" s="57" t="b">
        <v>1</v>
      </c>
      <c r="O103" s="58"/>
      <c r="P103" s="215"/>
      <c r="Q103" s="59" t="b">
        <v>1</v>
      </c>
      <c r="R103" s="129"/>
      <c r="S103" s="165"/>
      <c r="T103" s="47" t="b">
        <v>1</v>
      </c>
      <c r="U103" s="227" t="s">
        <v>2575</v>
      </c>
      <c r="V103" s="75"/>
      <c r="W103" s="75"/>
      <c r="X103" s="166"/>
      <c r="Y103" s="166"/>
      <c r="Z103" s="167"/>
      <c r="AA103" s="167"/>
    </row>
    <row r="104" spans="1:27">
      <c r="A104" s="162"/>
      <c r="B104" s="187"/>
      <c r="C104" s="132" t="s">
        <v>2580</v>
      </c>
      <c r="D104" s="66" t="s">
        <v>51</v>
      </c>
      <c r="E104" s="66" t="s">
        <v>66</v>
      </c>
      <c r="F104" s="66" t="s">
        <v>67</v>
      </c>
      <c r="G104" s="66" t="s">
        <v>2582</v>
      </c>
      <c r="H104" s="69" t="s">
        <v>30</v>
      </c>
      <c r="I104" s="53">
        <v>3</v>
      </c>
      <c r="J104" s="70">
        <v>2350</v>
      </c>
      <c r="K104" s="54">
        <f t="shared" si="1"/>
        <v>7050</v>
      </c>
      <c r="L104" s="55" t="b">
        <v>1</v>
      </c>
      <c r="M104" s="56">
        <v>121120241308</v>
      </c>
      <c r="N104" s="57" t="b">
        <v>1</v>
      </c>
      <c r="O104" s="58" t="s">
        <v>31</v>
      </c>
      <c r="P104" s="215"/>
      <c r="Q104" s="59" t="b">
        <v>1</v>
      </c>
      <c r="R104" s="129"/>
      <c r="S104" s="165"/>
      <c r="T104" s="47" t="b">
        <v>1</v>
      </c>
      <c r="U104" s="227" t="s">
        <v>2583</v>
      </c>
      <c r="V104" s="75"/>
      <c r="W104" s="75"/>
      <c r="X104" s="166"/>
      <c r="Y104" s="166"/>
      <c r="Z104" s="167"/>
      <c r="AA104" s="167"/>
    </row>
    <row r="105" spans="1:27">
      <c r="A105" s="162"/>
      <c r="B105" s="187"/>
      <c r="C105" s="132" t="s">
        <v>2580</v>
      </c>
      <c r="D105" s="66" t="s">
        <v>51</v>
      </c>
      <c r="E105" s="66" t="s">
        <v>66</v>
      </c>
      <c r="F105" s="66" t="s">
        <v>67</v>
      </c>
      <c r="G105" s="66" t="s">
        <v>49</v>
      </c>
      <c r="H105" s="69" t="s">
        <v>30</v>
      </c>
      <c r="I105" s="53">
        <v>20</v>
      </c>
      <c r="J105" s="70">
        <v>550</v>
      </c>
      <c r="K105" s="54">
        <f t="shared" si="1"/>
        <v>11000</v>
      </c>
      <c r="L105" s="55" t="b">
        <v>1</v>
      </c>
      <c r="M105" s="56">
        <v>121120241418</v>
      </c>
      <c r="N105" s="57" t="b">
        <v>1</v>
      </c>
      <c r="O105" s="58" t="s">
        <v>2356</v>
      </c>
      <c r="P105" s="222">
        <v>45608</v>
      </c>
      <c r="Q105" s="59" t="b">
        <v>1</v>
      </c>
      <c r="R105" s="129"/>
      <c r="S105" s="165"/>
      <c r="T105" s="47" t="b">
        <v>1</v>
      </c>
      <c r="U105" s="227" t="s">
        <v>2584</v>
      </c>
      <c r="V105" s="75"/>
      <c r="W105" s="75"/>
      <c r="X105" s="166"/>
      <c r="Y105" s="166"/>
      <c r="Z105" s="167"/>
      <c r="AA105" s="167"/>
    </row>
    <row r="106" spans="1:27">
      <c r="A106" s="162"/>
      <c r="B106" s="187"/>
      <c r="C106" s="132" t="s">
        <v>2585</v>
      </c>
      <c r="D106" s="66" t="s">
        <v>55</v>
      </c>
      <c r="E106" s="66" t="s">
        <v>56</v>
      </c>
      <c r="F106" s="66" t="s">
        <v>57</v>
      </c>
      <c r="G106" s="66" t="s">
        <v>236</v>
      </c>
      <c r="H106" s="69" t="s">
        <v>30</v>
      </c>
      <c r="I106" s="53">
        <v>12</v>
      </c>
      <c r="J106" s="70">
        <v>150</v>
      </c>
      <c r="K106" s="54">
        <f t="shared" si="1"/>
        <v>1800</v>
      </c>
      <c r="L106" s="55" t="b">
        <v>1</v>
      </c>
      <c r="M106" s="56">
        <v>131120241929</v>
      </c>
      <c r="N106" s="57" t="b">
        <v>1</v>
      </c>
      <c r="O106" s="58" t="s">
        <v>2356</v>
      </c>
      <c r="P106" s="222">
        <v>45610</v>
      </c>
      <c r="Q106" s="59" t="b">
        <v>1</v>
      </c>
      <c r="R106" s="129"/>
      <c r="S106" s="165"/>
      <c r="T106" s="47" t="b">
        <v>1</v>
      </c>
      <c r="U106" s="227" t="s">
        <v>2586</v>
      </c>
      <c r="V106" s="75"/>
      <c r="W106" s="75"/>
      <c r="X106" s="166"/>
      <c r="Y106" s="166"/>
      <c r="Z106" s="167"/>
      <c r="AA106" s="167"/>
    </row>
    <row r="107" spans="1:27">
      <c r="A107" s="162"/>
      <c r="B107" s="187"/>
      <c r="C107" s="132" t="s">
        <v>2585</v>
      </c>
      <c r="D107" s="66" t="s">
        <v>55</v>
      </c>
      <c r="E107" s="66" t="s">
        <v>56</v>
      </c>
      <c r="F107" s="66" t="s">
        <v>57</v>
      </c>
      <c r="G107" s="66" t="s">
        <v>2587</v>
      </c>
      <c r="H107" s="69" t="s">
        <v>30</v>
      </c>
      <c r="I107" s="53">
        <v>6</v>
      </c>
      <c r="J107" s="70">
        <v>1425</v>
      </c>
      <c r="K107" s="54">
        <f t="shared" si="1"/>
        <v>8550</v>
      </c>
      <c r="L107" s="55" t="b">
        <v>1</v>
      </c>
      <c r="M107" s="56">
        <v>131120241929</v>
      </c>
      <c r="N107" s="57" t="b">
        <v>1</v>
      </c>
      <c r="O107" s="58"/>
      <c r="P107" s="215"/>
      <c r="Q107" s="59" t="b">
        <v>1</v>
      </c>
      <c r="R107" s="129"/>
      <c r="S107" s="165"/>
      <c r="T107" s="47" t="b">
        <v>1</v>
      </c>
      <c r="U107" s="227" t="s">
        <v>2588</v>
      </c>
      <c r="V107" s="75"/>
      <c r="W107" s="75"/>
      <c r="X107" s="166"/>
      <c r="Y107" s="166"/>
      <c r="Z107" s="167"/>
      <c r="AA107" s="167"/>
    </row>
    <row r="108" spans="1:27">
      <c r="A108" s="162"/>
      <c r="B108" s="187"/>
      <c r="C108" s="132" t="s">
        <v>2589</v>
      </c>
      <c r="D108" s="66" t="s">
        <v>438</v>
      </c>
      <c r="E108" s="66" t="s">
        <v>883</v>
      </c>
      <c r="F108" s="66" t="s">
        <v>2590</v>
      </c>
      <c r="G108" s="66" t="s">
        <v>1952</v>
      </c>
      <c r="H108" s="69" t="s">
        <v>2581</v>
      </c>
      <c r="I108" s="53">
        <v>10</v>
      </c>
      <c r="J108" s="70">
        <v>550</v>
      </c>
      <c r="K108" s="54">
        <f t="shared" si="1"/>
        <v>5500</v>
      </c>
      <c r="L108" s="55" t="b">
        <v>1</v>
      </c>
      <c r="M108" s="56">
        <v>141120241426</v>
      </c>
      <c r="N108" s="57" t="b">
        <v>1</v>
      </c>
      <c r="O108" s="58" t="s">
        <v>2356</v>
      </c>
      <c r="P108" s="215"/>
      <c r="Q108" s="59" t="b">
        <v>1</v>
      </c>
      <c r="R108" s="129"/>
      <c r="S108" s="165"/>
      <c r="T108" s="47" t="b">
        <v>1</v>
      </c>
      <c r="U108" s="227" t="s">
        <v>2591</v>
      </c>
      <c r="V108" s="75"/>
      <c r="W108" s="75"/>
      <c r="X108" s="166"/>
      <c r="Y108" s="166"/>
      <c r="Z108" s="167"/>
      <c r="AA108" s="167"/>
    </row>
    <row r="109" spans="1:27">
      <c r="A109" s="162"/>
      <c r="B109" s="187"/>
      <c r="C109" s="132" t="s">
        <v>2589</v>
      </c>
      <c r="D109" s="66" t="s">
        <v>438</v>
      </c>
      <c r="E109" s="66" t="s">
        <v>883</v>
      </c>
      <c r="F109" s="66" t="s">
        <v>2590</v>
      </c>
      <c r="G109" s="66" t="s">
        <v>236</v>
      </c>
      <c r="H109" s="69" t="s">
        <v>30</v>
      </c>
      <c r="I109" s="53">
        <v>6</v>
      </c>
      <c r="J109" s="70">
        <v>150</v>
      </c>
      <c r="K109" s="54">
        <f t="shared" si="1"/>
        <v>900</v>
      </c>
      <c r="L109" s="55" t="b">
        <v>1</v>
      </c>
      <c r="M109" s="56">
        <v>141120241427</v>
      </c>
      <c r="N109" s="57" t="b">
        <v>1</v>
      </c>
      <c r="O109" s="58" t="s">
        <v>2356</v>
      </c>
      <c r="P109" s="215"/>
      <c r="Q109" s="59" t="b">
        <v>1</v>
      </c>
      <c r="R109" s="129"/>
      <c r="S109" s="165"/>
      <c r="T109" s="47" t="b">
        <v>1</v>
      </c>
      <c r="U109" s="227" t="s">
        <v>2591</v>
      </c>
      <c r="V109" s="75"/>
      <c r="W109" s="75"/>
      <c r="X109" s="166"/>
      <c r="Y109" s="166"/>
      <c r="Z109" s="167"/>
      <c r="AA109" s="167"/>
    </row>
    <row r="110" spans="1:27">
      <c r="A110" s="162"/>
      <c r="B110" s="187"/>
      <c r="C110" s="132" t="s">
        <v>2589</v>
      </c>
      <c r="D110" s="66" t="s">
        <v>438</v>
      </c>
      <c r="E110" s="66" t="s">
        <v>883</v>
      </c>
      <c r="F110" s="66" t="s">
        <v>2590</v>
      </c>
      <c r="G110" s="66" t="s">
        <v>2592</v>
      </c>
      <c r="H110" s="69" t="s">
        <v>30</v>
      </c>
      <c r="I110" s="53">
        <v>1</v>
      </c>
      <c r="J110" s="70">
        <v>900</v>
      </c>
      <c r="K110" s="54">
        <f t="shared" si="1"/>
        <v>900</v>
      </c>
      <c r="L110" s="55" t="b">
        <v>1</v>
      </c>
      <c r="M110" s="56">
        <v>141120241427</v>
      </c>
      <c r="N110" s="57" t="b">
        <v>1</v>
      </c>
      <c r="O110" s="58" t="s">
        <v>31</v>
      </c>
      <c r="P110" s="215"/>
      <c r="Q110" s="59" t="b">
        <v>1</v>
      </c>
      <c r="R110" s="129"/>
      <c r="S110" s="165"/>
      <c r="T110" s="47" t="b">
        <v>1</v>
      </c>
      <c r="U110" s="227" t="s">
        <v>2591</v>
      </c>
      <c r="V110" s="75"/>
      <c r="W110" s="75"/>
      <c r="X110" s="166"/>
      <c r="Y110" s="166"/>
      <c r="Z110" s="167"/>
      <c r="AA110" s="167"/>
    </row>
    <row r="111" spans="1:27">
      <c r="A111" s="162"/>
      <c r="B111" s="187"/>
      <c r="C111" s="132" t="s">
        <v>2593</v>
      </c>
      <c r="D111" s="66" t="s">
        <v>55</v>
      </c>
      <c r="E111" s="66">
        <v>41</v>
      </c>
      <c r="F111" s="66" t="s">
        <v>2594</v>
      </c>
      <c r="G111" s="66" t="s">
        <v>2595</v>
      </c>
      <c r="H111" s="69" t="s">
        <v>30</v>
      </c>
      <c r="I111" s="53">
        <v>25</v>
      </c>
      <c r="J111" s="70">
        <v>220</v>
      </c>
      <c r="K111" s="54">
        <f t="shared" si="1"/>
        <v>5500</v>
      </c>
      <c r="L111" s="55" t="b">
        <v>1</v>
      </c>
      <c r="M111" s="56">
        <v>151120241312</v>
      </c>
      <c r="N111" s="57" t="b">
        <v>1</v>
      </c>
      <c r="O111" s="58" t="s">
        <v>2356</v>
      </c>
      <c r="P111" s="222">
        <v>45615</v>
      </c>
      <c r="Q111" s="59" t="b">
        <v>1</v>
      </c>
      <c r="R111" s="129" t="s">
        <v>2596</v>
      </c>
      <c r="S111" s="165"/>
      <c r="T111" s="47" t="b">
        <v>1</v>
      </c>
      <c r="U111" s="227" t="s">
        <v>2597</v>
      </c>
      <c r="V111" s="75"/>
      <c r="W111" s="75"/>
      <c r="X111" s="166"/>
      <c r="Y111" s="166"/>
      <c r="Z111" s="167"/>
      <c r="AA111" s="167"/>
    </row>
    <row r="112" spans="1:27">
      <c r="A112" s="162"/>
      <c r="B112" s="187"/>
      <c r="C112" s="132" t="s">
        <v>2593</v>
      </c>
      <c r="D112" s="66" t="s">
        <v>51</v>
      </c>
      <c r="E112" s="230" t="s">
        <v>89</v>
      </c>
      <c r="F112" s="66" t="s">
        <v>2090</v>
      </c>
      <c r="G112" s="66" t="s">
        <v>49</v>
      </c>
      <c r="H112" s="69" t="s">
        <v>30</v>
      </c>
      <c r="I112" s="53">
        <v>20</v>
      </c>
      <c r="J112" s="70">
        <v>550</v>
      </c>
      <c r="K112" s="54">
        <f t="shared" si="1"/>
        <v>11000</v>
      </c>
      <c r="L112" s="55" t="b">
        <v>1</v>
      </c>
      <c r="M112" s="56">
        <v>141120241343</v>
      </c>
      <c r="N112" s="57" t="b">
        <v>1</v>
      </c>
      <c r="O112" s="58" t="s">
        <v>2356</v>
      </c>
      <c r="P112" s="215"/>
      <c r="Q112" s="59" t="b">
        <v>1</v>
      </c>
      <c r="R112" s="129"/>
      <c r="S112" s="165"/>
      <c r="T112" s="47" t="b">
        <v>1</v>
      </c>
      <c r="U112" s="227" t="s">
        <v>2598</v>
      </c>
      <c r="V112" s="75"/>
      <c r="W112" s="75"/>
      <c r="X112" s="166"/>
      <c r="Y112" s="166"/>
      <c r="Z112" s="167"/>
      <c r="AA112" s="167"/>
    </row>
    <row r="113" spans="1:27">
      <c r="A113" s="162"/>
      <c r="B113" s="187"/>
      <c r="C113" s="132" t="s">
        <v>2593</v>
      </c>
      <c r="D113" s="66" t="s">
        <v>104</v>
      </c>
      <c r="E113" s="66" t="s">
        <v>2599</v>
      </c>
      <c r="F113" s="66" t="s">
        <v>1021</v>
      </c>
      <c r="G113" s="66" t="s">
        <v>49</v>
      </c>
      <c r="H113" s="69" t="s">
        <v>30</v>
      </c>
      <c r="I113" s="53">
        <v>30</v>
      </c>
      <c r="J113" s="70">
        <v>550</v>
      </c>
      <c r="K113" s="54">
        <f t="shared" si="1"/>
        <v>16500</v>
      </c>
      <c r="L113" s="55" t="b">
        <v>1</v>
      </c>
      <c r="M113" s="56">
        <v>151120241422</v>
      </c>
      <c r="N113" s="57" t="b">
        <v>1</v>
      </c>
      <c r="O113" s="58" t="s">
        <v>2356</v>
      </c>
      <c r="P113" s="215"/>
      <c r="Q113" s="59" t="b">
        <v>1</v>
      </c>
      <c r="R113" s="129"/>
      <c r="S113" s="165"/>
      <c r="T113" s="47" t="b">
        <v>1</v>
      </c>
      <c r="U113" s="227" t="s">
        <v>2600</v>
      </c>
      <c r="V113" s="75"/>
      <c r="W113" s="75"/>
      <c r="X113" s="166"/>
      <c r="Y113" s="166"/>
      <c r="Z113" s="167"/>
      <c r="AA113" s="167"/>
    </row>
    <row r="114" spans="1:27">
      <c r="A114" s="162"/>
      <c r="B114" s="187"/>
      <c r="C114" s="132" t="s">
        <v>2593</v>
      </c>
      <c r="D114" s="66" t="s">
        <v>98</v>
      </c>
      <c r="E114" s="66" t="s">
        <v>2296</v>
      </c>
      <c r="F114" s="66" t="s">
        <v>2601</v>
      </c>
      <c r="G114" s="66" t="s">
        <v>236</v>
      </c>
      <c r="H114" s="69" t="s">
        <v>30</v>
      </c>
      <c r="I114" s="53">
        <v>12</v>
      </c>
      <c r="J114" s="70">
        <v>150</v>
      </c>
      <c r="K114" s="54">
        <f t="shared" si="1"/>
        <v>1800</v>
      </c>
      <c r="L114" s="55" t="b">
        <v>1</v>
      </c>
      <c r="M114" s="56">
        <v>151120241640</v>
      </c>
      <c r="N114" s="57" t="b">
        <v>1</v>
      </c>
      <c r="O114" s="58" t="s">
        <v>2356</v>
      </c>
      <c r="P114" s="222">
        <v>45614</v>
      </c>
      <c r="Q114" s="59" t="b">
        <v>1</v>
      </c>
      <c r="R114" s="129"/>
      <c r="S114" s="165"/>
      <c r="T114" s="47" t="b">
        <v>1</v>
      </c>
      <c r="U114" s="227" t="s">
        <v>2602</v>
      </c>
      <c r="V114" s="75"/>
      <c r="W114" s="75"/>
      <c r="X114" s="166"/>
      <c r="Y114" s="166"/>
      <c r="Z114" s="167"/>
      <c r="AA114" s="167"/>
    </row>
    <row r="115" spans="1:27">
      <c r="A115" s="162"/>
      <c r="B115" s="187"/>
      <c r="C115" s="132" t="s">
        <v>2593</v>
      </c>
      <c r="D115" s="66" t="s">
        <v>98</v>
      </c>
      <c r="E115" s="66" t="s">
        <v>2296</v>
      </c>
      <c r="F115" s="66" t="s">
        <v>2601</v>
      </c>
      <c r="G115" s="66" t="s">
        <v>142</v>
      </c>
      <c r="H115" s="69" t="s">
        <v>30</v>
      </c>
      <c r="I115" s="53">
        <v>1500</v>
      </c>
      <c r="J115" s="70">
        <v>1.3</v>
      </c>
      <c r="K115" s="54">
        <f t="shared" si="1"/>
        <v>1950</v>
      </c>
      <c r="L115" s="55" t="b">
        <v>1</v>
      </c>
      <c r="M115" s="56">
        <v>151120241640</v>
      </c>
      <c r="N115" s="57" t="b">
        <v>1</v>
      </c>
      <c r="O115" s="58" t="s">
        <v>2356</v>
      </c>
      <c r="P115" s="222">
        <v>45614</v>
      </c>
      <c r="Q115" s="59" t="b">
        <v>1</v>
      </c>
      <c r="R115" s="129"/>
      <c r="S115" s="165"/>
      <c r="T115" s="47" t="b">
        <v>1</v>
      </c>
      <c r="U115" s="227" t="s">
        <v>2602</v>
      </c>
      <c r="V115" s="75"/>
      <c r="W115" s="75"/>
      <c r="X115" s="166"/>
      <c r="Y115" s="166"/>
      <c r="Z115" s="167"/>
      <c r="AA115" s="167"/>
    </row>
    <row r="116" spans="1:27">
      <c r="A116" s="162"/>
      <c r="B116" s="187"/>
      <c r="C116" s="132" t="s">
        <v>2593</v>
      </c>
      <c r="D116" s="66" t="s">
        <v>55</v>
      </c>
      <c r="E116" s="66" t="s">
        <v>56</v>
      </c>
      <c r="F116" s="66" t="s">
        <v>57</v>
      </c>
      <c r="G116" s="66" t="s">
        <v>304</v>
      </c>
      <c r="H116" s="69" t="s">
        <v>30</v>
      </c>
      <c r="I116" s="53">
        <v>24</v>
      </c>
      <c r="J116" s="70">
        <v>55</v>
      </c>
      <c r="K116" s="54">
        <f t="shared" si="1"/>
        <v>1320</v>
      </c>
      <c r="L116" s="55" t="b">
        <v>1</v>
      </c>
      <c r="M116" s="56">
        <v>151120241640</v>
      </c>
      <c r="N116" s="57" t="b">
        <v>1</v>
      </c>
      <c r="O116" s="58" t="s">
        <v>2356</v>
      </c>
      <c r="P116" s="222">
        <v>45614</v>
      </c>
      <c r="Q116" s="59" t="b">
        <v>1</v>
      </c>
      <c r="R116" s="129"/>
      <c r="S116" s="165"/>
      <c r="T116" s="47" t="b">
        <v>1</v>
      </c>
      <c r="U116" s="227" t="s">
        <v>2603</v>
      </c>
      <c r="V116" s="75"/>
      <c r="W116" s="75"/>
      <c r="X116" s="166"/>
      <c r="Y116" s="166"/>
      <c r="Z116" s="167"/>
      <c r="AA116" s="167"/>
    </row>
    <row r="117" spans="1:27">
      <c r="A117" s="162"/>
      <c r="B117" s="187"/>
      <c r="C117" s="132" t="s">
        <v>2593</v>
      </c>
      <c r="D117" s="66" t="s">
        <v>98</v>
      </c>
      <c r="E117" s="66" t="s">
        <v>2296</v>
      </c>
      <c r="F117" s="66" t="s">
        <v>2601</v>
      </c>
      <c r="G117" s="66" t="s">
        <v>1191</v>
      </c>
      <c r="H117" s="69" t="s">
        <v>30</v>
      </c>
      <c r="I117" s="53">
        <v>1</v>
      </c>
      <c r="J117" s="70">
        <v>165</v>
      </c>
      <c r="K117" s="54">
        <f t="shared" si="1"/>
        <v>165</v>
      </c>
      <c r="L117" s="55" t="b">
        <v>1</v>
      </c>
      <c r="M117" s="56">
        <v>151120241640</v>
      </c>
      <c r="N117" s="57" t="b">
        <v>1</v>
      </c>
      <c r="O117" s="58" t="s">
        <v>2356</v>
      </c>
      <c r="P117" s="222">
        <v>45614</v>
      </c>
      <c r="Q117" s="59" t="b">
        <v>1</v>
      </c>
      <c r="R117" s="129"/>
      <c r="S117" s="165"/>
      <c r="T117" s="47" t="b">
        <v>1</v>
      </c>
      <c r="U117" s="227" t="s">
        <v>2602</v>
      </c>
      <c r="V117" s="75"/>
      <c r="W117" s="75"/>
      <c r="X117" s="166"/>
      <c r="Y117" s="166"/>
      <c r="Z117" s="167"/>
      <c r="AA117" s="167"/>
    </row>
    <row r="118" spans="1:27">
      <c r="A118" s="162"/>
      <c r="B118" s="187"/>
      <c r="C118" s="132" t="s">
        <v>2593</v>
      </c>
      <c r="D118" s="66" t="s">
        <v>345</v>
      </c>
      <c r="E118" s="66" t="s">
        <v>342</v>
      </c>
      <c r="F118" s="66" t="s">
        <v>2228</v>
      </c>
      <c r="G118" s="66" t="s">
        <v>2604</v>
      </c>
      <c r="H118" s="69" t="s">
        <v>30</v>
      </c>
      <c r="I118" s="53">
        <v>3</v>
      </c>
      <c r="J118" s="70">
        <v>1550</v>
      </c>
      <c r="K118" s="54">
        <f t="shared" si="1"/>
        <v>4650</v>
      </c>
      <c r="L118" s="55" t="b">
        <v>1</v>
      </c>
      <c r="M118" s="56">
        <v>151120241646</v>
      </c>
      <c r="N118" s="57" t="b">
        <v>1</v>
      </c>
      <c r="O118" s="58" t="s">
        <v>2356</v>
      </c>
      <c r="P118" s="222">
        <v>45611</v>
      </c>
      <c r="Q118" s="59" t="b">
        <v>1</v>
      </c>
      <c r="R118" s="129"/>
      <c r="S118" s="165"/>
      <c r="T118" s="47" t="b">
        <v>1</v>
      </c>
      <c r="U118" s="227" t="s">
        <v>2605</v>
      </c>
      <c r="V118" s="75"/>
      <c r="W118" s="75"/>
      <c r="X118" s="166"/>
      <c r="Y118" s="166"/>
      <c r="Z118" s="167"/>
      <c r="AA118" s="167"/>
    </row>
    <row r="119" spans="1:27">
      <c r="A119" s="162"/>
      <c r="B119" s="187"/>
      <c r="C119" s="132" t="s">
        <v>2593</v>
      </c>
      <c r="D119" s="66" t="s">
        <v>345</v>
      </c>
      <c r="E119" s="66" t="s">
        <v>342</v>
      </c>
      <c r="F119" s="66" t="s">
        <v>2228</v>
      </c>
      <c r="G119" s="69" t="s">
        <v>2362</v>
      </c>
      <c r="H119" s="69" t="s">
        <v>30</v>
      </c>
      <c r="I119" s="53">
        <v>4</v>
      </c>
      <c r="J119" s="70">
        <v>1350</v>
      </c>
      <c r="K119" s="54">
        <f t="shared" si="1"/>
        <v>5400</v>
      </c>
      <c r="L119" s="55" t="b">
        <v>1</v>
      </c>
      <c r="M119" s="56">
        <v>151120241647</v>
      </c>
      <c r="N119" s="57" t="b">
        <v>1</v>
      </c>
      <c r="O119" s="58" t="s">
        <v>2356</v>
      </c>
      <c r="P119" s="222">
        <v>45611</v>
      </c>
      <c r="Q119" s="59" t="b">
        <v>1</v>
      </c>
      <c r="R119" s="129"/>
      <c r="S119" s="165"/>
      <c r="T119" s="47" t="b">
        <v>1</v>
      </c>
      <c r="U119" s="227" t="s">
        <v>2605</v>
      </c>
      <c r="V119" s="75"/>
      <c r="W119" s="75"/>
      <c r="X119" s="166"/>
      <c r="Y119" s="166"/>
      <c r="Z119" s="167"/>
      <c r="AA119" s="167"/>
    </row>
    <row r="120" spans="1:27">
      <c r="A120" s="162"/>
      <c r="B120" s="187"/>
      <c r="C120" s="132" t="s">
        <v>2606</v>
      </c>
      <c r="D120" s="66" t="s">
        <v>2607</v>
      </c>
      <c r="E120" s="66" t="s">
        <v>2608</v>
      </c>
      <c r="F120" s="66" t="s">
        <v>2609</v>
      </c>
      <c r="G120" s="66" t="s">
        <v>49</v>
      </c>
      <c r="H120" s="69" t="s">
        <v>30</v>
      </c>
      <c r="I120" s="53">
        <v>5</v>
      </c>
      <c r="J120" s="70">
        <v>550</v>
      </c>
      <c r="K120" s="54">
        <f t="shared" si="1"/>
        <v>2750</v>
      </c>
      <c r="L120" s="55" t="b">
        <v>1</v>
      </c>
      <c r="M120" s="56">
        <v>181120240904</v>
      </c>
      <c r="N120" s="57" t="b">
        <v>1</v>
      </c>
      <c r="O120" s="58" t="s">
        <v>2356</v>
      </c>
      <c r="P120" s="222">
        <v>45614</v>
      </c>
      <c r="Q120" s="59" t="b">
        <v>1</v>
      </c>
      <c r="R120" s="129"/>
      <c r="S120" s="165"/>
      <c r="T120" s="47" t="b">
        <v>1</v>
      </c>
      <c r="U120" s="227" t="s">
        <v>2610</v>
      </c>
      <c r="V120" s="75"/>
      <c r="W120" s="75"/>
      <c r="X120" s="166"/>
      <c r="Y120" s="166"/>
      <c r="Z120" s="167"/>
      <c r="AA120" s="167"/>
    </row>
    <row r="121" spans="1:27">
      <c r="A121" s="162"/>
      <c r="B121" s="187"/>
      <c r="C121" s="132" t="s">
        <v>2606</v>
      </c>
      <c r="D121" s="66" t="s">
        <v>194</v>
      </c>
      <c r="E121" s="66" t="s">
        <v>137</v>
      </c>
      <c r="F121" s="66" t="s">
        <v>989</v>
      </c>
      <c r="G121" s="66" t="s">
        <v>2611</v>
      </c>
      <c r="H121" s="69" t="s">
        <v>30</v>
      </c>
      <c r="I121" s="53">
        <v>10</v>
      </c>
      <c r="J121" s="70">
        <v>550</v>
      </c>
      <c r="K121" s="54">
        <f t="shared" si="1"/>
        <v>5500</v>
      </c>
      <c r="L121" s="55" t="b">
        <v>1</v>
      </c>
      <c r="M121" s="56">
        <v>181120240907</v>
      </c>
      <c r="N121" s="57" t="b">
        <v>1</v>
      </c>
      <c r="O121" s="58" t="s">
        <v>2356</v>
      </c>
      <c r="P121" s="222">
        <v>45614</v>
      </c>
      <c r="Q121" s="59" t="b">
        <v>1</v>
      </c>
      <c r="R121" s="129"/>
      <c r="S121" s="165"/>
      <c r="T121" s="47" t="b">
        <v>1</v>
      </c>
      <c r="U121" s="227" t="s">
        <v>2612</v>
      </c>
      <c r="V121" s="75"/>
      <c r="W121" s="75"/>
      <c r="X121" s="166"/>
      <c r="Y121" s="166"/>
      <c r="Z121" s="167"/>
      <c r="AA121" s="167"/>
    </row>
    <row r="122" spans="1:27">
      <c r="A122" s="162"/>
      <c r="B122" s="187"/>
      <c r="C122" s="132" t="s">
        <v>2606</v>
      </c>
      <c r="D122" s="66" t="s">
        <v>104</v>
      </c>
      <c r="E122" s="66" t="s">
        <v>620</v>
      </c>
      <c r="F122" s="66" t="s">
        <v>621</v>
      </c>
      <c r="G122" s="66" t="s">
        <v>1509</v>
      </c>
      <c r="H122" s="69" t="s">
        <v>30</v>
      </c>
      <c r="I122" s="53">
        <v>6</v>
      </c>
      <c r="J122" s="70">
        <v>475</v>
      </c>
      <c r="K122" s="54">
        <f t="shared" si="1"/>
        <v>2850</v>
      </c>
      <c r="L122" s="55" t="b">
        <v>1</v>
      </c>
      <c r="M122" s="56">
        <v>181120240916</v>
      </c>
      <c r="N122" s="57" t="b">
        <v>1</v>
      </c>
      <c r="O122" s="58" t="s">
        <v>2356</v>
      </c>
      <c r="P122" s="222">
        <v>45614</v>
      </c>
      <c r="Q122" s="59" t="b">
        <v>1</v>
      </c>
      <c r="R122" s="129"/>
      <c r="S122" s="165"/>
      <c r="T122" s="47" t="b">
        <v>1</v>
      </c>
      <c r="U122" s="227" t="s">
        <v>2613</v>
      </c>
      <c r="V122" s="75"/>
      <c r="W122" s="75"/>
      <c r="X122" s="166"/>
      <c r="Y122" s="166"/>
      <c r="Z122" s="167"/>
      <c r="AA122" s="167"/>
    </row>
    <row r="123" spans="1:27">
      <c r="A123" s="162"/>
      <c r="B123" s="187"/>
      <c r="C123" s="132" t="s">
        <v>2606</v>
      </c>
      <c r="D123" s="66" t="s">
        <v>104</v>
      </c>
      <c r="E123" s="66" t="s">
        <v>342</v>
      </c>
      <c r="F123" s="66" t="s">
        <v>866</v>
      </c>
      <c r="G123" s="66" t="s">
        <v>563</v>
      </c>
      <c r="H123" s="69" t="s">
        <v>30</v>
      </c>
      <c r="I123" s="53">
        <v>200</v>
      </c>
      <c r="J123" s="70">
        <v>39</v>
      </c>
      <c r="K123" s="54">
        <f t="shared" si="1"/>
        <v>7800</v>
      </c>
      <c r="L123" s="55" t="b">
        <v>1</v>
      </c>
      <c r="M123" s="56">
        <v>181120241107</v>
      </c>
      <c r="N123" s="57" t="b">
        <v>1</v>
      </c>
      <c r="O123" s="58"/>
      <c r="P123" s="215"/>
      <c r="Q123" s="59" t="b">
        <v>1</v>
      </c>
      <c r="R123" s="129"/>
      <c r="S123" s="165"/>
      <c r="T123" s="47" t="b">
        <v>1</v>
      </c>
      <c r="U123" s="227" t="s">
        <v>2614</v>
      </c>
      <c r="V123" s="75"/>
      <c r="W123" s="75"/>
      <c r="X123" s="166"/>
      <c r="Y123" s="166"/>
      <c r="Z123" s="167"/>
      <c r="AA123" s="167"/>
    </row>
    <row r="124" spans="1:27">
      <c r="A124" s="162"/>
      <c r="B124" s="187"/>
      <c r="C124" s="132" t="s">
        <v>2606</v>
      </c>
      <c r="D124" s="66" t="s">
        <v>345</v>
      </c>
      <c r="E124" s="66" t="s">
        <v>342</v>
      </c>
      <c r="F124" s="66" t="s">
        <v>2228</v>
      </c>
      <c r="G124" s="66" t="s">
        <v>771</v>
      </c>
      <c r="H124" s="69" t="s">
        <v>30</v>
      </c>
      <c r="I124" s="53">
        <v>50</v>
      </c>
      <c r="J124" s="70">
        <v>90</v>
      </c>
      <c r="K124" s="75">
        <f t="shared" si="1"/>
        <v>4500</v>
      </c>
      <c r="L124" s="55" t="b">
        <v>1</v>
      </c>
      <c r="M124" s="56">
        <v>181120241115</v>
      </c>
      <c r="N124" s="57" t="b">
        <v>1</v>
      </c>
      <c r="O124" s="58" t="s">
        <v>2356</v>
      </c>
      <c r="P124" s="222">
        <v>45614</v>
      </c>
      <c r="Q124" s="59" t="b">
        <v>1</v>
      </c>
      <c r="R124" s="129"/>
      <c r="S124" s="165"/>
      <c r="T124" s="47" t="b">
        <v>1</v>
      </c>
      <c r="U124" s="227" t="s">
        <v>2615</v>
      </c>
      <c r="V124" s="75"/>
      <c r="W124" s="75"/>
      <c r="X124" s="166"/>
      <c r="Y124" s="166"/>
      <c r="Z124" s="167"/>
      <c r="AA124" s="167"/>
    </row>
    <row r="125" spans="1:27">
      <c r="A125" s="162"/>
      <c r="B125" s="187"/>
      <c r="C125" s="132" t="s">
        <v>2606</v>
      </c>
      <c r="D125" s="66" t="s">
        <v>345</v>
      </c>
      <c r="E125" s="66" t="s">
        <v>342</v>
      </c>
      <c r="F125" s="66" t="s">
        <v>2228</v>
      </c>
      <c r="G125" s="66" t="s">
        <v>2616</v>
      </c>
      <c r="H125" s="69" t="s">
        <v>30</v>
      </c>
      <c r="I125" s="53">
        <v>50</v>
      </c>
      <c r="J125" s="70">
        <v>8</v>
      </c>
      <c r="K125" s="75">
        <f t="shared" si="1"/>
        <v>400</v>
      </c>
      <c r="L125" s="55" t="b">
        <v>1</v>
      </c>
      <c r="M125" s="56">
        <v>181120241115</v>
      </c>
      <c r="N125" s="57" t="b">
        <v>1</v>
      </c>
      <c r="O125" s="58" t="s">
        <v>2356</v>
      </c>
      <c r="P125" s="222">
        <v>45614</v>
      </c>
      <c r="Q125" s="59" t="b">
        <v>1</v>
      </c>
      <c r="R125" s="129"/>
      <c r="S125" s="165"/>
      <c r="T125" s="47" t="b">
        <v>1</v>
      </c>
      <c r="U125" s="227" t="s">
        <v>2617</v>
      </c>
      <c r="V125" s="75"/>
      <c r="W125" s="75"/>
      <c r="X125" s="166"/>
      <c r="Y125" s="166"/>
      <c r="Z125" s="167"/>
      <c r="AA125" s="167"/>
    </row>
    <row r="126" spans="1:27">
      <c r="A126" s="162"/>
      <c r="B126" s="187"/>
      <c r="C126" s="132" t="s">
        <v>2606</v>
      </c>
      <c r="D126" s="66" t="s">
        <v>345</v>
      </c>
      <c r="E126" s="66" t="s">
        <v>342</v>
      </c>
      <c r="F126" s="66" t="s">
        <v>2228</v>
      </c>
      <c r="G126" s="66" t="s">
        <v>2267</v>
      </c>
      <c r="H126" s="69" t="s">
        <v>30</v>
      </c>
      <c r="I126" s="53">
        <v>50</v>
      </c>
      <c r="J126" s="70">
        <v>55</v>
      </c>
      <c r="K126" s="75">
        <f t="shared" si="1"/>
        <v>2750</v>
      </c>
      <c r="L126" s="55" t="b">
        <v>1</v>
      </c>
      <c r="M126" s="56">
        <v>181120241115</v>
      </c>
      <c r="N126" s="57" t="b">
        <v>1</v>
      </c>
      <c r="O126" s="58"/>
      <c r="P126" s="215"/>
      <c r="Q126" s="59" t="b">
        <v>1</v>
      </c>
      <c r="R126" s="129"/>
      <c r="S126" s="165"/>
      <c r="T126" s="47" t="b">
        <v>1</v>
      </c>
      <c r="U126" s="227" t="s">
        <v>2605</v>
      </c>
      <c r="V126" s="75"/>
      <c r="W126" s="75"/>
      <c r="X126" s="166"/>
      <c r="Y126" s="166"/>
      <c r="Z126" s="167"/>
      <c r="AA126" s="167"/>
    </row>
    <row r="127" spans="1:27">
      <c r="A127" s="162"/>
      <c r="B127" s="187"/>
      <c r="C127" s="132" t="s">
        <v>2606</v>
      </c>
      <c r="D127" s="66" t="s">
        <v>212</v>
      </c>
      <c r="E127" s="66" t="s">
        <v>213</v>
      </c>
      <c r="F127" s="66" t="s">
        <v>214</v>
      </c>
      <c r="G127" s="66" t="s">
        <v>436</v>
      </c>
      <c r="H127" s="69" t="s">
        <v>30</v>
      </c>
      <c r="I127" s="53">
        <v>3</v>
      </c>
      <c r="J127" s="70">
        <v>220</v>
      </c>
      <c r="K127" s="54">
        <f t="shared" si="1"/>
        <v>660</v>
      </c>
      <c r="L127" s="55" t="b">
        <v>1</v>
      </c>
      <c r="M127" s="56">
        <v>181120241441</v>
      </c>
      <c r="N127" s="57" t="b">
        <v>1</v>
      </c>
      <c r="O127" s="58"/>
      <c r="P127" s="215"/>
      <c r="Q127" s="59" t="b">
        <v>1</v>
      </c>
      <c r="R127" s="129"/>
      <c r="S127" s="165"/>
      <c r="T127" s="47" t="b">
        <v>1</v>
      </c>
      <c r="U127" s="227" t="s">
        <v>2618</v>
      </c>
      <c r="V127" s="75"/>
      <c r="W127" s="75"/>
      <c r="X127" s="166"/>
      <c r="Y127" s="166"/>
      <c r="Z127" s="167"/>
      <c r="AA127" s="167"/>
    </row>
    <row r="128" spans="1:27">
      <c r="A128" s="162"/>
      <c r="B128" s="187"/>
      <c r="C128" s="132" t="s">
        <v>2606</v>
      </c>
      <c r="D128" s="66" t="s">
        <v>51</v>
      </c>
      <c r="E128" s="66" t="s">
        <v>335</v>
      </c>
      <c r="F128" s="66" t="s">
        <v>457</v>
      </c>
      <c r="G128" s="66" t="s">
        <v>139</v>
      </c>
      <c r="H128" s="69" t="s">
        <v>30</v>
      </c>
      <c r="I128" s="53">
        <v>50</v>
      </c>
      <c r="J128" s="70">
        <v>29.5</v>
      </c>
      <c r="K128" s="54">
        <f t="shared" si="1"/>
        <v>1475</v>
      </c>
      <c r="L128" s="55" t="b">
        <v>1</v>
      </c>
      <c r="M128" s="56">
        <v>181120242024</v>
      </c>
      <c r="N128" s="57" t="b">
        <v>1</v>
      </c>
      <c r="O128" s="58" t="s">
        <v>2356</v>
      </c>
      <c r="P128" s="222">
        <v>45615</v>
      </c>
      <c r="Q128" s="59" t="b">
        <v>1</v>
      </c>
      <c r="R128" s="129"/>
      <c r="S128" s="165"/>
      <c r="T128" s="47" t="b">
        <v>1</v>
      </c>
      <c r="U128" s="227" t="s">
        <v>2619</v>
      </c>
      <c r="V128" s="75"/>
      <c r="W128" s="75"/>
      <c r="X128" s="166"/>
      <c r="Y128" s="166"/>
      <c r="Z128" s="167"/>
      <c r="AA128" s="167"/>
    </row>
    <row r="129" spans="1:27">
      <c r="A129" s="162"/>
      <c r="B129" s="187"/>
      <c r="C129" s="132" t="s">
        <v>2620</v>
      </c>
      <c r="D129" s="66" t="s">
        <v>433</v>
      </c>
      <c r="E129" s="66" t="s">
        <v>434</v>
      </c>
      <c r="F129" s="66" t="s">
        <v>2621</v>
      </c>
      <c r="G129" s="66" t="s">
        <v>639</v>
      </c>
      <c r="H129" s="69" t="s">
        <v>30</v>
      </c>
      <c r="I129" s="53">
        <v>24</v>
      </c>
      <c r="J129" s="70">
        <v>218</v>
      </c>
      <c r="K129" s="54">
        <f t="shared" si="1"/>
        <v>5232</v>
      </c>
      <c r="L129" s="55" t="b">
        <v>1</v>
      </c>
      <c r="M129" s="56">
        <v>191120241430</v>
      </c>
      <c r="N129" s="57" t="b">
        <v>1</v>
      </c>
      <c r="O129" s="58" t="s">
        <v>31</v>
      </c>
      <c r="P129" s="222">
        <v>45615</v>
      </c>
      <c r="Q129" s="59" t="b">
        <v>1</v>
      </c>
      <c r="R129" s="129"/>
      <c r="S129" s="165"/>
      <c r="T129" s="47" t="b">
        <v>1</v>
      </c>
      <c r="U129" s="227" t="s">
        <v>2622</v>
      </c>
      <c r="V129" s="75"/>
      <c r="W129" s="75"/>
      <c r="X129" s="166"/>
      <c r="Y129" s="166"/>
      <c r="Z129" s="167"/>
      <c r="AA129" s="167"/>
    </row>
    <row r="130" spans="1:27">
      <c r="A130" s="162"/>
      <c r="B130" s="187"/>
      <c r="C130" s="132" t="s">
        <v>2620</v>
      </c>
      <c r="D130" s="66" t="s">
        <v>433</v>
      </c>
      <c r="E130" s="66" t="s">
        <v>434</v>
      </c>
      <c r="F130" s="66" t="s">
        <v>2621</v>
      </c>
      <c r="G130" s="66" t="s">
        <v>1952</v>
      </c>
      <c r="H130" s="69" t="s">
        <v>30</v>
      </c>
      <c r="I130" s="53">
        <v>5</v>
      </c>
      <c r="J130" s="70">
        <v>550</v>
      </c>
      <c r="K130" s="54">
        <f t="shared" si="1"/>
        <v>2750</v>
      </c>
      <c r="L130" s="55" t="b">
        <v>1</v>
      </c>
      <c r="M130" s="56">
        <v>191120241448</v>
      </c>
      <c r="N130" s="57" t="b">
        <v>1</v>
      </c>
      <c r="O130" s="58" t="s">
        <v>31</v>
      </c>
      <c r="P130" s="222">
        <v>45615</v>
      </c>
      <c r="Q130" s="59" t="b">
        <v>1</v>
      </c>
      <c r="R130" s="129"/>
      <c r="S130" s="165"/>
      <c r="T130" s="47" t="b">
        <v>1</v>
      </c>
      <c r="U130" s="227" t="s">
        <v>2622</v>
      </c>
      <c r="V130" s="75"/>
      <c r="W130" s="75"/>
      <c r="X130" s="166"/>
      <c r="Y130" s="166"/>
      <c r="Z130" s="167"/>
      <c r="AA130" s="167"/>
    </row>
    <row r="131" spans="1:27">
      <c r="A131" s="162"/>
      <c r="B131" s="187"/>
      <c r="C131" s="132" t="s">
        <v>2623</v>
      </c>
      <c r="D131" s="66" t="s">
        <v>750</v>
      </c>
      <c r="E131" s="66" t="s">
        <v>434</v>
      </c>
      <c r="F131" s="66" t="s">
        <v>2621</v>
      </c>
      <c r="G131" s="66" t="s">
        <v>2624</v>
      </c>
      <c r="H131" s="69" t="s">
        <v>30</v>
      </c>
      <c r="I131" s="53">
        <v>3</v>
      </c>
      <c r="J131" s="70">
        <v>640</v>
      </c>
      <c r="K131" s="54">
        <f t="shared" si="1"/>
        <v>1920</v>
      </c>
      <c r="L131" s="55" t="b">
        <v>1</v>
      </c>
      <c r="M131" s="56">
        <v>201120240828</v>
      </c>
      <c r="N131" s="57" t="b">
        <v>1</v>
      </c>
      <c r="O131" s="58" t="s">
        <v>31</v>
      </c>
      <c r="P131" s="222">
        <v>45616</v>
      </c>
      <c r="Q131" s="59" t="b">
        <v>1</v>
      </c>
      <c r="R131" s="129"/>
      <c r="S131" s="165"/>
      <c r="T131" s="47" t="b">
        <v>1</v>
      </c>
      <c r="U131" s="227" t="s">
        <v>2622</v>
      </c>
      <c r="V131" s="75"/>
      <c r="W131" s="75"/>
      <c r="X131" s="166"/>
      <c r="Y131" s="166"/>
      <c r="Z131" s="167"/>
      <c r="AA131" s="167"/>
    </row>
    <row r="132" spans="1:27">
      <c r="A132" s="162"/>
      <c r="B132" s="187"/>
      <c r="C132" s="132" t="s">
        <v>2623</v>
      </c>
      <c r="D132" s="66" t="s">
        <v>98</v>
      </c>
      <c r="E132" s="66" t="s">
        <v>99</v>
      </c>
      <c r="F132" s="66" t="s">
        <v>444</v>
      </c>
      <c r="G132" s="66" t="s">
        <v>236</v>
      </c>
      <c r="H132" s="69" t="s">
        <v>30</v>
      </c>
      <c r="I132" s="53">
        <v>12</v>
      </c>
      <c r="J132" s="70">
        <v>150</v>
      </c>
      <c r="K132" s="54">
        <f t="shared" si="1"/>
        <v>1800</v>
      </c>
      <c r="L132" s="55" t="b">
        <v>1</v>
      </c>
      <c r="M132" s="56">
        <v>201120241521</v>
      </c>
      <c r="N132" s="57" t="b">
        <v>1</v>
      </c>
      <c r="O132" s="58" t="s">
        <v>2356</v>
      </c>
      <c r="P132" s="222">
        <v>45616</v>
      </c>
      <c r="Q132" s="59" t="b">
        <v>1</v>
      </c>
      <c r="R132" s="129"/>
      <c r="S132" s="165"/>
      <c r="T132" s="47" t="b">
        <v>1</v>
      </c>
      <c r="U132" s="227" t="s">
        <v>2625</v>
      </c>
      <c r="V132" s="75"/>
      <c r="W132" s="75"/>
      <c r="X132" s="166"/>
      <c r="Y132" s="166"/>
      <c r="Z132" s="167"/>
      <c r="AA132" s="167"/>
    </row>
    <row r="133" spans="1:27">
      <c r="A133" s="162"/>
      <c r="B133" s="187"/>
      <c r="C133" s="132" t="s">
        <v>2623</v>
      </c>
      <c r="D133" s="66" t="s">
        <v>98</v>
      </c>
      <c r="E133" s="66" t="s">
        <v>99</v>
      </c>
      <c r="F133" s="66" t="s">
        <v>444</v>
      </c>
      <c r="G133" s="66" t="s">
        <v>639</v>
      </c>
      <c r="H133" s="69" t="s">
        <v>30</v>
      </c>
      <c r="I133" s="53">
        <v>24</v>
      </c>
      <c r="J133" s="70">
        <v>218</v>
      </c>
      <c r="K133" s="54">
        <f t="shared" si="1"/>
        <v>5232</v>
      </c>
      <c r="L133" s="55" t="b">
        <v>1</v>
      </c>
      <c r="M133" s="56">
        <v>201120241521</v>
      </c>
      <c r="N133" s="57" t="b">
        <v>1</v>
      </c>
      <c r="O133" s="58" t="s">
        <v>2356</v>
      </c>
      <c r="P133" s="222">
        <v>45616</v>
      </c>
      <c r="Q133" s="59" t="b">
        <v>1</v>
      </c>
      <c r="R133" s="129"/>
      <c r="S133" s="165"/>
      <c r="T133" s="47" t="b">
        <v>1</v>
      </c>
      <c r="U133" s="227" t="s">
        <v>2625</v>
      </c>
      <c r="V133" s="75"/>
      <c r="W133" s="75"/>
      <c r="X133" s="166"/>
      <c r="Y133" s="166"/>
      <c r="Z133" s="167"/>
      <c r="AA133" s="167"/>
    </row>
    <row r="134" spans="1:27">
      <c r="A134" s="162"/>
      <c r="B134" s="187"/>
      <c r="C134" s="132" t="s">
        <v>2623</v>
      </c>
      <c r="D134" s="66" t="s">
        <v>98</v>
      </c>
      <c r="E134" s="66" t="s">
        <v>99</v>
      </c>
      <c r="F134" s="66" t="s">
        <v>444</v>
      </c>
      <c r="G134" s="66" t="s">
        <v>58</v>
      </c>
      <c r="H134" s="69" t="s">
        <v>30</v>
      </c>
      <c r="I134" s="53">
        <v>84</v>
      </c>
      <c r="J134" s="70">
        <v>41.5</v>
      </c>
      <c r="K134" s="54">
        <f t="shared" si="1"/>
        <v>3486</v>
      </c>
      <c r="L134" s="55" t="b">
        <v>1</v>
      </c>
      <c r="M134" s="56">
        <v>201120241521</v>
      </c>
      <c r="N134" s="57" t="b">
        <v>1</v>
      </c>
      <c r="O134" s="58" t="s">
        <v>2356</v>
      </c>
      <c r="P134" s="215"/>
      <c r="Q134" s="59" t="b">
        <v>1</v>
      </c>
      <c r="R134" s="129"/>
      <c r="S134" s="165"/>
      <c r="T134" s="47" t="b">
        <v>1</v>
      </c>
      <c r="U134" s="227" t="s">
        <v>2625</v>
      </c>
      <c r="V134" s="75"/>
      <c r="W134" s="75"/>
      <c r="X134" s="166"/>
      <c r="Y134" s="166"/>
      <c r="Z134" s="167"/>
      <c r="AA134" s="167"/>
    </row>
    <row r="135" spans="1:27">
      <c r="A135" s="162"/>
      <c r="B135" s="187"/>
      <c r="C135" s="132" t="s">
        <v>2623</v>
      </c>
      <c r="D135" s="66" t="s">
        <v>104</v>
      </c>
      <c r="E135" s="66" t="s">
        <v>486</v>
      </c>
      <c r="F135" s="66" t="s">
        <v>241</v>
      </c>
      <c r="G135" s="66" t="s">
        <v>2539</v>
      </c>
      <c r="H135" s="69" t="s">
        <v>30</v>
      </c>
      <c r="I135" s="53">
        <v>20</v>
      </c>
      <c r="J135" s="70">
        <v>525</v>
      </c>
      <c r="K135" s="54">
        <f t="shared" si="1"/>
        <v>10500</v>
      </c>
      <c r="L135" s="55" t="b">
        <v>1</v>
      </c>
      <c r="M135" s="56">
        <v>201120241551</v>
      </c>
      <c r="N135" s="57" t="b">
        <v>1</v>
      </c>
      <c r="O135" s="58" t="s">
        <v>2356</v>
      </c>
      <c r="P135" s="215"/>
      <c r="Q135" s="59" t="b">
        <v>1</v>
      </c>
      <c r="R135" s="129"/>
      <c r="S135" s="165"/>
      <c r="T135" s="47" t="b">
        <v>1</v>
      </c>
      <c r="U135" s="227" t="s">
        <v>2626</v>
      </c>
      <c r="V135" s="75"/>
      <c r="W135" s="75"/>
      <c r="X135" s="166"/>
      <c r="Y135" s="166"/>
      <c r="Z135" s="167"/>
      <c r="AA135" s="167"/>
    </row>
    <row r="136" spans="1:27">
      <c r="A136" s="162"/>
      <c r="B136" s="187"/>
      <c r="C136" s="132" t="s">
        <v>2623</v>
      </c>
      <c r="D136" s="66" t="s">
        <v>104</v>
      </c>
      <c r="E136" s="66" t="s">
        <v>486</v>
      </c>
      <c r="F136" s="66" t="s">
        <v>241</v>
      </c>
      <c r="G136" s="66" t="s">
        <v>2627</v>
      </c>
      <c r="H136" s="69" t="s">
        <v>30</v>
      </c>
      <c r="I136" s="53">
        <v>10</v>
      </c>
      <c r="J136" s="70">
        <v>675</v>
      </c>
      <c r="K136" s="54">
        <f t="shared" si="1"/>
        <v>6750</v>
      </c>
      <c r="L136" s="55" t="b">
        <v>1</v>
      </c>
      <c r="M136" s="56">
        <v>201120241551</v>
      </c>
      <c r="N136" s="57" t="b">
        <v>1</v>
      </c>
      <c r="O136" s="58" t="s">
        <v>351</v>
      </c>
      <c r="P136" s="215"/>
      <c r="Q136" s="59" t="b">
        <v>1</v>
      </c>
      <c r="R136" s="129"/>
      <c r="S136" s="165"/>
      <c r="T136" s="47" t="b">
        <v>1</v>
      </c>
      <c r="U136" s="227" t="s">
        <v>2628</v>
      </c>
      <c r="V136" s="75"/>
      <c r="W136" s="75"/>
      <c r="X136" s="166"/>
      <c r="Y136" s="166"/>
      <c r="Z136" s="167"/>
      <c r="AA136" s="167"/>
    </row>
    <row r="137" spans="1:27">
      <c r="A137" s="162"/>
      <c r="B137" s="187"/>
      <c r="C137" s="132" t="s">
        <v>2623</v>
      </c>
      <c r="D137" s="66" t="s">
        <v>104</v>
      </c>
      <c r="E137" s="66" t="s">
        <v>486</v>
      </c>
      <c r="F137" s="66" t="s">
        <v>241</v>
      </c>
      <c r="G137" s="66" t="s">
        <v>49</v>
      </c>
      <c r="H137" s="69" t="s">
        <v>30</v>
      </c>
      <c r="I137" s="53">
        <v>10</v>
      </c>
      <c r="J137" s="70">
        <v>550</v>
      </c>
      <c r="K137" s="54">
        <f t="shared" si="1"/>
        <v>5500</v>
      </c>
      <c r="L137" s="55" t="b">
        <v>1</v>
      </c>
      <c r="M137" s="56">
        <v>201120241551</v>
      </c>
      <c r="N137" s="57" t="b">
        <v>1</v>
      </c>
      <c r="O137" s="58"/>
      <c r="P137" s="222">
        <v>45616</v>
      </c>
      <c r="Q137" s="59" t="b">
        <v>1</v>
      </c>
      <c r="R137" s="129"/>
      <c r="S137" s="165"/>
      <c r="T137" s="47" t="b">
        <v>1</v>
      </c>
      <c r="U137" s="227" t="s">
        <v>2626</v>
      </c>
      <c r="V137" s="75"/>
      <c r="W137" s="75"/>
      <c r="X137" s="166"/>
      <c r="Y137" s="166"/>
      <c r="Z137" s="167"/>
      <c r="AA137" s="167"/>
    </row>
    <row r="138" spans="1:27">
      <c r="A138" s="162"/>
      <c r="B138" s="187"/>
      <c r="C138" s="132" t="s">
        <v>2623</v>
      </c>
      <c r="D138" s="66" t="s">
        <v>104</v>
      </c>
      <c r="E138" s="66" t="s">
        <v>486</v>
      </c>
      <c r="F138" s="66" t="s">
        <v>241</v>
      </c>
      <c r="G138" s="66" t="s">
        <v>68</v>
      </c>
      <c r="H138" s="69" t="s">
        <v>30</v>
      </c>
      <c r="I138" s="53">
        <v>1</v>
      </c>
      <c r="J138" s="70">
        <v>2350</v>
      </c>
      <c r="K138" s="54">
        <f t="shared" si="1"/>
        <v>2350</v>
      </c>
      <c r="L138" s="55" t="b">
        <v>1</v>
      </c>
      <c r="M138" s="56">
        <v>201120241551</v>
      </c>
      <c r="N138" s="57" t="b">
        <v>1</v>
      </c>
      <c r="O138" s="58" t="s">
        <v>2356</v>
      </c>
      <c r="P138" s="215"/>
      <c r="Q138" s="59" t="b">
        <v>1</v>
      </c>
      <c r="R138" s="129"/>
      <c r="S138" s="165"/>
      <c r="T138" s="47" t="b">
        <v>1</v>
      </c>
      <c r="U138" s="227" t="s">
        <v>2626</v>
      </c>
      <c r="V138" s="75"/>
      <c r="W138" s="75"/>
      <c r="X138" s="166"/>
      <c r="Y138" s="166"/>
      <c r="Z138" s="167"/>
      <c r="AA138" s="167"/>
    </row>
    <row r="139" spans="1:27">
      <c r="A139" s="162"/>
      <c r="B139" s="187"/>
      <c r="C139" s="132" t="s">
        <v>2623</v>
      </c>
      <c r="D139" s="66" t="s">
        <v>104</v>
      </c>
      <c r="E139" s="66" t="s">
        <v>2629</v>
      </c>
      <c r="F139" s="66" t="s">
        <v>674</v>
      </c>
      <c r="G139" s="66" t="s">
        <v>49</v>
      </c>
      <c r="H139" s="69" t="s">
        <v>30</v>
      </c>
      <c r="I139" s="66">
        <v>10</v>
      </c>
      <c r="J139" s="70">
        <v>550</v>
      </c>
      <c r="K139" s="75">
        <f t="shared" si="1"/>
        <v>5500</v>
      </c>
      <c r="L139" s="55" t="b">
        <v>1</v>
      </c>
      <c r="M139" s="154">
        <v>201120241716</v>
      </c>
      <c r="N139" s="57" t="b">
        <v>1</v>
      </c>
      <c r="O139" s="58" t="s">
        <v>2356</v>
      </c>
      <c r="P139" s="222">
        <v>45617</v>
      </c>
      <c r="Q139" s="59" t="b">
        <v>1</v>
      </c>
      <c r="R139" s="164"/>
      <c r="S139" s="165"/>
      <c r="T139" s="47" t="b">
        <v>1</v>
      </c>
      <c r="U139" s="227" t="s">
        <v>2630</v>
      </c>
      <c r="V139" s="75"/>
      <c r="W139" s="75"/>
      <c r="X139" s="166"/>
      <c r="Y139" s="166"/>
      <c r="Z139" s="167"/>
      <c r="AA139" s="167"/>
    </row>
    <row r="140" spans="1:27">
      <c r="A140" s="162"/>
      <c r="B140" s="187"/>
      <c r="C140" s="132" t="s">
        <v>2623</v>
      </c>
      <c r="D140" s="66" t="s">
        <v>26</v>
      </c>
      <c r="E140" s="66" t="s">
        <v>27</v>
      </c>
      <c r="F140" s="66" t="s">
        <v>1273</v>
      </c>
      <c r="G140" s="66" t="s">
        <v>49</v>
      </c>
      <c r="H140" s="69" t="s">
        <v>30</v>
      </c>
      <c r="I140" s="66">
        <v>10</v>
      </c>
      <c r="J140" s="70">
        <v>550</v>
      </c>
      <c r="K140" s="75">
        <f t="shared" si="1"/>
        <v>5500</v>
      </c>
      <c r="L140" s="55" t="b">
        <v>1</v>
      </c>
      <c r="M140" s="154">
        <v>201120241719</v>
      </c>
      <c r="N140" s="57" t="b">
        <v>1</v>
      </c>
      <c r="O140" s="58" t="s">
        <v>2356</v>
      </c>
      <c r="P140" s="222">
        <v>45617</v>
      </c>
      <c r="Q140" s="59" t="b">
        <v>1</v>
      </c>
      <c r="R140" s="164"/>
      <c r="S140" s="165"/>
      <c r="T140" s="47" t="b">
        <v>1</v>
      </c>
      <c r="U140" s="227" t="s">
        <v>2631</v>
      </c>
      <c r="V140" s="75"/>
      <c r="W140" s="75"/>
      <c r="X140" s="166"/>
      <c r="Y140" s="166"/>
      <c r="Z140" s="167"/>
      <c r="AA140" s="167"/>
    </row>
    <row r="141" spans="1:27">
      <c r="A141" s="162"/>
      <c r="B141" s="187"/>
      <c r="C141" s="132" t="s">
        <v>2623</v>
      </c>
      <c r="D141" s="66" t="s">
        <v>104</v>
      </c>
      <c r="E141" s="66" t="s">
        <v>974</v>
      </c>
      <c r="F141" s="66" t="s">
        <v>975</v>
      </c>
      <c r="G141" s="66" t="s">
        <v>2206</v>
      </c>
      <c r="H141" s="69" t="s">
        <v>30</v>
      </c>
      <c r="I141" s="66">
        <v>20</v>
      </c>
      <c r="J141" s="70">
        <v>550</v>
      </c>
      <c r="K141" s="75">
        <f t="shared" si="1"/>
        <v>11000</v>
      </c>
      <c r="L141" s="55" t="b">
        <v>1</v>
      </c>
      <c r="M141" s="154">
        <v>201120241806</v>
      </c>
      <c r="N141" s="57" t="b">
        <v>1</v>
      </c>
      <c r="O141" s="58" t="s">
        <v>2356</v>
      </c>
      <c r="P141" s="222">
        <v>45617</v>
      </c>
      <c r="Q141" s="59" t="b">
        <v>1</v>
      </c>
      <c r="R141" s="164"/>
      <c r="S141" s="165"/>
      <c r="T141" s="47" t="b">
        <v>1</v>
      </c>
      <c r="U141" s="227" t="s">
        <v>2632</v>
      </c>
      <c r="V141" s="75"/>
      <c r="W141" s="75"/>
      <c r="X141" s="166"/>
      <c r="Y141" s="166"/>
      <c r="Z141" s="167"/>
      <c r="AA141" s="167"/>
    </row>
    <row r="142" spans="1:27">
      <c r="A142" s="162"/>
      <c r="B142" s="187"/>
      <c r="C142" s="132" t="s">
        <v>2623</v>
      </c>
      <c r="D142" s="66" t="s">
        <v>104</v>
      </c>
      <c r="E142" s="66" t="s">
        <v>974</v>
      </c>
      <c r="F142" s="66" t="s">
        <v>975</v>
      </c>
      <c r="G142" s="66" t="s">
        <v>83</v>
      </c>
      <c r="H142" s="69" t="s">
        <v>30</v>
      </c>
      <c r="I142" s="53">
        <v>2000</v>
      </c>
      <c r="J142" s="70">
        <v>1.5</v>
      </c>
      <c r="K142" s="54">
        <f t="shared" si="1"/>
        <v>3000</v>
      </c>
      <c r="L142" s="55" t="b">
        <v>1</v>
      </c>
      <c r="M142" s="56">
        <v>201120241806</v>
      </c>
      <c r="N142" s="57" t="b">
        <v>1</v>
      </c>
      <c r="O142" s="58"/>
      <c r="P142" s="215"/>
      <c r="Q142" s="59" t="b">
        <v>1</v>
      </c>
      <c r="R142" s="129"/>
      <c r="S142" s="165"/>
      <c r="T142" s="47" t="b">
        <v>1</v>
      </c>
      <c r="U142" s="227" t="s">
        <v>2632</v>
      </c>
      <c r="V142" s="75"/>
      <c r="W142" s="75"/>
      <c r="X142" s="166"/>
      <c r="Y142" s="166"/>
      <c r="Z142" s="167"/>
      <c r="AA142" s="167"/>
    </row>
    <row r="143" spans="1:27">
      <c r="A143" s="162"/>
      <c r="B143" s="187"/>
      <c r="C143" s="132" t="s">
        <v>2623</v>
      </c>
      <c r="D143" s="66" t="s">
        <v>51</v>
      </c>
      <c r="E143" s="66" t="s">
        <v>66</v>
      </c>
      <c r="F143" s="66" t="s">
        <v>67</v>
      </c>
      <c r="G143" s="66" t="s">
        <v>300</v>
      </c>
      <c r="H143" s="69" t="s">
        <v>30</v>
      </c>
      <c r="I143" s="53">
        <v>30</v>
      </c>
      <c r="J143" s="70">
        <v>115</v>
      </c>
      <c r="K143" s="54">
        <f t="shared" si="1"/>
        <v>3450</v>
      </c>
      <c r="L143" s="55" t="b">
        <v>1</v>
      </c>
      <c r="M143" s="56">
        <v>201120241920</v>
      </c>
      <c r="N143" s="57" t="b">
        <v>1</v>
      </c>
      <c r="O143" s="58"/>
      <c r="P143" s="215"/>
      <c r="Q143" s="59" t="b">
        <v>1</v>
      </c>
      <c r="R143" s="129"/>
      <c r="S143" s="165"/>
      <c r="T143" s="47" t="b">
        <v>1</v>
      </c>
      <c r="U143" s="227" t="s">
        <v>2633</v>
      </c>
      <c r="V143" s="75"/>
      <c r="W143" s="75"/>
      <c r="X143" s="166"/>
      <c r="Y143" s="166"/>
      <c r="Z143" s="167"/>
      <c r="AA143" s="167"/>
    </row>
    <row r="144" spans="1:27">
      <c r="A144" s="162"/>
      <c r="B144" s="187"/>
      <c r="C144" s="132" t="s">
        <v>2623</v>
      </c>
      <c r="D144" s="66" t="s">
        <v>104</v>
      </c>
      <c r="E144" s="66" t="s">
        <v>486</v>
      </c>
      <c r="F144" s="66" t="s">
        <v>241</v>
      </c>
      <c r="G144" s="66" t="s">
        <v>2570</v>
      </c>
      <c r="H144" s="69" t="s">
        <v>30</v>
      </c>
      <c r="I144" s="53">
        <v>20</v>
      </c>
      <c r="J144" s="70">
        <v>155</v>
      </c>
      <c r="K144" s="54">
        <f t="shared" si="1"/>
        <v>3100</v>
      </c>
      <c r="L144" s="55" t="b">
        <v>1</v>
      </c>
      <c r="M144" s="56">
        <v>201120241924</v>
      </c>
      <c r="N144" s="57" t="b">
        <v>1</v>
      </c>
      <c r="O144" s="58" t="s">
        <v>2356</v>
      </c>
      <c r="P144" s="222">
        <v>45621</v>
      </c>
      <c r="Q144" s="59" t="b">
        <v>1</v>
      </c>
      <c r="R144" s="129"/>
      <c r="S144" s="165"/>
      <c r="T144" s="47" t="b">
        <v>1</v>
      </c>
      <c r="U144" s="227" t="s">
        <v>2634</v>
      </c>
      <c r="V144" s="75"/>
      <c r="W144" s="75"/>
      <c r="X144" s="166"/>
      <c r="Y144" s="166"/>
      <c r="Z144" s="167"/>
      <c r="AA144" s="167"/>
    </row>
    <row r="145" spans="1:27">
      <c r="A145" s="162"/>
      <c r="B145" s="187"/>
      <c r="C145" s="132" t="s">
        <v>2623</v>
      </c>
      <c r="D145" s="66" t="s">
        <v>104</v>
      </c>
      <c r="E145" s="66" t="s">
        <v>486</v>
      </c>
      <c r="F145" s="66" t="s">
        <v>241</v>
      </c>
      <c r="G145" s="66" t="s">
        <v>2635</v>
      </c>
      <c r="H145" s="69" t="s">
        <v>30</v>
      </c>
      <c r="I145" s="53">
        <v>40</v>
      </c>
      <c r="J145" s="70">
        <v>39</v>
      </c>
      <c r="K145" s="54">
        <f t="shared" si="1"/>
        <v>1560</v>
      </c>
      <c r="L145" s="55" t="b">
        <v>1</v>
      </c>
      <c r="M145" s="56">
        <v>201120241924</v>
      </c>
      <c r="N145" s="57" t="b">
        <v>1</v>
      </c>
      <c r="O145" s="58"/>
      <c r="P145" s="215"/>
      <c r="Q145" s="59" t="b">
        <v>1</v>
      </c>
      <c r="R145" s="129"/>
      <c r="S145" s="165"/>
      <c r="T145" s="47" t="b">
        <v>1</v>
      </c>
      <c r="U145" s="227" t="s">
        <v>2634</v>
      </c>
      <c r="V145" s="75"/>
      <c r="W145" s="75"/>
      <c r="X145" s="166"/>
      <c r="Y145" s="166"/>
      <c r="Z145" s="167"/>
      <c r="AA145" s="167"/>
    </row>
    <row r="146" spans="1:27">
      <c r="A146" s="162"/>
      <c r="B146" s="187"/>
      <c r="C146" s="132" t="s">
        <v>2623</v>
      </c>
      <c r="D146" s="66" t="s">
        <v>104</v>
      </c>
      <c r="E146" s="66" t="s">
        <v>486</v>
      </c>
      <c r="F146" s="66" t="s">
        <v>241</v>
      </c>
      <c r="G146" s="66" t="s">
        <v>2636</v>
      </c>
      <c r="H146" s="69" t="s">
        <v>30</v>
      </c>
      <c r="I146" s="53">
        <v>300</v>
      </c>
      <c r="J146" s="70">
        <v>7</v>
      </c>
      <c r="K146" s="54">
        <v>2100</v>
      </c>
      <c r="L146" s="55" t="b">
        <v>1</v>
      </c>
      <c r="M146" s="56">
        <v>201120241924</v>
      </c>
      <c r="N146" s="57" t="b">
        <v>1</v>
      </c>
      <c r="O146" s="58" t="s">
        <v>2356</v>
      </c>
      <c r="P146" s="215"/>
      <c r="Q146" s="59" t="b">
        <v>1</v>
      </c>
      <c r="R146" s="129"/>
      <c r="S146" s="165"/>
      <c r="T146" s="47" t="b">
        <v>1</v>
      </c>
      <c r="U146" s="227" t="s">
        <v>2637</v>
      </c>
      <c r="V146" s="75"/>
      <c r="W146" s="75"/>
      <c r="X146" s="166"/>
      <c r="Y146" s="166"/>
      <c r="Z146" s="167"/>
      <c r="AA146" s="167"/>
    </row>
    <row r="147" spans="1:27">
      <c r="A147" s="162"/>
      <c r="B147" s="187"/>
      <c r="C147" s="132" t="s">
        <v>2623</v>
      </c>
      <c r="D147" s="66" t="s">
        <v>51</v>
      </c>
      <c r="E147" s="66" t="s">
        <v>335</v>
      </c>
      <c r="F147" s="66" t="s">
        <v>457</v>
      </c>
      <c r="G147" s="66" t="s">
        <v>2638</v>
      </c>
      <c r="H147" s="69" t="s">
        <v>30</v>
      </c>
      <c r="I147" s="53">
        <v>1</v>
      </c>
      <c r="J147" s="70">
        <v>2750</v>
      </c>
      <c r="K147" s="54">
        <f t="shared" ref="K147:K223" si="2">I147*J147</f>
        <v>2750</v>
      </c>
      <c r="L147" s="55" t="b">
        <v>1</v>
      </c>
      <c r="M147" s="56">
        <v>201120241924</v>
      </c>
      <c r="N147" s="57" t="b">
        <v>1</v>
      </c>
      <c r="O147" s="58"/>
      <c r="P147" s="215"/>
      <c r="Q147" s="59" t="b">
        <v>1</v>
      </c>
      <c r="R147" s="129"/>
      <c r="S147" s="165"/>
      <c r="T147" s="47" t="b">
        <v>1</v>
      </c>
      <c r="U147" s="227" t="s">
        <v>2639</v>
      </c>
      <c r="V147" s="75"/>
      <c r="W147" s="75"/>
      <c r="X147" s="166"/>
      <c r="Y147" s="166"/>
      <c r="Z147" s="167"/>
      <c r="AA147" s="167"/>
    </row>
    <row r="148" spans="1:27">
      <c r="A148" s="162"/>
      <c r="B148" s="187"/>
      <c r="C148" s="132" t="s">
        <v>2640</v>
      </c>
      <c r="D148" s="66" t="s">
        <v>93</v>
      </c>
      <c r="E148" s="66" t="s">
        <v>137</v>
      </c>
      <c r="F148" s="66" t="s">
        <v>268</v>
      </c>
      <c r="G148" s="66" t="s">
        <v>2641</v>
      </c>
      <c r="H148" s="69" t="s">
        <v>30</v>
      </c>
      <c r="I148" s="53">
        <v>1</v>
      </c>
      <c r="J148" s="70">
        <v>390</v>
      </c>
      <c r="K148" s="54">
        <f t="shared" si="2"/>
        <v>390</v>
      </c>
      <c r="L148" s="55" t="b">
        <v>1</v>
      </c>
      <c r="M148" s="56">
        <v>211120241229</v>
      </c>
      <c r="N148" s="57" t="b">
        <v>1</v>
      </c>
      <c r="O148" s="58" t="s">
        <v>31</v>
      </c>
      <c r="P148" s="215"/>
      <c r="Q148" s="59" t="b">
        <v>1</v>
      </c>
      <c r="R148" s="129"/>
      <c r="S148" s="165"/>
      <c r="T148" s="47" t="b">
        <v>1</v>
      </c>
      <c r="U148" s="227" t="s">
        <v>2642</v>
      </c>
      <c r="V148" s="75"/>
      <c r="W148" s="75"/>
      <c r="X148" s="166"/>
      <c r="Y148" s="166"/>
      <c r="Z148" s="167"/>
      <c r="AA148" s="167"/>
    </row>
    <row r="149" spans="1:27">
      <c r="A149" s="162"/>
      <c r="B149" s="187"/>
      <c r="C149" s="132" t="s">
        <v>2640</v>
      </c>
      <c r="D149" s="66" t="s">
        <v>523</v>
      </c>
      <c r="E149" s="66" t="s">
        <v>523</v>
      </c>
      <c r="F149" s="66" t="s">
        <v>2048</v>
      </c>
      <c r="G149" s="66" t="s">
        <v>68</v>
      </c>
      <c r="H149" s="69" t="s">
        <v>30</v>
      </c>
      <c r="I149" s="53">
        <v>1</v>
      </c>
      <c r="J149" s="70">
        <v>2350</v>
      </c>
      <c r="K149" s="54">
        <f t="shared" si="2"/>
        <v>2350</v>
      </c>
      <c r="L149" s="55" t="b">
        <v>1</v>
      </c>
      <c r="M149" s="56">
        <v>211120241408</v>
      </c>
      <c r="N149" s="57" t="b">
        <v>1</v>
      </c>
      <c r="O149" s="58"/>
      <c r="P149" s="215"/>
      <c r="Q149" s="59" t="b">
        <v>1</v>
      </c>
      <c r="R149" s="129"/>
      <c r="S149" s="165"/>
      <c r="T149" s="47" t="b">
        <v>1</v>
      </c>
      <c r="U149" s="227" t="s">
        <v>2643</v>
      </c>
      <c r="V149" s="75"/>
      <c r="W149" s="75"/>
      <c r="X149" s="166"/>
      <c r="Y149" s="166"/>
      <c r="Z149" s="167"/>
      <c r="AA149" s="167"/>
    </row>
    <row r="150" spans="1:27">
      <c r="A150" s="162"/>
      <c r="B150" s="187"/>
      <c r="C150" s="132" t="s">
        <v>2644</v>
      </c>
      <c r="D150" s="66" t="s">
        <v>397</v>
      </c>
      <c r="E150" s="66" t="s">
        <v>213</v>
      </c>
      <c r="F150" s="66" t="s">
        <v>859</v>
      </c>
      <c r="G150" s="66" t="s">
        <v>639</v>
      </c>
      <c r="H150" s="69" t="s">
        <v>30</v>
      </c>
      <c r="I150" s="53">
        <v>24</v>
      </c>
      <c r="J150" s="70">
        <v>218</v>
      </c>
      <c r="K150" s="54">
        <f t="shared" si="2"/>
        <v>5232</v>
      </c>
      <c r="L150" s="55" t="b">
        <v>1</v>
      </c>
      <c r="M150" s="56">
        <v>221120241508</v>
      </c>
      <c r="N150" s="57" t="b">
        <v>1</v>
      </c>
      <c r="O150" s="58"/>
      <c r="P150" s="222">
        <v>45618</v>
      </c>
      <c r="Q150" s="59" t="b">
        <v>1</v>
      </c>
      <c r="R150" s="129"/>
      <c r="S150" s="165"/>
      <c r="T150" s="47" t="b">
        <v>1</v>
      </c>
      <c r="U150" s="227" t="s">
        <v>2645</v>
      </c>
      <c r="V150" s="75"/>
      <c r="W150" s="75"/>
      <c r="X150" s="166"/>
      <c r="Y150" s="166"/>
      <c r="Z150" s="167"/>
      <c r="AA150" s="167"/>
    </row>
    <row r="151" spans="1:27">
      <c r="A151" s="162"/>
      <c r="B151" s="187"/>
      <c r="C151" s="132" t="s">
        <v>2644</v>
      </c>
      <c r="D151" s="66" t="s">
        <v>397</v>
      </c>
      <c r="E151" s="66" t="s">
        <v>213</v>
      </c>
      <c r="F151" s="66" t="s">
        <v>859</v>
      </c>
      <c r="G151" s="66" t="s">
        <v>2646</v>
      </c>
      <c r="H151" s="69" t="s">
        <v>30</v>
      </c>
      <c r="I151" s="53">
        <v>10</v>
      </c>
      <c r="J151" s="70">
        <v>550</v>
      </c>
      <c r="K151" s="54">
        <f t="shared" si="2"/>
        <v>5500</v>
      </c>
      <c r="L151" s="55" t="b">
        <v>1</v>
      </c>
      <c r="M151" s="56">
        <v>221120241508</v>
      </c>
      <c r="N151" s="57" t="b">
        <v>1</v>
      </c>
      <c r="O151" s="58"/>
      <c r="P151" s="222">
        <v>45618</v>
      </c>
      <c r="Q151" s="59" t="b">
        <v>1</v>
      </c>
      <c r="R151" s="129"/>
      <c r="S151" s="165"/>
      <c r="T151" s="47" t="b">
        <v>1</v>
      </c>
      <c r="U151" s="227" t="s">
        <v>2645</v>
      </c>
      <c r="V151" s="75"/>
      <c r="W151" s="75"/>
      <c r="X151" s="166"/>
      <c r="Y151" s="166"/>
      <c r="Z151" s="167"/>
      <c r="AA151" s="167"/>
    </row>
    <row r="152" spans="1:27">
      <c r="A152" s="162"/>
      <c r="B152" s="187"/>
      <c r="C152" s="132" t="s">
        <v>2644</v>
      </c>
      <c r="D152" s="66" t="s">
        <v>98</v>
      </c>
      <c r="E152" s="66" t="s">
        <v>2296</v>
      </c>
      <c r="F152" s="66" t="s">
        <v>2647</v>
      </c>
      <c r="G152" s="66" t="s">
        <v>2595</v>
      </c>
      <c r="H152" s="69" t="s">
        <v>30</v>
      </c>
      <c r="I152" s="53">
        <v>50</v>
      </c>
      <c r="J152" s="70">
        <v>220</v>
      </c>
      <c r="K152" s="54">
        <f t="shared" si="2"/>
        <v>11000</v>
      </c>
      <c r="L152" s="55" t="b">
        <v>1</v>
      </c>
      <c r="M152" s="56">
        <v>221120241809</v>
      </c>
      <c r="N152" s="57" t="b">
        <v>1</v>
      </c>
      <c r="O152" s="58" t="s">
        <v>2356</v>
      </c>
      <c r="P152" s="222">
        <v>45618</v>
      </c>
      <c r="Q152" s="59" t="b">
        <v>1</v>
      </c>
      <c r="R152" s="129"/>
      <c r="S152" s="165"/>
      <c r="T152" s="47" t="b">
        <v>1</v>
      </c>
      <c r="U152" s="227" t="s">
        <v>2648</v>
      </c>
      <c r="V152" s="75"/>
      <c r="W152" s="75"/>
      <c r="X152" s="166"/>
      <c r="Y152" s="166"/>
      <c r="Z152" s="167"/>
      <c r="AA152" s="167"/>
    </row>
    <row r="153" spans="1:27">
      <c r="A153" s="162"/>
      <c r="B153" s="187"/>
      <c r="C153" s="132" t="s">
        <v>2644</v>
      </c>
      <c r="D153" s="66" t="s">
        <v>212</v>
      </c>
      <c r="E153" s="66" t="s">
        <v>213</v>
      </c>
      <c r="F153" s="66" t="s">
        <v>214</v>
      </c>
      <c r="G153" s="66" t="s">
        <v>2595</v>
      </c>
      <c r="H153" s="69" t="s">
        <v>30</v>
      </c>
      <c r="I153" s="53">
        <v>50</v>
      </c>
      <c r="J153" s="70">
        <v>210</v>
      </c>
      <c r="K153" s="54">
        <f t="shared" si="2"/>
        <v>10500</v>
      </c>
      <c r="L153" s="55" t="b">
        <v>1</v>
      </c>
      <c r="M153" s="56">
        <v>221120241809</v>
      </c>
      <c r="N153" s="57" t="b">
        <v>1</v>
      </c>
      <c r="O153" s="58" t="s">
        <v>2356</v>
      </c>
      <c r="P153" s="222">
        <v>45618</v>
      </c>
      <c r="Q153" s="59" t="b">
        <v>1</v>
      </c>
      <c r="R153" s="129"/>
      <c r="S153" s="165"/>
      <c r="T153" s="47" t="b">
        <v>1</v>
      </c>
      <c r="U153" s="227" t="s">
        <v>2649</v>
      </c>
      <c r="V153" s="75"/>
      <c r="W153" s="75"/>
      <c r="X153" s="166"/>
      <c r="Y153" s="166"/>
      <c r="Z153" s="167"/>
      <c r="AA153" s="167"/>
    </row>
    <row r="154" spans="1:27">
      <c r="A154" s="162"/>
      <c r="B154" s="187"/>
      <c r="C154" s="132" t="s">
        <v>2644</v>
      </c>
      <c r="D154" s="66" t="s">
        <v>51</v>
      </c>
      <c r="E154" s="66" t="s">
        <v>335</v>
      </c>
      <c r="F154" s="66" t="s">
        <v>339</v>
      </c>
      <c r="G154" s="66" t="s">
        <v>2650</v>
      </c>
      <c r="H154" s="69" t="s">
        <v>30</v>
      </c>
      <c r="I154" s="53">
        <v>2</v>
      </c>
      <c r="J154" s="70">
        <v>4250</v>
      </c>
      <c r="K154" s="54">
        <f t="shared" si="2"/>
        <v>8500</v>
      </c>
      <c r="L154" s="55" t="b">
        <v>1</v>
      </c>
      <c r="M154" s="56">
        <v>221120241809</v>
      </c>
      <c r="N154" s="57" t="b">
        <v>1</v>
      </c>
      <c r="O154" s="58" t="s">
        <v>39</v>
      </c>
      <c r="P154" s="222">
        <v>45618</v>
      </c>
      <c r="Q154" s="59" t="b">
        <v>1</v>
      </c>
      <c r="R154" s="129" t="s">
        <v>1804</v>
      </c>
      <c r="S154" s="165"/>
      <c r="T154" s="47" t="b">
        <v>1</v>
      </c>
      <c r="U154" s="227" t="s">
        <v>2651</v>
      </c>
      <c r="V154" s="75"/>
      <c r="W154" s="75"/>
      <c r="X154" s="166"/>
      <c r="Y154" s="166"/>
      <c r="Z154" s="167"/>
      <c r="AA154" s="167"/>
    </row>
    <row r="155" spans="1:27">
      <c r="A155" s="162"/>
      <c r="B155" s="187"/>
      <c r="C155" s="132" t="s">
        <v>2644</v>
      </c>
      <c r="D155" s="66" t="s">
        <v>51</v>
      </c>
      <c r="E155" s="66" t="s">
        <v>335</v>
      </c>
      <c r="F155" s="66" t="s">
        <v>339</v>
      </c>
      <c r="G155" s="66" t="s">
        <v>2652</v>
      </c>
      <c r="H155" s="69" t="s">
        <v>30</v>
      </c>
      <c r="I155" s="53">
        <v>60</v>
      </c>
      <c r="J155" s="70">
        <v>42.5</v>
      </c>
      <c r="K155" s="54">
        <f t="shared" si="2"/>
        <v>2550</v>
      </c>
      <c r="L155" s="55" t="b">
        <v>1</v>
      </c>
      <c r="M155" s="56">
        <v>221120241809</v>
      </c>
      <c r="N155" s="57" t="b">
        <v>1</v>
      </c>
      <c r="O155" s="58" t="s">
        <v>39</v>
      </c>
      <c r="P155" s="222">
        <v>45618</v>
      </c>
      <c r="Q155" s="59" t="b">
        <v>1</v>
      </c>
      <c r="R155" s="129" t="s">
        <v>2481</v>
      </c>
      <c r="S155" s="165"/>
      <c r="T155" s="47" t="b">
        <v>1</v>
      </c>
      <c r="U155" s="227" t="s">
        <v>2651</v>
      </c>
      <c r="V155" s="75"/>
      <c r="W155" s="75"/>
      <c r="X155" s="166"/>
      <c r="Y155" s="166"/>
      <c r="Z155" s="167"/>
      <c r="AA155" s="167"/>
    </row>
    <row r="156" spans="1:27">
      <c r="A156" s="162"/>
      <c r="B156" s="187"/>
      <c r="C156" s="132" t="s">
        <v>2644</v>
      </c>
      <c r="D156" s="66" t="s">
        <v>51</v>
      </c>
      <c r="E156" s="66" t="s">
        <v>52</v>
      </c>
      <c r="F156" s="66" t="s">
        <v>2653</v>
      </c>
      <c r="G156" s="66" t="s">
        <v>2654</v>
      </c>
      <c r="H156" s="69" t="s">
        <v>30</v>
      </c>
      <c r="I156" s="53">
        <v>1</v>
      </c>
      <c r="J156" s="70">
        <v>390</v>
      </c>
      <c r="K156" s="54">
        <f t="shared" si="2"/>
        <v>390</v>
      </c>
      <c r="L156" s="55" t="b">
        <v>1</v>
      </c>
      <c r="M156" s="56">
        <v>221120241809</v>
      </c>
      <c r="N156" s="57" t="b">
        <v>1</v>
      </c>
      <c r="O156" s="58" t="s">
        <v>31</v>
      </c>
      <c r="P156" s="215"/>
      <c r="Q156" s="59" t="b">
        <v>1</v>
      </c>
      <c r="R156" s="129"/>
      <c r="S156" s="165"/>
      <c r="T156" s="47" t="b">
        <v>1</v>
      </c>
      <c r="U156" s="227" t="s">
        <v>2655</v>
      </c>
      <c r="V156" s="75"/>
      <c r="W156" s="75"/>
      <c r="X156" s="166"/>
      <c r="Y156" s="166"/>
      <c r="Z156" s="167"/>
      <c r="AA156" s="167"/>
    </row>
    <row r="157" spans="1:27">
      <c r="A157" s="162"/>
      <c r="B157" s="187"/>
      <c r="C157" s="132" t="s">
        <v>2644</v>
      </c>
      <c r="D157" s="66" t="s">
        <v>51</v>
      </c>
      <c r="E157" s="66" t="s">
        <v>52</v>
      </c>
      <c r="F157" s="66" t="s">
        <v>2653</v>
      </c>
      <c r="G157" s="66" t="s">
        <v>2656</v>
      </c>
      <c r="H157" s="69" t="s">
        <v>30</v>
      </c>
      <c r="I157" s="53">
        <v>1</v>
      </c>
      <c r="J157" s="70">
        <v>390</v>
      </c>
      <c r="K157" s="54">
        <f t="shared" si="2"/>
        <v>390</v>
      </c>
      <c r="L157" s="55" t="b">
        <v>1</v>
      </c>
      <c r="M157" s="56">
        <v>221120241809</v>
      </c>
      <c r="N157" s="57" t="b">
        <v>1</v>
      </c>
      <c r="O157" s="58" t="s">
        <v>31</v>
      </c>
      <c r="P157" s="215"/>
      <c r="Q157" s="59" t="b">
        <v>1</v>
      </c>
      <c r="R157" s="129"/>
      <c r="S157" s="165"/>
      <c r="T157" s="47" t="b">
        <v>1</v>
      </c>
      <c r="U157" s="227" t="s">
        <v>2655</v>
      </c>
      <c r="V157" s="75"/>
      <c r="W157" s="75"/>
      <c r="X157" s="166"/>
      <c r="Y157" s="166"/>
      <c r="Z157" s="167"/>
      <c r="AA157" s="167"/>
    </row>
    <row r="158" spans="1:27">
      <c r="A158" s="162"/>
      <c r="B158" s="187"/>
      <c r="C158" s="132" t="s">
        <v>2644</v>
      </c>
      <c r="D158" s="66" t="s">
        <v>51</v>
      </c>
      <c r="E158" s="66" t="s">
        <v>52</v>
      </c>
      <c r="F158" s="66" t="s">
        <v>2653</v>
      </c>
      <c r="G158" s="66" t="s">
        <v>2657</v>
      </c>
      <c r="H158" s="69" t="s">
        <v>30</v>
      </c>
      <c r="I158" s="53">
        <v>1</v>
      </c>
      <c r="J158" s="70">
        <v>875</v>
      </c>
      <c r="K158" s="54">
        <f t="shared" si="2"/>
        <v>875</v>
      </c>
      <c r="L158" s="55" t="b">
        <v>1</v>
      </c>
      <c r="M158" s="56">
        <v>221120241809</v>
      </c>
      <c r="N158" s="57" t="b">
        <v>1</v>
      </c>
      <c r="O158" s="58" t="s">
        <v>39</v>
      </c>
      <c r="P158" s="215"/>
      <c r="Q158" s="59" t="b">
        <v>1</v>
      </c>
      <c r="R158" s="129"/>
      <c r="S158" s="165"/>
      <c r="T158" s="47" t="b">
        <v>1</v>
      </c>
      <c r="U158" s="227" t="s">
        <v>2658</v>
      </c>
      <c r="V158" s="75"/>
      <c r="W158" s="75"/>
      <c r="X158" s="166"/>
      <c r="Y158" s="166"/>
      <c r="Z158" s="167"/>
      <c r="AA158" s="167"/>
    </row>
    <row r="159" spans="1:27">
      <c r="A159" s="162"/>
      <c r="B159" s="187"/>
      <c r="C159" s="132" t="s">
        <v>2644</v>
      </c>
      <c r="D159" s="66" t="s">
        <v>104</v>
      </c>
      <c r="E159" s="66" t="s">
        <v>486</v>
      </c>
      <c r="F159" s="66" t="s">
        <v>241</v>
      </c>
      <c r="G159" s="66" t="s">
        <v>1171</v>
      </c>
      <c r="H159" s="69" t="s">
        <v>30</v>
      </c>
      <c r="I159" s="53">
        <v>10</v>
      </c>
      <c r="J159" s="70">
        <v>1495</v>
      </c>
      <c r="K159" s="54">
        <f t="shared" si="2"/>
        <v>14950</v>
      </c>
      <c r="L159" s="55" t="b">
        <v>1</v>
      </c>
      <c r="M159" s="56">
        <v>221120241902</v>
      </c>
      <c r="N159" s="57" t="b">
        <v>1</v>
      </c>
      <c r="O159" s="58"/>
      <c r="P159" s="215"/>
      <c r="Q159" s="59" t="b">
        <v>1</v>
      </c>
      <c r="R159" s="129"/>
      <c r="S159" s="165"/>
      <c r="T159" s="47" t="b">
        <v>1</v>
      </c>
      <c r="U159" s="227" t="s">
        <v>2628</v>
      </c>
      <c r="V159" s="75"/>
      <c r="W159" s="75"/>
      <c r="X159" s="166"/>
      <c r="Y159" s="166"/>
      <c r="Z159" s="167"/>
      <c r="AA159" s="167"/>
    </row>
    <row r="160" spans="1:27">
      <c r="A160" s="162"/>
      <c r="B160" s="187"/>
      <c r="C160" s="132" t="s">
        <v>2644</v>
      </c>
      <c r="D160" s="66" t="s">
        <v>263</v>
      </c>
      <c r="E160" s="66" t="s">
        <v>248</v>
      </c>
      <c r="F160" s="66" t="s">
        <v>2514</v>
      </c>
      <c r="G160" s="66" t="s">
        <v>1952</v>
      </c>
      <c r="H160" s="69" t="s">
        <v>30</v>
      </c>
      <c r="I160" s="53">
        <v>30</v>
      </c>
      <c r="J160" s="70">
        <v>550</v>
      </c>
      <c r="K160" s="54">
        <f t="shared" si="2"/>
        <v>16500</v>
      </c>
      <c r="L160" s="55" t="b">
        <v>1</v>
      </c>
      <c r="M160" s="56">
        <v>221120241922</v>
      </c>
      <c r="N160" s="57" t="b">
        <v>1</v>
      </c>
      <c r="O160" s="58"/>
      <c r="P160" s="222">
        <v>45621</v>
      </c>
      <c r="Q160" s="59" t="b">
        <v>1</v>
      </c>
      <c r="R160" s="129"/>
      <c r="S160" s="165"/>
      <c r="T160" s="47" t="b">
        <v>1</v>
      </c>
      <c r="U160" s="227" t="s">
        <v>2659</v>
      </c>
      <c r="V160" s="75"/>
      <c r="W160" s="75"/>
      <c r="X160" s="166"/>
      <c r="Y160" s="166"/>
      <c r="Z160" s="167"/>
      <c r="AA160" s="167"/>
    </row>
    <row r="161" spans="1:27">
      <c r="A161" s="162"/>
      <c r="B161" s="187"/>
      <c r="C161" s="132" t="s">
        <v>2660</v>
      </c>
      <c r="D161" s="66" t="s">
        <v>51</v>
      </c>
      <c r="E161" s="66" t="s">
        <v>201</v>
      </c>
      <c r="F161" s="66" t="s">
        <v>1208</v>
      </c>
      <c r="G161" s="66" t="s">
        <v>785</v>
      </c>
      <c r="H161" s="69" t="s">
        <v>30</v>
      </c>
      <c r="I161" s="66">
        <v>1</v>
      </c>
      <c r="J161" s="70">
        <v>2750</v>
      </c>
      <c r="K161" s="54">
        <f t="shared" si="2"/>
        <v>2750</v>
      </c>
      <c r="L161" s="55" t="b">
        <v>1</v>
      </c>
      <c r="M161" s="56">
        <v>221120241922</v>
      </c>
      <c r="N161" s="57" t="b">
        <v>1</v>
      </c>
      <c r="O161" s="58" t="s">
        <v>529</v>
      </c>
      <c r="P161" s="215"/>
      <c r="Q161" s="59" t="b">
        <v>1</v>
      </c>
      <c r="R161" s="129"/>
      <c r="S161" s="165"/>
      <c r="T161" s="47" t="b">
        <v>1</v>
      </c>
      <c r="U161" s="227" t="s">
        <v>2661</v>
      </c>
      <c r="V161" s="75"/>
      <c r="W161" s="75"/>
      <c r="X161" s="166"/>
      <c r="Y161" s="166"/>
      <c r="Z161" s="167"/>
      <c r="AA161" s="167"/>
    </row>
    <row r="162" spans="1:27">
      <c r="A162" s="162"/>
      <c r="B162" s="187"/>
      <c r="C162" s="132" t="s">
        <v>2660</v>
      </c>
      <c r="D162" s="66" t="s">
        <v>51</v>
      </c>
      <c r="E162" s="66" t="s">
        <v>201</v>
      </c>
      <c r="F162" s="66" t="s">
        <v>1208</v>
      </c>
      <c r="G162" s="66" t="s">
        <v>787</v>
      </c>
      <c r="H162" s="69" t="s">
        <v>30</v>
      </c>
      <c r="I162" s="66">
        <v>1</v>
      </c>
      <c r="J162" s="70">
        <v>3400</v>
      </c>
      <c r="K162" s="54">
        <f t="shared" si="2"/>
        <v>3400</v>
      </c>
      <c r="L162" s="55" t="b">
        <v>1</v>
      </c>
      <c r="M162" s="56">
        <v>221120241922</v>
      </c>
      <c r="N162" s="57" t="b">
        <v>1</v>
      </c>
      <c r="O162" s="58" t="s">
        <v>529</v>
      </c>
      <c r="P162" s="215"/>
      <c r="Q162" s="59" t="b">
        <v>1</v>
      </c>
      <c r="R162" s="129"/>
      <c r="S162" s="165"/>
      <c r="T162" s="47" t="b">
        <v>1</v>
      </c>
      <c r="U162" s="227" t="s">
        <v>2661</v>
      </c>
      <c r="V162" s="75"/>
      <c r="W162" s="75"/>
      <c r="X162" s="166"/>
      <c r="Y162" s="166"/>
      <c r="Z162" s="167"/>
      <c r="AA162" s="167"/>
    </row>
    <row r="163" spans="1:27">
      <c r="A163" s="162"/>
      <c r="B163" s="187"/>
      <c r="C163" s="132" t="s">
        <v>2660</v>
      </c>
      <c r="D163" s="66" t="s">
        <v>51</v>
      </c>
      <c r="E163" s="66" t="s">
        <v>201</v>
      </c>
      <c r="F163" s="66" t="s">
        <v>1208</v>
      </c>
      <c r="G163" s="69" t="s">
        <v>2662</v>
      </c>
      <c r="H163" s="69" t="s">
        <v>30</v>
      </c>
      <c r="I163" s="66">
        <v>1</v>
      </c>
      <c r="J163" s="70">
        <v>2750</v>
      </c>
      <c r="K163" s="54">
        <f t="shared" si="2"/>
        <v>2750</v>
      </c>
      <c r="L163" s="55" t="b">
        <v>1</v>
      </c>
      <c r="M163" s="56">
        <v>221120241922</v>
      </c>
      <c r="N163" s="57" t="b">
        <v>1</v>
      </c>
      <c r="O163" s="58" t="s">
        <v>529</v>
      </c>
      <c r="P163" s="215"/>
      <c r="Q163" s="59" t="b">
        <v>1</v>
      </c>
      <c r="R163" s="129"/>
      <c r="S163" s="165"/>
      <c r="T163" s="47" t="b">
        <v>1</v>
      </c>
      <c r="U163" s="227" t="s">
        <v>2661</v>
      </c>
      <c r="V163" s="75"/>
      <c r="W163" s="75"/>
      <c r="X163" s="166"/>
      <c r="Y163" s="166"/>
      <c r="Z163" s="167"/>
      <c r="AA163" s="167"/>
    </row>
    <row r="164" spans="1:27">
      <c r="A164" s="162"/>
      <c r="B164" s="187"/>
      <c r="C164" s="132" t="s">
        <v>2663</v>
      </c>
      <c r="D164" s="66" t="s">
        <v>433</v>
      </c>
      <c r="E164" s="66" t="s">
        <v>434</v>
      </c>
      <c r="F164" s="66" t="s">
        <v>2621</v>
      </c>
      <c r="G164" s="66" t="s">
        <v>1181</v>
      </c>
      <c r="H164" s="69" t="s">
        <v>30</v>
      </c>
      <c r="I164" s="53">
        <v>50</v>
      </c>
      <c r="J164" s="70">
        <v>130</v>
      </c>
      <c r="K164" s="54">
        <f t="shared" si="2"/>
        <v>6500</v>
      </c>
      <c r="L164" s="55" t="b">
        <v>1</v>
      </c>
      <c r="M164" s="56">
        <v>251120241113</v>
      </c>
      <c r="N164" s="57" t="b">
        <v>1</v>
      </c>
      <c r="O164" s="58" t="s">
        <v>2356</v>
      </c>
      <c r="P164" s="222">
        <v>45621</v>
      </c>
      <c r="Q164" s="59" t="b">
        <v>1</v>
      </c>
      <c r="R164" s="129"/>
      <c r="S164" s="165"/>
      <c r="T164" s="47" t="b">
        <v>1</v>
      </c>
      <c r="U164" s="227" t="s">
        <v>2664</v>
      </c>
      <c r="V164" s="75"/>
      <c r="W164" s="75"/>
      <c r="X164" s="166"/>
      <c r="Y164" s="166"/>
      <c r="Z164" s="167"/>
      <c r="AA164" s="167"/>
    </row>
    <row r="165" spans="1:27">
      <c r="A165" s="162"/>
      <c r="B165" s="187"/>
      <c r="C165" s="132" t="s">
        <v>2663</v>
      </c>
      <c r="D165" s="66" t="s">
        <v>433</v>
      </c>
      <c r="E165" s="66" t="s">
        <v>434</v>
      </c>
      <c r="F165" s="66" t="s">
        <v>2621</v>
      </c>
      <c r="G165" s="66" t="s">
        <v>2665</v>
      </c>
      <c r="H165" s="69" t="s">
        <v>30</v>
      </c>
      <c r="I165" s="53">
        <v>1</v>
      </c>
      <c r="J165" s="70">
        <v>1250</v>
      </c>
      <c r="K165" s="54">
        <f t="shared" si="2"/>
        <v>1250</v>
      </c>
      <c r="L165" s="55" t="b">
        <v>1</v>
      </c>
      <c r="M165" s="56">
        <v>251120241705</v>
      </c>
      <c r="N165" s="57" t="b">
        <v>1</v>
      </c>
      <c r="O165" s="58" t="s">
        <v>31</v>
      </c>
      <c r="P165" s="215"/>
      <c r="Q165" s="59" t="b">
        <v>1</v>
      </c>
      <c r="R165" s="129"/>
      <c r="S165" s="165"/>
      <c r="T165" s="47" t="b">
        <v>1</v>
      </c>
      <c r="U165" s="227" t="s">
        <v>2664</v>
      </c>
      <c r="V165" s="75"/>
      <c r="W165" s="75"/>
      <c r="X165" s="166"/>
      <c r="Y165" s="166"/>
      <c r="Z165" s="167"/>
      <c r="AA165" s="167"/>
    </row>
    <row r="166" spans="1:27">
      <c r="A166" s="162"/>
      <c r="B166" s="187"/>
      <c r="C166" s="132" t="s">
        <v>2663</v>
      </c>
      <c r="D166" s="66" t="s">
        <v>104</v>
      </c>
      <c r="E166" s="66" t="s">
        <v>516</v>
      </c>
      <c r="F166" s="66" t="s">
        <v>517</v>
      </c>
      <c r="G166" s="66" t="s">
        <v>1952</v>
      </c>
      <c r="H166" s="69" t="s">
        <v>30</v>
      </c>
      <c r="I166" s="53">
        <v>20</v>
      </c>
      <c r="J166" s="70">
        <v>550</v>
      </c>
      <c r="K166" s="54">
        <f t="shared" si="2"/>
        <v>11000</v>
      </c>
      <c r="L166" s="55" t="b">
        <v>1</v>
      </c>
      <c r="M166" s="56">
        <v>251120241707</v>
      </c>
      <c r="N166" s="57" t="b">
        <v>1</v>
      </c>
      <c r="O166" s="58" t="s">
        <v>2356</v>
      </c>
      <c r="P166" s="222">
        <v>45622</v>
      </c>
      <c r="Q166" s="59" t="b">
        <v>1</v>
      </c>
      <c r="R166" s="129"/>
      <c r="S166" s="165"/>
      <c r="T166" s="47" t="b">
        <v>1</v>
      </c>
      <c r="U166" s="227" t="s">
        <v>2666</v>
      </c>
      <c r="V166" s="75"/>
      <c r="W166" s="75"/>
      <c r="X166" s="166"/>
      <c r="Y166" s="166"/>
      <c r="Z166" s="167"/>
      <c r="AA166" s="167"/>
    </row>
    <row r="167" spans="1:27">
      <c r="A167" s="162"/>
      <c r="B167" s="187"/>
      <c r="C167" s="132" t="s">
        <v>2663</v>
      </c>
      <c r="D167" s="66" t="s">
        <v>418</v>
      </c>
      <c r="E167" s="66" t="s">
        <v>61</v>
      </c>
      <c r="F167" s="66" t="s">
        <v>2463</v>
      </c>
      <c r="G167" s="66" t="s">
        <v>142</v>
      </c>
      <c r="H167" s="69" t="s">
        <v>30</v>
      </c>
      <c r="I167" s="53">
        <v>1500</v>
      </c>
      <c r="J167" s="70">
        <v>1.3</v>
      </c>
      <c r="K167" s="54">
        <f t="shared" si="2"/>
        <v>1950</v>
      </c>
      <c r="L167" s="55" t="b">
        <v>1</v>
      </c>
      <c r="M167" s="56">
        <v>251120241742</v>
      </c>
      <c r="N167" s="57" t="b">
        <v>1</v>
      </c>
      <c r="O167" s="58" t="s">
        <v>2356</v>
      </c>
      <c r="P167" s="222">
        <v>45622</v>
      </c>
      <c r="Q167" s="59" t="b">
        <v>1</v>
      </c>
      <c r="R167" s="129"/>
      <c r="S167" s="165"/>
      <c r="T167" s="47" t="b">
        <v>1</v>
      </c>
      <c r="U167" s="227" t="s">
        <v>2667</v>
      </c>
      <c r="V167" s="75"/>
      <c r="W167" s="75"/>
      <c r="X167" s="166"/>
      <c r="Y167" s="166"/>
      <c r="Z167" s="167"/>
      <c r="AA167" s="167"/>
    </row>
    <row r="168" spans="1:27">
      <c r="A168" s="162"/>
      <c r="B168" s="187"/>
      <c r="C168" s="132" t="s">
        <v>2663</v>
      </c>
      <c r="D168" s="66" t="s">
        <v>108</v>
      </c>
      <c r="E168" s="66" t="s">
        <v>109</v>
      </c>
      <c r="F168" s="66" t="s">
        <v>110</v>
      </c>
      <c r="G168" s="66" t="s">
        <v>2206</v>
      </c>
      <c r="H168" s="69" t="s">
        <v>30</v>
      </c>
      <c r="I168" s="53">
        <v>10</v>
      </c>
      <c r="J168" s="70">
        <v>550</v>
      </c>
      <c r="K168" s="54">
        <f t="shared" si="2"/>
        <v>5500</v>
      </c>
      <c r="L168" s="55" t="b">
        <v>1</v>
      </c>
      <c r="M168" s="56">
        <v>251120241805</v>
      </c>
      <c r="N168" s="57" t="b">
        <v>1</v>
      </c>
      <c r="O168" s="58" t="s">
        <v>2356</v>
      </c>
      <c r="P168" s="222">
        <v>45622</v>
      </c>
      <c r="Q168" s="59" t="b">
        <v>1</v>
      </c>
      <c r="R168" s="129"/>
      <c r="S168" s="165"/>
      <c r="T168" s="47" t="b">
        <v>1</v>
      </c>
      <c r="U168" s="227" t="s">
        <v>2668</v>
      </c>
      <c r="V168" s="75"/>
      <c r="W168" s="75"/>
      <c r="X168" s="166"/>
      <c r="Y168" s="166"/>
      <c r="Z168" s="167"/>
      <c r="AA168" s="167"/>
    </row>
    <row r="169" spans="1:27">
      <c r="A169" s="162"/>
      <c r="B169" s="187"/>
      <c r="C169" s="132" t="s">
        <v>2663</v>
      </c>
      <c r="D169" s="66" t="s">
        <v>108</v>
      </c>
      <c r="E169" s="66" t="s">
        <v>109</v>
      </c>
      <c r="F169" s="66" t="s">
        <v>110</v>
      </c>
      <c r="G169" s="66" t="s">
        <v>300</v>
      </c>
      <c r="H169" s="69" t="s">
        <v>30</v>
      </c>
      <c r="I169" s="53">
        <v>30</v>
      </c>
      <c r="J169" s="70">
        <v>125</v>
      </c>
      <c r="K169" s="54">
        <f t="shared" si="2"/>
        <v>3750</v>
      </c>
      <c r="L169" s="55" t="b">
        <v>1</v>
      </c>
      <c r="M169" s="56">
        <v>251120241805</v>
      </c>
      <c r="N169" s="57" t="b">
        <v>1</v>
      </c>
      <c r="O169" s="58"/>
      <c r="P169" s="222"/>
      <c r="Q169" s="59" t="b">
        <v>1</v>
      </c>
      <c r="R169" s="129"/>
      <c r="S169" s="165"/>
      <c r="T169" s="47" t="b">
        <v>1</v>
      </c>
      <c r="U169" s="227" t="s">
        <v>2669</v>
      </c>
      <c r="V169" s="75"/>
      <c r="W169" s="75"/>
      <c r="X169" s="166"/>
      <c r="Y169" s="166"/>
      <c r="Z169" s="167"/>
      <c r="AA169" s="167"/>
    </row>
    <row r="170" spans="1:27">
      <c r="A170" s="162"/>
      <c r="B170" s="187"/>
      <c r="C170" s="132" t="s">
        <v>2670</v>
      </c>
      <c r="D170" s="66" t="s">
        <v>104</v>
      </c>
      <c r="E170" s="66" t="s">
        <v>2599</v>
      </c>
      <c r="F170" s="66" t="s">
        <v>1021</v>
      </c>
      <c r="G170" s="66" t="s">
        <v>2671</v>
      </c>
      <c r="H170" s="69" t="s">
        <v>30</v>
      </c>
      <c r="I170" s="53">
        <v>20</v>
      </c>
      <c r="J170" s="70">
        <v>125</v>
      </c>
      <c r="K170" s="54">
        <f t="shared" si="2"/>
        <v>2500</v>
      </c>
      <c r="L170" s="55" t="b">
        <v>1</v>
      </c>
      <c r="M170" s="56">
        <v>261120241317</v>
      </c>
      <c r="N170" s="57" t="b">
        <v>1</v>
      </c>
      <c r="O170" s="58" t="s">
        <v>2356</v>
      </c>
      <c r="P170" s="222">
        <v>45625</v>
      </c>
      <c r="Q170" s="59" t="b">
        <v>1</v>
      </c>
      <c r="R170" s="129"/>
      <c r="S170" s="165"/>
      <c r="T170" s="47" t="b">
        <v>1</v>
      </c>
      <c r="U170" s="227" t="s">
        <v>2672</v>
      </c>
      <c r="V170" s="75"/>
      <c r="W170" s="75"/>
      <c r="X170" s="166"/>
      <c r="Y170" s="166"/>
      <c r="Z170" s="167"/>
      <c r="AA170" s="167"/>
    </row>
    <row r="171" spans="1:27">
      <c r="A171" s="162"/>
      <c r="B171" s="187"/>
      <c r="C171" s="132" t="s">
        <v>2670</v>
      </c>
      <c r="D171" s="66" t="s">
        <v>1133</v>
      </c>
      <c r="E171" s="66" t="s">
        <v>1725</v>
      </c>
      <c r="F171" s="66" t="s">
        <v>2673</v>
      </c>
      <c r="G171" s="66" t="s">
        <v>2674</v>
      </c>
      <c r="H171" s="69" t="s">
        <v>30</v>
      </c>
      <c r="I171" s="53">
        <v>2</v>
      </c>
      <c r="J171" s="70">
        <v>510</v>
      </c>
      <c r="K171" s="54">
        <f t="shared" si="2"/>
        <v>1020</v>
      </c>
      <c r="L171" s="55" t="b">
        <v>1</v>
      </c>
      <c r="M171" s="56">
        <v>261120241620</v>
      </c>
      <c r="N171" s="57" t="b">
        <v>1</v>
      </c>
      <c r="O171" s="58"/>
      <c r="P171" s="215"/>
      <c r="Q171" s="59" t="b">
        <v>1</v>
      </c>
      <c r="R171" s="129"/>
      <c r="S171" s="165"/>
      <c r="T171" s="47" t="b">
        <v>1</v>
      </c>
      <c r="U171" s="227" t="s">
        <v>2675</v>
      </c>
      <c r="V171" s="75"/>
      <c r="W171" s="75"/>
      <c r="X171" s="166"/>
      <c r="Y171" s="166"/>
      <c r="Z171" s="167"/>
      <c r="AA171" s="167"/>
    </row>
    <row r="172" spans="1:27">
      <c r="A172" s="162"/>
      <c r="B172" s="187"/>
      <c r="C172" s="132" t="s">
        <v>2670</v>
      </c>
      <c r="D172" s="66" t="s">
        <v>46</v>
      </c>
      <c r="E172" s="66" t="s">
        <v>47</v>
      </c>
      <c r="F172" s="66" t="s">
        <v>2676</v>
      </c>
      <c r="G172" s="66" t="s">
        <v>2674</v>
      </c>
      <c r="H172" s="69" t="s">
        <v>30</v>
      </c>
      <c r="I172" s="53">
        <v>2</v>
      </c>
      <c r="J172" s="70">
        <v>510</v>
      </c>
      <c r="K172" s="54">
        <f t="shared" si="2"/>
        <v>1020</v>
      </c>
      <c r="L172" s="55" t="b">
        <v>1</v>
      </c>
      <c r="M172" s="56">
        <v>261120241621</v>
      </c>
      <c r="N172" s="57" t="b">
        <v>1</v>
      </c>
      <c r="O172" s="58"/>
      <c r="P172" s="215"/>
      <c r="Q172" s="59" t="b">
        <v>1</v>
      </c>
      <c r="R172" s="129"/>
      <c r="S172" s="165"/>
      <c r="T172" s="47" t="b">
        <v>1</v>
      </c>
      <c r="U172" s="227" t="s">
        <v>2677</v>
      </c>
      <c r="V172" s="75"/>
      <c r="W172" s="75"/>
      <c r="X172" s="166"/>
      <c r="Y172" s="166"/>
      <c r="Z172" s="167"/>
      <c r="AA172" s="167"/>
    </row>
    <row r="173" spans="1:27">
      <c r="A173" s="162"/>
      <c r="B173" s="187"/>
      <c r="C173" s="132" t="s">
        <v>2670</v>
      </c>
      <c r="D173" s="66" t="s">
        <v>171</v>
      </c>
      <c r="E173" s="66" t="s">
        <v>137</v>
      </c>
      <c r="F173" s="66" t="s">
        <v>2678</v>
      </c>
      <c r="G173" s="66" t="s">
        <v>2674</v>
      </c>
      <c r="H173" s="69" t="s">
        <v>30</v>
      </c>
      <c r="I173" s="53">
        <v>5</v>
      </c>
      <c r="J173" s="70">
        <v>510</v>
      </c>
      <c r="K173" s="54">
        <f t="shared" si="2"/>
        <v>2550</v>
      </c>
      <c r="L173" s="55" t="b">
        <v>1</v>
      </c>
      <c r="M173" s="56">
        <v>261120241645</v>
      </c>
      <c r="N173" s="57" t="b">
        <v>1</v>
      </c>
      <c r="O173" s="58"/>
      <c r="P173" s="215"/>
      <c r="Q173" s="59" t="b">
        <v>1</v>
      </c>
      <c r="R173" s="129"/>
      <c r="S173" s="165"/>
      <c r="T173" s="47" t="b">
        <v>1</v>
      </c>
      <c r="U173" s="227" t="s">
        <v>2679</v>
      </c>
      <c r="V173" s="75"/>
      <c r="W173" s="75"/>
      <c r="X173" s="166"/>
      <c r="Y173" s="166"/>
      <c r="Z173" s="167"/>
      <c r="AA173" s="167"/>
    </row>
    <row r="174" spans="1:27">
      <c r="A174" s="162"/>
      <c r="B174" s="187"/>
      <c r="C174" s="132" t="s">
        <v>2670</v>
      </c>
      <c r="D174" s="66" t="s">
        <v>51</v>
      </c>
      <c r="E174" s="66" t="s">
        <v>372</v>
      </c>
      <c r="F174" s="66" t="s">
        <v>2680</v>
      </c>
      <c r="G174" s="66" t="s">
        <v>2674</v>
      </c>
      <c r="H174" s="69" t="s">
        <v>30</v>
      </c>
      <c r="I174" s="53">
        <v>2</v>
      </c>
      <c r="J174" s="70">
        <v>500</v>
      </c>
      <c r="K174" s="54">
        <f t="shared" si="2"/>
        <v>1000</v>
      </c>
      <c r="L174" s="55" t="b">
        <v>1</v>
      </c>
      <c r="M174" s="56">
        <v>261120241645</v>
      </c>
      <c r="N174" s="57" t="b">
        <v>1</v>
      </c>
      <c r="O174" s="58"/>
      <c r="P174" s="215"/>
      <c r="Q174" s="59" t="b">
        <v>1</v>
      </c>
      <c r="R174" s="129"/>
      <c r="S174" s="165"/>
      <c r="T174" s="47" t="b">
        <v>1</v>
      </c>
      <c r="U174" s="227" t="s">
        <v>2681</v>
      </c>
      <c r="V174" s="75"/>
      <c r="W174" s="75"/>
      <c r="X174" s="166"/>
      <c r="Y174" s="166"/>
      <c r="Z174" s="167"/>
      <c r="AA174" s="167"/>
    </row>
    <row r="175" spans="1:27">
      <c r="A175" s="162"/>
      <c r="B175" s="187"/>
      <c r="C175" s="132" t="s">
        <v>2670</v>
      </c>
      <c r="D175" s="66" t="s">
        <v>51</v>
      </c>
      <c r="E175" s="66" t="s">
        <v>335</v>
      </c>
      <c r="F175" s="66" t="s">
        <v>339</v>
      </c>
      <c r="G175" s="66" t="s">
        <v>2674</v>
      </c>
      <c r="H175" s="69" t="s">
        <v>30</v>
      </c>
      <c r="I175" s="53">
        <v>5</v>
      </c>
      <c r="J175" s="70">
        <v>510</v>
      </c>
      <c r="K175" s="54">
        <f t="shared" si="2"/>
        <v>2550</v>
      </c>
      <c r="L175" s="55" t="b">
        <v>1</v>
      </c>
      <c r="M175" s="56">
        <v>261120241701</v>
      </c>
      <c r="N175" s="57" t="b">
        <v>1</v>
      </c>
      <c r="O175" s="58"/>
      <c r="P175" s="215"/>
      <c r="Q175" s="59" t="b">
        <v>1</v>
      </c>
      <c r="R175" s="129"/>
      <c r="S175" s="165"/>
      <c r="T175" s="47" t="b">
        <v>1</v>
      </c>
      <c r="U175" s="227" t="s">
        <v>2682</v>
      </c>
      <c r="V175" s="75"/>
      <c r="W175" s="75"/>
      <c r="X175" s="166"/>
      <c r="Y175" s="166"/>
      <c r="Z175" s="167"/>
      <c r="AA175" s="167"/>
    </row>
    <row r="176" spans="1:27">
      <c r="A176" s="162"/>
      <c r="B176" s="187"/>
      <c r="C176" s="132" t="s">
        <v>2670</v>
      </c>
      <c r="D176" s="66" t="s">
        <v>433</v>
      </c>
      <c r="E176" s="66" t="s">
        <v>706</v>
      </c>
      <c r="F176" s="66" t="s">
        <v>2683</v>
      </c>
      <c r="G176" s="66" t="s">
        <v>2674</v>
      </c>
      <c r="H176" s="69" t="s">
        <v>30</v>
      </c>
      <c r="I176" s="53">
        <v>5</v>
      </c>
      <c r="J176" s="70">
        <v>510</v>
      </c>
      <c r="K176" s="54">
        <f t="shared" si="2"/>
        <v>2550</v>
      </c>
      <c r="L176" s="55" t="b">
        <v>1</v>
      </c>
      <c r="M176" s="56">
        <v>261120241706</v>
      </c>
      <c r="N176" s="57" t="b">
        <v>1</v>
      </c>
      <c r="O176" s="58"/>
      <c r="P176" s="215"/>
      <c r="Q176" s="59" t="b">
        <v>1</v>
      </c>
      <c r="R176" s="129"/>
      <c r="S176" s="165"/>
      <c r="T176" s="47" t="b">
        <v>1</v>
      </c>
      <c r="U176" s="227" t="s">
        <v>2684</v>
      </c>
      <c r="V176" s="75"/>
      <c r="W176" s="75"/>
      <c r="X176" s="166"/>
      <c r="Y176" s="166"/>
      <c r="Z176" s="167"/>
      <c r="AA176" s="167"/>
    </row>
    <row r="177" spans="1:27">
      <c r="A177" s="162"/>
      <c r="B177" s="187"/>
      <c r="C177" s="132" t="s">
        <v>2670</v>
      </c>
      <c r="D177" s="66" t="s">
        <v>345</v>
      </c>
      <c r="E177" s="66" t="s">
        <v>1756</v>
      </c>
      <c r="F177" s="66" t="s">
        <v>2685</v>
      </c>
      <c r="G177" s="66" t="s">
        <v>2674</v>
      </c>
      <c r="H177" s="69" t="s">
        <v>30</v>
      </c>
      <c r="I177" s="53">
        <v>10</v>
      </c>
      <c r="J177" s="70">
        <v>510</v>
      </c>
      <c r="K177" s="54">
        <f t="shared" si="2"/>
        <v>5100</v>
      </c>
      <c r="L177" s="55" t="b">
        <v>1</v>
      </c>
      <c r="M177" s="56">
        <v>261120241706</v>
      </c>
      <c r="N177" s="57" t="b">
        <v>1</v>
      </c>
      <c r="O177" s="58"/>
      <c r="P177" s="215"/>
      <c r="Q177" s="59" t="b">
        <v>1</v>
      </c>
      <c r="R177" s="129"/>
      <c r="S177" s="165"/>
      <c r="T177" s="47" t="b">
        <v>1</v>
      </c>
      <c r="U177" s="227" t="s">
        <v>2686</v>
      </c>
      <c r="V177" s="75"/>
      <c r="W177" s="75"/>
      <c r="X177" s="166"/>
      <c r="Y177" s="166"/>
      <c r="Z177" s="167"/>
      <c r="AA177" s="167"/>
    </row>
    <row r="178" spans="1:27">
      <c r="A178" s="162"/>
      <c r="B178" s="187"/>
      <c r="C178" s="132" t="s">
        <v>2670</v>
      </c>
      <c r="D178" s="66" t="s">
        <v>98</v>
      </c>
      <c r="E178" s="66" t="s">
        <v>2296</v>
      </c>
      <c r="F178" s="66" t="s">
        <v>1279</v>
      </c>
      <c r="G178" s="66" t="s">
        <v>2674</v>
      </c>
      <c r="H178" s="69" t="s">
        <v>30</v>
      </c>
      <c r="I178" s="53">
        <v>2</v>
      </c>
      <c r="J178" s="70">
        <v>510</v>
      </c>
      <c r="K178" s="54">
        <f t="shared" si="2"/>
        <v>1020</v>
      </c>
      <c r="L178" s="55" t="b">
        <v>1</v>
      </c>
      <c r="M178" s="56">
        <v>261120241706</v>
      </c>
      <c r="N178" s="57" t="b">
        <v>1</v>
      </c>
      <c r="O178" s="58"/>
      <c r="P178" s="215"/>
      <c r="Q178" s="59" t="b">
        <v>1</v>
      </c>
      <c r="R178" s="129"/>
      <c r="S178" s="165"/>
      <c r="T178" s="47" t="b">
        <v>1</v>
      </c>
      <c r="U178" s="227" t="s">
        <v>2687</v>
      </c>
      <c r="V178" s="75"/>
      <c r="W178" s="75"/>
      <c r="X178" s="166"/>
      <c r="Y178" s="166"/>
      <c r="Z178" s="167"/>
      <c r="AA178" s="167"/>
    </row>
    <row r="179" spans="1:27">
      <c r="A179" s="162"/>
      <c r="B179" s="187"/>
      <c r="C179" s="132" t="s">
        <v>2670</v>
      </c>
      <c r="D179" s="66" t="s">
        <v>51</v>
      </c>
      <c r="E179" s="66" t="s">
        <v>201</v>
      </c>
      <c r="F179" s="66" t="s">
        <v>607</v>
      </c>
      <c r="G179" s="66" t="s">
        <v>2674</v>
      </c>
      <c r="H179" s="69" t="s">
        <v>30</v>
      </c>
      <c r="I179" s="53">
        <v>10</v>
      </c>
      <c r="J179" s="70">
        <v>510</v>
      </c>
      <c r="K179" s="54">
        <f t="shared" si="2"/>
        <v>5100</v>
      </c>
      <c r="L179" s="55" t="b">
        <v>1</v>
      </c>
      <c r="M179" s="56">
        <v>261120241706</v>
      </c>
      <c r="N179" s="57" t="b">
        <v>1</v>
      </c>
      <c r="O179" s="58"/>
      <c r="P179" s="215"/>
      <c r="Q179" s="59" t="b">
        <v>1</v>
      </c>
      <c r="R179" s="129"/>
      <c r="S179" s="165"/>
      <c r="T179" s="47" t="b">
        <v>1</v>
      </c>
      <c r="U179" s="227" t="s">
        <v>2688</v>
      </c>
      <c r="V179" s="75"/>
      <c r="W179" s="75"/>
      <c r="X179" s="166"/>
      <c r="Y179" s="166"/>
      <c r="Z179" s="167"/>
      <c r="AA179" s="167"/>
    </row>
    <row r="180" spans="1:27">
      <c r="A180" s="162"/>
      <c r="B180" s="187"/>
      <c r="C180" s="132" t="s">
        <v>2670</v>
      </c>
      <c r="D180" s="66" t="s">
        <v>51</v>
      </c>
      <c r="E180" s="66" t="s">
        <v>52</v>
      </c>
      <c r="F180" s="66" t="s">
        <v>807</v>
      </c>
      <c r="G180" s="66" t="s">
        <v>2674</v>
      </c>
      <c r="H180" s="69" t="s">
        <v>30</v>
      </c>
      <c r="I180" s="53">
        <v>5</v>
      </c>
      <c r="J180" s="70">
        <v>510</v>
      </c>
      <c r="K180" s="54">
        <f t="shared" si="2"/>
        <v>2550</v>
      </c>
      <c r="L180" s="55" t="b">
        <v>1</v>
      </c>
      <c r="M180" s="56">
        <v>261120241801</v>
      </c>
      <c r="N180" s="57" t="b">
        <v>1</v>
      </c>
      <c r="O180" s="58"/>
      <c r="P180" s="215"/>
      <c r="Q180" s="59" t="b">
        <v>1</v>
      </c>
      <c r="R180" s="129"/>
      <c r="S180" s="165"/>
      <c r="T180" s="47" t="b">
        <v>1</v>
      </c>
      <c r="U180" s="227" t="s">
        <v>2689</v>
      </c>
      <c r="V180" s="75"/>
      <c r="W180" s="75"/>
      <c r="X180" s="166"/>
      <c r="Y180" s="166"/>
      <c r="Z180" s="167"/>
      <c r="AA180" s="167"/>
    </row>
    <row r="181" spans="1:27">
      <c r="A181" s="162"/>
      <c r="B181" s="187"/>
      <c r="C181" s="132" t="s">
        <v>2670</v>
      </c>
      <c r="D181" s="66" t="s">
        <v>26</v>
      </c>
      <c r="E181" s="66" t="s">
        <v>27</v>
      </c>
      <c r="F181" s="66" t="s">
        <v>1273</v>
      </c>
      <c r="G181" s="66" t="s">
        <v>2674</v>
      </c>
      <c r="H181" s="69" t="s">
        <v>30</v>
      </c>
      <c r="I181" s="53">
        <v>1</v>
      </c>
      <c r="J181" s="70">
        <v>510</v>
      </c>
      <c r="K181" s="54">
        <f t="shared" si="2"/>
        <v>510</v>
      </c>
      <c r="L181" s="55" t="b">
        <v>1</v>
      </c>
      <c r="M181" s="56">
        <v>261120241811</v>
      </c>
      <c r="N181" s="57" t="b">
        <v>1</v>
      </c>
      <c r="O181" s="58"/>
      <c r="P181" s="215"/>
      <c r="Q181" s="59" t="b">
        <v>1</v>
      </c>
      <c r="R181" s="129"/>
      <c r="S181" s="165"/>
      <c r="T181" s="47" t="b">
        <v>1</v>
      </c>
      <c r="U181" s="227" t="s">
        <v>2690</v>
      </c>
      <c r="V181" s="75"/>
      <c r="W181" s="75"/>
      <c r="X181" s="166"/>
      <c r="Y181" s="166"/>
      <c r="Z181" s="167"/>
      <c r="AA181" s="167"/>
    </row>
    <row r="182" spans="1:27">
      <c r="A182" s="162"/>
      <c r="B182" s="187"/>
      <c r="C182" s="132" t="s">
        <v>2670</v>
      </c>
      <c r="D182" s="66" t="s">
        <v>144</v>
      </c>
      <c r="E182" s="66" t="s">
        <v>1959</v>
      </c>
      <c r="F182" s="66" t="s">
        <v>1235</v>
      </c>
      <c r="G182" s="66" t="s">
        <v>2674</v>
      </c>
      <c r="H182" s="69" t="s">
        <v>30</v>
      </c>
      <c r="I182" s="53">
        <v>3</v>
      </c>
      <c r="J182" s="70">
        <v>510</v>
      </c>
      <c r="K182" s="54">
        <f t="shared" si="2"/>
        <v>1530</v>
      </c>
      <c r="L182" s="55" t="b">
        <v>1</v>
      </c>
      <c r="M182" s="56">
        <v>261120241839</v>
      </c>
      <c r="N182" s="57" t="b">
        <v>1</v>
      </c>
      <c r="O182" s="58"/>
      <c r="P182" s="215"/>
      <c r="Q182" s="59" t="b">
        <v>1</v>
      </c>
      <c r="R182" s="129"/>
      <c r="S182" s="165"/>
      <c r="T182" s="47" t="b">
        <v>1</v>
      </c>
      <c r="U182" s="227" t="s">
        <v>2691</v>
      </c>
      <c r="V182" s="75"/>
      <c r="W182" s="75"/>
      <c r="X182" s="166"/>
      <c r="Y182" s="166"/>
      <c r="Z182" s="167"/>
      <c r="AA182" s="167"/>
    </row>
    <row r="183" spans="1:27">
      <c r="A183" s="162"/>
      <c r="B183" s="187"/>
      <c r="C183" s="132" t="s">
        <v>2692</v>
      </c>
      <c r="D183" s="66" t="s">
        <v>104</v>
      </c>
      <c r="E183" s="66" t="s">
        <v>2492</v>
      </c>
      <c r="F183" s="66" t="s">
        <v>2250</v>
      </c>
      <c r="G183" s="66" t="s">
        <v>2674</v>
      </c>
      <c r="H183" s="69" t="s">
        <v>30</v>
      </c>
      <c r="I183" s="53">
        <v>5</v>
      </c>
      <c r="J183" s="70">
        <v>510</v>
      </c>
      <c r="K183" s="54">
        <f t="shared" si="2"/>
        <v>2550</v>
      </c>
      <c r="L183" s="55" t="b">
        <v>1</v>
      </c>
      <c r="M183" s="56">
        <v>271120240835</v>
      </c>
      <c r="N183" s="57" t="b">
        <v>1</v>
      </c>
      <c r="O183" s="58"/>
      <c r="P183" s="215"/>
      <c r="Q183" s="59" t="b">
        <v>1</v>
      </c>
      <c r="R183" s="165"/>
      <c r="S183" s="165"/>
      <c r="T183" s="47" t="b">
        <v>1</v>
      </c>
      <c r="U183" s="227" t="s">
        <v>2693</v>
      </c>
      <c r="V183" s="75"/>
      <c r="W183" s="75"/>
      <c r="X183" s="166"/>
      <c r="Y183" s="166"/>
      <c r="Z183" s="167"/>
      <c r="AA183" s="167"/>
    </row>
    <row r="184" spans="1:27">
      <c r="A184" s="162"/>
      <c r="B184" s="187"/>
      <c r="C184" s="132" t="s">
        <v>2692</v>
      </c>
      <c r="D184" s="66" t="s">
        <v>51</v>
      </c>
      <c r="E184" s="66" t="s">
        <v>594</v>
      </c>
      <c r="F184" s="66" t="s">
        <v>595</v>
      </c>
      <c r="G184" s="231" t="s">
        <v>2674</v>
      </c>
      <c r="H184" s="69" t="s">
        <v>30</v>
      </c>
      <c r="I184" s="53">
        <v>2</v>
      </c>
      <c r="J184" s="70">
        <v>510</v>
      </c>
      <c r="K184" s="54">
        <f t="shared" si="2"/>
        <v>1020</v>
      </c>
      <c r="L184" s="55" t="b">
        <v>1</v>
      </c>
      <c r="M184" s="56">
        <v>271120241213</v>
      </c>
      <c r="N184" s="57" t="b">
        <v>1</v>
      </c>
      <c r="O184" s="58"/>
      <c r="P184" s="215"/>
      <c r="Q184" s="59" t="b">
        <v>1</v>
      </c>
      <c r="R184" s="165"/>
      <c r="S184" s="165"/>
      <c r="T184" s="47" t="b">
        <v>1</v>
      </c>
      <c r="U184" s="227" t="s">
        <v>2694</v>
      </c>
      <c r="V184" s="75"/>
      <c r="W184" s="75"/>
      <c r="X184" s="166"/>
      <c r="Y184" s="166"/>
      <c r="Z184" s="167"/>
      <c r="AA184" s="167"/>
    </row>
    <row r="185" spans="1:27">
      <c r="A185" s="162"/>
      <c r="B185" s="187"/>
      <c r="C185" s="132" t="s">
        <v>2692</v>
      </c>
      <c r="D185" s="66" t="s">
        <v>104</v>
      </c>
      <c r="E185" s="66" t="s">
        <v>122</v>
      </c>
      <c r="F185" s="66" t="s">
        <v>123</v>
      </c>
      <c r="G185" s="66" t="s">
        <v>2695</v>
      </c>
      <c r="H185" s="69" t="s">
        <v>30</v>
      </c>
      <c r="I185" s="53">
        <v>5</v>
      </c>
      <c r="J185" s="70">
        <v>2850</v>
      </c>
      <c r="K185" s="54">
        <f t="shared" si="2"/>
        <v>14250</v>
      </c>
      <c r="L185" s="55" t="b">
        <v>1</v>
      </c>
      <c r="M185" s="56">
        <v>271120241218</v>
      </c>
      <c r="N185" s="57" t="b">
        <v>1</v>
      </c>
      <c r="O185" s="58" t="s">
        <v>529</v>
      </c>
      <c r="P185" s="215"/>
      <c r="Q185" s="59" t="b">
        <v>1</v>
      </c>
      <c r="R185" s="165"/>
      <c r="S185" s="165"/>
      <c r="T185" s="47" t="b">
        <v>1</v>
      </c>
      <c r="U185" s="227" t="s">
        <v>2696</v>
      </c>
      <c r="V185" s="75"/>
      <c r="W185" s="75"/>
      <c r="X185" s="166"/>
      <c r="Y185" s="166"/>
      <c r="Z185" s="167"/>
      <c r="AA185" s="167"/>
    </row>
    <row r="186" spans="1:27">
      <c r="A186" s="162"/>
      <c r="B186" s="187"/>
      <c r="C186" s="132" t="s">
        <v>2692</v>
      </c>
      <c r="D186" s="66" t="s">
        <v>104</v>
      </c>
      <c r="E186" s="66" t="s">
        <v>122</v>
      </c>
      <c r="F186" s="66" t="s">
        <v>123</v>
      </c>
      <c r="G186" s="66" t="s">
        <v>746</v>
      </c>
      <c r="H186" s="69" t="s">
        <v>30</v>
      </c>
      <c r="I186" s="53">
        <v>10</v>
      </c>
      <c r="J186" s="70">
        <v>850</v>
      </c>
      <c r="K186" s="54">
        <f t="shared" si="2"/>
        <v>8500</v>
      </c>
      <c r="L186" s="55" t="b">
        <v>1</v>
      </c>
      <c r="M186" s="56">
        <v>271120241218</v>
      </c>
      <c r="N186" s="57" t="b">
        <v>1</v>
      </c>
      <c r="O186" s="58" t="s">
        <v>529</v>
      </c>
      <c r="P186" s="215"/>
      <c r="Q186" s="59" t="b">
        <v>1</v>
      </c>
      <c r="R186" s="165"/>
      <c r="S186" s="165"/>
      <c r="T186" s="47" t="b">
        <v>1</v>
      </c>
      <c r="U186" s="227" t="s">
        <v>2697</v>
      </c>
      <c r="V186" s="75"/>
      <c r="W186" s="75"/>
      <c r="X186" s="166"/>
      <c r="Y186" s="166"/>
      <c r="Z186" s="167"/>
      <c r="AA186" s="167"/>
    </row>
    <row r="187" spans="1:27">
      <c r="A187" s="162"/>
      <c r="B187" s="187"/>
      <c r="C187" s="132" t="s">
        <v>2692</v>
      </c>
      <c r="D187" s="66" t="s">
        <v>104</v>
      </c>
      <c r="E187" s="66" t="s">
        <v>122</v>
      </c>
      <c r="F187" s="66" t="s">
        <v>123</v>
      </c>
      <c r="G187" s="66" t="s">
        <v>467</v>
      </c>
      <c r="H187" s="69" t="s">
        <v>30</v>
      </c>
      <c r="I187" s="53">
        <v>10</v>
      </c>
      <c r="J187" s="70">
        <v>695</v>
      </c>
      <c r="K187" s="54">
        <f t="shared" si="2"/>
        <v>6950</v>
      </c>
      <c r="L187" s="55" t="b">
        <v>1</v>
      </c>
      <c r="M187" s="56">
        <v>271120241218</v>
      </c>
      <c r="N187" s="57" t="b">
        <v>1</v>
      </c>
      <c r="O187" s="58"/>
      <c r="P187" s="215"/>
      <c r="Q187" s="59" t="b">
        <v>1</v>
      </c>
      <c r="R187" s="165"/>
      <c r="S187" s="165"/>
      <c r="T187" s="47" t="b">
        <v>1</v>
      </c>
      <c r="U187" s="227" t="s">
        <v>2696</v>
      </c>
      <c r="V187" s="75"/>
      <c r="W187" s="75"/>
      <c r="X187" s="166"/>
      <c r="Y187" s="166"/>
      <c r="Z187" s="167"/>
      <c r="AA187" s="167"/>
    </row>
    <row r="188" spans="1:27">
      <c r="A188" s="162"/>
      <c r="B188" s="187"/>
      <c r="C188" s="132" t="s">
        <v>2692</v>
      </c>
      <c r="D188" s="66" t="s">
        <v>93</v>
      </c>
      <c r="E188" s="66" t="s">
        <v>94</v>
      </c>
      <c r="F188" s="66" t="s">
        <v>2318</v>
      </c>
      <c r="G188" s="66" t="s">
        <v>2698</v>
      </c>
      <c r="H188" s="69" t="s">
        <v>30</v>
      </c>
      <c r="I188" s="66">
        <v>8</v>
      </c>
      <c r="J188" s="70">
        <v>5950</v>
      </c>
      <c r="K188" s="75">
        <f t="shared" si="2"/>
        <v>47600</v>
      </c>
      <c r="L188" s="55" t="b">
        <v>1</v>
      </c>
      <c r="M188" s="154">
        <v>271120241955</v>
      </c>
      <c r="N188" s="57" t="b">
        <v>1</v>
      </c>
      <c r="O188" s="58" t="s">
        <v>529</v>
      </c>
      <c r="P188" s="215"/>
      <c r="Q188" s="59" t="b">
        <v>1</v>
      </c>
      <c r="R188" s="164"/>
      <c r="S188" s="165"/>
      <c r="T188" s="47" t="b">
        <v>1</v>
      </c>
      <c r="U188" s="227" t="s">
        <v>2699</v>
      </c>
      <c r="V188" s="75"/>
      <c r="W188" s="75"/>
      <c r="X188" s="166"/>
      <c r="Y188" s="166"/>
      <c r="Z188" s="167"/>
      <c r="AA188" s="167"/>
    </row>
    <row r="189" spans="1:27">
      <c r="A189" s="162"/>
      <c r="B189" s="187"/>
      <c r="C189" s="132" t="s">
        <v>2700</v>
      </c>
      <c r="D189" s="66" t="s">
        <v>93</v>
      </c>
      <c r="E189" s="66" t="s">
        <v>94</v>
      </c>
      <c r="F189" s="66" t="s">
        <v>2318</v>
      </c>
      <c r="G189" s="66" t="s">
        <v>72</v>
      </c>
      <c r="H189" s="69" t="s">
        <v>30</v>
      </c>
      <c r="I189" s="66">
        <v>1</v>
      </c>
      <c r="J189" s="70">
        <v>4000</v>
      </c>
      <c r="K189" s="75">
        <f t="shared" si="2"/>
        <v>4000</v>
      </c>
      <c r="L189" s="55" t="b">
        <v>1</v>
      </c>
      <c r="M189" s="154">
        <v>271120241955</v>
      </c>
      <c r="N189" s="57" t="b">
        <v>1</v>
      </c>
      <c r="O189" s="58" t="s">
        <v>529</v>
      </c>
      <c r="P189" s="215"/>
      <c r="Q189" s="59" t="b">
        <v>1</v>
      </c>
      <c r="R189" s="164"/>
      <c r="S189" s="165"/>
      <c r="T189" s="47" t="b">
        <v>1</v>
      </c>
      <c r="U189" s="227" t="s">
        <v>2699</v>
      </c>
      <c r="V189" s="75"/>
      <c r="W189" s="75"/>
      <c r="X189" s="166"/>
      <c r="Y189" s="166"/>
      <c r="Z189" s="167"/>
      <c r="AA189" s="167"/>
    </row>
    <row r="190" spans="1:27">
      <c r="A190" s="162"/>
      <c r="B190" s="187"/>
      <c r="C190" s="132" t="s">
        <v>2692</v>
      </c>
      <c r="D190" s="66" t="s">
        <v>104</v>
      </c>
      <c r="E190" s="66" t="s">
        <v>2629</v>
      </c>
      <c r="F190" s="66" t="s">
        <v>674</v>
      </c>
      <c r="G190" s="66" t="s">
        <v>83</v>
      </c>
      <c r="H190" s="69" t="s">
        <v>30</v>
      </c>
      <c r="I190" s="53">
        <v>1000</v>
      </c>
      <c r="J190" s="70">
        <v>1.5</v>
      </c>
      <c r="K190" s="54">
        <f t="shared" si="2"/>
        <v>1500</v>
      </c>
      <c r="L190" s="55" t="b">
        <v>1</v>
      </c>
      <c r="M190" s="56">
        <v>271120242000</v>
      </c>
      <c r="N190" s="57" t="b">
        <v>1</v>
      </c>
      <c r="O190" s="58"/>
      <c r="P190" s="215"/>
      <c r="Q190" s="59" t="b">
        <v>1</v>
      </c>
      <c r="R190" s="129"/>
      <c r="S190" s="165"/>
      <c r="T190" s="47" t="b">
        <v>1</v>
      </c>
      <c r="U190" s="227" t="s">
        <v>2701</v>
      </c>
      <c r="V190" s="75"/>
      <c r="W190" s="75"/>
      <c r="X190" s="166"/>
      <c r="Y190" s="166"/>
      <c r="Z190" s="167"/>
      <c r="AA190" s="167"/>
    </row>
    <row r="191" spans="1:27">
      <c r="A191" s="162"/>
      <c r="B191" s="187"/>
      <c r="C191" s="132" t="s">
        <v>2702</v>
      </c>
      <c r="D191" s="66" t="s">
        <v>1337</v>
      </c>
      <c r="E191" s="66" t="s">
        <v>137</v>
      </c>
      <c r="F191" s="66" t="s">
        <v>1965</v>
      </c>
      <c r="G191" s="66" t="s">
        <v>760</v>
      </c>
      <c r="H191" s="69" t="s">
        <v>30</v>
      </c>
      <c r="I191" s="53">
        <v>10</v>
      </c>
      <c r="J191" s="70">
        <v>130</v>
      </c>
      <c r="K191" s="54">
        <f t="shared" si="2"/>
        <v>1300</v>
      </c>
      <c r="L191" s="55" t="b">
        <v>1</v>
      </c>
      <c r="M191" s="56">
        <v>281120241141</v>
      </c>
      <c r="N191" s="57" t="b">
        <v>1</v>
      </c>
      <c r="O191" s="58"/>
      <c r="P191" s="215"/>
      <c r="Q191" s="59" t="b">
        <v>1</v>
      </c>
      <c r="R191" s="129"/>
      <c r="S191" s="165"/>
      <c r="T191" s="47" t="b">
        <v>1</v>
      </c>
      <c r="U191" s="227" t="s">
        <v>2703</v>
      </c>
      <c r="V191" s="75"/>
      <c r="W191" s="75"/>
      <c r="X191" s="166"/>
      <c r="Y191" s="166"/>
      <c r="Z191" s="167"/>
      <c r="AA191" s="167"/>
    </row>
    <row r="192" spans="1:27">
      <c r="A192" s="162"/>
      <c r="B192" s="187"/>
      <c r="C192" s="132" t="s">
        <v>2702</v>
      </c>
      <c r="D192" s="66" t="s">
        <v>1337</v>
      </c>
      <c r="E192" s="66" t="s">
        <v>137</v>
      </c>
      <c r="F192" s="66" t="s">
        <v>1965</v>
      </c>
      <c r="G192" s="66" t="s">
        <v>758</v>
      </c>
      <c r="H192" s="69" t="s">
        <v>30</v>
      </c>
      <c r="I192" s="53">
        <v>10</v>
      </c>
      <c r="J192" s="70">
        <v>300</v>
      </c>
      <c r="K192" s="54">
        <f t="shared" si="2"/>
        <v>3000</v>
      </c>
      <c r="L192" s="55" t="b">
        <v>1</v>
      </c>
      <c r="M192" s="56">
        <v>281120241141</v>
      </c>
      <c r="N192" s="57" t="b">
        <v>1</v>
      </c>
      <c r="O192" s="58"/>
      <c r="P192" s="215"/>
      <c r="Q192" s="59" t="b">
        <v>1</v>
      </c>
      <c r="R192" s="129"/>
      <c r="S192" s="165"/>
      <c r="T192" s="47" t="b">
        <v>1</v>
      </c>
      <c r="U192" s="227" t="s">
        <v>2703</v>
      </c>
      <c r="V192" s="75"/>
      <c r="W192" s="75"/>
      <c r="X192" s="166"/>
      <c r="Y192" s="166"/>
      <c r="Z192" s="167"/>
      <c r="AA192" s="167"/>
    </row>
    <row r="193" spans="1:27">
      <c r="A193" s="162"/>
      <c r="B193" s="187"/>
      <c r="C193" s="132" t="s">
        <v>2702</v>
      </c>
      <c r="D193" s="66" t="s">
        <v>1337</v>
      </c>
      <c r="E193" s="66" t="s">
        <v>137</v>
      </c>
      <c r="F193" s="66" t="s">
        <v>1965</v>
      </c>
      <c r="G193" s="66" t="s">
        <v>1794</v>
      </c>
      <c r="H193" s="69" t="s">
        <v>30</v>
      </c>
      <c r="I193" s="53">
        <v>5</v>
      </c>
      <c r="J193" s="70">
        <v>100</v>
      </c>
      <c r="K193" s="54">
        <f t="shared" si="2"/>
        <v>500</v>
      </c>
      <c r="L193" s="55" t="b">
        <v>1</v>
      </c>
      <c r="M193" s="56">
        <v>281120241213</v>
      </c>
      <c r="N193" s="57" t="b">
        <v>1</v>
      </c>
      <c r="O193" s="58" t="s">
        <v>2356</v>
      </c>
      <c r="P193" s="222">
        <v>45625</v>
      </c>
      <c r="Q193" s="59" t="b">
        <v>1</v>
      </c>
      <c r="R193" s="129"/>
      <c r="S193" s="165"/>
      <c r="T193" s="47" t="b">
        <v>1</v>
      </c>
      <c r="U193" s="227" t="s">
        <v>2703</v>
      </c>
      <c r="V193" s="75"/>
      <c r="W193" s="75"/>
      <c r="X193" s="166"/>
      <c r="Y193" s="166"/>
      <c r="Z193" s="167"/>
      <c r="AA193" s="167"/>
    </row>
    <row r="194" spans="1:27">
      <c r="A194" s="162"/>
      <c r="B194" s="187"/>
      <c r="C194" s="132" t="s">
        <v>2702</v>
      </c>
      <c r="D194" s="66" t="s">
        <v>212</v>
      </c>
      <c r="E194" s="66" t="s">
        <v>311</v>
      </c>
      <c r="F194" s="66" t="s">
        <v>312</v>
      </c>
      <c r="G194" s="66" t="s">
        <v>2704</v>
      </c>
      <c r="H194" s="69" t="s">
        <v>30</v>
      </c>
      <c r="I194" s="53">
        <v>10</v>
      </c>
      <c r="J194" s="70">
        <v>550</v>
      </c>
      <c r="K194" s="54">
        <f t="shared" si="2"/>
        <v>5500</v>
      </c>
      <c r="L194" s="55" t="b">
        <v>1</v>
      </c>
      <c r="M194" s="56">
        <v>281120242045</v>
      </c>
      <c r="N194" s="57" t="b">
        <v>1</v>
      </c>
      <c r="O194" s="58" t="s">
        <v>2356</v>
      </c>
      <c r="P194" s="222">
        <v>45625</v>
      </c>
      <c r="Q194" s="59" t="b">
        <v>1</v>
      </c>
      <c r="R194" s="129"/>
      <c r="S194" s="165"/>
      <c r="T194" s="47" t="b">
        <v>1</v>
      </c>
      <c r="U194" s="227" t="s">
        <v>2705</v>
      </c>
      <c r="V194" s="75"/>
      <c r="W194" s="75"/>
      <c r="X194" s="166"/>
      <c r="Y194" s="166"/>
      <c r="Z194" s="167"/>
      <c r="AA194" s="167"/>
    </row>
    <row r="195" spans="1:27">
      <c r="A195" s="162"/>
      <c r="B195" s="187"/>
      <c r="C195" s="132" t="s">
        <v>2702</v>
      </c>
      <c r="D195" s="66" t="s">
        <v>212</v>
      </c>
      <c r="E195" s="66" t="s">
        <v>213</v>
      </c>
      <c r="F195" s="66" t="s">
        <v>2364</v>
      </c>
      <c r="G195" s="66" t="s">
        <v>1952</v>
      </c>
      <c r="H195" s="69" t="s">
        <v>30</v>
      </c>
      <c r="I195" s="53">
        <v>10</v>
      </c>
      <c r="J195" s="70">
        <v>550</v>
      </c>
      <c r="K195" s="54">
        <f t="shared" si="2"/>
        <v>5500</v>
      </c>
      <c r="L195" s="55" t="b">
        <v>1</v>
      </c>
      <c r="M195" s="56">
        <v>281120242045</v>
      </c>
      <c r="N195" s="57" t="b">
        <v>1</v>
      </c>
      <c r="O195" s="58" t="s">
        <v>2356</v>
      </c>
      <c r="P195" s="222">
        <v>45625</v>
      </c>
      <c r="Q195" s="59" t="b">
        <v>1</v>
      </c>
      <c r="R195" s="129"/>
      <c r="S195" s="165"/>
      <c r="T195" s="47" t="b">
        <v>1</v>
      </c>
      <c r="U195" s="227" t="s">
        <v>2706</v>
      </c>
      <c r="V195" s="75"/>
      <c r="W195" s="75"/>
      <c r="X195" s="166"/>
      <c r="Y195" s="166"/>
      <c r="Z195" s="167"/>
      <c r="AA195" s="167"/>
    </row>
    <row r="196" spans="1:27">
      <c r="A196" s="162"/>
      <c r="B196" s="187"/>
      <c r="C196" s="132" t="s">
        <v>2707</v>
      </c>
      <c r="D196" s="66" t="s">
        <v>171</v>
      </c>
      <c r="E196" s="66" t="s">
        <v>137</v>
      </c>
      <c r="F196" s="66" t="s">
        <v>1965</v>
      </c>
      <c r="G196" s="66" t="s">
        <v>639</v>
      </c>
      <c r="H196" s="69" t="s">
        <v>30</v>
      </c>
      <c r="I196" s="53">
        <v>48</v>
      </c>
      <c r="J196" s="70">
        <v>218</v>
      </c>
      <c r="K196" s="54">
        <f t="shared" si="2"/>
        <v>10464</v>
      </c>
      <c r="L196" s="55" t="b">
        <v>1</v>
      </c>
      <c r="M196" s="56">
        <v>291120241126</v>
      </c>
      <c r="N196" s="57" t="b">
        <v>1</v>
      </c>
      <c r="O196" s="58"/>
      <c r="P196" s="215">
        <v>45628</v>
      </c>
      <c r="Q196" s="59" t="b">
        <v>1</v>
      </c>
      <c r="R196" s="129"/>
      <c r="S196" s="165"/>
      <c r="T196" s="47" t="b">
        <v>1</v>
      </c>
      <c r="U196" s="227" t="s">
        <v>2708</v>
      </c>
      <c r="V196" s="75"/>
      <c r="W196" s="75"/>
      <c r="X196" s="166"/>
      <c r="Y196" s="166"/>
      <c r="Z196" s="167"/>
      <c r="AA196" s="167"/>
    </row>
    <row r="197" spans="1:27">
      <c r="A197" s="162"/>
      <c r="B197" s="187"/>
      <c r="C197" s="132" t="s">
        <v>2707</v>
      </c>
      <c r="D197" s="66" t="s">
        <v>55</v>
      </c>
      <c r="E197" s="66">
        <v>41</v>
      </c>
      <c r="F197" s="66" t="s">
        <v>1552</v>
      </c>
      <c r="G197" s="66" t="s">
        <v>80</v>
      </c>
      <c r="H197" s="69" t="s">
        <v>30</v>
      </c>
      <c r="I197" s="53">
        <v>20</v>
      </c>
      <c r="J197" s="70">
        <v>300</v>
      </c>
      <c r="K197" s="54">
        <f t="shared" si="2"/>
        <v>6000</v>
      </c>
      <c r="L197" s="55" t="b">
        <v>1</v>
      </c>
      <c r="M197" s="56">
        <v>291120241129</v>
      </c>
      <c r="N197" s="57" t="b">
        <v>1</v>
      </c>
      <c r="O197" s="58"/>
      <c r="P197" s="215">
        <v>45628</v>
      </c>
      <c r="Q197" s="59" t="b">
        <v>1</v>
      </c>
      <c r="R197" s="129"/>
      <c r="S197" s="165"/>
      <c r="T197" s="47" t="b">
        <v>1</v>
      </c>
      <c r="U197" s="227" t="s">
        <v>2709</v>
      </c>
      <c r="V197" s="75"/>
      <c r="W197" s="75"/>
      <c r="X197" s="166"/>
      <c r="Y197" s="166"/>
      <c r="Z197" s="167"/>
      <c r="AA197" s="167"/>
    </row>
    <row r="198" spans="1:27">
      <c r="A198" s="162"/>
      <c r="B198" s="187"/>
      <c r="C198" s="132" t="s">
        <v>2707</v>
      </c>
      <c r="D198" s="66" t="s">
        <v>51</v>
      </c>
      <c r="E198" s="66" t="s">
        <v>89</v>
      </c>
      <c r="F198" s="66" t="s">
        <v>1699</v>
      </c>
      <c r="G198" s="66" t="s">
        <v>1700</v>
      </c>
      <c r="H198" s="69" t="s">
        <v>30</v>
      </c>
      <c r="I198" s="53">
        <v>200</v>
      </c>
      <c r="J198" s="70">
        <v>15</v>
      </c>
      <c r="K198" s="54">
        <f t="shared" si="2"/>
        <v>3000</v>
      </c>
      <c r="L198" s="55" t="b">
        <v>1</v>
      </c>
      <c r="M198" s="56">
        <v>291120241129</v>
      </c>
      <c r="N198" s="57" t="b">
        <v>1</v>
      </c>
      <c r="O198" s="58" t="s">
        <v>2356</v>
      </c>
      <c r="P198" s="222">
        <v>45625</v>
      </c>
      <c r="Q198" s="59" t="b">
        <v>1</v>
      </c>
      <c r="R198" s="129"/>
      <c r="S198" s="165"/>
      <c r="T198" s="47" t="b">
        <v>1</v>
      </c>
      <c r="U198" s="227" t="s">
        <v>2710</v>
      </c>
      <c r="V198" s="75"/>
      <c r="W198" s="75"/>
      <c r="X198" s="166"/>
      <c r="Y198" s="166"/>
      <c r="Z198" s="167"/>
      <c r="AA198" s="167"/>
    </row>
    <row r="199" spans="1:27">
      <c r="A199" s="162"/>
      <c r="B199" s="187"/>
      <c r="C199" s="132" t="s">
        <v>2711</v>
      </c>
      <c r="D199" s="66" t="s">
        <v>51</v>
      </c>
      <c r="E199" s="66" t="s">
        <v>89</v>
      </c>
      <c r="F199" s="66" t="s">
        <v>1699</v>
      </c>
      <c r="G199" s="66" t="s">
        <v>2712</v>
      </c>
      <c r="H199" s="69" t="s">
        <v>30</v>
      </c>
      <c r="I199" s="53">
        <v>50</v>
      </c>
      <c r="J199" s="70">
        <v>95</v>
      </c>
      <c r="K199" s="54">
        <f t="shared" si="2"/>
        <v>4750</v>
      </c>
      <c r="L199" s="55" t="b">
        <v>1</v>
      </c>
      <c r="M199" s="56">
        <v>291120241129</v>
      </c>
      <c r="N199" s="57" t="b">
        <v>1</v>
      </c>
      <c r="O199" s="58" t="s">
        <v>2356</v>
      </c>
      <c r="P199" s="222">
        <v>45625</v>
      </c>
      <c r="Q199" s="59" t="b">
        <v>1</v>
      </c>
      <c r="R199" s="129"/>
      <c r="S199" s="165"/>
      <c r="T199" s="47" t="b">
        <v>1</v>
      </c>
      <c r="U199" s="227" t="s">
        <v>2710</v>
      </c>
      <c r="V199" s="75"/>
      <c r="W199" s="75"/>
      <c r="X199" s="166"/>
      <c r="Y199" s="166"/>
      <c r="Z199" s="167"/>
      <c r="AA199" s="167"/>
    </row>
    <row r="200" spans="1:27">
      <c r="A200" s="162"/>
      <c r="B200" s="187"/>
      <c r="C200" s="132" t="s">
        <v>2707</v>
      </c>
      <c r="D200" s="66" t="s">
        <v>418</v>
      </c>
      <c r="E200" s="66" t="s">
        <v>137</v>
      </c>
      <c r="F200" s="66" t="s">
        <v>419</v>
      </c>
      <c r="G200" s="66" t="s">
        <v>1952</v>
      </c>
      <c r="H200" s="69" t="s">
        <v>30</v>
      </c>
      <c r="I200" s="53">
        <v>10</v>
      </c>
      <c r="J200" s="70">
        <v>550</v>
      </c>
      <c r="K200" s="54">
        <f t="shared" si="2"/>
        <v>5500</v>
      </c>
      <c r="L200" s="55" t="b">
        <v>1</v>
      </c>
      <c r="M200" s="56">
        <v>291120241841</v>
      </c>
      <c r="N200" s="57" t="b">
        <v>1</v>
      </c>
      <c r="O200" s="58" t="s">
        <v>2356</v>
      </c>
      <c r="P200" s="215">
        <v>45628</v>
      </c>
      <c r="Q200" s="59" t="b">
        <v>1</v>
      </c>
      <c r="R200" s="129"/>
      <c r="S200" s="165"/>
      <c r="T200" s="47" t="b">
        <v>1</v>
      </c>
      <c r="U200" s="227" t="s">
        <v>2713</v>
      </c>
      <c r="V200" s="75"/>
      <c r="W200" s="75"/>
      <c r="X200" s="166"/>
      <c r="Y200" s="166"/>
      <c r="Z200" s="167"/>
      <c r="AA200" s="167"/>
    </row>
    <row r="201" spans="1:27" ht="16.5" customHeight="1">
      <c r="A201" s="162"/>
      <c r="B201" s="187"/>
      <c r="C201" s="132" t="s">
        <v>2707</v>
      </c>
      <c r="D201" s="66" t="s">
        <v>55</v>
      </c>
      <c r="E201" s="66">
        <v>41</v>
      </c>
      <c r="F201" s="66" t="s">
        <v>1552</v>
      </c>
      <c r="G201" s="66" t="s">
        <v>2674</v>
      </c>
      <c r="H201" s="69" t="s">
        <v>30</v>
      </c>
      <c r="I201" s="53">
        <v>1</v>
      </c>
      <c r="J201" s="70">
        <v>510</v>
      </c>
      <c r="K201" s="54">
        <f t="shared" si="2"/>
        <v>510</v>
      </c>
      <c r="L201" s="55" t="b">
        <v>1</v>
      </c>
      <c r="M201" s="56">
        <v>291120241913</v>
      </c>
      <c r="N201" s="57" t="b">
        <v>1</v>
      </c>
      <c r="O201" s="58"/>
      <c r="P201" s="215"/>
      <c r="Q201" s="59" t="b">
        <v>1</v>
      </c>
      <c r="R201" s="129"/>
      <c r="S201" s="165"/>
      <c r="T201" s="47" t="b">
        <v>1</v>
      </c>
      <c r="U201" s="227" t="s">
        <v>2709</v>
      </c>
      <c r="V201" s="75"/>
      <c r="W201" s="75"/>
      <c r="X201" s="166"/>
      <c r="Y201" s="166"/>
      <c r="Z201" s="167"/>
      <c r="AA201" s="167"/>
    </row>
    <row r="202" spans="1:27" ht="16.5" customHeight="1">
      <c r="A202" s="162"/>
      <c r="B202" s="187"/>
      <c r="C202" s="132" t="s">
        <v>2714</v>
      </c>
      <c r="D202" s="66" t="s">
        <v>890</v>
      </c>
      <c r="E202" s="66" t="s">
        <v>890</v>
      </c>
      <c r="F202" s="66" t="s">
        <v>131</v>
      </c>
      <c r="G202" s="66" t="s">
        <v>1952</v>
      </c>
      <c r="H202" s="69" t="s">
        <v>30</v>
      </c>
      <c r="I202" s="53">
        <v>10</v>
      </c>
      <c r="J202" s="70">
        <v>600</v>
      </c>
      <c r="K202" s="54">
        <f t="shared" si="2"/>
        <v>6000</v>
      </c>
      <c r="L202" s="55" t="b">
        <v>1</v>
      </c>
      <c r="M202" s="56">
        <v>301120241025</v>
      </c>
      <c r="N202" s="57" t="b">
        <v>1</v>
      </c>
      <c r="O202" s="58" t="s">
        <v>2356</v>
      </c>
      <c r="P202" s="215">
        <v>45628</v>
      </c>
      <c r="Q202" s="59" t="b">
        <v>1</v>
      </c>
      <c r="R202" s="129"/>
      <c r="S202" s="165"/>
      <c r="T202" s="47" t="b">
        <v>1</v>
      </c>
      <c r="U202" s="227" t="s">
        <v>2715</v>
      </c>
      <c r="V202" s="75"/>
      <c r="W202" s="75"/>
      <c r="X202" s="166"/>
      <c r="Y202" s="166"/>
      <c r="Z202" s="167"/>
      <c r="AA202" s="167"/>
    </row>
    <row r="203" spans="1:27" ht="16.5" customHeight="1">
      <c r="A203" s="162"/>
      <c r="B203" s="187"/>
      <c r="C203" s="132" t="s">
        <v>2714</v>
      </c>
      <c r="D203" s="66" t="s">
        <v>890</v>
      </c>
      <c r="E203" s="66" t="s">
        <v>890</v>
      </c>
      <c r="F203" s="66" t="s">
        <v>131</v>
      </c>
      <c r="G203" s="66" t="s">
        <v>2674</v>
      </c>
      <c r="H203" s="69" t="s">
        <v>30</v>
      </c>
      <c r="I203" s="53">
        <v>4</v>
      </c>
      <c r="J203" s="70">
        <v>510</v>
      </c>
      <c r="K203" s="54">
        <f t="shared" si="2"/>
        <v>2040</v>
      </c>
      <c r="L203" s="55" t="b">
        <v>1</v>
      </c>
      <c r="M203" s="56">
        <v>301120241026</v>
      </c>
      <c r="N203" s="57" t="b">
        <v>1</v>
      </c>
      <c r="O203" s="58"/>
      <c r="P203" s="215"/>
      <c r="Q203" s="59" t="b">
        <v>1</v>
      </c>
      <c r="R203" s="129"/>
      <c r="S203" s="165"/>
      <c r="T203" s="47" t="b">
        <v>1</v>
      </c>
      <c r="U203" s="227" t="s">
        <v>2715</v>
      </c>
      <c r="V203" s="75"/>
      <c r="W203" s="75"/>
      <c r="X203" s="166"/>
      <c r="Y203" s="166"/>
      <c r="Z203" s="167"/>
      <c r="AA203" s="167"/>
    </row>
    <row r="204" spans="1:27" ht="16.5" customHeight="1">
      <c r="A204" s="162"/>
      <c r="B204" s="187"/>
      <c r="C204" s="132" t="s">
        <v>2714</v>
      </c>
      <c r="D204" s="66" t="s">
        <v>418</v>
      </c>
      <c r="E204" s="66" t="s">
        <v>137</v>
      </c>
      <c r="F204" s="66" t="s">
        <v>419</v>
      </c>
      <c r="G204" s="66" t="s">
        <v>49</v>
      </c>
      <c r="H204" s="69" t="s">
        <v>30</v>
      </c>
      <c r="I204" s="53">
        <v>10</v>
      </c>
      <c r="J204" s="70">
        <v>600</v>
      </c>
      <c r="K204" s="54">
        <f t="shared" si="2"/>
        <v>6000</v>
      </c>
      <c r="L204" s="55" t="b">
        <v>1</v>
      </c>
      <c r="M204" s="56">
        <v>301120241624</v>
      </c>
      <c r="N204" s="57" t="b">
        <v>1</v>
      </c>
      <c r="O204" s="58" t="s">
        <v>2356</v>
      </c>
      <c r="P204" s="215">
        <v>45628</v>
      </c>
      <c r="Q204" s="59" t="b">
        <v>1</v>
      </c>
      <c r="R204" s="129"/>
      <c r="S204" s="165"/>
      <c r="T204" s="47" t="b">
        <v>1</v>
      </c>
      <c r="U204" s="227" t="s">
        <v>2716</v>
      </c>
      <c r="V204" s="75"/>
      <c r="W204" s="75"/>
      <c r="X204" s="166"/>
      <c r="Y204" s="166"/>
      <c r="Z204" s="167"/>
      <c r="AA204" s="167"/>
    </row>
    <row r="205" spans="1:27">
      <c r="A205" s="162"/>
      <c r="B205" s="187"/>
      <c r="C205" s="132" t="s">
        <v>2714</v>
      </c>
      <c r="D205" s="66" t="s">
        <v>418</v>
      </c>
      <c r="E205" s="66" t="s">
        <v>1069</v>
      </c>
      <c r="F205" s="66" t="s">
        <v>420</v>
      </c>
      <c r="G205" s="66" t="s">
        <v>668</v>
      </c>
      <c r="H205" s="69" t="s">
        <v>30</v>
      </c>
      <c r="I205" s="53">
        <v>5</v>
      </c>
      <c r="J205" s="70">
        <v>135</v>
      </c>
      <c r="K205" s="54">
        <f t="shared" si="2"/>
        <v>675</v>
      </c>
      <c r="L205" s="55" t="b">
        <v>1</v>
      </c>
      <c r="M205" s="56">
        <v>301120241624</v>
      </c>
      <c r="N205" s="57" t="b">
        <v>1</v>
      </c>
      <c r="O205" s="58"/>
      <c r="P205" s="215"/>
      <c r="Q205" s="59" t="b">
        <v>1</v>
      </c>
      <c r="R205" s="129"/>
      <c r="S205" s="165"/>
      <c r="T205" s="47" t="b">
        <v>1</v>
      </c>
      <c r="U205" s="227" t="s">
        <v>2717</v>
      </c>
      <c r="V205" s="75"/>
      <c r="W205" s="75"/>
      <c r="X205" s="166"/>
      <c r="Y205" s="166"/>
      <c r="Z205" s="167"/>
      <c r="AA205" s="167"/>
    </row>
    <row r="206" spans="1:27">
      <c r="A206" s="162"/>
      <c r="B206" s="187"/>
      <c r="C206" s="132" t="s">
        <v>2714</v>
      </c>
      <c r="D206" s="66" t="s">
        <v>418</v>
      </c>
      <c r="E206" s="66" t="s">
        <v>1069</v>
      </c>
      <c r="F206" s="66" t="s">
        <v>420</v>
      </c>
      <c r="G206" s="66" t="s">
        <v>374</v>
      </c>
      <c r="H206" s="69" t="s">
        <v>30</v>
      </c>
      <c r="I206" s="53">
        <v>100</v>
      </c>
      <c r="J206" s="70">
        <v>30</v>
      </c>
      <c r="K206" s="54">
        <f t="shared" si="2"/>
        <v>3000</v>
      </c>
      <c r="L206" s="55" t="b">
        <v>1</v>
      </c>
      <c r="M206" s="56">
        <v>301120241624</v>
      </c>
      <c r="N206" s="57" t="b">
        <v>1</v>
      </c>
      <c r="O206" s="58" t="s">
        <v>31</v>
      </c>
      <c r="P206" s="215"/>
      <c r="Q206" s="59" t="b">
        <v>1</v>
      </c>
      <c r="R206" s="129"/>
      <c r="S206" s="165"/>
      <c r="T206" s="47" t="b">
        <v>1</v>
      </c>
      <c r="U206" s="227" t="s">
        <v>2718</v>
      </c>
      <c r="V206" s="75"/>
      <c r="W206" s="75"/>
      <c r="X206" s="166"/>
      <c r="Y206" s="166"/>
      <c r="Z206" s="167"/>
      <c r="AA206" s="167"/>
    </row>
    <row r="207" spans="1:27">
      <c r="A207" s="162"/>
      <c r="B207" s="187"/>
      <c r="C207" s="132" t="s">
        <v>2714</v>
      </c>
      <c r="D207" s="66" t="s">
        <v>418</v>
      </c>
      <c r="E207" s="66" t="s">
        <v>1069</v>
      </c>
      <c r="F207" s="66" t="s">
        <v>420</v>
      </c>
      <c r="G207" s="66" t="s">
        <v>2719</v>
      </c>
      <c r="H207" s="69" t="s">
        <v>30</v>
      </c>
      <c r="I207" s="53">
        <v>20</v>
      </c>
      <c r="J207" s="70">
        <v>95</v>
      </c>
      <c r="K207" s="54">
        <f t="shared" si="2"/>
        <v>1900</v>
      </c>
      <c r="L207" s="55" t="b">
        <v>1</v>
      </c>
      <c r="M207" s="56">
        <v>301120241624</v>
      </c>
      <c r="N207" s="57" t="b">
        <v>1</v>
      </c>
      <c r="O207" s="58" t="s">
        <v>31</v>
      </c>
      <c r="P207" s="215"/>
      <c r="Q207" s="59" t="b">
        <v>1</v>
      </c>
      <c r="R207" s="129"/>
      <c r="S207" s="165"/>
      <c r="T207" s="47" t="b">
        <v>1</v>
      </c>
      <c r="U207" s="227" t="s">
        <v>2717</v>
      </c>
      <c r="V207" s="75"/>
      <c r="W207" s="75"/>
      <c r="X207" s="166"/>
      <c r="Y207" s="166"/>
      <c r="Z207" s="167"/>
      <c r="AA207" s="167"/>
    </row>
    <row r="208" spans="1:27">
      <c r="A208" s="162"/>
      <c r="B208" s="187"/>
      <c r="C208" s="132" t="s">
        <v>2714</v>
      </c>
      <c r="D208" s="66" t="s">
        <v>418</v>
      </c>
      <c r="E208" s="66" t="s">
        <v>1069</v>
      </c>
      <c r="F208" s="66" t="s">
        <v>420</v>
      </c>
      <c r="G208" s="66" t="s">
        <v>2720</v>
      </c>
      <c r="H208" s="69" t="s">
        <v>30</v>
      </c>
      <c r="I208" s="53">
        <v>1</v>
      </c>
      <c r="J208" s="70">
        <v>390</v>
      </c>
      <c r="K208" s="54">
        <f t="shared" si="2"/>
        <v>390</v>
      </c>
      <c r="L208" s="55" t="b">
        <v>1</v>
      </c>
      <c r="M208" s="56">
        <v>301120241624</v>
      </c>
      <c r="N208" s="57" t="b">
        <v>1</v>
      </c>
      <c r="O208" s="58" t="s">
        <v>31</v>
      </c>
      <c r="P208" s="215"/>
      <c r="Q208" s="59" t="b">
        <v>1</v>
      </c>
      <c r="R208" s="129"/>
      <c r="S208" s="165"/>
      <c r="T208" s="47" t="b">
        <v>1</v>
      </c>
      <c r="U208" s="227" t="s">
        <v>2721</v>
      </c>
      <c r="V208" s="75"/>
      <c r="W208" s="75"/>
      <c r="X208" s="166"/>
      <c r="Y208" s="166"/>
      <c r="Z208" s="167"/>
      <c r="AA208" s="167"/>
    </row>
    <row r="209" spans="1:27">
      <c r="A209" s="162"/>
      <c r="B209" s="187"/>
      <c r="C209" s="132" t="s">
        <v>2714</v>
      </c>
      <c r="D209" s="66" t="s">
        <v>418</v>
      </c>
      <c r="E209" s="66" t="s">
        <v>1069</v>
      </c>
      <c r="F209" s="66" t="s">
        <v>420</v>
      </c>
      <c r="G209" s="66" t="s">
        <v>2722</v>
      </c>
      <c r="H209" s="69" t="s">
        <v>30</v>
      </c>
      <c r="I209" s="53">
        <v>9</v>
      </c>
      <c r="J209" s="70">
        <v>375</v>
      </c>
      <c r="K209" s="54">
        <f t="shared" si="2"/>
        <v>3375</v>
      </c>
      <c r="L209" s="55" t="b">
        <v>1</v>
      </c>
      <c r="M209" s="56">
        <v>301120241624</v>
      </c>
      <c r="N209" s="57" t="b">
        <v>1</v>
      </c>
      <c r="O209" s="58"/>
      <c r="P209" s="215"/>
      <c r="Q209" s="59" t="b">
        <v>1</v>
      </c>
      <c r="R209" s="129"/>
      <c r="S209" s="165"/>
      <c r="T209" s="47" t="b">
        <v>1</v>
      </c>
      <c r="U209" s="227" t="s">
        <v>2718</v>
      </c>
      <c r="V209" s="75"/>
      <c r="W209" s="75"/>
      <c r="X209" s="166"/>
      <c r="Y209" s="166"/>
      <c r="Z209" s="167"/>
      <c r="AA209" s="167"/>
    </row>
    <row r="210" spans="1:27">
      <c r="A210" s="162"/>
      <c r="B210" s="187"/>
      <c r="C210" s="132" t="s">
        <v>2714</v>
      </c>
      <c r="D210" s="66" t="s">
        <v>51</v>
      </c>
      <c r="E210" s="66" t="s">
        <v>89</v>
      </c>
      <c r="F210" s="66" t="s">
        <v>2723</v>
      </c>
      <c r="G210" s="66" t="s">
        <v>760</v>
      </c>
      <c r="H210" s="69" t="s">
        <v>30</v>
      </c>
      <c r="I210" s="53">
        <v>5</v>
      </c>
      <c r="J210" s="70">
        <v>130</v>
      </c>
      <c r="K210" s="54">
        <f t="shared" si="2"/>
        <v>650</v>
      </c>
      <c r="L210" s="55" t="b">
        <v>1</v>
      </c>
      <c r="M210" s="56">
        <v>301120241624</v>
      </c>
      <c r="N210" s="57" t="b">
        <v>1</v>
      </c>
      <c r="O210" s="58" t="s">
        <v>2356</v>
      </c>
      <c r="P210" s="215">
        <v>45628</v>
      </c>
      <c r="Q210" s="59" t="b">
        <v>1</v>
      </c>
      <c r="R210" s="129"/>
      <c r="S210" s="165"/>
      <c r="T210" s="47" t="b">
        <v>1</v>
      </c>
      <c r="U210" s="227" t="s">
        <v>2724</v>
      </c>
      <c r="V210" s="75"/>
      <c r="W210" s="75"/>
      <c r="X210" s="166"/>
      <c r="Y210" s="166"/>
      <c r="Z210" s="167"/>
      <c r="AA210" s="167"/>
    </row>
    <row r="211" spans="1:27">
      <c r="A211" s="162"/>
      <c r="B211" s="187"/>
      <c r="C211" s="132" t="s">
        <v>2714</v>
      </c>
      <c r="D211" s="66" t="s">
        <v>51</v>
      </c>
      <c r="E211" s="66" t="s">
        <v>89</v>
      </c>
      <c r="F211" s="66" t="s">
        <v>2723</v>
      </c>
      <c r="G211" s="66" t="s">
        <v>758</v>
      </c>
      <c r="H211" s="69" t="s">
        <v>30</v>
      </c>
      <c r="I211" s="53">
        <v>5</v>
      </c>
      <c r="J211" s="70">
        <v>300</v>
      </c>
      <c r="K211" s="54">
        <f t="shared" si="2"/>
        <v>1500</v>
      </c>
      <c r="L211" s="55" t="b">
        <v>1</v>
      </c>
      <c r="M211" s="56">
        <v>301120241624</v>
      </c>
      <c r="N211" s="57" t="b">
        <v>1</v>
      </c>
      <c r="O211" s="58" t="s">
        <v>2356</v>
      </c>
      <c r="P211" s="215">
        <v>45628</v>
      </c>
      <c r="Q211" s="59" t="b">
        <v>1</v>
      </c>
      <c r="R211" s="129"/>
      <c r="S211" s="165"/>
      <c r="T211" s="47" t="b">
        <v>1</v>
      </c>
      <c r="U211" s="227" t="s">
        <v>2724</v>
      </c>
      <c r="V211" s="75"/>
      <c r="W211" s="75"/>
      <c r="X211" s="166"/>
      <c r="Y211" s="166"/>
      <c r="Z211" s="167"/>
      <c r="AA211" s="167"/>
    </row>
    <row r="212" spans="1:27">
      <c r="A212" s="162"/>
      <c r="B212" s="187"/>
      <c r="C212" s="132" t="s">
        <v>2714</v>
      </c>
      <c r="D212" s="66" t="s">
        <v>51</v>
      </c>
      <c r="E212" s="66" t="s">
        <v>89</v>
      </c>
      <c r="F212" s="66" t="s">
        <v>2723</v>
      </c>
      <c r="G212" s="66" t="s">
        <v>2725</v>
      </c>
      <c r="H212" s="69" t="s">
        <v>30</v>
      </c>
      <c r="I212" s="53">
        <v>4</v>
      </c>
      <c r="J212" s="70">
        <v>300</v>
      </c>
      <c r="K212" s="54">
        <f t="shared" si="2"/>
        <v>1200</v>
      </c>
      <c r="L212" s="55" t="b">
        <v>1</v>
      </c>
      <c r="M212" s="56">
        <v>301120241624</v>
      </c>
      <c r="N212" s="57" t="b">
        <v>1</v>
      </c>
      <c r="O212" s="58"/>
      <c r="P212" s="215"/>
      <c r="Q212" s="59" t="b">
        <v>1</v>
      </c>
      <c r="R212" s="129"/>
      <c r="S212" s="165"/>
      <c r="T212" s="47" t="b">
        <v>1</v>
      </c>
      <c r="U212" s="227" t="s">
        <v>2726</v>
      </c>
      <c r="V212" s="75"/>
      <c r="W212" s="75"/>
      <c r="X212" s="166"/>
      <c r="Y212" s="166"/>
      <c r="Z212" s="167"/>
      <c r="AA212" s="167"/>
    </row>
    <row r="213" spans="1:27">
      <c r="A213" s="162"/>
      <c r="B213" s="187"/>
      <c r="C213" s="132" t="s">
        <v>2714</v>
      </c>
      <c r="D213" s="66" t="s">
        <v>51</v>
      </c>
      <c r="E213" s="66" t="s">
        <v>89</v>
      </c>
      <c r="F213" s="66" t="s">
        <v>2723</v>
      </c>
      <c r="G213" s="66" t="s">
        <v>2727</v>
      </c>
      <c r="H213" s="69" t="s">
        <v>30</v>
      </c>
      <c r="I213" s="53">
        <v>10</v>
      </c>
      <c r="J213" s="70">
        <v>75</v>
      </c>
      <c r="K213" s="54">
        <f t="shared" si="2"/>
        <v>750</v>
      </c>
      <c r="L213" s="55" t="b">
        <v>1</v>
      </c>
      <c r="M213" s="56">
        <v>301120241624</v>
      </c>
      <c r="N213" s="57" t="b">
        <v>1</v>
      </c>
      <c r="O213" s="58"/>
      <c r="P213" s="215"/>
      <c r="Q213" s="59" t="b">
        <v>1</v>
      </c>
      <c r="R213" s="129"/>
      <c r="S213" s="165"/>
      <c r="T213" s="47" t="b">
        <v>1</v>
      </c>
      <c r="U213" s="227" t="s">
        <v>2726</v>
      </c>
      <c r="V213" s="75"/>
      <c r="W213" s="75"/>
      <c r="X213" s="166"/>
      <c r="Y213" s="166"/>
      <c r="Z213" s="167"/>
      <c r="AA213" s="167"/>
    </row>
    <row r="214" spans="1:27">
      <c r="A214" s="162"/>
      <c r="B214" s="187"/>
      <c r="C214" s="132" t="s">
        <v>2714</v>
      </c>
      <c r="D214" s="66" t="s">
        <v>104</v>
      </c>
      <c r="E214" s="66" t="s">
        <v>486</v>
      </c>
      <c r="F214" s="66" t="s">
        <v>241</v>
      </c>
      <c r="G214" s="66" t="s">
        <v>308</v>
      </c>
      <c r="H214" s="69" t="s">
        <v>30</v>
      </c>
      <c r="I214" s="53">
        <v>10</v>
      </c>
      <c r="J214" s="70">
        <v>875</v>
      </c>
      <c r="K214" s="54">
        <f t="shared" si="2"/>
        <v>8750</v>
      </c>
      <c r="L214" s="55" t="b">
        <v>1</v>
      </c>
      <c r="M214" s="56">
        <v>301120241700</v>
      </c>
      <c r="N214" s="57" t="b">
        <v>1</v>
      </c>
      <c r="O214" s="58"/>
      <c r="P214" s="215"/>
      <c r="Q214" s="59" t="b">
        <v>1</v>
      </c>
      <c r="R214" s="129"/>
      <c r="S214" s="165"/>
      <c r="T214" s="47" t="b">
        <v>1</v>
      </c>
      <c r="U214" s="227" t="s">
        <v>2728</v>
      </c>
      <c r="V214" s="75"/>
      <c r="W214" s="75"/>
      <c r="X214" s="166"/>
      <c r="Y214" s="166"/>
      <c r="Z214" s="167"/>
      <c r="AA214" s="167"/>
    </row>
    <row r="215" spans="1:27">
      <c r="A215" s="162"/>
      <c r="B215" s="187"/>
      <c r="C215" s="132" t="s">
        <v>2714</v>
      </c>
      <c r="D215" s="66" t="s">
        <v>418</v>
      </c>
      <c r="E215" s="66" t="s">
        <v>74</v>
      </c>
      <c r="F215" s="66" t="s">
        <v>420</v>
      </c>
      <c r="G215" s="66" t="s">
        <v>83</v>
      </c>
      <c r="H215" s="69" t="s">
        <v>30</v>
      </c>
      <c r="I215" s="53">
        <v>1000</v>
      </c>
      <c r="J215" s="70">
        <v>1.5</v>
      </c>
      <c r="K215" s="54">
        <f t="shared" si="2"/>
        <v>1500</v>
      </c>
      <c r="L215" s="55" t="b">
        <v>1</v>
      </c>
      <c r="M215" s="56">
        <v>301120241700</v>
      </c>
      <c r="N215" s="57" t="b">
        <v>1</v>
      </c>
      <c r="O215" s="58"/>
      <c r="P215" s="215"/>
      <c r="Q215" s="59" t="b">
        <v>1</v>
      </c>
      <c r="R215" s="129"/>
      <c r="S215" s="165"/>
      <c r="T215" s="47" t="b">
        <v>1</v>
      </c>
      <c r="U215" s="227" t="s">
        <v>2729</v>
      </c>
      <c r="V215" s="75"/>
      <c r="W215" s="75"/>
      <c r="X215" s="166"/>
      <c r="Y215" s="166"/>
      <c r="Z215" s="167"/>
      <c r="AA215" s="167"/>
    </row>
    <row r="216" spans="1:27">
      <c r="A216" s="162"/>
      <c r="B216" s="187"/>
      <c r="C216" s="132" t="s">
        <v>2714</v>
      </c>
      <c r="D216" s="66" t="s">
        <v>26</v>
      </c>
      <c r="E216" s="66" t="s">
        <v>27</v>
      </c>
      <c r="F216" s="66" t="s">
        <v>1273</v>
      </c>
      <c r="G216" s="66" t="s">
        <v>1952</v>
      </c>
      <c r="H216" s="69" t="s">
        <v>30</v>
      </c>
      <c r="I216" s="53">
        <v>10</v>
      </c>
      <c r="J216" s="70">
        <v>600</v>
      </c>
      <c r="K216" s="54">
        <f t="shared" si="2"/>
        <v>6000</v>
      </c>
      <c r="L216" s="55" t="b">
        <v>1</v>
      </c>
      <c r="M216" s="56">
        <v>301120241700</v>
      </c>
      <c r="N216" s="57" t="b">
        <v>1</v>
      </c>
      <c r="O216" s="58" t="s">
        <v>2356</v>
      </c>
      <c r="P216" s="215">
        <v>45628</v>
      </c>
      <c r="Q216" s="59" t="b">
        <v>1</v>
      </c>
      <c r="R216" s="129"/>
      <c r="S216" s="165"/>
      <c r="T216" s="47" t="b">
        <v>1</v>
      </c>
      <c r="U216" s="227" t="s">
        <v>2730</v>
      </c>
      <c r="V216" s="75"/>
      <c r="W216" s="75"/>
      <c r="X216" s="166"/>
      <c r="Y216" s="166"/>
      <c r="Z216" s="167"/>
      <c r="AA216" s="167"/>
    </row>
    <row r="217" spans="1:27">
      <c r="A217" s="162"/>
      <c r="B217" s="187"/>
      <c r="C217" s="132" t="s">
        <v>2714</v>
      </c>
      <c r="D217" s="66" t="s">
        <v>418</v>
      </c>
      <c r="E217" s="66" t="s">
        <v>84</v>
      </c>
      <c r="F217" s="66" t="s">
        <v>85</v>
      </c>
      <c r="G217" s="66" t="s">
        <v>1952</v>
      </c>
      <c r="H217" s="69" t="s">
        <v>30</v>
      </c>
      <c r="I217" s="53">
        <v>10</v>
      </c>
      <c r="J217" s="70">
        <v>600</v>
      </c>
      <c r="K217" s="54">
        <f t="shared" si="2"/>
        <v>6000</v>
      </c>
      <c r="L217" s="55" t="b">
        <v>1</v>
      </c>
      <c r="M217" s="56">
        <v>301120241700</v>
      </c>
      <c r="N217" s="57" t="b">
        <v>1</v>
      </c>
      <c r="O217" s="58" t="s">
        <v>2356</v>
      </c>
      <c r="P217" s="215">
        <v>45628</v>
      </c>
      <c r="Q217" s="59" t="b">
        <v>1</v>
      </c>
      <c r="R217" s="129"/>
      <c r="S217" s="165"/>
      <c r="T217" s="47" t="b">
        <v>1</v>
      </c>
      <c r="U217" s="227" t="s">
        <v>2731</v>
      </c>
      <c r="V217" s="75"/>
      <c r="W217" s="75"/>
      <c r="X217" s="166"/>
      <c r="Y217" s="166"/>
      <c r="Z217" s="167"/>
      <c r="AA217" s="167"/>
    </row>
    <row r="218" spans="1:27">
      <c r="A218" s="162"/>
      <c r="B218" s="187"/>
      <c r="C218" s="132" t="s">
        <v>2714</v>
      </c>
      <c r="D218" s="66" t="s">
        <v>144</v>
      </c>
      <c r="E218" s="66" t="s">
        <v>122</v>
      </c>
      <c r="F218" s="66" t="s">
        <v>2732</v>
      </c>
      <c r="G218" s="66" t="s">
        <v>1952</v>
      </c>
      <c r="H218" s="69" t="s">
        <v>30</v>
      </c>
      <c r="I218" s="66">
        <v>10</v>
      </c>
      <c r="J218" s="70">
        <v>600</v>
      </c>
      <c r="K218" s="75">
        <f t="shared" si="2"/>
        <v>6000</v>
      </c>
      <c r="L218" s="55" t="b">
        <v>1</v>
      </c>
      <c r="M218" s="154">
        <v>301120241700</v>
      </c>
      <c r="N218" s="57" t="b">
        <v>0</v>
      </c>
      <c r="O218" s="58" t="s">
        <v>2356</v>
      </c>
      <c r="P218" s="226">
        <v>45628</v>
      </c>
      <c r="Q218" s="59" t="b">
        <v>0</v>
      </c>
      <c r="R218" s="164"/>
      <c r="S218" s="165"/>
      <c r="T218" s="47" t="b">
        <v>0</v>
      </c>
      <c r="U218" s="227" t="s">
        <v>2733</v>
      </c>
      <c r="V218" s="75"/>
      <c r="W218" s="75"/>
      <c r="X218" s="166"/>
      <c r="Y218" s="166"/>
      <c r="Z218" s="167"/>
      <c r="AA218" s="167"/>
    </row>
    <row r="219" spans="1:27">
      <c r="A219" s="162"/>
      <c r="B219" s="187"/>
      <c r="C219" s="132"/>
      <c r="D219" s="66"/>
      <c r="E219" s="66"/>
      <c r="F219" s="66"/>
      <c r="G219" s="66"/>
      <c r="H219" s="69"/>
      <c r="I219" s="53"/>
      <c r="J219" s="70"/>
      <c r="K219" s="54">
        <f t="shared" si="2"/>
        <v>0</v>
      </c>
      <c r="L219" s="55" t="b">
        <v>0</v>
      </c>
      <c r="M219" s="56"/>
      <c r="N219" s="57" t="b">
        <v>0</v>
      </c>
      <c r="O219" s="58"/>
      <c r="P219" s="215"/>
      <c r="Q219" s="59" t="b">
        <v>0</v>
      </c>
      <c r="R219" s="129"/>
      <c r="S219" s="165"/>
      <c r="T219" s="47" t="b">
        <v>0</v>
      </c>
      <c r="U219" s="227"/>
      <c r="V219" s="75"/>
      <c r="W219" s="75"/>
      <c r="X219" s="166"/>
      <c r="Y219" s="166"/>
      <c r="Z219" s="167"/>
      <c r="AA219" s="167"/>
    </row>
    <row r="220" spans="1:27">
      <c r="A220" s="162"/>
      <c r="B220" s="187"/>
      <c r="C220" s="132"/>
      <c r="D220" s="66"/>
      <c r="E220" s="66"/>
      <c r="F220" s="66"/>
      <c r="G220" s="66"/>
      <c r="H220" s="69"/>
      <c r="I220" s="53"/>
      <c r="J220" s="70"/>
      <c r="K220" s="54">
        <f t="shared" si="2"/>
        <v>0</v>
      </c>
      <c r="L220" s="55" t="b">
        <v>0</v>
      </c>
      <c r="M220" s="56"/>
      <c r="N220" s="57" t="b">
        <v>0</v>
      </c>
      <c r="O220" s="58"/>
      <c r="P220" s="215"/>
      <c r="Q220" s="59" t="b">
        <v>0</v>
      </c>
      <c r="R220" s="129"/>
      <c r="S220" s="165"/>
      <c r="T220" s="47" t="b">
        <v>0</v>
      </c>
      <c r="U220" s="227"/>
      <c r="V220" s="75"/>
      <c r="W220" s="75"/>
      <c r="X220" s="166"/>
      <c r="Y220" s="166"/>
      <c r="Z220" s="167"/>
      <c r="AA220" s="167"/>
    </row>
    <row r="221" spans="1:27">
      <c r="A221" s="162"/>
      <c r="B221" s="187"/>
      <c r="C221" s="132"/>
      <c r="D221" s="66"/>
      <c r="E221" s="66"/>
      <c r="F221" s="66"/>
      <c r="G221" s="66"/>
      <c r="H221" s="69"/>
      <c r="I221" s="53"/>
      <c r="J221" s="70"/>
      <c r="K221" s="54">
        <f t="shared" si="2"/>
        <v>0</v>
      </c>
      <c r="L221" s="55" t="b">
        <v>0</v>
      </c>
      <c r="M221" s="56"/>
      <c r="N221" s="57" t="b">
        <v>0</v>
      </c>
      <c r="O221" s="58"/>
      <c r="P221" s="215"/>
      <c r="Q221" s="59" t="b">
        <v>0</v>
      </c>
      <c r="R221" s="129"/>
      <c r="S221" s="165"/>
      <c r="T221" s="47" t="b">
        <v>0</v>
      </c>
      <c r="U221" s="227"/>
      <c r="V221" s="75"/>
      <c r="W221" s="75"/>
      <c r="X221" s="166"/>
      <c r="Y221" s="166"/>
      <c r="Z221" s="167"/>
      <c r="AA221" s="167"/>
    </row>
    <row r="222" spans="1:27">
      <c r="A222" s="162"/>
      <c r="B222" s="187"/>
      <c r="C222" s="132"/>
      <c r="D222" s="66"/>
      <c r="E222" s="66"/>
      <c r="F222" s="66"/>
      <c r="G222" s="66"/>
      <c r="H222" s="69"/>
      <c r="I222" s="53"/>
      <c r="J222" s="70"/>
      <c r="K222" s="54">
        <f t="shared" si="2"/>
        <v>0</v>
      </c>
      <c r="L222" s="55" t="b">
        <v>0</v>
      </c>
      <c r="M222" s="56"/>
      <c r="N222" s="57" t="b">
        <v>0</v>
      </c>
      <c r="O222" s="58"/>
      <c r="P222" s="215"/>
      <c r="Q222" s="59" t="b">
        <v>0</v>
      </c>
      <c r="R222" s="129"/>
      <c r="S222" s="165"/>
      <c r="T222" s="47" t="b">
        <v>0</v>
      </c>
      <c r="U222" s="227"/>
      <c r="V222" s="75"/>
      <c r="W222" s="75"/>
      <c r="X222" s="166"/>
      <c r="Y222" s="166"/>
      <c r="Z222" s="167"/>
      <c r="AA222" s="167"/>
    </row>
    <row r="223" spans="1:27">
      <c r="A223" s="162"/>
      <c r="B223" s="187"/>
      <c r="C223" s="132"/>
      <c r="D223" s="66"/>
      <c r="E223" s="66"/>
      <c r="F223" s="66"/>
      <c r="G223" s="66"/>
      <c r="H223" s="69"/>
      <c r="I223" s="53"/>
      <c r="J223" s="70"/>
      <c r="K223" s="54">
        <f t="shared" si="2"/>
        <v>0</v>
      </c>
      <c r="L223" s="55" t="b">
        <v>0</v>
      </c>
      <c r="M223" s="56"/>
      <c r="N223" s="57" t="b">
        <v>0</v>
      </c>
      <c r="O223" s="58"/>
      <c r="P223" s="215"/>
      <c r="Q223" s="59" t="b">
        <v>0</v>
      </c>
      <c r="R223" s="129"/>
      <c r="S223" s="165"/>
      <c r="T223" s="47" t="b">
        <v>0</v>
      </c>
      <c r="U223" s="227"/>
      <c r="V223" s="75"/>
      <c r="W223" s="75"/>
      <c r="X223" s="166"/>
      <c r="Y223" s="166"/>
      <c r="Z223" s="167"/>
      <c r="AA223" s="167"/>
    </row>
    <row r="224" spans="1:27">
      <c r="A224" s="162"/>
      <c r="B224" s="187"/>
      <c r="C224" s="132"/>
      <c r="D224" s="66"/>
      <c r="E224" s="66"/>
      <c r="F224" s="66"/>
      <c r="G224" s="66"/>
      <c r="H224" s="69"/>
      <c r="I224" s="53"/>
      <c r="J224" s="70"/>
      <c r="K224" s="54"/>
      <c r="L224" s="55"/>
      <c r="M224" s="56"/>
      <c r="N224" s="57"/>
      <c r="O224" s="58"/>
      <c r="P224" s="215"/>
      <c r="Q224" s="59"/>
      <c r="R224" s="129"/>
      <c r="S224" s="165"/>
      <c r="T224" s="47"/>
      <c r="U224" s="227"/>
      <c r="V224" s="75"/>
      <c r="W224" s="75"/>
      <c r="X224" s="166"/>
      <c r="Y224" s="166"/>
      <c r="Z224" s="167"/>
      <c r="AA224" s="167"/>
    </row>
    <row r="225" spans="16:21">
      <c r="P225" s="225"/>
      <c r="U225" s="205"/>
    </row>
    <row r="226" spans="16:21">
      <c r="P226" s="225"/>
      <c r="U226" s="205"/>
    </row>
    <row r="227" spans="16:21">
      <c r="P227" s="225"/>
      <c r="U227" s="205"/>
    </row>
    <row r="228" spans="16:21">
      <c r="P228" s="225"/>
      <c r="U228" s="205"/>
    </row>
    <row r="229" spans="16:21">
      <c r="P229" s="225"/>
      <c r="U229" s="205"/>
    </row>
    <row r="230" spans="16:21">
      <c r="P230" s="225"/>
      <c r="U230" s="205"/>
    </row>
    <row r="231" spans="16:21">
      <c r="P231" s="225"/>
      <c r="U231" s="205"/>
    </row>
    <row r="232" spans="16:21">
      <c r="P232" s="225"/>
      <c r="U232" s="205"/>
    </row>
    <row r="233" spans="16:21">
      <c r="P233" s="225"/>
      <c r="U233" s="205"/>
    </row>
    <row r="234" spans="16:21">
      <c r="P234" s="225"/>
      <c r="U234" s="205"/>
    </row>
    <row r="235" spans="16:21">
      <c r="P235" s="225"/>
      <c r="U235" s="205"/>
    </row>
    <row r="236" spans="16:21">
      <c r="P236" s="225"/>
      <c r="U236" s="205"/>
    </row>
    <row r="237" spans="16:21">
      <c r="P237" s="225"/>
      <c r="U237" s="205"/>
    </row>
    <row r="238" spans="16:21">
      <c r="P238" s="225"/>
      <c r="U238" s="205"/>
    </row>
    <row r="239" spans="16:21">
      <c r="P239" s="225"/>
      <c r="U239" s="205"/>
    </row>
    <row r="240" spans="16:21">
      <c r="P240" s="225"/>
      <c r="U240" s="205"/>
    </row>
    <row r="241" spans="16:21">
      <c r="P241" s="225"/>
      <c r="U241" s="205"/>
    </row>
    <row r="242" spans="16:21">
      <c r="P242" s="225"/>
      <c r="U242" s="205"/>
    </row>
    <row r="243" spans="16:21">
      <c r="P243" s="225"/>
      <c r="U243" s="205"/>
    </row>
    <row r="244" spans="16:21">
      <c r="P244" s="225"/>
      <c r="U244" s="205"/>
    </row>
    <row r="245" spans="16:21">
      <c r="P245" s="225"/>
      <c r="U245" s="205"/>
    </row>
    <row r="246" spans="16:21">
      <c r="P246" s="225"/>
      <c r="U246" s="205"/>
    </row>
    <row r="247" spans="16:21">
      <c r="P247" s="225"/>
      <c r="U247" s="205"/>
    </row>
    <row r="248" spans="16:21">
      <c r="P248" s="225"/>
      <c r="U248" s="205"/>
    </row>
    <row r="249" spans="16:21">
      <c r="P249" s="225"/>
      <c r="U249" s="205"/>
    </row>
    <row r="250" spans="16:21">
      <c r="P250" s="225"/>
      <c r="U250" s="205"/>
    </row>
    <row r="251" spans="16:21">
      <c r="P251" s="225"/>
      <c r="U251" s="205"/>
    </row>
    <row r="252" spans="16:21">
      <c r="P252" s="225"/>
      <c r="U252" s="205"/>
    </row>
    <row r="253" spans="16:21">
      <c r="P253" s="225"/>
      <c r="U253" s="205"/>
    </row>
    <row r="254" spans="16:21">
      <c r="P254" s="225"/>
      <c r="U254" s="205"/>
    </row>
    <row r="255" spans="16:21">
      <c r="P255" s="225"/>
      <c r="U255" s="205"/>
    </row>
    <row r="256" spans="16:21">
      <c r="P256" s="225"/>
      <c r="U256" s="205"/>
    </row>
    <row r="257" spans="16:21">
      <c r="P257" s="225"/>
      <c r="U257" s="205"/>
    </row>
    <row r="258" spans="16:21">
      <c r="P258" s="225"/>
      <c r="U258" s="205"/>
    </row>
    <row r="259" spans="16:21">
      <c r="P259" s="225"/>
      <c r="U259" s="205"/>
    </row>
    <row r="260" spans="16:21">
      <c r="P260" s="225"/>
      <c r="U260" s="205"/>
    </row>
    <row r="261" spans="16:21">
      <c r="P261" s="225"/>
      <c r="U261" s="205"/>
    </row>
    <row r="262" spans="16:21">
      <c r="P262" s="225"/>
      <c r="U262" s="205"/>
    </row>
    <row r="263" spans="16:21">
      <c r="P263" s="225"/>
      <c r="U263" s="205"/>
    </row>
    <row r="264" spans="16:21">
      <c r="P264" s="225"/>
      <c r="U264" s="205"/>
    </row>
    <row r="265" spans="16:21">
      <c r="P265" s="225"/>
      <c r="U265" s="205"/>
    </row>
    <row r="266" spans="16:21">
      <c r="P266" s="225"/>
      <c r="U266" s="205"/>
    </row>
    <row r="267" spans="16:21">
      <c r="P267" s="225"/>
      <c r="U267" s="205"/>
    </row>
    <row r="268" spans="16:21">
      <c r="P268" s="225"/>
      <c r="U268" s="205"/>
    </row>
    <row r="269" spans="16:21">
      <c r="P269" s="225"/>
      <c r="U269" s="205"/>
    </row>
    <row r="270" spans="16:21">
      <c r="P270" s="225"/>
      <c r="U270" s="205"/>
    </row>
    <row r="271" spans="16:21">
      <c r="P271" s="225"/>
      <c r="U271" s="205"/>
    </row>
    <row r="272" spans="16:21">
      <c r="P272" s="225"/>
      <c r="U272" s="205"/>
    </row>
    <row r="273" spans="16:21">
      <c r="P273" s="225"/>
      <c r="U273" s="205"/>
    </row>
    <row r="274" spans="16:21">
      <c r="P274" s="225"/>
      <c r="U274" s="205"/>
    </row>
    <row r="275" spans="16:21">
      <c r="P275" s="225"/>
      <c r="U275" s="205"/>
    </row>
    <row r="276" spans="16:21">
      <c r="P276" s="225"/>
      <c r="U276" s="205"/>
    </row>
    <row r="277" spans="16:21">
      <c r="P277" s="225"/>
      <c r="U277" s="205"/>
    </row>
    <row r="278" spans="16:21">
      <c r="P278" s="225"/>
      <c r="U278" s="205"/>
    </row>
    <row r="279" spans="16:21">
      <c r="P279" s="225"/>
      <c r="U279" s="205"/>
    </row>
    <row r="280" spans="16:21">
      <c r="P280" s="225"/>
      <c r="U280" s="205"/>
    </row>
    <row r="281" spans="16:21">
      <c r="P281" s="225"/>
      <c r="U281" s="205"/>
    </row>
    <row r="282" spans="16:21">
      <c r="P282" s="225"/>
      <c r="U282" s="205"/>
    </row>
    <row r="283" spans="16:21">
      <c r="P283" s="225"/>
      <c r="U283" s="205"/>
    </row>
    <row r="284" spans="16:21">
      <c r="P284" s="225"/>
      <c r="U284" s="205"/>
    </row>
    <row r="285" spans="16:21">
      <c r="P285" s="225"/>
      <c r="U285" s="205"/>
    </row>
    <row r="286" spans="16:21">
      <c r="P286" s="225"/>
      <c r="U286" s="205"/>
    </row>
    <row r="287" spans="16:21">
      <c r="P287" s="225"/>
      <c r="U287" s="205"/>
    </row>
    <row r="288" spans="16:21">
      <c r="P288" s="225"/>
      <c r="U288" s="205"/>
    </row>
    <row r="289" spans="16:21">
      <c r="P289" s="225"/>
      <c r="U289" s="205"/>
    </row>
    <row r="290" spans="16:21">
      <c r="P290" s="225"/>
      <c r="U290" s="205"/>
    </row>
    <row r="291" spans="16:21">
      <c r="P291" s="225"/>
      <c r="U291" s="205"/>
    </row>
    <row r="292" spans="16:21">
      <c r="P292" s="225"/>
      <c r="U292" s="205"/>
    </row>
    <row r="293" spans="16:21">
      <c r="P293" s="225"/>
      <c r="U293" s="205"/>
    </row>
    <row r="294" spans="16:21">
      <c r="P294" s="225"/>
      <c r="U294" s="205"/>
    </row>
    <row r="295" spans="16:21">
      <c r="P295" s="225"/>
      <c r="U295" s="205"/>
    </row>
    <row r="296" spans="16:21">
      <c r="P296" s="225"/>
      <c r="U296" s="205"/>
    </row>
    <row r="297" spans="16:21">
      <c r="P297" s="225"/>
      <c r="U297" s="205"/>
    </row>
    <row r="298" spans="16:21">
      <c r="P298" s="225"/>
      <c r="U298" s="205"/>
    </row>
    <row r="299" spans="16:21">
      <c r="P299" s="225"/>
      <c r="U299" s="205"/>
    </row>
    <row r="300" spans="16:21">
      <c r="P300" s="225"/>
      <c r="U300" s="205"/>
    </row>
    <row r="301" spans="16:21">
      <c r="P301" s="225"/>
      <c r="U301" s="205"/>
    </row>
    <row r="302" spans="16:21">
      <c r="P302" s="225"/>
      <c r="U302" s="205"/>
    </row>
    <row r="303" spans="16:21">
      <c r="P303" s="225"/>
      <c r="U303" s="205"/>
    </row>
    <row r="304" spans="16:21">
      <c r="P304" s="225"/>
      <c r="U304" s="205"/>
    </row>
    <row r="305" spans="16:21">
      <c r="P305" s="225"/>
      <c r="U305" s="205"/>
    </row>
    <row r="306" spans="16:21">
      <c r="P306" s="225"/>
      <c r="U306" s="205"/>
    </row>
    <row r="307" spans="16:21">
      <c r="P307" s="225"/>
      <c r="U307" s="205"/>
    </row>
    <row r="308" spans="16:21">
      <c r="P308" s="225"/>
      <c r="U308" s="205"/>
    </row>
    <row r="309" spans="16:21">
      <c r="P309" s="225"/>
      <c r="U309" s="205"/>
    </row>
    <row r="310" spans="16:21">
      <c r="P310" s="225"/>
      <c r="U310" s="205"/>
    </row>
    <row r="311" spans="16:21">
      <c r="P311" s="225"/>
      <c r="U311" s="205"/>
    </row>
    <row r="312" spans="16:21">
      <c r="P312" s="225"/>
      <c r="U312" s="205"/>
    </row>
    <row r="313" spans="16:21">
      <c r="P313" s="225"/>
      <c r="U313" s="205"/>
    </row>
    <row r="314" spans="16:21">
      <c r="P314" s="225"/>
      <c r="U314" s="205"/>
    </row>
    <row r="315" spans="16:21">
      <c r="P315" s="225"/>
      <c r="U315" s="205"/>
    </row>
    <row r="316" spans="16:21">
      <c r="P316" s="225"/>
      <c r="U316" s="205"/>
    </row>
    <row r="317" spans="16:21">
      <c r="P317" s="225"/>
      <c r="U317" s="205"/>
    </row>
    <row r="318" spans="16:21">
      <c r="P318" s="225"/>
      <c r="U318" s="205"/>
    </row>
    <row r="319" spans="16:21">
      <c r="P319" s="225"/>
      <c r="U319" s="205"/>
    </row>
    <row r="320" spans="16:21">
      <c r="P320" s="225"/>
      <c r="U320" s="205"/>
    </row>
    <row r="321" spans="16:21">
      <c r="P321" s="225"/>
      <c r="U321" s="205"/>
    </row>
    <row r="322" spans="16:21">
      <c r="P322" s="225"/>
      <c r="U322" s="205"/>
    </row>
    <row r="323" spans="16:21">
      <c r="P323" s="225"/>
      <c r="U323" s="205"/>
    </row>
    <row r="324" spans="16:21">
      <c r="P324" s="225"/>
      <c r="U324" s="205"/>
    </row>
    <row r="325" spans="16:21">
      <c r="P325" s="225"/>
      <c r="U325" s="205"/>
    </row>
    <row r="326" spans="16:21">
      <c r="P326" s="225"/>
      <c r="U326" s="205"/>
    </row>
    <row r="327" spans="16:21">
      <c r="P327" s="225"/>
      <c r="U327" s="205"/>
    </row>
    <row r="328" spans="16:21">
      <c r="P328" s="225"/>
      <c r="U328" s="205"/>
    </row>
    <row r="329" spans="16:21">
      <c r="P329" s="225"/>
      <c r="U329" s="205"/>
    </row>
    <row r="330" spans="16:21">
      <c r="P330" s="225"/>
      <c r="U330" s="205"/>
    </row>
    <row r="331" spans="16:21">
      <c r="P331" s="225"/>
      <c r="U331" s="205"/>
    </row>
    <row r="332" spans="16:21">
      <c r="P332" s="225"/>
      <c r="U332" s="205"/>
    </row>
    <row r="333" spans="16:21">
      <c r="P333" s="225"/>
      <c r="U333" s="205"/>
    </row>
    <row r="334" spans="16:21">
      <c r="P334" s="225"/>
      <c r="U334" s="205"/>
    </row>
    <row r="335" spans="16:21">
      <c r="P335" s="225"/>
      <c r="U335" s="205"/>
    </row>
    <row r="336" spans="16:21">
      <c r="P336" s="225"/>
      <c r="U336" s="205"/>
    </row>
    <row r="337" spans="16:21">
      <c r="P337" s="225"/>
      <c r="U337" s="205"/>
    </row>
    <row r="338" spans="16:21">
      <c r="P338" s="225"/>
      <c r="U338" s="205"/>
    </row>
    <row r="339" spans="16:21">
      <c r="P339" s="225"/>
      <c r="U339" s="205"/>
    </row>
    <row r="340" spans="16:21">
      <c r="P340" s="225"/>
      <c r="U340" s="205"/>
    </row>
    <row r="341" spans="16:21">
      <c r="P341" s="225"/>
      <c r="U341" s="205"/>
    </row>
    <row r="342" spans="16:21">
      <c r="P342" s="225"/>
      <c r="U342" s="205"/>
    </row>
    <row r="343" spans="16:21">
      <c r="P343" s="225"/>
      <c r="U343" s="205"/>
    </row>
    <row r="344" spans="16:21">
      <c r="P344" s="225"/>
      <c r="U344" s="205"/>
    </row>
    <row r="345" spans="16:21">
      <c r="P345" s="225"/>
      <c r="U345" s="205"/>
    </row>
    <row r="346" spans="16:21">
      <c r="P346" s="225"/>
      <c r="U346" s="205"/>
    </row>
    <row r="347" spans="16:21">
      <c r="P347" s="225"/>
      <c r="U347" s="205"/>
    </row>
    <row r="348" spans="16:21">
      <c r="P348" s="225"/>
      <c r="U348" s="205"/>
    </row>
    <row r="349" spans="16:21">
      <c r="P349" s="225"/>
      <c r="U349" s="205"/>
    </row>
    <row r="350" spans="16:21">
      <c r="P350" s="225"/>
      <c r="U350" s="205"/>
    </row>
    <row r="351" spans="16:21">
      <c r="P351" s="225"/>
      <c r="U351" s="205"/>
    </row>
    <row r="352" spans="16:21">
      <c r="P352" s="225"/>
      <c r="U352" s="205"/>
    </row>
    <row r="353" spans="16:21">
      <c r="P353" s="225"/>
      <c r="U353" s="205"/>
    </row>
    <row r="354" spans="16:21">
      <c r="P354" s="225"/>
      <c r="U354" s="205"/>
    </row>
    <row r="355" spans="16:21">
      <c r="P355" s="225"/>
      <c r="U355" s="205"/>
    </row>
    <row r="356" spans="16:21">
      <c r="P356" s="225"/>
      <c r="U356" s="205"/>
    </row>
    <row r="357" spans="16:21">
      <c r="P357" s="225"/>
      <c r="U357" s="205"/>
    </row>
    <row r="358" spans="16:21">
      <c r="P358" s="225"/>
      <c r="U358" s="205"/>
    </row>
    <row r="359" spans="16:21">
      <c r="P359" s="225"/>
      <c r="U359" s="205"/>
    </row>
    <row r="360" spans="16:21">
      <c r="P360" s="225"/>
      <c r="U360" s="205"/>
    </row>
    <row r="361" spans="16:21">
      <c r="P361" s="225"/>
      <c r="U361" s="205"/>
    </row>
    <row r="362" spans="16:21">
      <c r="P362" s="225"/>
      <c r="U362" s="205"/>
    </row>
    <row r="363" spans="16:21">
      <c r="P363" s="225"/>
      <c r="U363" s="205"/>
    </row>
    <row r="364" spans="16:21">
      <c r="P364" s="225"/>
      <c r="U364" s="205"/>
    </row>
    <row r="365" spans="16:21">
      <c r="P365" s="225"/>
      <c r="U365" s="205"/>
    </row>
    <row r="366" spans="16:21">
      <c r="P366" s="225"/>
      <c r="U366" s="205"/>
    </row>
    <row r="367" spans="16:21">
      <c r="P367" s="225"/>
      <c r="U367" s="205"/>
    </row>
    <row r="368" spans="16:21">
      <c r="P368" s="225"/>
      <c r="U368" s="205"/>
    </row>
    <row r="369" spans="16:21">
      <c r="P369" s="225"/>
      <c r="U369" s="205"/>
    </row>
    <row r="370" spans="16:21">
      <c r="P370" s="225"/>
      <c r="U370" s="205"/>
    </row>
    <row r="371" spans="16:21">
      <c r="P371" s="225"/>
      <c r="U371" s="205"/>
    </row>
    <row r="372" spans="16:21">
      <c r="P372" s="225"/>
      <c r="U372" s="205"/>
    </row>
    <row r="373" spans="16:21">
      <c r="P373" s="225"/>
      <c r="U373" s="205"/>
    </row>
    <row r="374" spans="16:21">
      <c r="P374" s="225"/>
      <c r="U374" s="205"/>
    </row>
    <row r="375" spans="16:21">
      <c r="P375" s="225"/>
      <c r="U375" s="205"/>
    </row>
    <row r="376" spans="16:21">
      <c r="P376" s="225"/>
      <c r="U376" s="205"/>
    </row>
    <row r="377" spans="16:21">
      <c r="P377" s="225"/>
      <c r="U377" s="205"/>
    </row>
    <row r="378" spans="16:21">
      <c r="P378" s="225"/>
      <c r="U378" s="205"/>
    </row>
    <row r="379" spans="16:21">
      <c r="P379" s="225"/>
      <c r="U379" s="205"/>
    </row>
    <row r="380" spans="16:21">
      <c r="P380" s="225"/>
      <c r="U380" s="205"/>
    </row>
    <row r="381" spans="16:21">
      <c r="P381" s="225"/>
      <c r="U381" s="205"/>
    </row>
    <row r="382" spans="16:21">
      <c r="P382" s="225"/>
      <c r="U382" s="205"/>
    </row>
    <row r="383" spans="16:21">
      <c r="P383" s="225"/>
      <c r="U383" s="205"/>
    </row>
    <row r="384" spans="16:21">
      <c r="P384" s="225"/>
      <c r="U384" s="205"/>
    </row>
    <row r="385" spans="16:21">
      <c r="P385" s="225"/>
      <c r="U385" s="205"/>
    </row>
    <row r="386" spans="16:21">
      <c r="P386" s="225"/>
      <c r="U386" s="205"/>
    </row>
    <row r="387" spans="16:21">
      <c r="P387" s="225"/>
      <c r="U387" s="205"/>
    </row>
    <row r="388" spans="16:21">
      <c r="P388" s="225"/>
      <c r="U388" s="205"/>
    </row>
    <row r="389" spans="16:21">
      <c r="P389" s="225"/>
      <c r="U389" s="205"/>
    </row>
    <row r="390" spans="16:21">
      <c r="P390" s="225"/>
      <c r="U390" s="205"/>
    </row>
    <row r="391" spans="16:21">
      <c r="P391" s="225"/>
      <c r="U391" s="205"/>
    </row>
    <row r="392" spans="16:21">
      <c r="P392" s="225"/>
      <c r="U392" s="205"/>
    </row>
    <row r="393" spans="16:21">
      <c r="P393" s="225"/>
      <c r="U393" s="205"/>
    </row>
    <row r="394" spans="16:21">
      <c r="P394" s="225"/>
      <c r="U394" s="205"/>
    </row>
    <row r="395" spans="16:21">
      <c r="P395" s="225"/>
      <c r="U395" s="205"/>
    </row>
    <row r="396" spans="16:21">
      <c r="P396" s="225"/>
      <c r="U396" s="205"/>
    </row>
    <row r="397" spans="16:21">
      <c r="P397" s="225"/>
      <c r="U397" s="205"/>
    </row>
    <row r="398" spans="16:21">
      <c r="P398" s="225"/>
      <c r="U398" s="205"/>
    </row>
    <row r="399" spans="16:21">
      <c r="P399" s="225"/>
      <c r="U399" s="205"/>
    </row>
    <row r="400" spans="16:21">
      <c r="P400" s="225"/>
      <c r="U400" s="205"/>
    </row>
    <row r="401" spans="16:21">
      <c r="P401" s="225"/>
      <c r="U401" s="205"/>
    </row>
    <row r="402" spans="16:21">
      <c r="P402" s="225"/>
      <c r="U402" s="205"/>
    </row>
    <row r="403" spans="16:21">
      <c r="P403" s="225"/>
      <c r="U403" s="205"/>
    </row>
    <row r="404" spans="16:21">
      <c r="P404" s="225"/>
      <c r="U404" s="205"/>
    </row>
    <row r="405" spans="16:21">
      <c r="P405" s="225"/>
      <c r="U405" s="205"/>
    </row>
    <row r="406" spans="16:21">
      <c r="P406" s="225"/>
      <c r="U406" s="205"/>
    </row>
    <row r="407" spans="16:21">
      <c r="P407" s="225"/>
      <c r="U407" s="205"/>
    </row>
    <row r="408" spans="16:21">
      <c r="P408" s="225"/>
      <c r="U408" s="205"/>
    </row>
    <row r="409" spans="16:21">
      <c r="P409" s="225"/>
      <c r="U409" s="205"/>
    </row>
    <row r="410" spans="16:21">
      <c r="P410" s="225"/>
      <c r="U410" s="205"/>
    </row>
    <row r="411" spans="16:21">
      <c r="P411" s="225"/>
      <c r="U411" s="205"/>
    </row>
    <row r="412" spans="16:21">
      <c r="P412" s="225"/>
      <c r="U412" s="205"/>
    </row>
    <row r="413" spans="16:21">
      <c r="P413" s="225"/>
      <c r="U413" s="205"/>
    </row>
    <row r="414" spans="16:21">
      <c r="P414" s="225"/>
      <c r="U414" s="205"/>
    </row>
    <row r="415" spans="16:21">
      <c r="P415" s="225"/>
      <c r="U415" s="205"/>
    </row>
    <row r="416" spans="16:21">
      <c r="P416" s="225"/>
      <c r="U416" s="205"/>
    </row>
    <row r="417" spans="16:21">
      <c r="P417" s="225"/>
      <c r="U417" s="205"/>
    </row>
    <row r="418" spans="16:21">
      <c r="P418" s="225"/>
      <c r="U418" s="205"/>
    </row>
    <row r="419" spans="16:21">
      <c r="P419" s="225"/>
      <c r="U419" s="205"/>
    </row>
    <row r="420" spans="16:21">
      <c r="P420" s="225"/>
      <c r="U420" s="205"/>
    </row>
    <row r="421" spans="16:21">
      <c r="P421" s="225"/>
      <c r="U421" s="205"/>
    </row>
    <row r="422" spans="16:21">
      <c r="P422" s="225"/>
      <c r="U422" s="205"/>
    </row>
    <row r="423" spans="16:21">
      <c r="P423" s="225"/>
      <c r="U423" s="205"/>
    </row>
    <row r="424" spans="16:21">
      <c r="P424" s="225"/>
      <c r="U424" s="205"/>
    </row>
    <row r="425" spans="16:21">
      <c r="P425" s="225"/>
      <c r="U425" s="205"/>
    </row>
    <row r="426" spans="16:21">
      <c r="P426" s="225"/>
      <c r="U426" s="205"/>
    </row>
    <row r="427" spans="16:21">
      <c r="P427" s="225"/>
      <c r="U427" s="205"/>
    </row>
    <row r="428" spans="16:21">
      <c r="P428" s="225"/>
      <c r="U428" s="205"/>
    </row>
    <row r="429" spans="16:21">
      <c r="P429" s="225"/>
      <c r="U429" s="205"/>
    </row>
    <row r="430" spans="16:21">
      <c r="P430" s="225"/>
      <c r="U430" s="205"/>
    </row>
    <row r="431" spans="16:21">
      <c r="P431" s="225"/>
      <c r="U431" s="205"/>
    </row>
    <row r="432" spans="16:21">
      <c r="P432" s="225"/>
      <c r="U432" s="205"/>
    </row>
    <row r="433" spans="16:21">
      <c r="P433" s="225"/>
      <c r="U433" s="205"/>
    </row>
    <row r="434" spans="16:21">
      <c r="P434" s="225"/>
      <c r="U434" s="205"/>
    </row>
    <row r="435" spans="16:21">
      <c r="P435" s="225"/>
      <c r="U435" s="205"/>
    </row>
    <row r="436" spans="16:21">
      <c r="P436" s="225"/>
      <c r="U436" s="205"/>
    </row>
    <row r="437" spans="16:21">
      <c r="P437" s="225"/>
      <c r="U437" s="205"/>
    </row>
    <row r="438" spans="16:21">
      <c r="P438" s="225"/>
      <c r="U438" s="205"/>
    </row>
    <row r="439" spans="16:21">
      <c r="P439" s="225"/>
      <c r="U439" s="205"/>
    </row>
    <row r="440" spans="16:21">
      <c r="P440" s="225"/>
      <c r="U440" s="205"/>
    </row>
    <row r="441" spans="16:21">
      <c r="P441" s="225"/>
      <c r="U441" s="205"/>
    </row>
    <row r="442" spans="16:21">
      <c r="P442" s="225"/>
      <c r="U442" s="205"/>
    </row>
    <row r="443" spans="16:21">
      <c r="P443" s="225"/>
      <c r="U443" s="205"/>
    </row>
    <row r="444" spans="16:21">
      <c r="P444" s="225"/>
      <c r="U444" s="205"/>
    </row>
    <row r="445" spans="16:21">
      <c r="P445" s="225"/>
      <c r="U445" s="205"/>
    </row>
    <row r="446" spans="16:21">
      <c r="P446" s="225"/>
      <c r="U446" s="205"/>
    </row>
    <row r="447" spans="16:21">
      <c r="P447" s="225"/>
      <c r="U447" s="205"/>
    </row>
    <row r="448" spans="16:21">
      <c r="P448" s="225"/>
      <c r="U448" s="205"/>
    </row>
    <row r="449" spans="16:21">
      <c r="P449" s="225"/>
      <c r="U449" s="205"/>
    </row>
    <row r="450" spans="16:21">
      <c r="P450" s="225"/>
      <c r="U450" s="205"/>
    </row>
    <row r="451" spans="16:21">
      <c r="P451" s="225"/>
      <c r="U451" s="205"/>
    </row>
    <row r="452" spans="16:21">
      <c r="P452" s="225"/>
      <c r="U452" s="205"/>
    </row>
    <row r="453" spans="16:21">
      <c r="P453" s="225"/>
      <c r="U453" s="205"/>
    </row>
    <row r="454" spans="16:21">
      <c r="P454" s="225"/>
      <c r="U454" s="205"/>
    </row>
    <row r="455" spans="16:21">
      <c r="P455" s="225"/>
      <c r="U455" s="205"/>
    </row>
    <row r="456" spans="16:21">
      <c r="P456" s="225"/>
      <c r="U456" s="205"/>
    </row>
    <row r="457" spans="16:21">
      <c r="P457" s="225"/>
      <c r="U457" s="205"/>
    </row>
    <row r="458" spans="16:21">
      <c r="P458" s="225"/>
      <c r="U458" s="205"/>
    </row>
    <row r="459" spans="16:21">
      <c r="P459" s="225"/>
      <c r="U459" s="205"/>
    </row>
    <row r="460" spans="16:21">
      <c r="P460" s="225"/>
      <c r="U460" s="205"/>
    </row>
    <row r="461" spans="16:21">
      <c r="P461" s="225"/>
      <c r="U461" s="205"/>
    </row>
    <row r="462" spans="16:21">
      <c r="P462" s="225"/>
      <c r="U462" s="205"/>
    </row>
    <row r="463" spans="16:21">
      <c r="P463" s="225"/>
      <c r="U463" s="205"/>
    </row>
    <row r="464" spans="16:21">
      <c r="P464" s="225"/>
      <c r="U464" s="205"/>
    </row>
    <row r="465" spans="16:21">
      <c r="P465" s="225"/>
      <c r="U465" s="205"/>
    </row>
    <row r="466" spans="16:21">
      <c r="P466" s="225"/>
      <c r="U466" s="205"/>
    </row>
    <row r="467" spans="16:21">
      <c r="P467" s="225"/>
      <c r="U467" s="205"/>
    </row>
    <row r="468" spans="16:21">
      <c r="P468" s="225"/>
      <c r="U468" s="205"/>
    </row>
    <row r="469" spans="16:21">
      <c r="P469" s="225"/>
      <c r="U469" s="205"/>
    </row>
    <row r="470" spans="16:21">
      <c r="P470" s="225"/>
      <c r="U470" s="205"/>
    </row>
    <row r="471" spans="16:21">
      <c r="P471" s="225"/>
      <c r="U471" s="205"/>
    </row>
    <row r="472" spans="16:21">
      <c r="P472" s="225"/>
      <c r="U472" s="205"/>
    </row>
    <row r="473" spans="16:21">
      <c r="P473" s="225"/>
      <c r="U473" s="205"/>
    </row>
    <row r="474" spans="16:21">
      <c r="P474" s="225"/>
      <c r="U474" s="205"/>
    </row>
    <row r="475" spans="16:21">
      <c r="P475" s="225"/>
      <c r="U475" s="205"/>
    </row>
    <row r="476" spans="16:21">
      <c r="P476" s="225"/>
      <c r="U476" s="205"/>
    </row>
    <row r="477" spans="16:21">
      <c r="P477" s="225"/>
      <c r="U477" s="205"/>
    </row>
    <row r="478" spans="16:21">
      <c r="P478" s="225"/>
      <c r="U478" s="205"/>
    </row>
    <row r="479" spans="16:21">
      <c r="P479" s="225"/>
      <c r="U479" s="205"/>
    </row>
    <row r="480" spans="16:21">
      <c r="P480" s="225"/>
      <c r="U480" s="205"/>
    </row>
    <row r="481" spans="16:21">
      <c r="P481" s="225"/>
      <c r="U481" s="205"/>
    </row>
    <row r="482" spans="16:21">
      <c r="P482" s="225"/>
      <c r="U482" s="205"/>
    </row>
    <row r="483" spans="16:21">
      <c r="P483" s="225"/>
      <c r="U483" s="205"/>
    </row>
    <row r="484" spans="16:21">
      <c r="P484" s="225"/>
      <c r="U484" s="205"/>
    </row>
    <row r="485" spans="16:21">
      <c r="P485" s="225"/>
      <c r="U485" s="205"/>
    </row>
    <row r="486" spans="16:21">
      <c r="P486" s="225"/>
      <c r="U486" s="205"/>
    </row>
    <row r="487" spans="16:21">
      <c r="P487" s="225"/>
      <c r="U487" s="205"/>
    </row>
    <row r="488" spans="16:21">
      <c r="P488" s="225"/>
      <c r="U488" s="205"/>
    </row>
    <row r="489" spans="16:21">
      <c r="P489" s="225"/>
      <c r="U489" s="205"/>
    </row>
    <row r="490" spans="16:21">
      <c r="P490" s="225"/>
      <c r="U490" s="205"/>
    </row>
    <row r="491" spans="16:21">
      <c r="P491" s="225"/>
      <c r="U491" s="205"/>
    </row>
    <row r="492" spans="16:21">
      <c r="P492" s="225"/>
      <c r="U492" s="205"/>
    </row>
    <row r="493" spans="16:21">
      <c r="P493" s="225"/>
      <c r="U493" s="205"/>
    </row>
    <row r="494" spans="16:21">
      <c r="P494" s="225"/>
      <c r="U494" s="205"/>
    </row>
    <row r="495" spans="16:21">
      <c r="P495" s="225"/>
      <c r="U495" s="205"/>
    </row>
    <row r="496" spans="16:21">
      <c r="P496" s="225"/>
      <c r="U496" s="205"/>
    </row>
    <row r="497" spans="16:21">
      <c r="P497" s="225"/>
      <c r="U497" s="205"/>
    </row>
    <row r="498" spans="16:21">
      <c r="P498" s="225"/>
      <c r="U498" s="205"/>
    </row>
    <row r="499" spans="16:21">
      <c r="P499" s="225"/>
      <c r="U499" s="205"/>
    </row>
    <row r="500" spans="16:21">
      <c r="P500" s="225"/>
      <c r="U500" s="205"/>
    </row>
    <row r="501" spans="16:21">
      <c r="P501" s="225"/>
      <c r="U501" s="205"/>
    </row>
    <row r="502" spans="16:21">
      <c r="P502" s="225"/>
      <c r="U502" s="205"/>
    </row>
    <row r="503" spans="16:21">
      <c r="P503" s="225"/>
      <c r="U503" s="205"/>
    </row>
    <row r="504" spans="16:21">
      <c r="P504" s="225"/>
      <c r="U504" s="205"/>
    </row>
    <row r="505" spans="16:21">
      <c r="P505" s="225"/>
      <c r="U505" s="205"/>
    </row>
    <row r="506" spans="16:21">
      <c r="P506" s="225"/>
      <c r="U506" s="205"/>
    </row>
    <row r="507" spans="16:21">
      <c r="P507" s="225"/>
      <c r="U507" s="205"/>
    </row>
    <row r="508" spans="16:21">
      <c r="P508" s="225"/>
      <c r="U508" s="205"/>
    </row>
    <row r="509" spans="16:21">
      <c r="P509" s="225"/>
      <c r="U509" s="205"/>
    </row>
    <row r="510" spans="16:21">
      <c r="P510" s="225"/>
      <c r="U510" s="205"/>
    </row>
    <row r="511" spans="16:21">
      <c r="P511" s="225"/>
      <c r="U511" s="205"/>
    </row>
    <row r="512" spans="16:21">
      <c r="P512" s="225"/>
      <c r="U512" s="205"/>
    </row>
    <row r="513" spans="16:21">
      <c r="P513" s="225"/>
      <c r="U513" s="205"/>
    </row>
    <row r="514" spans="16:21">
      <c r="P514" s="225"/>
      <c r="U514" s="205"/>
    </row>
    <row r="515" spans="16:21">
      <c r="P515" s="225"/>
      <c r="U515" s="205"/>
    </row>
    <row r="516" spans="16:21">
      <c r="P516" s="225"/>
      <c r="U516" s="205"/>
    </row>
    <row r="517" spans="16:21">
      <c r="P517" s="225"/>
      <c r="U517" s="205"/>
    </row>
    <row r="518" spans="16:21">
      <c r="P518" s="225"/>
      <c r="U518" s="205"/>
    </row>
    <row r="519" spans="16:21">
      <c r="P519" s="225"/>
      <c r="U519" s="205"/>
    </row>
    <row r="520" spans="16:21">
      <c r="P520" s="225"/>
      <c r="U520" s="205"/>
    </row>
    <row r="521" spans="16:21">
      <c r="P521" s="225"/>
      <c r="U521" s="205"/>
    </row>
    <row r="522" spans="16:21">
      <c r="P522" s="225"/>
      <c r="U522" s="205"/>
    </row>
    <row r="523" spans="16:21">
      <c r="P523" s="225"/>
      <c r="U523" s="205"/>
    </row>
    <row r="524" spans="16:21">
      <c r="P524" s="225"/>
      <c r="U524" s="205"/>
    </row>
    <row r="525" spans="16:21">
      <c r="P525" s="225"/>
      <c r="U525" s="205"/>
    </row>
    <row r="526" spans="16:21">
      <c r="P526" s="225"/>
      <c r="U526" s="205"/>
    </row>
    <row r="527" spans="16:21">
      <c r="P527" s="225"/>
      <c r="U527" s="205"/>
    </row>
    <row r="528" spans="16:21">
      <c r="P528" s="225"/>
      <c r="U528" s="205"/>
    </row>
    <row r="529" spans="16:21">
      <c r="P529" s="225"/>
      <c r="U529" s="205"/>
    </row>
    <row r="530" spans="16:21">
      <c r="P530" s="225"/>
      <c r="U530" s="205"/>
    </row>
    <row r="531" spans="16:21">
      <c r="P531" s="225"/>
      <c r="U531" s="205"/>
    </row>
    <row r="532" spans="16:21">
      <c r="P532" s="225"/>
      <c r="U532" s="205"/>
    </row>
    <row r="533" spans="16:21">
      <c r="P533" s="225"/>
      <c r="U533" s="205"/>
    </row>
    <row r="534" spans="16:21">
      <c r="P534" s="225"/>
      <c r="U534" s="205"/>
    </row>
    <row r="535" spans="16:21">
      <c r="P535" s="225"/>
      <c r="U535" s="205"/>
    </row>
    <row r="536" spans="16:21">
      <c r="P536" s="225"/>
      <c r="U536" s="205"/>
    </row>
    <row r="537" spans="16:21">
      <c r="P537" s="225"/>
      <c r="U537" s="205"/>
    </row>
    <row r="538" spans="16:21">
      <c r="P538" s="225"/>
      <c r="U538" s="205"/>
    </row>
    <row r="539" spans="16:21">
      <c r="P539" s="225"/>
      <c r="U539" s="205"/>
    </row>
    <row r="540" spans="16:21">
      <c r="P540" s="225"/>
      <c r="U540" s="205"/>
    </row>
    <row r="541" spans="16:21">
      <c r="P541" s="225"/>
      <c r="U541" s="205"/>
    </row>
    <row r="542" spans="16:21">
      <c r="P542" s="225"/>
      <c r="U542" s="205"/>
    </row>
    <row r="543" spans="16:21">
      <c r="P543" s="225"/>
      <c r="U543" s="205"/>
    </row>
    <row r="544" spans="16:21">
      <c r="P544" s="225"/>
      <c r="U544" s="205"/>
    </row>
    <row r="545" spans="16:21">
      <c r="P545" s="225"/>
      <c r="U545" s="205"/>
    </row>
    <row r="546" spans="16:21">
      <c r="P546" s="225"/>
      <c r="U546" s="205"/>
    </row>
    <row r="547" spans="16:21">
      <c r="P547" s="225"/>
      <c r="U547" s="205"/>
    </row>
    <row r="548" spans="16:21">
      <c r="P548" s="225"/>
      <c r="U548" s="205"/>
    </row>
    <row r="549" spans="16:21">
      <c r="P549" s="225"/>
      <c r="U549" s="205"/>
    </row>
    <row r="550" spans="16:21">
      <c r="P550" s="225"/>
      <c r="U550" s="205"/>
    </row>
    <row r="551" spans="16:21">
      <c r="P551" s="225"/>
      <c r="U551" s="205"/>
    </row>
    <row r="552" spans="16:21">
      <c r="P552" s="225"/>
      <c r="U552" s="205"/>
    </row>
    <row r="553" spans="16:21">
      <c r="P553" s="225"/>
      <c r="U553" s="205"/>
    </row>
    <row r="554" spans="16:21">
      <c r="P554" s="225"/>
      <c r="U554" s="205"/>
    </row>
    <row r="555" spans="16:21">
      <c r="P555" s="225"/>
      <c r="U555" s="205"/>
    </row>
    <row r="556" spans="16:21">
      <c r="P556" s="225"/>
      <c r="U556" s="205"/>
    </row>
    <row r="557" spans="16:21">
      <c r="P557" s="225"/>
      <c r="U557" s="205"/>
    </row>
    <row r="558" spans="16:21">
      <c r="P558" s="225"/>
      <c r="U558" s="205"/>
    </row>
    <row r="559" spans="16:21">
      <c r="P559" s="225"/>
      <c r="U559" s="205"/>
    </row>
    <row r="560" spans="16:21">
      <c r="P560" s="225"/>
      <c r="U560" s="205"/>
    </row>
    <row r="561" spans="16:21">
      <c r="P561" s="225"/>
      <c r="U561" s="205"/>
    </row>
    <row r="562" spans="16:21">
      <c r="P562" s="225"/>
      <c r="U562" s="205"/>
    </row>
    <row r="563" spans="16:21">
      <c r="P563" s="225"/>
      <c r="U563" s="205"/>
    </row>
    <row r="564" spans="16:21">
      <c r="P564" s="225"/>
      <c r="U564" s="205"/>
    </row>
    <row r="565" spans="16:21">
      <c r="P565" s="225"/>
      <c r="U565" s="205"/>
    </row>
    <row r="566" spans="16:21">
      <c r="P566" s="225"/>
      <c r="U566" s="205"/>
    </row>
    <row r="567" spans="16:21">
      <c r="P567" s="225"/>
      <c r="U567" s="205"/>
    </row>
    <row r="568" spans="16:21">
      <c r="P568" s="225"/>
      <c r="U568" s="205"/>
    </row>
    <row r="569" spans="16:21">
      <c r="P569" s="225"/>
      <c r="U569" s="205"/>
    </row>
    <row r="570" spans="16:21">
      <c r="P570" s="225"/>
      <c r="U570" s="205"/>
    </row>
    <row r="571" spans="16:21">
      <c r="P571" s="225"/>
      <c r="U571" s="205"/>
    </row>
    <row r="572" spans="16:21">
      <c r="P572" s="225"/>
      <c r="U572" s="205"/>
    </row>
    <row r="573" spans="16:21">
      <c r="P573" s="225"/>
      <c r="U573" s="205"/>
    </row>
    <row r="574" spans="16:21">
      <c r="P574" s="225"/>
      <c r="U574" s="205"/>
    </row>
    <row r="575" spans="16:21">
      <c r="P575" s="225"/>
      <c r="U575" s="205"/>
    </row>
    <row r="576" spans="16:21">
      <c r="P576" s="225"/>
      <c r="U576" s="205"/>
    </row>
    <row r="577" spans="16:21">
      <c r="P577" s="225"/>
      <c r="U577" s="205"/>
    </row>
    <row r="578" spans="16:21">
      <c r="P578" s="225"/>
      <c r="U578" s="205"/>
    </row>
    <row r="579" spans="16:21">
      <c r="P579" s="225"/>
      <c r="U579" s="205"/>
    </row>
    <row r="580" spans="16:21">
      <c r="P580" s="225"/>
      <c r="U580" s="205"/>
    </row>
    <row r="581" spans="16:21">
      <c r="P581" s="225"/>
      <c r="U581" s="205"/>
    </row>
    <row r="582" spans="16:21">
      <c r="P582" s="225"/>
      <c r="U582" s="205"/>
    </row>
    <row r="583" spans="16:21">
      <c r="P583" s="225"/>
      <c r="U583" s="205"/>
    </row>
    <row r="584" spans="16:21">
      <c r="P584" s="225"/>
      <c r="U584" s="205"/>
    </row>
    <row r="585" spans="16:21">
      <c r="P585" s="225"/>
      <c r="U585" s="205"/>
    </row>
    <row r="586" spans="16:21">
      <c r="P586" s="225"/>
      <c r="U586" s="205"/>
    </row>
    <row r="587" spans="16:21">
      <c r="P587" s="225"/>
      <c r="U587" s="205"/>
    </row>
    <row r="588" spans="16:21">
      <c r="P588" s="225"/>
      <c r="U588" s="205"/>
    </row>
    <row r="589" spans="16:21">
      <c r="P589" s="225"/>
      <c r="U589" s="205"/>
    </row>
    <row r="590" spans="16:21">
      <c r="P590" s="225"/>
      <c r="U590" s="205"/>
    </row>
    <row r="591" spans="16:21">
      <c r="P591" s="225"/>
      <c r="U591" s="205"/>
    </row>
    <row r="592" spans="16:21">
      <c r="P592" s="225"/>
      <c r="U592" s="205"/>
    </row>
    <row r="593" spans="16:21">
      <c r="P593" s="225"/>
      <c r="U593" s="205"/>
    </row>
    <row r="594" spans="16:21">
      <c r="P594" s="225"/>
      <c r="U594" s="205"/>
    </row>
    <row r="595" spans="16:21">
      <c r="P595" s="225"/>
      <c r="U595" s="205"/>
    </row>
    <row r="596" spans="16:21">
      <c r="P596" s="225"/>
      <c r="U596" s="205"/>
    </row>
    <row r="597" spans="16:21">
      <c r="P597" s="225"/>
      <c r="U597" s="205"/>
    </row>
    <row r="598" spans="16:21">
      <c r="P598" s="225"/>
      <c r="U598" s="205"/>
    </row>
    <row r="599" spans="16:21">
      <c r="P599" s="225"/>
      <c r="U599" s="205"/>
    </row>
    <row r="600" spans="16:21">
      <c r="P600" s="225"/>
      <c r="U600" s="205"/>
    </row>
    <row r="601" spans="16:21">
      <c r="P601" s="225"/>
      <c r="U601" s="205"/>
    </row>
    <row r="602" spans="16:21">
      <c r="P602" s="225"/>
      <c r="U602" s="205"/>
    </row>
    <row r="603" spans="16:21">
      <c r="P603" s="225"/>
      <c r="U603" s="205"/>
    </row>
    <row r="604" spans="16:21">
      <c r="P604" s="225"/>
      <c r="U604" s="205"/>
    </row>
    <row r="605" spans="16:21">
      <c r="P605" s="225"/>
      <c r="U605" s="205"/>
    </row>
    <row r="606" spans="16:21">
      <c r="P606" s="225"/>
      <c r="U606" s="205"/>
    </row>
    <row r="607" spans="16:21">
      <c r="P607" s="225"/>
      <c r="U607" s="205"/>
    </row>
    <row r="608" spans="16:21">
      <c r="P608" s="225"/>
      <c r="U608" s="205"/>
    </row>
    <row r="609" spans="16:21">
      <c r="P609" s="225"/>
      <c r="U609" s="205"/>
    </row>
    <row r="610" spans="16:21">
      <c r="P610" s="225"/>
      <c r="U610" s="205"/>
    </row>
    <row r="611" spans="16:21">
      <c r="P611" s="225"/>
      <c r="U611" s="205"/>
    </row>
    <row r="612" spans="16:21">
      <c r="P612" s="225"/>
      <c r="U612" s="205"/>
    </row>
    <row r="613" spans="16:21">
      <c r="P613" s="225"/>
      <c r="U613" s="205"/>
    </row>
    <row r="614" spans="16:21">
      <c r="P614" s="225"/>
      <c r="U614" s="205"/>
    </row>
    <row r="615" spans="16:21">
      <c r="P615" s="225"/>
      <c r="U615" s="205"/>
    </row>
    <row r="616" spans="16:21">
      <c r="P616" s="225"/>
      <c r="U616" s="205"/>
    </row>
    <row r="617" spans="16:21">
      <c r="P617" s="225"/>
      <c r="U617" s="205"/>
    </row>
    <row r="618" spans="16:21">
      <c r="P618" s="225"/>
      <c r="U618" s="205"/>
    </row>
    <row r="619" spans="16:21">
      <c r="P619" s="225"/>
      <c r="U619" s="205"/>
    </row>
    <row r="620" spans="16:21">
      <c r="P620" s="225"/>
      <c r="U620" s="205"/>
    </row>
    <row r="621" spans="16:21">
      <c r="P621" s="225"/>
      <c r="U621" s="205"/>
    </row>
    <row r="622" spans="16:21">
      <c r="P622" s="225"/>
      <c r="U622" s="205"/>
    </row>
    <row r="623" spans="16:21">
      <c r="P623" s="225"/>
      <c r="U623" s="205"/>
    </row>
    <row r="624" spans="16:21">
      <c r="P624" s="225"/>
      <c r="U624" s="205"/>
    </row>
    <row r="625" spans="16:21">
      <c r="P625" s="225"/>
      <c r="U625" s="205"/>
    </row>
    <row r="626" spans="16:21">
      <c r="P626" s="225"/>
      <c r="U626" s="205"/>
    </row>
    <row r="627" spans="16:21">
      <c r="P627" s="225"/>
      <c r="U627" s="205"/>
    </row>
    <row r="628" spans="16:21">
      <c r="P628" s="225"/>
      <c r="U628" s="205"/>
    </row>
    <row r="629" spans="16:21">
      <c r="P629" s="225"/>
      <c r="U629" s="205"/>
    </row>
    <row r="630" spans="16:21">
      <c r="P630" s="225"/>
      <c r="U630" s="205"/>
    </row>
    <row r="631" spans="16:21">
      <c r="P631" s="225"/>
      <c r="U631" s="205"/>
    </row>
    <row r="632" spans="16:21">
      <c r="P632" s="225"/>
      <c r="U632" s="205"/>
    </row>
    <row r="633" spans="16:21">
      <c r="P633" s="225"/>
      <c r="U633" s="205"/>
    </row>
    <row r="634" spans="16:21">
      <c r="P634" s="225"/>
      <c r="U634" s="205"/>
    </row>
    <row r="635" spans="16:21">
      <c r="P635" s="225"/>
      <c r="U635" s="205"/>
    </row>
    <row r="636" spans="16:21">
      <c r="P636" s="225"/>
      <c r="U636" s="205"/>
    </row>
    <row r="637" spans="16:21">
      <c r="P637" s="225"/>
      <c r="U637" s="205"/>
    </row>
    <row r="638" spans="16:21">
      <c r="P638" s="225"/>
      <c r="U638" s="205"/>
    </row>
    <row r="639" spans="16:21">
      <c r="P639" s="225"/>
      <c r="U639" s="205"/>
    </row>
    <row r="640" spans="16:21">
      <c r="P640" s="225"/>
      <c r="U640" s="205"/>
    </row>
    <row r="641" spans="16:21">
      <c r="P641" s="225"/>
      <c r="U641" s="205"/>
    </row>
    <row r="642" spans="16:21">
      <c r="P642" s="225"/>
      <c r="U642" s="205"/>
    </row>
    <row r="643" spans="16:21">
      <c r="P643" s="225"/>
      <c r="U643" s="205"/>
    </row>
    <row r="644" spans="16:21">
      <c r="P644" s="225"/>
      <c r="U644" s="205"/>
    </row>
    <row r="645" spans="16:21">
      <c r="P645" s="225"/>
      <c r="U645" s="205"/>
    </row>
    <row r="646" spans="16:21">
      <c r="P646" s="225"/>
      <c r="U646" s="205"/>
    </row>
    <row r="647" spans="16:21">
      <c r="P647" s="225"/>
      <c r="U647" s="205"/>
    </row>
    <row r="648" spans="16:21">
      <c r="P648" s="225"/>
      <c r="U648" s="205"/>
    </row>
    <row r="649" spans="16:21">
      <c r="P649" s="225"/>
      <c r="U649" s="205"/>
    </row>
    <row r="650" spans="16:21">
      <c r="P650" s="225"/>
      <c r="U650" s="205"/>
    </row>
    <row r="651" spans="16:21">
      <c r="P651" s="225"/>
      <c r="U651" s="205"/>
    </row>
    <row r="652" spans="16:21">
      <c r="P652" s="225"/>
      <c r="U652" s="205"/>
    </row>
    <row r="653" spans="16:21">
      <c r="P653" s="225"/>
      <c r="U653" s="205"/>
    </row>
    <row r="654" spans="16:21">
      <c r="P654" s="225"/>
      <c r="U654" s="205"/>
    </row>
    <row r="655" spans="16:21">
      <c r="P655" s="225"/>
      <c r="U655" s="205"/>
    </row>
    <row r="656" spans="16:21">
      <c r="P656" s="225"/>
      <c r="U656" s="205"/>
    </row>
    <row r="657" spans="16:21">
      <c r="P657" s="225"/>
      <c r="U657" s="205"/>
    </row>
    <row r="658" spans="16:21">
      <c r="P658" s="225"/>
      <c r="U658" s="205"/>
    </row>
    <row r="659" spans="16:21">
      <c r="P659" s="225"/>
      <c r="U659" s="205"/>
    </row>
    <row r="660" spans="16:21">
      <c r="P660" s="225"/>
      <c r="U660" s="205"/>
    </row>
    <row r="661" spans="16:21">
      <c r="P661" s="225"/>
      <c r="U661" s="205"/>
    </row>
    <row r="662" spans="16:21">
      <c r="P662" s="225"/>
      <c r="U662" s="205"/>
    </row>
    <row r="663" spans="16:21">
      <c r="P663" s="225"/>
      <c r="U663" s="205"/>
    </row>
    <row r="664" spans="16:21">
      <c r="P664" s="225"/>
      <c r="U664" s="205"/>
    </row>
    <row r="665" spans="16:21">
      <c r="P665" s="225"/>
      <c r="U665" s="205"/>
    </row>
    <row r="666" spans="16:21">
      <c r="P666" s="225"/>
      <c r="U666" s="205"/>
    </row>
    <row r="667" spans="16:21">
      <c r="P667" s="225"/>
      <c r="U667" s="205"/>
    </row>
    <row r="668" spans="16:21">
      <c r="P668" s="225"/>
      <c r="U668" s="205"/>
    </row>
    <row r="669" spans="16:21">
      <c r="P669" s="225"/>
      <c r="U669" s="205"/>
    </row>
    <row r="670" spans="16:21">
      <c r="P670" s="225"/>
      <c r="U670" s="205"/>
    </row>
    <row r="671" spans="16:21">
      <c r="P671" s="225"/>
      <c r="U671" s="205"/>
    </row>
    <row r="672" spans="16:21">
      <c r="P672" s="225"/>
      <c r="U672" s="205"/>
    </row>
    <row r="673" spans="16:21">
      <c r="P673" s="225"/>
      <c r="U673" s="205"/>
    </row>
    <row r="674" spans="16:21">
      <c r="P674" s="225"/>
      <c r="U674" s="205"/>
    </row>
    <row r="675" spans="16:21">
      <c r="P675" s="225"/>
      <c r="U675" s="205"/>
    </row>
    <row r="676" spans="16:21">
      <c r="P676" s="225"/>
      <c r="U676" s="205"/>
    </row>
    <row r="677" spans="16:21">
      <c r="P677" s="225"/>
      <c r="U677" s="205"/>
    </row>
    <row r="678" spans="16:21">
      <c r="P678" s="225"/>
      <c r="U678" s="205"/>
    </row>
    <row r="679" spans="16:21">
      <c r="P679" s="225"/>
      <c r="U679" s="205"/>
    </row>
    <row r="680" spans="16:21">
      <c r="P680" s="225"/>
      <c r="U680" s="205"/>
    </row>
    <row r="681" spans="16:21">
      <c r="P681" s="225"/>
      <c r="U681" s="205"/>
    </row>
    <row r="682" spans="16:21">
      <c r="P682" s="225"/>
      <c r="U682" s="205"/>
    </row>
    <row r="683" spans="16:21">
      <c r="P683" s="225"/>
      <c r="U683" s="205"/>
    </row>
    <row r="684" spans="16:21">
      <c r="P684" s="225"/>
      <c r="U684" s="205"/>
    </row>
    <row r="685" spans="16:21">
      <c r="P685" s="225"/>
      <c r="U685" s="205"/>
    </row>
    <row r="686" spans="16:21">
      <c r="P686" s="225"/>
      <c r="U686" s="205"/>
    </row>
    <row r="687" spans="16:21">
      <c r="P687" s="225"/>
      <c r="U687" s="205"/>
    </row>
    <row r="688" spans="16:21">
      <c r="P688" s="225"/>
      <c r="U688" s="205"/>
    </row>
    <row r="689" spans="16:21">
      <c r="P689" s="225"/>
      <c r="U689" s="205"/>
    </row>
    <row r="690" spans="16:21">
      <c r="P690" s="225"/>
      <c r="U690" s="205"/>
    </row>
    <row r="691" spans="16:21">
      <c r="P691" s="225"/>
      <c r="U691" s="205"/>
    </row>
    <row r="692" spans="16:21">
      <c r="P692" s="225"/>
      <c r="U692" s="205"/>
    </row>
    <row r="693" spans="16:21">
      <c r="P693" s="225"/>
      <c r="U693" s="205"/>
    </row>
    <row r="694" spans="16:21">
      <c r="P694" s="225"/>
      <c r="U694" s="205"/>
    </row>
    <row r="695" spans="16:21">
      <c r="P695" s="225"/>
      <c r="U695" s="205"/>
    </row>
    <row r="696" spans="16:21">
      <c r="P696" s="225"/>
      <c r="U696" s="205"/>
    </row>
    <row r="697" spans="16:21">
      <c r="P697" s="225"/>
      <c r="U697" s="205"/>
    </row>
    <row r="698" spans="16:21">
      <c r="P698" s="225"/>
      <c r="U698" s="205"/>
    </row>
    <row r="699" spans="16:21">
      <c r="P699" s="225"/>
      <c r="U699" s="205"/>
    </row>
    <row r="700" spans="16:21">
      <c r="P700" s="225"/>
      <c r="U700" s="205"/>
    </row>
    <row r="701" spans="16:21">
      <c r="P701" s="225"/>
      <c r="U701" s="205"/>
    </row>
    <row r="702" spans="16:21">
      <c r="P702" s="225"/>
      <c r="U702" s="205"/>
    </row>
    <row r="703" spans="16:21">
      <c r="P703" s="225"/>
      <c r="U703" s="205"/>
    </row>
    <row r="704" spans="16:21">
      <c r="P704" s="225"/>
      <c r="U704" s="205"/>
    </row>
    <row r="705" spans="16:21">
      <c r="P705" s="225"/>
      <c r="U705" s="205"/>
    </row>
    <row r="706" spans="16:21">
      <c r="P706" s="225"/>
      <c r="U706" s="205"/>
    </row>
    <row r="707" spans="16:21">
      <c r="P707" s="225"/>
      <c r="U707" s="205"/>
    </row>
    <row r="708" spans="16:21">
      <c r="P708" s="225"/>
      <c r="U708" s="205"/>
    </row>
    <row r="709" spans="16:21">
      <c r="P709" s="225"/>
      <c r="U709" s="205"/>
    </row>
    <row r="710" spans="16:21">
      <c r="P710" s="225"/>
      <c r="U710" s="205"/>
    </row>
    <row r="711" spans="16:21">
      <c r="P711" s="225"/>
      <c r="U711" s="205"/>
    </row>
    <row r="712" spans="16:21">
      <c r="P712" s="225"/>
      <c r="U712" s="205"/>
    </row>
    <row r="713" spans="16:21">
      <c r="P713" s="225"/>
      <c r="U713" s="205"/>
    </row>
    <row r="714" spans="16:21">
      <c r="P714" s="225"/>
      <c r="U714" s="205"/>
    </row>
    <row r="715" spans="16:21">
      <c r="P715" s="225"/>
      <c r="U715" s="205"/>
    </row>
    <row r="716" spans="16:21">
      <c r="P716" s="225"/>
      <c r="U716" s="205"/>
    </row>
    <row r="717" spans="16:21">
      <c r="P717" s="225"/>
      <c r="U717" s="205"/>
    </row>
    <row r="718" spans="16:21">
      <c r="P718" s="225"/>
      <c r="U718" s="205"/>
    </row>
    <row r="719" spans="16:21">
      <c r="P719" s="225"/>
      <c r="U719" s="205"/>
    </row>
    <row r="720" spans="16:21">
      <c r="P720" s="225"/>
      <c r="U720" s="205"/>
    </row>
    <row r="721" spans="16:21">
      <c r="P721" s="225"/>
      <c r="U721" s="205"/>
    </row>
    <row r="722" spans="16:21">
      <c r="P722" s="225"/>
      <c r="U722" s="205"/>
    </row>
    <row r="723" spans="16:21">
      <c r="P723" s="225"/>
      <c r="U723" s="205"/>
    </row>
    <row r="724" spans="16:21">
      <c r="P724" s="225"/>
      <c r="U724" s="205"/>
    </row>
    <row r="725" spans="16:21">
      <c r="P725" s="225"/>
      <c r="U725" s="205"/>
    </row>
    <row r="726" spans="16:21">
      <c r="P726" s="225"/>
      <c r="U726" s="205"/>
    </row>
    <row r="727" spans="16:21">
      <c r="P727" s="225"/>
      <c r="U727" s="205"/>
    </row>
    <row r="728" spans="16:21">
      <c r="P728" s="225"/>
      <c r="U728" s="205"/>
    </row>
    <row r="729" spans="16:21">
      <c r="P729" s="225"/>
      <c r="U729" s="205"/>
    </row>
    <row r="730" spans="16:21">
      <c r="P730" s="225"/>
      <c r="U730" s="205"/>
    </row>
    <row r="731" spans="16:21">
      <c r="P731" s="225"/>
      <c r="U731" s="205"/>
    </row>
    <row r="732" spans="16:21">
      <c r="P732" s="225"/>
      <c r="U732" s="205"/>
    </row>
    <row r="733" spans="16:21">
      <c r="P733" s="225"/>
      <c r="U733" s="205"/>
    </row>
    <row r="734" spans="16:21">
      <c r="P734" s="225"/>
      <c r="U734" s="205"/>
    </row>
    <row r="735" spans="16:21">
      <c r="P735" s="225"/>
      <c r="U735" s="205"/>
    </row>
    <row r="736" spans="16:21">
      <c r="P736" s="225"/>
      <c r="U736" s="205"/>
    </row>
    <row r="737" spans="16:21">
      <c r="P737" s="225"/>
      <c r="U737" s="205"/>
    </row>
    <row r="738" spans="16:21">
      <c r="P738" s="225"/>
      <c r="U738" s="205"/>
    </row>
    <row r="739" spans="16:21">
      <c r="P739" s="225"/>
      <c r="U739" s="205"/>
    </row>
    <row r="740" spans="16:21">
      <c r="P740" s="225"/>
      <c r="U740" s="205"/>
    </row>
    <row r="741" spans="16:21">
      <c r="P741" s="225"/>
      <c r="U741" s="205"/>
    </row>
    <row r="742" spans="16:21">
      <c r="P742" s="225"/>
      <c r="U742" s="205"/>
    </row>
    <row r="743" spans="16:21">
      <c r="P743" s="225"/>
      <c r="U743" s="205"/>
    </row>
    <row r="744" spans="16:21">
      <c r="P744" s="225"/>
      <c r="U744" s="205"/>
    </row>
    <row r="745" spans="16:21">
      <c r="P745" s="225"/>
      <c r="U745" s="205"/>
    </row>
    <row r="746" spans="16:21">
      <c r="P746" s="225"/>
      <c r="U746" s="205"/>
    </row>
    <row r="747" spans="16:21">
      <c r="P747" s="225"/>
      <c r="U747" s="205"/>
    </row>
    <row r="748" spans="16:21">
      <c r="P748" s="225"/>
      <c r="U748" s="205"/>
    </row>
    <row r="749" spans="16:21">
      <c r="P749" s="225"/>
      <c r="U749" s="205"/>
    </row>
    <row r="750" spans="16:21">
      <c r="P750" s="225"/>
      <c r="U750" s="205"/>
    </row>
    <row r="751" spans="16:21">
      <c r="P751" s="225"/>
      <c r="U751" s="205"/>
    </row>
    <row r="752" spans="16:21">
      <c r="P752" s="225"/>
      <c r="U752" s="205"/>
    </row>
    <row r="753" spans="16:21">
      <c r="P753" s="225"/>
      <c r="U753" s="205"/>
    </row>
    <row r="754" spans="16:21">
      <c r="P754" s="225"/>
      <c r="U754" s="205"/>
    </row>
    <row r="755" spans="16:21">
      <c r="P755" s="225"/>
      <c r="U755" s="205"/>
    </row>
    <row r="756" spans="16:21">
      <c r="P756" s="225"/>
      <c r="U756" s="205"/>
    </row>
    <row r="757" spans="16:21">
      <c r="P757" s="225"/>
      <c r="U757" s="205"/>
    </row>
    <row r="758" spans="16:21">
      <c r="P758" s="225"/>
      <c r="U758" s="205"/>
    </row>
    <row r="759" spans="16:21">
      <c r="P759" s="225"/>
      <c r="U759" s="205"/>
    </row>
    <row r="760" spans="16:21">
      <c r="P760" s="225"/>
      <c r="U760" s="205"/>
    </row>
    <row r="761" spans="16:21">
      <c r="P761" s="225"/>
      <c r="U761" s="205"/>
    </row>
    <row r="762" spans="16:21">
      <c r="P762" s="225"/>
      <c r="U762" s="205"/>
    </row>
    <row r="763" spans="16:21">
      <c r="P763" s="225"/>
      <c r="U763" s="205"/>
    </row>
    <row r="764" spans="16:21">
      <c r="P764" s="225"/>
      <c r="U764" s="205"/>
    </row>
    <row r="765" spans="16:21">
      <c r="P765" s="225"/>
      <c r="U765" s="205"/>
    </row>
    <row r="766" spans="16:21">
      <c r="P766" s="225"/>
      <c r="U766" s="205"/>
    </row>
    <row r="767" spans="16:21">
      <c r="P767" s="225"/>
      <c r="U767" s="205"/>
    </row>
    <row r="768" spans="16:21">
      <c r="P768" s="225"/>
      <c r="U768" s="205"/>
    </row>
    <row r="769" spans="16:21">
      <c r="P769" s="225"/>
      <c r="U769" s="205"/>
    </row>
    <row r="770" spans="16:21">
      <c r="P770" s="225"/>
      <c r="U770" s="205"/>
    </row>
    <row r="771" spans="16:21">
      <c r="P771" s="225"/>
      <c r="U771" s="205"/>
    </row>
    <row r="772" spans="16:21">
      <c r="P772" s="225"/>
      <c r="U772" s="205"/>
    </row>
    <row r="773" spans="16:21">
      <c r="P773" s="225"/>
      <c r="U773" s="205"/>
    </row>
    <row r="774" spans="16:21">
      <c r="P774" s="225"/>
      <c r="U774" s="205"/>
    </row>
    <row r="775" spans="16:21">
      <c r="P775" s="225"/>
      <c r="U775" s="205"/>
    </row>
    <row r="776" spans="16:21">
      <c r="P776" s="225"/>
      <c r="U776" s="205"/>
    </row>
    <row r="777" spans="16:21">
      <c r="P777" s="225"/>
      <c r="U777" s="205"/>
    </row>
    <row r="778" spans="16:21">
      <c r="P778" s="225"/>
      <c r="U778" s="205"/>
    </row>
    <row r="779" spans="16:21">
      <c r="P779" s="225"/>
      <c r="U779" s="205"/>
    </row>
    <row r="780" spans="16:21">
      <c r="P780" s="225"/>
      <c r="U780" s="205"/>
    </row>
    <row r="781" spans="16:21">
      <c r="P781" s="225"/>
      <c r="U781" s="205"/>
    </row>
    <row r="782" spans="16:21">
      <c r="P782" s="225"/>
      <c r="U782" s="205"/>
    </row>
    <row r="783" spans="16:21">
      <c r="P783" s="225"/>
      <c r="U783" s="205"/>
    </row>
    <row r="784" spans="16:21">
      <c r="P784" s="225"/>
      <c r="U784" s="205"/>
    </row>
    <row r="785" spans="16:21">
      <c r="P785" s="225"/>
      <c r="U785" s="205"/>
    </row>
    <row r="786" spans="16:21">
      <c r="P786" s="225"/>
      <c r="U786" s="205"/>
    </row>
    <row r="787" spans="16:21">
      <c r="P787" s="225"/>
      <c r="U787" s="205"/>
    </row>
    <row r="788" spans="16:21">
      <c r="P788" s="225"/>
      <c r="U788" s="205"/>
    </row>
    <row r="789" spans="16:21">
      <c r="P789" s="225"/>
      <c r="U789" s="205"/>
    </row>
    <row r="790" spans="16:21">
      <c r="P790" s="225"/>
      <c r="U790" s="205"/>
    </row>
    <row r="791" spans="16:21">
      <c r="P791" s="225"/>
      <c r="U791" s="205"/>
    </row>
    <row r="792" spans="16:21">
      <c r="P792" s="225"/>
      <c r="U792" s="205"/>
    </row>
    <row r="793" spans="16:21">
      <c r="P793" s="225"/>
      <c r="U793" s="205"/>
    </row>
    <row r="794" spans="16:21">
      <c r="P794" s="225"/>
      <c r="U794" s="205"/>
    </row>
    <row r="795" spans="16:21">
      <c r="P795" s="225"/>
      <c r="U795" s="205"/>
    </row>
    <row r="796" spans="16:21">
      <c r="P796" s="225"/>
      <c r="U796" s="205"/>
    </row>
    <row r="797" spans="16:21">
      <c r="P797" s="225"/>
      <c r="U797" s="205"/>
    </row>
    <row r="798" spans="16:21">
      <c r="P798" s="225"/>
      <c r="U798" s="205"/>
    </row>
    <row r="799" spans="16:21">
      <c r="P799" s="225"/>
      <c r="U799" s="205"/>
    </row>
    <row r="800" spans="16:21">
      <c r="P800" s="225"/>
      <c r="U800" s="205"/>
    </row>
    <row r="801" spans="16:21">
      <c r="P801" s="225"/>
      <c r="U801" s="205"/>
    </row>
    <row r="802" spans="16:21">
      <c r="P802" s="225"/>
      <c r="U802" s="205"/>
    </row>
    <row r="803" spans="16:21">
      <c r="P803" s="225"/>
      <c r="U803" s="205"/>
    </row>
    <row r="804" spans="16:21">
      <c r="P804" s="225"/>
      <c r="U804" s="205"/>
    </row>
    <row r="805" spans="16:21">
      <c r="P805" s="225"/>
      <c r="U805" s="205"/>
    </row>
    <row r="806" spans="16:21">
      <c r="P806" s="225"/>
      <c r="U806" s="205"/>
    </row>
    <row r="807" spans="16:21">
      <c r="P807" s="225"/>
      <c r="U807" s="205"/>
    </row>
    <row r="808" spans="16:21">
      <c r="P808" s="225"/>
      <c r="U808" s="205"/>
    </row>
    <row r="809" spans="16:21">
      <c r="P809" s="225"/>
      <c r="U809" s="205"/>
    </row>
    <row r="810" spans="16:21">
      <c r="P810" s="225"/>
      <c r="U810" s="205"/>
    </row>
    <row r="811" spans="16:21">
      <c r="P811" s="225"/>
      <c r="U811" s="205"/>
    </row>
    <row r="812" spans="16:21">
      <c r="P812" s="225"/>
      <c r="U812" s="205"/>
    </row>
    <row r="813" spans="16:21">
      <c r="P813" s="225"/>
      <c r="U813" s="205"/>
    </row>
    <row r="814" spans="16:21">
      <c r="P814" s="225"/>
      <c r="U814" s="205"/>
    </row>
    <row r="815" spans="16:21">
      <c r="P815" s="225"/>
      <c r="U815" s="205"/>
    </row>
    <row r="816" spans="16:21">
      <c r="P816" s="225"/>
      <c r="U816" s="205"/>
    </row>
    <row r="817" spans="16:21">
      <c r="P817" s="225"/>
      <c r="U817" s="205"/>
    </row>
    <row r="818" spans="16:21">
      <c r="P818" s="225"/>
      <c r="U818" s="205"/>
    </row>
    <row r="819" spans="16:21">
      <c r="P819" s="225"/>
      <c r="U819" s="205"/>
    </row>
    <row r="820" spans="16:21">
      <c r="P820" s="225"/>
      <c r="U820" s="205"/>
    </row>
    <row r="821" spans="16:21">
      <c r="P821" s="225"/>
      <c r="U821" s="205"/>
    </row>
    <row r="822" spans="16:21">
      <c r="P822" s="225"/>
      <c r="U822" s="205"/>
    </row>
    <row r="823" spans="16:21">
      <c r="P823" s="225"/>
      <c r="U823" s="205"/>
    </row>
    <row r="824" spans="16:21">
      <c r="P824" s="225"/>
      <c r="U824" s="205"/>
    </row>
    <row r="825" spans="16:21">
      <c r="P825" s="225"/>
      <c r="U825" s="205"/>
    </row>
    <row r="826" spans="16:21">
      <c r="P826" s="225"/>
      <c r="U826" s="205"/>
    </row>
    <row r="827" spans="16:21">
      <c r="P827" s="225"/>
      <c r="U827" s="205"/>
    </row>
    <row r="828" spans="16:21">
      <c r="P828" s="225"/>
      <c r="U828" s="205"/>
    </row>
    <row r="829" spans="16:21">
      <c r="P829" s="225"/>
      <c r="U829" s="205"/>
    </row>
    <row r="830" spans="16:21">
      <c r="P830" s="225"/>
      <c r="U830" s="205"/>
    </row>
    <row r="831" spans="16:21">
      <c r="P831" s="225"/>
      <c r="U831" s="205"/>
    </row>
    <row r="832" spans="16:21">
      <c r="P832" s="225"/>
      <c r="U832" s="205"/>
    </row>
    <row r="833" spans="16:21">
      <c r="P833" s="225"/>
      <c r="U833" s="205"/>
    </row>
    <row r="834" spans="16:21">
      <c r="P834" s="225"/>
      <c r="U834" s="205"/>
    </row>
    <row r="835" spans="16:21">
      <c r="P835" s="225"/>
      <c r="U835" s="205"/>
    </row>
    <row r="836" spans="16:21">
      <c r="P836" s="225"/>
      <c r="U836" s="205"/>
    </row>
    <row r="837" spans="16:21">
      <c r="P837" s="225"/>
      <c r="U837" s="205"/>
    </row>
    <row r="838" spans="16:21">
      <c r="P838" s="225"/>
      <c r="U838" s="205"/>
    </row>
    <row r="839" spans="16:21">
      <c r="P839" s="225"/>
      <c r="U839" s="205"/>
    </row>
    <row r="840" spans="16:21">
      <c r="P840" s="225"/>
      <c r="U840" s="205"/>
    </row>
    <row r="841" spans="16:21">
      <c r="P841" s="225"/>
      <c r="U841" s="205"/>
    </row>
    <row r="842" spans="16:21">
      <c r="P842" s="225"/>
      <c r="U842" s="205"/>
    </row>
    <row r="843" spans="16:21">
      <c r="P843" s="225"/>
      <c r="U843" s="205"/>
    </row>
    <row r="844" spans="16:21">
      <c r="P844" s="225"/>
      <c r="U844" s="205"/>
    </row>
    <row r="845" spans="16:21">
      <c r="P845" s="225"/>
      <c r="U845" s="205"/>
    </row>
    <row r="846" spans="16:21">
      <c r="P846" s="225"/>
      <c r="U846" s="205"/>
    </row>
    <row r="847" spans="16:21">
      <c r="P847" s="225"/>
      <c r="U847" s="205"/>
    </row>
    <row r="848" spans="16:21">
      <c r="P848" s="225"/>
      <c r="U848" s="205"/>
    </row>
    <row r="849" spans="16:21">
      <c r="P849" s="225"/>
      <c r="U849" s="205"/>
    </row>
    <row r="850" spans="16:21">
      <c r="P850" s="225"/>
      <c r="U850" s="205"/>
    </row>
    <row r="851" spans="16:21">
      <c r="P851" s="225"/>
      <c r="U851" s="205"/>
    </row>
    <row r="852" spans="16:21">
      <c r="P852" s="225"/>
      <c r="U852" s="205"/>
    </row>
    <row r="853" spans="16:21">
      <c r="P853" s="225"/>
      <c r="U853" s="205"/>
    </row>
    <row r="854" spans="16:21">
      <c r="P854" s="225"/>
      <c r="U854" s="205"/>
    </row>
    <row r="855" spans="16:21">
      <c r="P855" s="225"/>
      <c r="U855" s="205"/>
    </row>
    <row r="856" spans="16:21">
      <c r="P856" s="225"/>
      <c r="U856" s="205"/>
    </row>
    <row r="857" spans="16:21">
      <c r="P857" s="225"/>
      <c r="U857" s="205"/>
    </row>
    <row r="858" spans="16:21">
      <c r="P858" s="225"/>
      <c r="U858" s="205"/>
    </row>
    <row r="859" spans="16:21">
      <c r="P859" s="225"/>
      <c r="U859" s="205"/>
    </row>
    <row r="860" spans="16:21">
      <c r="P860" s="225"/>
      <c r="U860" s="205"/>
    </row>
    <row r="861" spans="16:21">
      <c r="P861" s="225"/>
      <c r="U861" s="205"/>
    </row>
    <row r="862" spans="16:21">
      <c r="P862" s="225"/>
      <c r="U862" s="205"/>
    </row>
    <row r="863" spans="16:21">
      <c r="P863" s="225"/>
      <c r="U863" s="205"/>
    </row>
    <row r="864" spans="16:21">
      <c r="P864" s="225"/>
      <c r="U864" s="205"/>
    </row>
    <row r="865" spans="16:21">
      <c r="P865" s="225"/>
      <c r="U865" s="205"/>
    </row>
    <row r="866" spans="16:21">
      <c r="P866" s="225"/>
      <c r="U866" s="205"/>
    </row>
    <row r="867" spans="16:21">
      <c r="P867" s="225"/>
      <c r="U867" s="205"/>
    </row>
    <row r="868" spans="16:21">
      <c r="P868" s="225"/>
      <c r="U868" s="205"/>
    </row>
    <row r="869" spans="16:21">
      <c r="P869" s="225"/>
      <c r="U869" s="205"/>
    </row>
    <row r="870" spans="16:21">
      <c r="P870" s="225"/>
      <c r="U870" s="205"/>
    </row>
    <row r="871" spans="16:21">
      <c r="P871" s="225"/>
      <c r="U871" s="205"/>
    </row>
    <row r="872" spans="16:21">
      <c r="P872" s="225"/>
      <c r="U872" s="205"/>
    </row>
    <row r="873" spans="16:21">
      <c r="P873" s="225"/>
      <c r="U873" s="205"/>
    </row>
    <row r="874" spans="16:21">
      <c r="P874" s="225"/>
      <c r="U874" s="205"/>
    </row>
    <row r="875" spans="16:21">
      <c r="P875" s="225"/>
      <c r="U875" s="205"/>
    </row>
    <row r="876" spans="16:21">
      <c r="P876" s="225"/>
      <c r="U876" s="205"/>
    </row>
    <row r="877" spans="16:21">
      <c r="P877" s="225"/>
      <c r="U877" s="205"/>
    </row>
    <row r="878" spans="16:21">
      <c r="P878" s="225"/>
      <c r="U878" s="205"/>
    </row>
    <row r="879" spans="16:21">
      <c r="P879" s="225"/>
      <c r="U879" s="205"/>
    </row>
    <row r="880" spans="16:21">
      <c r="P880" s="225"/>
      <c r="U880" s="205"/>
    </row>
    <row r="881" spans="16:21">
      <c r="P881" s="225"/>
      <c r="U881" s="205"/>
    </row>
    <row r="882" spans="16:21">
      <c r="P882" s="225"/>
      <c r="U882" s="205"/>
    </row>
    <row r="883" spans="16:21">
      <c r="P883" s="225"/>
      <c r="U883" s="205"/>
    </row>
    <row r="884" spans="16:21">
      <c r="P884" s="225"/>
      <c r="U884" s="205"/>
    </row>
    <row r="885" spans="16:21">
      <c r="P885" s="225"/>
      <c r="U885" s="205"/>
    </row>
    <row r="886" spans="16:21">
      <c r="P886" s="225"/>
      <c r="U886" s="205"/>
    </row>
    <row r="887" spans="16:21">
      <c r="P887" s="225"/>
      <c r="U887" s="205"/>
    </row>
    <row r="888" spans="16:21">
      <c r="P888" s="225"/>
      <c r="U888" s="205"/>
    </row>
    <row r="889" spans="16:21">
      <c r="P889" s="225"/>
      <c r="U889" s="205"/>
    </row>
    <row r="890" spans="16:21">
      <c r="P890" s="225"/>
      <c r="U890" s="205"/>
    </row>
    <row r="891" spans="16:21">
      <c r="P891" s="225"/>
      <c r="U891" s="205"/>
    </row>
    <row r="892" spans="16:21">
      <c r="P892" s="225"/>
      <c r="U892" s="205"/>
    </row>
    <row r="893" spans="16:21">
      <c r="P893" s="225"/>
      <c r="U893" s="205"/>
    </row>
    <row r="894" spans="16:21">
      <c r="P894" s="225"/>
      <c r="U894" s="205"/>
    </row>
    <row r="895" spans="16:21">
      <c r="P895" s="225"/>
      <c r="U895" s="205"/>
    </row>
    <row r="896" spans="16:21">
      <c r="P896" s="225"/>
      <c r="U896" s="205"/>
    </row>
    <row r="897" spans="16:21">
      <c r="P897" s="225"/>
      <c r="U897" s="205"/>
    </row>
    <row r="898" spans="16:21">
      <c r="P898" s="225"/>
      <c r="U898" s="205"/>
    </row>
    <row r="899" spans="16:21">
      <c r="P899" s="225"/>
      <c r="U899" s="205"/>
    </row>
    <row r="900" spans="16:21">
      <c r="P900" s="225"/>
      <c r="U900" s="205"/>
    </row>
    <row r="901" spans="16:21">
      <c r="P901" s="225"/>
      <c r="U901" s="205"/>
    </row>
    <row r="902" spans="16:21">
      <c r="P902" s="225"/>
      <c r="U902" s="205"/>
    </row>
    <row r="903" spans="16:21">
      <c r="P903" s="225"/>
      <c r="U903" s="205"/>
    </row>
    <row r="904" spans="16:21">
      <c r="P904" s="225"/>
      <c r="U904" s="205"/>
    </row>
    <row r="905" spans="16:21">
      <c r="P905" s="225"/>
      <c r="U905" s="205"/>
    </row>
    <row r="906" spans="16:21">
      <c r="P906" s="225"/>
      <c r="U906" s="205"/>
    </row>
    <row r="907" spans="16:21">
      <c r="P907" s="225"/>
      <c r="U907" s="205"/>
    </row>
    <row r="908" spans="16:21">
      <c r="P908" s="225"/>
      <c r="U908" s="205"/>
    </row>
    <row r="909" spans="16:21">
      <c r="P909" s="225"/>
      <c r="U909" s="205"/>
    </row>
    <row r="910" spans="16:21">
      <c r="P910" s="225"/>
      <c r="U910" s="205"/>
    </row>
    <row r="911" spans="16:21">
      <c r="P911" s="225"/>
      <c r="U911" s="205"/>
    </row>
    <row r="912" spans="16:21">
      <c r="P912" s="225"/>
      <c r="U912" s="205"/>
    </row>
    <row r="913" spans="16:21">
      <c r="P913" s="225"/>
      <c r="U913" s="205"/>
    </row>
    <row r="914" spans="16:21">
      <c r="P914" s="225"/>
      <c r="U914" s="205"/>
    </row>
    <row r="915" spans="16:21">
      <c r="P915" s="225"/>
      <c r="U915" s="205"/>
    </row>
    <row r="916" spans="16:21">
      <c r="P916" s="225"/>
      <c r="U916" s="205"/>
    </row>
    <row r="917" spans="16:21">
      <c r="P917" s="225"/>
      <c r="U917" s="205"/>
    </row>
    <row r="918" spans="16:21">
      <c r="P918" s="225"/>
      <c r="U918" s="205"/>
    </row>
    <row r="919" spans="16:21">
      <c r="P919" s="225"/>
      <c r="U919" s="205"/>
    </row>
    <row r="920" spans="16:21">
      <c r="P920" s="225"/>
      <c r="U920" s="205"/>
    </row>
    <row r="921" spans="16:21">
      <c r="P921" s="225"/>
      <c r="U921" s="205"/>
    </row>
    <row r="922" spans="16:21">
      <c r="P922" s="225"/>
      <c r="U922" s="205"/>
    </row>
    <row r="923" spans="16:21">
      <c r="P923" s="225"/>
      <c r="U923" s="205"/>
    </row>
    <row r="924" spans="16:21">
      <c r="P924" s="225"/>
      <c r="U924" s="205"/>
    </row>
    <row r="925" spans="16:21">
      <c r="P925" s="225"/>
      <c r="U925" s="205"/>
    </row>
    <row r="926" spans="16:21">
      <c r="P926" s="225"/>
      <c r="U926" s="205"/>
    </row>
    <row r="927" spans="16:21">
      <c r="P927" s="225"/>
      <c r="U927" s="205"/>
    </row>
    <row r="928" spans="16:21">
      <c r="P928" s="225"/>
      <c r="U928" s="205"/>
    </row>
    <row r="929" spans="16:21">
      <c r="P929" s="225"/>
      <c r="U929" s="205"/>
    </row>
    <row r="930" spans="16:21">
      <c r="P930" s="225"/>
      <c r="U930" s="205"/>
    </row>
    <row r="931" spans="16:21">
      <c r="P931" s="225"/>
      <c r="U931" s="205"/>
    </row>
    <row r="932" spans="16:21">
      <c r="P932" s="225"/>
      <c r="U932" s="205"/>
    </row>
    <row r="933" spans="16:21">
      <c r="P933" s="225"/>
      <c r="U933" s="205"/>
    </row>
    <row r="934" spans="16:21">
      <c r="P934" s="225"/>
      <c r="U934" s="205"/>
    </row>
    <row r="935" spans="16:21">
      <c r="P935" s="225"/>
      <c r="U935" s="205"/>
    </row>
    <row r="936" spans="16:21">
      <c r="P936" s="225"/>
      <c r="U936" s="205"/>
    </row>
    <row r="937" spans="16:21">
      <c r="P937" s="225"/>
      <c r="U937" s="205"/>
    </row>
    <row r="938" spans="16:21">
      <c r="P938" s="225"/>
      <c r="U938" s="205"/>
    </row>
    <row r="939" spans="16:21">
      <c r="P939" s="225"/>
      <c r="U939" s="205"/>
    </row>
    <row r="940" spans="16:21">
      <c r="P940" s="225"/>
      <c r="U940" s="205"/>
    </row>
    <row r="941" spans="16:21">
      <c r="P941" s="225"/>
      <c r="U941" s="205"/>
    </row>
    <row r="942" spans="16:21">
      <c r="P942" s="225"/>
      <c r="U942" s="205"/>
    </row>
    <row r="943" spans="16:21">
      <c r="P943" s="225"/>
      <c r="U943" s="205"/>
    </row>
    <row r="944" spans="16:21">
      <c r="P944" s="225"/>
      <c r="U944" s="205"/>
    </row>
    <row r="945" spans="16:21">
      <c r="P945" s="225"/>
      <c r="U945" s="205"/>
    </row>
    <row r="946" spans="16:21">
      <c r="P946" s="225"/>
      <c r="U946" s="205"/>
    </row>
    <row r="947" spans="16:21">
      <c r="P947" s="225"/>
      <c r="U947" s="205"/>
    </row>
    <row r="948" spans="16:21">
      <c r="P948" s="225"/>
      <c r="U948" s="205"/>
    </row>
    <row r="949" spans="16:21">
      <c r="P949" s="225"/>
      <c r="U949" s="205"/>
    </row>
    <row r="950" spans="16:21">
      <c r="P950" s="225"/>
      <c r="U950" s="205"/>
    </row>
    <row r="951" spans="16:21">
      <c r="P951" s="225"/>
      <c r="U951" s="205"/>
    </row>
    <row r="952" spans="16:21">
      <c r="P952" s="225"/>
      <c r="U952" s="205"/>
    </row>
    <row r="953" spans="16:21">
      <c r="P953" s="225"/>
      <c r="U953" s="205"/>
    </row>
    <row r="954" spans="16:21">
      <c r="P954" s="225"/>
      <c r="U954" s="205"/>
    </row>
    <row r="955" spans="16:21">
      <c r="P955" s="225"/>
      <c r="U955" s="205"/>
    </row>
    <row r="956" spans="16:21">
      <c r="P956" s="225"/>
      <c r="U956" s="205"/>
    </row>
    <row r="957" spans="16:21">
      <c r="P957" s="225"/>
      <c r="U957" s="205"/>
    </row>
    <row r="958" spans="16:21">
      <c r="P958" s="225"/>
      <c r="U958" s="205"/>
    </row>
    <row r="959" spans="16:21">
      <c r="P959" s="225"/>
      <c r="U959" s="205"/>
    </row>
    <row r="960" spans="16:21">
      <c r="P960" s="225"/>
      <c r="U960" s="205"/>
    </row>
    <row r="961" spans="16:21">
      <c r="P961" s="225"/>
      <c r="U961" s="205"/>
    </row>
    <row r="962" spans="16:21">
      <c r="P962" s="225"/>
      <c r="U962" s="205"/>
    </row>
    <row r="963" spans="16:21">
      <c r="P963" s="225"/>
      <c r="U963" s="205"/>
    </row>
    <row r="964" spans="16:21">
      <c r="P964" s="225"/>
      <c r="U964" s="205"/>
    </row>
    <row r="965" spans="16:21">
      <c r="P965" s="225"/>
      <c r="U965" s="205"/>
    </row>
    <row r="966" spans="16:21">
      <c r="P966" s="225"/>
      <c r="U966" s="205"/>
    </row>
    <row r="967" spans="16:21">
      <c r="P967" s="225"/>
      <c r="U967" s="205"/>
    </row>
    <row r="968" spans="16:21">
      <c r="P968" s="225"/>
      <c r="U968" s="205"/>
    </row>
    <row r="969" spans="16:21">
      <c r="P969" s="225"/>
      <c r="U969" s="205"/>
    </row>
    <row r="970" spans="16:21">
      <c r="P970" s="225"/>
      <c r="U970" s="205"/>
    </row>
    <row r="971" spans="16:21">
      <c r="P971" s="225"/>
      <c r="U971" s="205"/>
    </row>
    <row r="972" spans="16:21">
      <c r="P972" s="225"/>
      <c r="U972" s="205"/>
    </row>
    <row r="973" spans="16:21">
      <c r="P973" s="225"/>
      <c r="U973" s="205"/>
    </row>
    <row r="974" spans="16:21">
      <c r="P974" s="225"/>
      <c r="U974" s="205"/>
    </row>
    <row r="975" spans="16:21">
      <c r="P975" s="225"/>
      <c r="U975" s="205"/>
    </row>
    <row r="976" spans="16:21">
      <c r="P976" s="225"/>
      <c r="U976" s="205"/>
    </row>
    <row r="977" spans="16:21">
      <c r="P977" s="225"/>
      <c r="U977" s="205"/>
    </row>
    <row r="978" spans="16:21">
      <c r="P978" s="225"/>
      <c r="U978" s="205"/>
    </row>
    <row r="979" spans="16:21">
      <c r="P979" s="225"/>
      <c r="U979" s="205"/>
    </row>
    <row r="980" spans="16:21">
      <c r="P980" s="225"/>
      <c r="U980" s="205"/>
    </row>
    <row r="981" spans="16:21">
      <c r="P981" s="225"/>
      <c r="U981" s="205"/>
    </row>
    <row r="982" spans="16:21">
      <c r="P982" s="225"/>
      <c r="U982" s="205"/>
    </row>
    <row r="983" spans="16:21">
      <c r="P983" s="225"/>
      <c r="U983" s="205"/>
    </row>
    <row r="984" spans="16:21">
      <c r="P984" s="225"/>
      <c r="U984" s="205"/>
    </row>
    <row r="985" spans="16:21">
      <c r="P985" s="225"/>
      <c r="U985" s="205"/>
    </row>
    <row r="986" spans="16:21">
      <c r="P986" s="225"/>
      <c r="U986" s="205"/>
    </row>
    <row r="987" spans="16:21">
      <c r="P987" s="225"/>
      <c r="U987" s="205"/>
    </row>
    <row r="988" spans="16:21">
      <c r="P988" s="225"/>
      <c r="U988" s="205"/>
    </row>
    <row r="989" spans="16:21">
      <c r="P989" s="225"/>
      <c r="U989" s="205"/>
    </row>
    <row r="990" spans="16:21">
      <c r="P990" s="225"/>
      <c r="U990" s="205"/>
    </row>
    <row r="991" spans="16:21">
      <c r="P991" s="225"/>
      <c r="U991" s="205"/>
    </row>
    <row r="992" spans="16:21">
      <c r="P992" s="225"/>
      <c r="U992" s="205"/>
    </row>
    <row r="993" spans="16:21">
      <c r="P993" s="225"/>
      <c r="U993" s="205"/>
    </row>
    <row r="994" spans="16:21">
      <c r="P994" s="225"/>
      <c r="U994" s="205"/>
    </row>
    <row r="995" spans="16:21">
      <c r="P995" s="225"/>
      <c r="U995" s="205"/>
    </row>
    <row r="996" spans="16:21">
      <c r="P996" s="225"/>
      <c r="U996" s="205"/>
    </row>
  </sheetData>
  <mergeCells count="7">
    <mergeCell ref="V8:W8"/>
    <mergeCell ref="X8:Y8"/>
    <mergeCell ref="A1:U1"/>
    <mergeCell ref="L8:M8"/>
    <mergeCell ref="N8:O8"/>
    <mergeCell ref="Q8:R8"/>
    <mergeCell ref="T8:U8"/>
  </mergeCells>
  <conditionalFormatting sqref="E2 E7:E8 B8:D8 F8 H8:I8 K8:X8">
    <cfRule type="notContainsBlanks" dxfId="14" priority="1">
      <formula>LEN(TRIM(E2))&gt;0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1003"/>
  <sheetViews>
    <sheetView topLeftCell="A121" workbookViewId="0">
      <selection activeCell="C142" sqref="C142"/>
    </sheetView>
  </sheetViews>
  <sheetFormatPr baseColWidth="10" defaultColWidth="14.5" defaultRowHeight="15" customHeight="1"/>
  <cols>
    <col min="1" max="2" width="0.5" customWidth="1"/>
    <col min="3" max="3" width="14.6640625" customWidth="1"/>
    <col min="4" max="4" width="12.33203125" customWidth="1"/>
    <col min="5" max="5" width="15" customWidth="1"/>
    <col min="6" max="6" width="16.83203125" customWidth="1"/>
    <col min="7" max="7" width="64" customWidth="1"/>
    <col min="8" max="8" width="8.5" customWidth="1"/>
    <col min="9" max="9" width="5.5" customWidth="1"/>
    <col min="10" max="10" width="10.5" customWidth="1"/>
    <col min="11" max="11" width="11.6640625" customWidth="1"/>
    <col min="12" max="12" width="4.5" customWidth="1"/>
    <col min="13" max="13" width="12.5" customWidth="1"/>
    <col min="14" max="14" width="5.5" customWidth="1"/>
    <col min="15" max="15" width="4.5" customWidth="1"/>
    <col min="16" max="16" width="13.83203125" customWidth="1"/>
    <col min="17" max="17" width="4.83203125" customWidth="1"/>
    <col min="18" max="18" width="21.83203125" customWidth="1"/>
    <col min="19" max="19" width="20.5" customWidth="1"/>
    <col min="20" max="20" width="6.1640625" customWidth="1"/>
    <col min="21" max="21" width="23.33203125" customWidth="1"/>
  </cols>
  <sheetData>
    <row r="1" spans="1:27" ht="86.25" customHeight="1">
      <c r="A1" s="535"/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28"/>
      <c r="V1" s="1"/>
    </row>
    <row r="2" spans="1:27" ht="16">
      <c r="A2" s="1"/>
      <c r="B2" s="3"/>
      <c r="C2" s="93" t="s">
        <v>1</v>
      </c>
      <c r="D2" s="14">
        <v>800000</v>
      </c>
      <c r="E2" s="6">
        <f>D3/D2</f>
        <v>0.90461687499999999</v>
      </c>
      <c r="F2" s="168">
        <v>45538</v>
      </c>
      <c r="G2" s="7">
        <v>45322</v>
      </c>
      <c r="H2" s="1"/>
      <c r="I2" s="1"/>
      <c r="J2" s="8"/>
      <c r="K2" s="8"/>
      <c r="L2" s="8"/>
      <c r="M2" s="8"/>
      <c r="N2" s="8"/>
      <c r="O2" s="8"/>
      <c r="P2" s="2"/>
      <c r="Q2" s="8"/>
      <c r="R2" s="126"/>
      <c r="S2" s="1"/>
      <c r="T2" s="1"/>
      <c r="U2" s="195"/>
      <c r="V2" s="1"/>
    </row>
    <row r="3" spans="1:27" ht="16">
      <c r="A3" s="1"/>
      <c r="B3" s="11"/>
      <c r="C3" s="94" t="s">
        <v>2</v>
      </c>
      <c r="D3" s="14">
        <f>SUM(K10:K187)</f>
        <v>723693.5</v>
      </c>
      <c r="E3" s="14" t="s">
        <v>3</v>
      </c>
      <c r="F3" s="14" t="s">
        <v>3</v>
      </c>
      <c r="G3" s="7"/>
      <c r="H3" s="7"/>
      <c r="I3" s="7"/>
      <c r="J3" s="1"/>
      <c r="K3" s="8"/>
      <c r="L3" s="8"/>
      <c r="M3" s="8"/>
      <c r="N3" s="1"/>
      <c r="O3" s="1"/>
      <c r="P3" s="206"/>
      <c r="Q3" s="9"/>
      <c r="R3" s="10"/>
      <c r="S3" s="1"/>
      <c r="T3" s="126"/>
      <c r="U3" s="1"/>
      <c r="V3" s="1"/>
      <c r="W3" s="195"/>
      <c r="X3" s="1"/>
    </row>
    <row r="4" spans="1:27" ht="16">
      <c r="A4" s="1"/>
      <c r="B4" s="1"/>
      <c r="C4" s="177" t="s">
        <v>2218</v>
      </c>
      <c r="D4" s="177">
        <f ca="1">(E5-TODAY())</f>
        <v>-369</v>
      </c>
      <c r="E4" s="178"/>
      <c r="F4" s="90"/>
      <c r="G4" s="1"/>
      <c r="H4" s="1"/>
      <c r="I4" s="1"/>
      <c r="J4" s="8"/>
      <c r="L4" s="1"/>
      <c r="M4" s="1"/>
      <c r="N4" s="9"/>
      <c r="O4" s="10"/>
      <c r="P4" s="207"/>
      <c r="Q4" s="1"/>
      <c r="R4" s="126"/>
      <c r="S4" s="1"/>
      <c r="T4" s="1"/>
      <c r="U4" s="195"/>
      <c r="V4" s="1"/>
    </row>
    <row r="5" spans="1:27" ht="16">
      <c r="A5" s="1"/>
      <c r="B5" s="1"/>
      <c r="C5" s="208" t="s">
        <v>6</v>
      </c>
      <c r="D5" s="209">
        <f ca="1">TODAY()</f>
        <v>46026</v>
      </c>
      <c r="E5" s="210">
        <v>45657</v>
      </c>
      <c r="F5" s="90"/>
      <c r="G5" s="7"/>
      <c r="H5" s="1"/>
      <c r="I5" s="1"/>
      <c r="J5" s="8"/>
      <c r="K5" s="8"/>
      <c r="L5" s="1"/>
      <c r="M5" s="1"/>
      <c r="N5" s="9"/>
      <c r="O5" s="10"/>
      <c r="P5" s="207"/>
      <c r="Q5" s="1"/>
      <c r="R5" s="126"/>
      <c r="S5" s="1"/>
      <c r="T5" s="1"/>
      <c r="U5" s="195"/>
      <c r="V5" s="1"/>
    </row>
    <row r="6" spans="1:27" ht="22">
      <c r="A6" s="1"/>
      <c r="B6" s="22"/>
      <c r="C6" s="536" t="s">
        <v>2734</v>
      </c>
      <c r="D6" s="537"/>
      <c r="E6" s="537"/>
      <c r="F6" s="537"/>
      <c r="G6" s="23"/>
      <c r="H6" s="23"/>
      <c r="I6" s="23"/>
      <c r="J6" s="23"/>
      <c r="K6" s="23"/>
      <c r="L6" s="23"/>
      <c r="M6" s="23"/>
      <c r="N6" s="23"/>
      <c r="O6" s="24"/>
      <c r="P6" s="211"/>
      <c r="Q6" s="23"/>
      <c r="R6" s="127"/>
      <c r="S6" s="26"/>
      <c r="T6" s="26"/>
      <c r="U6" s="196"/>
      <c r="V6" s="1"/>
    </row>
    <row r="7" spans="1:27" ht="16">
      <c r="A7" s="1"/>
      <c r="B7" s="28"/>
      <c r="C7" s="169"/>
      <c r="D7" s="170"/>
      <c r="E7" s="31"/>
      <c r="F7" s="1"/>
      <c r="G7" s="18"/>
      <c r="H7" s="1"/>
      <c r="I7" s="1"/>
      <c r="J7" s="8"/>
      <c r="K7" s="8"/>
      <c r="L7" s="1"/>
      <c r="M7" s="1"/>
      <c r="N7" s="9"/>
      <c r="O7" s="10"/>
      <c r="P7" s="207"/>
      <c r="Q7" s="1"/>
      <c r="R7" s="126"/>
      <c r="S7" s="1"/>
      <c r="T7" s="1"/>
      <c r="U7" s="195"/>
      <c r="V7" s="1"/>
    </row>
    <row r="8" spans="1:27">
      <c r="A8" s="1"/>
      <c r="B8" s="32"/>
      <c r="C8" s="31"/>
      <c r="D8" s="33"/>
      <c r="E8" s="31" t="s">
        <v>9</v>
      </c>
      <c r="F8" s="31"/>
      <c r="G8" s="18"/>
      <c r="H8" s="31"/>
      <c r="I8" s="31"/>
      <c r="J8" s="34"/>
      <c r="K8" s="31"/>
      <c r="L8" s="531" t="s">
        <v>10</v>
      </c>
      <c r="M8" s="528"/>
      <c r="N8" s="532" t="s">
        <v>11</v>
      </c>
      <c r="O8" s="528"/>
      <c r="P8" s="212" t="s">
        <v>2219</v>
      </c>
      <c r="Q8" s="533" t="s">
        <v>12</v>
      </c>
      <c r="R8" s="528"/>
      <c r="S8" s="35" t="s">
        <v>13</v>
      </c>
      <c r="T8" s="527" t="s">
        <v>14</v>
      </c>
      <c r="U8" s="528"/>
      <c r="V8" s="527" t="s">
        <v>15</v>
      </c>
      <c r="W8" s="528"/>
      <c r="X8" s="527" t="s">
        <v>16</v>
      </c>
      <c r="Y8" s="528"/>
    </row>
    <row r="9" spans="1:27" ht="14.25" customHeight="1">
      <c r="A9" s="98"/>
      <c r="B9" s="99"/>
      <c r="C9" s="38" t="s">
        <v>18</v>
      </c>
      <c r="D9" s="38" t="s">
        <v>19</v>
      </c>
      <c r="E9" s="38" t="s">
        <v>20</v>
      </c>
      <c r="F9" s="38" t="s">
        <v>21</v>
      </c>
      <c r="G9" s="38" t="s">
        <v>2018</v>
      </c>
      <c r="H9" s="38" t="s">
        <v>22</v>
      </c>
      <c r="I9" s="38"/>
      <c r="J9" s="40"/>
      <c r="K9" s="41" t="s">
        <v>23</v>
      </c>
      <c r="L9" s="42"/>
      <c r="M9" s="43"/>
      <c r="N9" s="43"/>
      <c r="O9" s="44"/>
      <c r="P9" s="213"/>
      <c r="Q9" s="45"/>
      <c r="R9" s="128"/>
      <c r="S9" s="165"/>
      <c r="T9" s="47"/>
      <c r="U9" s="214"/>
      <c r="V9" s="100" t="s">
        <v>24</v>
      </c>
      <c r="W9" s="100" t="s">
        <v>25</v>
      </c>
      <c r="X9" s="49"/>
      <c r="Y9" s="49"/>
    </row>
    <row r="10" spans="1:27">
      <c r="A10" s="1"/>
      <c r="B10" s="32"/>
      <c r="C10" s="71" t="s">
        <v>2735</v>
      </c>
      <c r="D10" s="53" t="s">
        <v>104</v>
      </c>
      <c r="E10" s="53" t="s">
        <v>486</v>
      </c>
      <c r="F10" s="66" t="s">
        <v>241</v>
      </c>
      <c r="G10" s="69" t="s">
        <v>68</v>
      </c>
      <c r="H10" s="69" t="s">
        <v>30</v>
      </c>
      <c r="I10" s="69">
        <v>2</v>
      </c>
      <c r="J10" s="70">
        <v>2350</v>
      </c>
      <c r="K10" s="54">
        <f t="shared" ref="K10:K187" si="0">I10*J10</f>
        <v>4700</v>
      </c>
      <c r="L10" s="55" t="b">
        <v>1</v>
      </c>
      <c r="M10" s="56">
        <v>21220240946</v>
      </c>
      <c r="N10" s="57" t="b">
        <v>1</v>
      </c>
      <c r="O10" s="58"/>
      <c r="P10" s="226"/>
      <c r="Q10" s="59" t="b">
        <v>1</v>
      </c>
      <c r="R10" s="129"/>
      <c r="S10" s="165"/>
      <c r="T10" s="47" t="b">
        <v>1</v>
      </c>
      <c r="U10" s="227" t="s">
        <v>2736</v>
      </c>
      <c r="V10" s="54"/>
      <c r="W10" s="54"/>
      <c r="X10" s="49"/>
      <c r="Y10" s="49"/>
    </row>
    <row r="11" spans="1:27" ht="17.25" customHeight="1">
      <c r="A11" s="1"/>
      <c r="B11" s="32"/>
      <c r="C11" s="71" t="s">
        <v>2735</v>
      </c>
      <c r="D11" s="53" t="s">
        <v>345</v>
      </c>
      <c r="E11" s="53" t="s">
        <v>342</v>
      </c>
      <c r="F11" s="66" t="s">
        <v>2228</v>
      </c>
      <c r="G11" s="131" t="s">
        <v>2737</v>
      </c>
      <c r="H11" s="131" t="s">
        <v>30</v>
      </c>
      <c r="I11" s="131">
        <v>2</v>
      </c>
      <c r="J11" s="188">
        <v>125</v>
      </c>
      <c r="K11" s="54">
        <f t="shared" si="0"/>
        <v>250</v>
      </c>
      <c r="L11" s="55" t="b">
        <v>1</v>
      </c>
      <c r="M11" s="56">
        <v>21220240946</v>
      </c>
      <c r="N11" s="57" t="b">
        <v>1</v>
      </c>
      <c r="O11" s="58" t="s">
        <v>31</v>
      </c>
      <c r="P11" s="226">
        <v>45628</v>
      </c>
      <c r="Q11" s="59" t="b">
        <v>1</v>
      </c>
      <c r="R11" s="129"/>
      <c r="S11" s="165"/>
      <c r="T11" s="47" t="b">
        <v>1</v>
      </c>
      <c r="U11" s="227" t="s">
        <v>2738</v>
      </c>
      <c r="V11" s="54"/>
      <c r="W11" s="54"/>
      <c r="X11" s="49"/>
      <c r="Y11" s="49"/>
    </row>
    <row r="12" spans="1:27">
      <c r="A12" s="1"/>
      <c r="B12" s="32"/>
      <c r="C12" s="71" t="s">
        <v>2735</v>
      </c>
      <c r="D12" s="53" t="s">
        <v>212</v>
      </c>
      <c r="E12" s="53" t="s">
        <v>213</v>
      </c>
      <c r="F12" s="66" t="s">
        <v>2364</v>
      </c>
      <c r="G12" s="69" t="s">
        <v>2674</v>
      </c>
      <c r="H12" s="69" t="s">
        <v>30</v>
      </c>
      <c r="I12" s="69">
        <v>3</v>
      </c>
      <c r="J12" s="70">
        <v>510</v>
      </c>
      <c r="K12" s="54">
        <f t="shared" si="0"/>
        <v>1530</v>
      </c>
      <c r="L12" s="55" t="b">
        <v>1</v>
      </c>
      <c r="M12" s="56">
        <v>21220241738</v>
      </c>
      <c r="N12" s="57" t="b">
        <v>1</v>
      </c>
      <c r="O12" s="58"/>
      <c r="P12" s="226"/>
      <c r="Q12" s="59" t="b">
        <v>1</v>
      </c>
      <c r="R12" s="129"/>
      <c r="S12" s="165"/>
      <c r="T12" s="47" t="b">
        <v>1</v>
      </c>
      <c r="U12" s="227" t="s">
        <v>2739</v>
      </c>
      <c r="V12" s="54"/>
      <c r="W12" s="54"/>
      <c r="X12" s="49"/>
      <c r="Y12" s="49"/>
    </row>
    <row r="13" spans="1:27">
      <c r="A13" s="18"/>
      <c r="B13" s="163"/>
      <c r="C13" s="82">
        <v>45628</v>
      </c>
      <c r="D13" s="53" t="s">
        <v>51</v>
      </c>
      <c r="E13" s="53" t="s">
        <v>335</v>
      </c>
      <c r="F13" s="53" t="s">
        <v>457</v>
      </c>
      <c r="G13" s="66" t="s">
        <v>147</v>
      </c>
      <c r="H13" s="66" t="s">
        <v>30</v>
      </c>
      <c r="I13" s="66">
        <v>5</v>
      </c>
      <c r="J13" s="75">
        <v>800</v>
      </c>
      <c r="K13" s="54">
        <f t="shared" si="0"/>
        <v>4000</v>
      </c>
      <c r="L13" s="55" t="b">
        <v>1</v>
      </c>
      <c r="M13" s="56">
        <v>21220241919</v>
      </c>
      <c r="N13" s="57" t="b">
        <v>1</v>
      </c>
      <c r="O13" s="58"/>
      <c r="P13" s="226"/>
      <c r="Q13" s="59" t="b">
        <v>1</v>
      </c>
      <c r="R13" s="129"/>
      <c r="S13" s="165"/>
      <c r="T13" s="47" t="b">
        <v>1</v>
      </c>
      <c r="U13" s="227" t="s">
        <v>2740</v>
      </c>
      <c r="V13" s="75"/>
      <c r="W13" s="75"/>
      <c r="X13" s="166"/>
      <c r="Y13" s="166"/>
      <c r="Z13" s="167"/>
      <c r="AA13" s="167"/>
    </row>
    <row r="14" spans="1:27">
      <c r="A14" s="18"/>
      <c r="B14" s="163"/>
      <c r="C14" s="82">
        <v>45628</v>
      </c>
      <c r="D14" s="53" t="s">
        <v>51</v>
      </c>
      <c r="E14" s="53" t="s">
        <v>335</v>
      </c>
      <c r="F14" s="53" t="s">
        <v>457</v>
      </c>
      <c r="G14" s="66" t="s">
        <v>877</v>
      </c>
      <c r="H14" s="66" t="s">
        <v>30</v>
      </c>
      <c r="I14" s="66">
        <v>5</v>
      </c>
      <c r="J14" s="75">
        <v>875</v>
      </c>
      <c r="K14" s="54">
        <f t="shared" si="0"/>
        <v>4375</v>
      </c>
      <c r="L14" s="55" t="b">
        <v>1</v>
      </c>
      <c r="M14" s="56">
        <v>21220241919</v>
      </c>
      <c r="N14" s="57" t="b">
        <v>1</v>
      </c>
      <c r="O14" s="58" t="s">
        <v>2356</v>
      </c>
      <c r="P14" s="226">
        <v>45635</v>
      </c>
      <c r="Q14" s="59" t="b">
        <v>1</v>
      </c>
      <c r="R14" s="129"/>
      <c r="S14" s="165"/>
      <c r="T14" s="47" t="b">
        <v>1</v>
      </c>
      <c r="U14" s="227" t="s">
        <v>2740</v>
      </c>
      <c r="V14" s="75"/>
      <c r="W14" s="75"/>
      <c r="X14" s="166"/>
      <c r="Y14" s="166"/>
      <c r="Z14" s="167"/>
      <c r="AA14" s="167"/>
    </row>
    <row r="15" spans="1:27">
      <c r="A15" s="162"/>
      <c r="B15" s="187"/>
      <c r="C15" s="132">
        <v>45628</v>
      </c>
      <c r="D15" s="66" t="s">
        <v>51</v>
      </c>
      <c r="E15" s="66" t="s">
        <v>475</v>
      </c>
      <c r="F15" s="66" t="s">
        <v>168</v>
      </c>
      <c r="G15" s="66" t="s">
        <v>2741</v>
      </c>
      <c r="H15" s="69" t="s">
        <v>30</v>
      </c>
      <c r="I15" s="53">
        <v>1</v>
      </c>
      <c r="J15" s="70">
        <v>2250</v>
      </c>
      <c r="K15" s="54">
        <f t="shared" si="0"/>
        <v>2250</v>
      </c>
      <c r="L15" s="55" t="b">
        <v>1</v>
      </c>
      <c r="M15" s="56">
        <v>21220241919</v>
      </c>
      <c r="N15" s="57" t="b">
        <v>1</v>
      </c>
      <c r="O15" s="58" t="s">
        <v>529</v>
      </c>
      <c r="P15" s="226">
        <v>45629</v>
      </c>
      <c r="Q15" s="59" t="b">
        <v>1</v>
      </c>
      <c r="R15" s="129"/>
      <c r="S15" s="165"/>
      <c r="T15" s="47" t="b">
        <v>1</v>
      </c>
      <c r="U15" s="227" t="s">
        <v>2742</v>
      </c>
      <c r="V15" s="75"/>
      <c r="W15" s="75"/>
      <c r="X15" s="166"/>
      <c r="Y15" s="166"/>
      <c r="Z15" s="167"/>
      <c r="AA15" s="167"/>
    </row>
    <row r="16" spans="1:27">
      <c r="A16" s="162"/>
      <c r="B16" s="187"/>
      <c r="C16" s="132">
        <v>45628</v>
      </c>
      <c r="D16" s="66" t="s">
        <v>345</v>
      </c>
      <c r="E16" s="66" t="s">
        <v>342</v>
      </c>
      <c r="F16" s="66" t="s">
        <v>2228</v>
      </c>
      <c r="G16" s="66" t="s">
        <v>49</v>
      </c>
      <c r="H16" s="69" t="s">
        <v>30</v>
      </c>
      <c r="I16" s="53">
        <v>10</v>
      </c>
      <c r="J16" s="70">
        <v>600</v>
      </c>
      <c r="K16" s="54">
        <f t="shared" si="0"/>
        <v>6000</v>
      </c>
      <c r="L16" s="55" t="b">
        <v>1</v>
      </c>
      <c r="M16" s="56">
        <v>21220241919</v>
      </c>
      <c r="N16" s="57" t="b">
        <v>1</v>
      </c>
      <c r="O16" s="58"/>
      <c r="P16" s="226"/>
      <c r="Q16" s="59" t="b">
        <v>1</v>
      </c>
      <c r="R16" s="129"/>
      <c r="S16" s="165"/>
      <c r="T16" s="47" t="b">
        <v>1</v>
      </c>
      <c r="U16" s="227" t="s">
        <v>2743</v>
      </c>
      <c r="V16" s="75"/>
      <c r="W16" s="75"/>
      <c r="X16" s="166"/>
      <c r="Y16" s="166"/>
      <c r="Z16" s="167"/>
      <c r="AA16" s="167"/>
    </row>
    <row r="17" spans="1:27">
      <c r="A17" s="162"/>
      <c r="B17" s="187"/>
      <c r="C17" s="132">
        <v>45629</v>
      </c>
      <c r="D17" s="66" t="s">
        <v>51</v>
      </c>
      <c r="E17" s="66" t="s">
        <v>201</v>
      </c>
      <c r="F17" s="66" t="s">
        <v>395</v>
      </c>
      <c r="G17" s="66" t="s">
        <v>2744</v>
      </c>
      <c r="H17" s="69" t="s">
        <v>30</v>
      </c>
      <c r="I17" s="53">
        <v>1</v>
      </c>
      <c r="J17" s="70">
        <v>41250</v>
      </c>
      <c r="K17" s="54">
        <f t="shared" si="0"/>
        <v>41250</v>
      </c>
      <c r="L17" s="55" t="b">
        <v>1</v>
      </c>
      <c r="M17" s="56">
        <v>31220241110</v>
      </c>
      <c r="N17" s="57" t="b">
        <v>1</v>
      </c>
      <c r="O17" s="58"/>
      <c r="P17" s="226" t="s">
        <v>2745</v>
      </c>
      <c r="Q17" s="59" t="b">
        <v>1</v>
      </c>
      <c r="R17" s="129"/>
      <c r="S17" s="165"/>
      <c r="T17" s="47" t="b">
        <v>1</v>
      </c>
      <c r="U17" s="227" t="s">
        <v>2746</v>
      </c>
      <c r="V17" s="75"/>
      <c r="W17" s="75"/>
      <c r="X17" s="166"/>
      <c r="Y17" s="166"/>
      <c r="Z17" s="167"/>
      <c r="AA17" s="167"/>
    </row>
    <row r="18" spans="1:27">
      <c r="A18" s="162"/>
      <c r="B18" s="187"/>
      <c r="C18" s="132">
        <v>45629</v>
      </c>
      <c r="D18" s="66" t="s">
        <v>51</v>
      </c>
      <c r="E18" s="66" t="s">
        <v>201</v>
      </c>
      <c r="F18" s="66" t="s">
        <v>395</v>
      </c>
      <c r="G18" s="66" t="s">
        <v>2747</v>
      </c>
      <c r="H18" s="69" t="s">
        <v>30</v>
      </c>
      <c r="I18" s="53">
        <v>1</v>
      </c>
      <c r="J18" s="70">
        <v>875</v>
      </c>
      <c r="K18" s="54">
        <f t="shared" si="0"/>
        <v>875</v>
      </c>
      <c r="L18" s="55" t="b">
        <v>1</v>
      </c>
      <c r="M18" s="56">
        <v>31220241110</v>
      </c>
      <c r="N18" s="57" t="b">
        <v>1</v>
      </c>
      <c r="O18" s="58"/>
      <c r="P18" s="226"/>
      <c r="Q18" s="59" t="b">
        <v>1</v>
      </c>
      <c r="R18" s="129"/>
      <c r="S18" s="165"/>
      <c r="T18" s="47" t="b">
        <v>1</v>
      </c>
      <c r="U18" s="227" t="s">
        <v>2748</v>
      </c>
      <c r="V18" s="75"/>
      <c r="W18" s="75"/>
      <c r="X18" s="166"/>
      <c r="Y18" s="166"/>
      <c r="Z18" s="167"/>
      <c r="AA18" s="167"/>
    </row>
    <row r="19" spans="1:27">
      <c r="A19" s="162"/>
      <c r="B19" s="187"/>
      <c r="C19" s="132">
        <v>45629</v>
      </c>
      <c r="D19" s="66" t="s">
        <v>51</v>
      </c>
      <c r="E19" s="66" t="s">
        <v>201</v>
      </c>
      <c r="F19" s="66" t="s">
        <v>1208</v>
      </c>
      <c r="G19" s="66" t="s">
        <v>2749</v>
      </c>
      <c r="H19" s="69" t="s">
        <v>30</v>
      </c>
      <c r="I19" s="53">
        <v>5</v>
      </c>
      <c r="J19" s="70">
        <v>1200</v>
      </c>
      <c r="K19" s="54">
        <f t="shared" si="0"/>
        <v>6000</v>
      </c>
      <c r="L19" s="55" t="b">
        <v>1</v>
      </c>
      <c r="M19" s="56">
        <v>31220241110</v>
      </c>
      <c r="N19" s="57" t="b">
        <v>1</v>
      </c>
      <c r="O19" s="58"/>
      <c r="P19" s="226"/>
      <c r="Q19" s="59" t="b">
        <v>1</v>
      </c>
      <c r="R19" s="129"/>
      <c r="S19" s="165"/>
      <c r="T19" s="47" t="b">
        <v>1</v>
      </c>
      <c r="U19" s="227" t="s">
        <v>2750</v>
      </c>
      <c r="V19" s="75"/>
      <c r="W19" s="75"/>
      <c r="X19" s="166"/>
      <c r="Y19" s="166"/>
      <c r="Z19" s="167"/>
      <c r="AA19" s="167"/>
    </row>
    <row r="20" spans="1:27">
      <c r="A20" s="162"/>
      <c r="B20" s="187"/>
      <c r="C20" s="132">
        <v>45629</v>
      </c>
      <c r="D20" s="66" t="s">
        <v>51</v>
      </c>
      <c r="E20" s="66" t="s">
        <v>201</v>
      </c>
      <c r="F20" s="66" t="s">
        <v>395</v>
      </c>
      <c r="G20" s="66" t="s">
        <v>2751</v>
      </c>
      <c r="H20" s="69" t="s">
        <v>30</v>
      </c>
      <c r="I20" s="53">
        <v>2</v>
      </c>
      <c r="J20" s="70">
        <v>6500</v>
      </c>
      <c r="K20" s="54">
        <f t="shared" si="0"/>
        <v>13000</v>
      </c>
      <c r="L20" s="55" t="b">
        <v>1</v>
      </c>
      <c r="M20" s="56">
        <v>31220241110</v>
      </c>
      <c r="N20" s="57" t="b">
        <v>1</v>
      </c>
      <c r="O20" s="58"/>
      <c r="P20" s="226"/>
      <c r="Q20" s="59" t="b">
        <v>1</v>
      </c>
      <c r="R20" s="129"/>
      <c r="S20" s="165"/>
      <c r="T20" s="47" t="b">
        <v>1</v>
      </c>
      <c r="U20" s="227" t="s">
        <v>2746</v>
      </c>
      <c r="V20" s="75"/>
      <c r="W20" s="75"/>
      <c r="X20" s="166"/>
      <c r="Y20" s="166"/>
      <c r="Z20" s="167"/>
      <c r="AA20" s="167"/>
    </row>
    <row r="21" spans="1:27">
      <c r="A21" s="162"/>
      <c r="B21" s="187"/>
      <c r="C21" s="132">
        <v>45629</v>
      </c>
      <c r="D21" s="66" t="s">
        <v>55</v>
      </c>
      <c r="E21" s="66">
        <v>41</v>
      </c>
      <c r="F21" s="66" t="s">
        <v>1552</v>
      </c>
      <c r="G21" s="66" t="s">
        <v>2752</v>
      </c>
      <c r="H21" s="69" t="s">
        <v>30</v>
      </c>
      <c r="I21" s="53">
        <v>1</v>
      </c>
      <c r="J21" s="70">
        <v>1200</v>
      </c>
      <c r="K21" s="54">
        <f t="shared" si="0"/>
        <v>1200</v>
      </c>
      <c r="L21" s="55" t="b">
        <v>1</v>
      </c>
      <c r="M21" s="56">
        <v>31220241124</v>
      </c>
      <c r="N21" s="57" t="b">
        <v>1</v>
      </c>
      <c r="O21" s="58"/>
      <c r="P21" s="226"/>
      <c r="Q21" s="59" t="b">
        <v>1</v>
      </c>
      <c r="R21" s="129"/>
      <c r="S21" s="165"/>
      <c r="T21" s="47" t="b">
        <v>1</v>
      </c>
      <c r="U21" s="227" t="s">
        <v>2753</v>
      </c>
      <c r="V21" s="75"/>
      <c r="W21" s="75"/>
      <c r="X21" s="166"/>
      <c r="Y21" s="166"/>
      <c r="Z21" s="167"/>
      <c r="AA21" s="167"/>
    </row>
    <row r="22" spans="1:27">
      <c r="A22" s="162"/>
      <c r="B22" s="187"/>
      <c r="C22" s="132">
        <v>45629</v>
      </c>
      <c r="D22" s="66" t="s">
        <v>418</v>
      </c>
      <c r="E22" s="66" t="s">
        <v>230</v>
      </c>
      <c r="F22" s="66" t="s">
        <v>1990</v>
      </c>
      <c r="G22" s="66" t="s">
        <v>68</v>
      </c>
      <c r="H22" s="69" t="s">
        <v>30</v>
      </c>
      <c r="I22" s="53">
        <v>1</v>
      </c>
      <c r="J22" s="70">
        <v>2350</v>
      </c>
      <c r="K22" s="54">
        <f t="shared" si="0"/>
        <v>2350</v>
      </c>
      <c r="L22" s="55" t="b">
        <v>1</v>
      </c>
      <c r="M22" s="56">
        <v>31220241126</v>
      </c>
      <c r="N22" s="57" t="b">
        <v>1</v>
      </c>
      <c r="O22" s="58"/>
      <c r="P22" s="226"/>
      <c r="Q22" s="59" t="b">
        <v>1</v>
      </c>
      <c r="R22" s="129"/>
      <c r="S22" s="165"/>
      <c r="T22" s="47" t="b">
        <v>1</v>
      </c>
      <c r="U22" s="227" t="s">
        <v>2754</v>
      </c>
      <c r="V22" s="75"/>
      <c r="W22" s="75"/>
      <c r="X22" s="166"/>
      <c r="Y22" s="166"/>
      <c r="Z22" s="167"/>
      <c r="AA22" s="167"/>
    </row>
    <row r="23" spans="1:27">
      <c r="A23" s="162"/>
      <c r="B23" s="187"/>
      <c r="C23" s="132">
        <v>45629</v>
      </c>
      <c r="D23" s="66" t="s">
        <v>418</v>
      </c>
      <c r="E23" s="66" t="s">
        <v>230</v>
      </c>
      <c r="F23" s="66" t="s">
        <v>1990</v>
      </c>
      <c r="G23" s="66" t="s">
        <v>2755</v>
      </c>
      <c r="H23" s="69" t="s">
        <v>30</v>
      </c>
      <c r="I23" s="53">
        <v>10</v>
      </c>
      <c r="J23" s="70">
        <v>100</v>
      </c>
      <c r="K23" s="54">
        <f t="shared" si="0"/>
        <v>1000</v>
      </c>
      <c r="L23" s="55" t="b">
        <v>1</v>
      </c>
      <c r="M23" s="56">
        <v>31220241126</v>
      </c>
      <c r="N23" s="57" t="b">
        <v>1</v>
      </c>
      <c r="O23" s="58"/>
      <c r="P23" s="226"/>
      <c r="Q23" s="59" t="b">
        <v>1</v>
      </c>
      <c r="R23" s="129"/>
      <c r="S23" s="165"/>
      <c r="T23" s="47" t="b">
        <v>1</v>
      </c>
      <c r="U23" s="227" t="s">
        <v>2754</v>
      </c>
      <c r="V23" s="75"/>
      <c r="W23" s="75"/>
      <c r="X23" s="166"/>
      <c r="Y23" s="166"/>
      <c r="Z23" s="167"/>
      <c r="AA23" s="167"/>
    </row>
    <row r="24" spans="1:27">
      <c r="A24" s="162"/>
      <c r="B24" s="187"/>
      <c r="C24" s="132">
        <v>45629</v>
      </c>
      <c r="D24" s="66" t="s">
        <v>51</v>
      </c>
      <c r="E24" s="66" t="s">
        <v>201</v>
      </c>
      <c r="F24" s="66" t="s">
        <v>202</v>
      </c>
      <c r="G24" s="66" t="s">
        <v>202</v>
      </c>
      <c r="H24" s="69" t="s">
        <v>30</v>
      </c>
      <c r="I24" s="53">
        <v>1</v>
      </c>
      <c r="J24" s="70">
        <v>2750</v>
      </c>
      <c r="K24" s="54">
        <f t="shared" si="0"/>
        <v>2750</v>
      </c>
      <c r="L24" s="55" t="b">
        <v>1</v>
      </c>
      <c r="M24" s="56">
        <v>31220241213</v>
      </c>
      <c r="N24" s="57" t="b">
        <v>1</v>
      </c>
      <c r="O24" s="58"/>
      <c r="P24" s="226"/>
      <c r="Q24" s="59" t="b">
        <v>1</v>
      </c>
      <c r="R24" s="129"/>
      <c r="S24" s="165"/>
      <c r="T24" s="47" t="b">
        <v>1</v>
      </c>
      <c r="U24" s="227" t="s">
        <v>2746</v>
      </c>
      <c r="V24" s="75"/>
      <c r="W24" s="75"/>
      <c r="X24" s="166"/>
      <c r="Y24" s="166"/>
      <c r="Z24" s="167"/>
      <c r="AA24" s="167"/>
    </row>
    <row r="25" spans="1:27">
      <c r="A25" s="162"/>
      <c r="B25" s="187"/>
      <c r="C25" s="132">
        <v>45629</v>
      </c>
      <c r="D25" s="66" t="s">
        <v>51</v>
      </c>
      <c r="E25" s="66" t="s">
        <v>201</v>
      </c>
      <c r="F25" s="66" t="s">
        <v>202</v>
      </c>
      <c r="G25" s="66" t="s">
        <v>787</v>
      </c>
      <c r="H25" s="69" t="s">
        <v>30</v>
      </c>
      <c r="I25" s="53">
        <v>1</v>
      </c>
      <c r="J25" s="70">
        <v>3400</v>
      </c>
      <c r="K25" s="54">
        <f t="shared" si="0"/>
        <v>3400</v>
      </c>
      <c r="L25" s="55" t="b">
        <v>1</v>
      </c>
      <c r="M25" s="56">
        <v>331220241213</v>
      </c>
      <c r="N25" s="57" t="b">
        <v>1</v>
      </c>
      <c r="O25" s="58"/>
      <c r="P25" s="226"/>
      <c r="Q25" s="59" t="b">
        <v>1</v>
      </c>
      <c r="R25" s="129"/>
      <c r="S25" s="165"/>
      <c r="T25" s="47" t="b">
        <v>1</v>
      </c>
      <c r="U25" s="227" t="s">
        <v>2746</v>
      </c>
      <c r="V25" s="75"/>
      <c r="W25" s="75"/>
      <c r="X25" s="166"/>
      <c r="Y25" s="166"/>
      <c r="Z25" s="167"/>
      <c r="AA25" s="167"/>
    </row>
    <row r="26" spans="1:27">
      <c r="A26" s="162"/>
      <c r="B26" s="187"/>
      <c r="C26" s="132">
        <v>45629</v>
      </c>
      <c r="D26" s="66" t="s">
        <v>51</v>
      </c>
      <c r="E26" s="66" t="s">
        <v>201</v>
      </c>
      <c r="F26" s="66" t="s">
        <v>202</v>
      </c>
      <c r="G26" s="66" t="s">
        <v>2756</v>
      </c>
      <c r="H26" s="69" t="s">
        <v>30</v>
      </c>
      <c r="I26" s="53">
        <v>15</v>
      </c>
      <c r="J26" s="70">
        <v>525</v>
      </c>
      <c r="K26" s="54">
        <f t="shared" si="0"/>
        <v>7875</v>
      </c>
      <c r="L26" s="55" t="b">
        <v>1</v>
      </c>
      <c r="M26" s="56">
        <v>31220241534</v>
      </c>
      <c r="N26" s="57" t="b">
        <v>1</v>
      </c>
      <c r="O26" s="58"/>
      <c r="P26" s="226"/>
      <c r="Q26" s="59" t="b">
        <v>1</v>
      </c>
      <c r="R26" s="129"/>
      <c r="S26" s="165"/>
      <c r="T26" s="47" t="b">
        <v>1</v>
      </c>
      <c r="U26" s="227" t="s">
        <v>2757</v>
      </c>
      <c r="V26" s="75"/>
      <c r="W26" s="75"/>
      <c r="X26" s="166"/>
      <c r="Y26" s="166"/>
      <c r="Z26" s="167"/>
      <c r="AA26" s="167"/>
    </row>
    <row r="27" spans="1:27">
      <c r="A27" s="162"/>
      <c r="B27" s="187"/>
      <c r="C27" s="132">
        <v>45629</v>
      </c>
      <c r="D27" s="66" t="s">
        <v>51</v>
      </c>
      <c r="E27" s="66" t="s">
        <v>201</v>
      </c>
      <c r="F27" s="66" t="s">
        <v>202</v>
      </c>
      <c r="G27" s="66" t="s">
        <v>142</v>
      </c>
      <c r="H27" s="69" t="s">
        <v>30</v>
      </c>
      <c r="I27" s="53">
        <v>3000</v>
      </c>
      <c r="J27" s="70">
        <v>1.4</v>
      </c>
      <c r="K27" s="54">
        <f t="shared" si="0"/>
        <v>4200</v>
      </c>
      <c r="L27" s="55" t="b">
        <v>1</v>
      </c>
      <c r="M27" s="56">
        <v>31220241534</v>
      </c>
      <c r="N27" s="57" t="b">
        <v>1</v>
      </c>
      <c r="O27" s="58"/>
      <c r="P27" s="226"/>
      <c r="Q27" s="59" t="b">
        <v>1</v>
      </c>
      <c r="R27" s="129"/>
      <c r="S27" s="165"/>
      <c r="T27" s="47" t="b">
        <v>1</v>
      </c>
      <c r="U27" s="227" t="s">
        <v>2757</v>
      </c>
      <c r="V27" s="75"/>
      <c r="W27" s="75"/>
      <c r="X27" s="166"/>
      <c r="Y27" s="166"/>
      <c r="Z27" s="167"/>
      <c r="AA27" s="167"/>
    </row>
    <row r="28" spans="1:27">
      <c r="A28" s="162"/>
      <c r="B28" s="187"/>
      <c r="C28" s="132">
        <v>45629</v>
      </c>
      <c r="D28" s="66" t="s">
        <v>51</v>
      </c>
      <c r="E28" s="66" t="s">
        <v>89</v>
      </c>
      <c r="F28" s="66"/>
      <c r="G28" s="66" t="s">
        <v>2758</v>
      </c>
      <c r="H28" s="69" t="s">
        <v>30</v>
      </c>
      <c r="I28" s="53">
        <v>1</v>
      </c>
      <c r="J28" s="70">
        <v>3000</v>
      </c>
      <c r="K28" s="54">
        <f t="shared" si="0"/>
        <v>3000</v>
      </c>
      <c r="L28" s="55" t="b">
        <v>1</v>
      </c>
      <c r="M28" s="56">
        <v>31220241534</v>
      </c>
      <c r="N28" s="57" t="b">
        <v>1</v>
      </c>
      <c r="O28" s="58"/>
      <c r="P28" s="226"/>
      <c r="Q28" s="59" t="b">
        <v>1</v>
      </c>
      <c r="R28" s="129"/>
      <c r="S28" s="165"/>
      <c r="T28" s="47" t="b">
        <v>1</v>
      </c>
      <c r="U28" s="227" t="s">
        <v>2726</v>
      </c>
      <c r="V28" s="75"/>
      <c r="W28" s="75"/>
      <c r="X28" s="166"/>
      <c r="Y28" s="166"/>
      <c r="Z28" s="167"/>
      <c r="AA28" s="167"/>
    </row>
    <row r="29" spans="1:27">
      <c r="A29" s="162"/>
      <c r="B29" s="187"/>
      <c r="C29" s="132">
        <v>45629</v>
      </c>
      <c r="D29" s="66" t="s">
        <v>345</v>
      </c>
      <c r="E29" s="66" t="s">
        <v>342</v>
      </c>
      <c r="F29" s="66" t="s">
        <v>2228</v>
      </c>
      <c r="G29" s="66" t="s">
        <v>877</v>
      </c>
      <c r="H29" s="69" t="s">
        <v>30</v>
      </c>
      <c r="I29" s="53">
        <v>2</v>
      </c>
      <c r="J29" s="70">
        <v>875</v>
      </c>
      <c r="K29" s="54">
        <f t="shared" si="0"/>
        <v>1750</v>
      </c>
      <c r="L29" s="55" t="b">
        <v>1</v>
      </c>
      <c r="M29" s="56">
        <v>31220241534</v>
      </c>
      <c r="N29" s="57" t="b">
        <v>1</v>
      </c>
      <c r="O29" s="58" t="s">
        <v>2356</v>
      </c>
      <c r="P29" s="226">
        <v>45635</v>
      </c>
      <c r="Q29" s="59" t="b">
        <v>1</v>
      </c>
      <c r="R29" s="129"/>
      <c r="S29" s="165"/>
      <c r="T29" s="47" t="b">
        <v>1</v>
      </c>
      <c r="U29" s="227" t="s">
        <v>2759</v>
      </c>
      <c r="V29" s="75"/>
      <c r="W29" s="75"/>
      <c r="X29" s="166"/>
      <c r="Y29" s="166"/>
      <c r="Z29" s="167"/>
      <c r="AA29" s="167"/>
    </row>
    <row r="30" spans="1:27">
      <c r="A30" s="162"/>
      <c r="B30" s="187"/>
      <c r="C30" s="132">
        <v>45630</v>
      </c>
      <c r="D30" s="66" t="s">
        <v>144</v>
      </c>
      <c r="E30" s="66" t="s">
        <v>1959</v>
      </c>
      <c r="F30" s="66" t="s">
        <v>1235</v>
      </c>
      <c r="G30" s="66" t="s">
        <v>2760</v>
      </c>
      <c r="H30" s="69" t="s">
        <v>30</v>
      </c>
      <c r="I30" s="53">
        <v>200</v>
      </c>
      <c r="J30" s="70">
        <v>30</v>
      </c>
      <c r="K30" s="54">
        <f t="shared" si="0"/>
        <v>6000</v>
      </c>
      <c r="L30" s="55" t="b">
        <v>1</v>
      </c>
      <c r="M30" s="56">
        <v>41220240842</v>
      </c>
      <c r="N30" s="57" t="b">
        <v>1</v>
      </c>
      <c r="O30" s="58" t="s">
        <v>2356</v>
      </c>
      <c r="P30" s="226">
        <v>45635</v>
      </c>
      <c r="Q30" s="59" t="b">
        <v>1</v>
      </c>
      <c r="R30" s="129"/>
      <c r="S30" s="165"/>
      <c r="T30" s="47" t="b">
        <v>1</v>
      </c>
      <c r="U30" s="227" t="s">
        <v>2761</v>
      </c>
      <c r="V30" s="75"/>
      <c r="W30" s="75"/>
      <c r="X30" s="166"/>
      <c r="Y30" s="166"/>
      <c r="Z30" s="167"/>
      <c r="AA30" s="167"/>
    </row>
    <row r="31" spans="1:27">
      <c r="A31" s="162"/>
      <c r="B31" s="187"/>
      <c r="C31" s="132">
        <v>45630</v>
      </c>
      <c r="D31" s="66" t="s">
        <v>51</v>
      </c>
      <c r="E31" s="66" t="s">
        <v>201</v>
      </c>
      <c r="F31" s="66" t="s">
        <v>202</v>
      </c>
      <c r="G31" s="66" t="s">
        <v>2762</v>
      </c>
      <c r="H31" s="69" t="s">
        <v>30</v>
      </c>
      <c r="I31" s="53">
        <v>24</v>
      </c>
      <c r="J31" s="70">
        <v>55</v>
      </c>
      <c r="K31" s="54">
        <f t="shared" si="0"/>
        <v>1320</v>
      </c>
      <c r="L31" s="55" t="b">
        <v>1</v>
      </c>
      <c r="M31" s="56">
        <v>41220241124</v>
      </c>
      <c r="N31" s="57" t="b">
        <v>1</v>
      </c>
      <c r="O31" s="58"/>
      <c r="P31" s="226"/>
      <c r="Q31" s="59" t="b">
        <v>1</v>
      </c>
      <c r="R31" s="129"/>
      <c r="S31" s="165"/>
      <c r="T31" s="47" t="b">
        <v>1</v>
      </c>
      <c r="U31" s="227" t="s">
        <v>2757</v>
      </c>
      <c r="V31" s="75"/>
      <c r="W31" s="75"/>
      <c r="X31" s="166"/>
      <c r="Y31" s="166"/>
      <c r="Z31" s="167"/>
      <c r="AA31" s="167"/>
    </row>
    <row r="32" spans="1:27">
      <c r="A32" s="162"/>
      <c r="B32" s="187"/>
      <c r="C32" s="132">
        <v>45630</v>
      </c>
      <c r="D32" s="66" t="s">
        <v>51</v>
      </c>
      <c r="E32" s="66" t="s">
        <v>201</v>
      </c>
      <c r="F32" s="66" t="s">
        <v>202</v>
      </c>
      <c r="G32" s="66" t="s">
        <v>116</v>
      </c>
      <c r="H32" s="69" t="s">
        <v>30</v>
      </c>
      <c r="I32" s="53">
        <v>24</v>
      </c>
      <c r="J32" s="70">
        <v>218</v>
      </c>
      <c r="K32" s="54">
        <f t="shared" si="0"/>
        <v>5232</v>
      </c>
      <c r="L32" s="55" t="b">
        <v>1</v>
      </c>
      <c r="M32" s="56">
        <v>41220241148</v>
      </c>
      <c r="N32" s="57" t="b">
        <v>1</v>
      </c>
      <c r="O32" s="58"/>
      <c r="P32" s="226"/>
      <c r="Q32" s="59" t="b">
        <v>1</v>
      </c>
      <c r="R32" s="129"/>
      <c r="S32" s="165"/>
      <c r="T32" s="47" t="b">
        <v>1</v>
      </c>
      <c r="U32" s="227" t="s">
        <v>2757</v>
      </c>
      <c r="V32" s="75"/>
      <c r="W32" s="75"/>
      <c r="X32" s="166"/>
      <c r="Y32" s="166"/>
      <c r="Z32" s="167"/>
      <c r="AA32" s="167"/>
    </row>
    <row r="33" spans="1:27">
      <c r="A33" s="162"/>
      <c r="B33" s="187"/>
      <c r="C33" s="132">
        <v>45630</v>
      </c>
      <c r="D33" s="66" t="s">
        <v>51</v>
      </c>
      <c r="E33" s="66" t="s">
        <v>201</v>
      </c>
      <c r="F33" s="66" t="s">
        <v>1208</v>
      </c>
      <c r="G33" s="66" t="s">
        <v>785</v>
      </c>
      <c r="H33" s="69" t="s">
        <v>30</v>
      </c>
      <c r="I33" s="53">
        <v>1</v>
      </c>
      <c r="J33" s="70">
        <v>2750</v>
      </c>
      <c r="K33" s="54">
        <f t="shared" si="0"/>
        <v>2750</v>
      </c>
      <c r="L33" s="55" t="b">
        <v>1</v>
      </c>
      <c r="M33" s="56">
        <v>41220241148</v>
      </c>
      <c r="N33" s="57" t="b">
        <v>1</v>
      </c>
      <c r="O33" s="58"/>
      <c r="P33" s="226"/>
      <c r="Q33" s="59" t="b">
        <v>1</v>
      </c>
      <c r="R33" s="129"/>
      <c r="S33" s="165"/>
      <c r="T33" s="47" t="b">
        <v>1</v>
      </c>
      <c r="U33" s="227" t="s">
        <v>2757</v>
      </c>
      <c r="V33" s="75"/>
      <c r="W33" s="75"/>
      <c r="X33" s="166"/>
      <c r="Y33" s="166"/>
      <c r="Z33" s="167"/>
      <c r="AA33" s="167"/>
    </row>
    <row r="34" spans="1:27">
      <c r="A34" s="162"/>
      <c r="B34" s="187"/>
      <c r="C34" s="132">
        <v>45630</v>
      </c>
      <c r="D34" s="66" t="s">
        <v>51</v>
      </c>
      <c r="E34" s="66" t="s">
        <v>201</v>
      </c>
      <c r="F34" s="66" t="s">
        <v>1208</v>
      </c>
      <c r="G34" s="66" t="s">
        <v>787</v>
      </c>
      <c r="H34" s="69" t="s">
        <v>30</v>
      </c>
      <c r="I34" s="53">
        <v>1</v>
      </c>
      <c r="J34" s="70">
        <v>3400</v>
      </c>
      <c r="K34" s="54">
        <f t="shared" si="0"/>
        <v>3400</v>
      </c>
      <c r="L34" s="55" t="b">
        <v>1</v>
      </c>
      <c r="M34" s="56">
        <v>41220241148</v>
      </c>
      <c r="N34" s="57" t="b">
        <v>1</v>
      </c>
      <c r="O34" s="58"/>
      <c r="P34" s="226"/>
      <c r="Q34" s="59" t="b">
        <v>1</v>
      </c>
      <c r="R34" s="129"/>
      <c r="S34" s="165"/>
      <c r="T34" s="47" t="b">
        <v>1</v>
      </c>
      <c r="U34" s="227" t="s">
        <v>2757</v>
      </c>
      <c r="V34" s="75"/>
      <c r="W34" s="75"/>
      <c r="X34" s="166"/>
      <c r="Y34" s="166"/>
      <c r="Z34" s="167"/>
      <c r="AA34" s="167"/>
    </row>
    <row r="35" spans="1:27">
      <c r="A35" s="162"/>
      <c r="B35" s="187"/>
      <c r="C35" s="132">
        <v>45630</v>
      </c>
      <c r="D35" s="66" t="s">
        <v>51</v>
      </c>
      <c r="E35" s="66" t="s">
        <v>201</v>
      </c>
      <c r="F35" s="66" t="s">
        <v>1208</v>
      </c>
      <c r="G35" s="66" t="s">
        <v>2763</v>
      </c>
      <c r="H35" s="69" t="s">
        <v>30</v>
      </c>
      <c r="I35" s="53">
        <v>1</v>
      </c>
      <c r="J35" s="70">
        <v>2750</v>
      </c>
      <c r="K35" s="54">
        <f t="shared" si="0"/>
        <v>2750</v>
      </c>
      <c r="L35" s="55" t="b">
        <v>1</v>
      </c>
      <c r="M35" s="56">
        <v>41220241148</v>
      </c>
      <c r="N35" s="57" t="b">
        <v>1</v>
      </c>
      <c r="O35" s="58"/>
      <c r="P35" s="226"/>
      <c r="Q35" s="59" t="b">
        <v>1</v>
      </c>
      <c r="R35" s="129"/>
      <c r="S35" s="165"/>
      <c r="T35" s="47" t="b">
        <v>1</v>
      </c>
      <c r="U35" s="227" t="s">
        <v>2757</v>
      </c>
      <c r="V35" s="75"/>
      <c r="W35" s="75"/>
      <c r="X35" s="166"/>
      <c r="Y35" s="166"/>
      <c r="Z35" s="167"/>
      <c r="AA35" s="167"/>
    </row>
    <row r="36" spans="1:27">
      <c r="A36" s="162"/>
      <c r="B36" s="187"/>
      <c r="C36" s="132">
        <v>45630</v>
      </c>
      <c r="D36" s="66" t="s">
        <v>212</v>
      </c>
      <c r="E36" s="66" t="s">
        <v>213</v>
      </c>
      <c r="F36" s="66" t="s">
        <v>2364</v>
      </c>
      <c r="G36" s="66" t="s">
        <v>1829</v>
      </c>
      <c r="H36" s="69" t="s">
        <v>30</v>
      </c>
      <c r="I36" s="53">
        <v>10</v>
      </c>
      <c r="J36" s="70">
        <v>48.5</v>
      </c>
      <c r="K36" s="54">
        <f t="shared" si="0"/>
        <v>485</v>
      </c>
      <c r="L36" s="55" t="b">
        <v>1</v>
      </c>
      <c r="M36" s="56">
        <v>41220241148</v>
      </c>
      <c r="N36" s="57" t="b">
        <v>1</v>
      </c>
      <c r="O36" s="58" t="s">
        <v>2356</v>
      </c>
      <c r="P36" s="226">
        <v>45631</v>
      </c>
      <c r="Q36" s="59" t="b">
        <v>1</v>
      </c>
      <c r="R36" s="129"/>
      <c r="S36" s="165"/>
      <c r="T36" s="47" t="b">
        <v>1</v>
      </c>
      <c r="U36" s="227" t="s">
        <v>2764</v>
      </c>
      <c r="V36" s="75"/>
      <c r="W36" s="75"/>
      <c r="X36" s="166"/>
      <c r="Y36" s="166"/>
      <c r="Z36" s="167"/>
      <c r="AA36" s="167"/>
    </row>
    <row r="37" spans="1:27">
      <c r="A37" s="162"/>
      <c r="B37" s="187"/>
      <c r="C37" s="132">
        <v>45630</v>
      </c>
      <c r="D37" s="66" t="s">
        <v>418</v>
      </c>
      <c r="E37" s="66" t="s">
        <v>230</v>
      </c>
      <c r="F37" s="66" t="s">
        <v>1990</v>
      </c>
      <c r="G37" s="66" t="s">
        <v>300</v>
      </c>
      <c r="H37" s="69" t="s">
        <v>30</v>
      </c>
      <c r="I37" s="53">
        <v>50</v>
      </c>
      <c r="J37" s="70">
        <v>125</v>
      </c>
      <c r="K37" s="54">
        <f t="shared" si="0"/>
        <v>6250</v>
      </c>
      <c r="L37" s="55" t="b">
        <v>1</v>
      </c>
      <c r="M37" s="56">
        <v>41220241405</v>
      </c>
      <c r="N37" s="57" t="b">
        <v>1</v>
      </c>
      <c r="O37" s="58"/>
      <c r="P37" s="226"/>
      <c r="Q37" s="59" t="b">
        <v>1</v>
      </c>
      <c r="R37" s="129"/>
      <c r="S37" s="165"/>
      <c r="T37" s="47" t="b">
        <v>1</v>
      </c>
      <c r="U37" s="227" t="s">
        <v>2754</v>
      </c>
      <c r="V37" s="75"/>
      <c r="W37" s="75"/>
      <c r="X37" s="166"/>
      <c r="Y37" s="166"/>
      <c r="Z37" s="167"/>
      <c r="AA37" s="167"/>
    </row>
    <row r="38" spans="1:27">
      <c r="A38" s="162"/>
      <c r="B38" s="187"/>
      <c r="C38" s="132" t="s">
        <v>2765</v>
      </c>
      <c r="D38" s="66" t="s">
        <v>262</v>
      </c>
      <c r="E38" s="66" t="s">
        <v>263</v>
      </c>
      <c r="F38" s="66" t="s">
        <v>2514</v>
      </c>
      <c r="G38" s="66" t="s">
        <v>916</v>
      </c>
      <c r="H38" s="69" t="s">
        <v>30</v>
      </c>
      <c r="I38" s="53">
        <v>5</v>
      </c>
      <c r="J38" s="70">
        <v>100</v>
      </c>
      <c r="K38" s="54">
        <f t="shared" si="0"/>
        <v>500</v>
      </c>
      <c r="L38" s="55" t="b">
        <v>1</v>
      </c>
      <c r="M38" s="56">
        <v>41220241533</v>
      </c>
      <c r="N38" s="57" t="b">
        <v>1</v>
      </c>
      <c r="O38" s="58"/>
      <c r="P38" s="226"/>
      <c r="Q38" s="59" t="b">
        <v>1</v>
      </c>
      <c r="R38" s="129"/>
      <c r="S38" s="165"/>
      <c r="T38" s="47" t="b">
        <v>1</v>
      </c>
      <c r="U38" s="227" t="s">
        <v>2766</v>
      </c>
      <c r="V38" s="75"/>
      <c r="W38" s="75"/>
      <c r="X38" s="166"/>
      <c r="Y38" s="166"/>
      <c r="Z38" s="167"/>
      <c r="AA38" s="167"/>
    </row>
    <row r="39" spans="1:27">
      <c r="A39" s="162"/>
      <c r="B39" s="187"/>
      <c r="C39" s="132" t="s">
        <v>2767</v>
      </c>
      <c r="D39" s="66" t="s">
        <v>98</v>
      </c>
      <c r="E39" s="66" t="s">
        <v>99</v>
      </c>
      <c r="F39" s="66" t="s">
        <v>2768</v>
      </c>
      <c r="G39" s="66" t="s">
        <v>639</v>
      </c>
      <c r="H39" s="69" t="s">
        <v>2581</v>
      </c>
      <c r="I39" s="53">
        <v>24</v>
      </c>
      <c r="J39" s="70">
        <v>218</v>
      </c>
      <c r="K39" s="54">
        <f t="shared" si="0"/>
        <v>5232</v>
      </c>
      <c r="L39" s="55" t="b">
        <v>1</v>
      </c>
      <c r="M39" s="56">
        <v>51220241013</v>
      </c>
      <c r="N39" s="57" t="b">
        <v>1</v>
      </c>
      <c r="O39" s="58" t="s">
        <v>2356</v>
      </c>
      <c r="P39" s="226">
        <v>45632</v>
      </c>
      <c r="Q39" s="59" t="b">
        <v>1</v>
      </c>
      <c r="R39" s="129"/>
      <c r="S39" s="165"/>
      <c r="T39" s="47" t="b">
        <v>1</v>
      </c>
      <c r="U39" s="227" t="s">
        <v>2769</v>
      </c>
      <c r="V39" s="75"/>
      <c r="W39" s="75"/>
      <c r="X39" s="166"/>
      <c r="Y39" s="166"/>
      <c r="Z39" s="167"/>
      <c r="AA39" s="167"/>
    </row>
    <row r="40" spans="1:27">
      <c r="A40" s="162"/>
      <c r="B40" s="187"/>
      <c r="C40" s="132" t="s">
        <v>2767</v>
      </c>
      <c r="D40" s="66" t="s">
        <v>144</v>
      </c>
      <c r="E40" s="66" t="s">
        <v>1541</v>
      </c>
      <c r="F40" s="66" t="s">
        <v>1631</v>
      </c>
      <c r="G40" s="66" t="s">
        <v>2770</v>
      </c>
      <c r="H40" s="69" t="s">
        <v>30</v>
      </c>
      <c r="I40" s="53">
        <v>2</v>
      </c>
      <c r="J40" s="70">
        <v>500</v>
      </c>
      <c r="K40" s="54">
        <f t="shared" si="0"/>
        <v>1000</v>
      </c>
      <c r="L40" s="55" t="b">
        <v>1</v>
      </c>
      <c r="M40" s="56">
        <v>51220241318</v>
      </c>
      <c r="N40" s="57" t="b">
        <v>1</v>
      </c>
      <c r="O40" s="58"/>
      <c r="P40" s="226"/>
      <c r="Q40" s="59" t="b">
        <v>1</v>
      </c>
      <c r="R40" s="129"/>
      <c r="S40" s="165"/>
      <c r="T40" s="47" t="b">
        <v>1</v>
      </c>
      <c r="U40" s="227" t="s">
        <v>2771</v>
      </c>
      <c r="V40" s="75"/>
      <c r="W40" s="75"/>
      <c r="X40" s="166"/>
      <c r="Y40" s="166"/>
      <c r="Z40" s="167"/>
      <c r="AA40" s="167"/>
    </row>
    <row r="41" spans="1:27">
      <c r="A41" s="162"/>
      <c r="B41" s="187"/>
      <c r="C41" s="132" t="s">
        <v>2767</v>
      </c>
      <c r="D41" s="66" t="s">
        <v>1133</v>
      </c>
      <c r="E41" s="66" t="s">
        <v>1133</v>
      </c>
      <c r="F41" s="66" t="s">
        <v>1439</v>
      </c>
      <c r="G41" s="66" t="s">
        <v>2772</v>
      </c>
      <c r="H41" s="69" t="s">
        <v>30</v>
      </c>
      <c r="I41" s="53">
        <v>25</v>
      </c>
      <c r="J41" s="70">
        <v>125</v>
      </c>
      <c r="K41" s="54">
        <f t="shared" si="0"/>
        <v>3125</v>
      </c>
      <c r="L41" s="55" t="b">
        <v>1</v>
      </c>
      <c r="M41" s="56">
        <v>51220241407</v>
      </c>
      <c r="N41" s="57" t="b">
        <v>1</v>
      </c>
      <c r="O41" s="58" t="s">
        <v>2356</v>
      </c>
      <c r="P41" s="226">
        <v>45632</v>
      </c>
      <c r="Q41" s="59" t="b">
        <v>1</v>
      </c>
      <c r="R41" s="129"/>
      <c r="S41" s="165"/>
      <c r="T41" s="47" t="b">
        <v>1</v>
      </c>
      <c r="U41" s="227" t="s">
        <v>2773</v>
      </c>
      <c r="V41" s="75"/>
      <c r="W41" s="75"/>
      <c r="X41" s="166"/>
      <c r="Y41" s="166"/>
      <c r="Z41" s="167"/>
      <c r="AA41" s="167"/>
    </row>
    <row r="42" spans="1:27">
      <c r="A42" s="162"/>
      <c r="B42" s="187"/>
      <c r="C42" s="132" t="s">
        <v>2767</v>
      </c>
      <c r="D42" s="66" t="s">
        <v>1300</v>
      </c>
      <c r="E42" s="66" t="s">
        <v>94</v>
      </c>
      <c r="F42" s="66" t="s">
        <v>2318</v>
      </c>
      <c r="G42" s="66" t="s">
        <v>2774</v>
      </c>
      <c r="H42" s="69" t="s">
        <v>30</v>
      </c>
      <c r="I42" s="53">
        <v>12</v>
      </c>
      <c r="J42" s="70">
        <v>145</v>
      </c>
      <c r="K42" s="54">
        <f t="shared" si="0"/>
        <v>1740</v>
      </c>
      <c r="L42" s="55" t="b">
        <v>1</v>
      </c>
      <c r="M42" s="56">
        <v>51220242013</v>
      </c>
      <c r="N42" s="57" t="b">
        <v>1</v>
      </c>
      <c r="O42" s="58"/>
      <c r="P42" s="226"/>
      <c r="Q42" s="59" t="b">
        <v>1</v>
      </c>
      <c r="R42" s="129"/>
      <c r="S42" s="165"/>
      <c r="T42" s="47" t="b">
        <v>1</v>
      </c>
      <c r="U42" s="227" t="s">
        <v>2775</v>
      </c>
      <c r="V42" s="75"/>
      <c r="W42" s="75"/>
      <c r="X42" s="166"/>
      <c r="Y42" s="166"/>
      <c r="Z42" s="167"/>
      <c r="AA42" s="167"/>
    </row>
    <row r="43" spans="1:27">
      <c r="A43" s="162"/>
      <c r="B43" s="187"/>
      <c r="C43" s="132" t="s">
        <v>2767</v>
      </c>
      <c r="D43" s="66" t="s">
        <v>93</v>
      </c>
      <c r="E43" s="66" t="s">
        <v>137</v>
      </c>
      <c r="F43" s="66" t="s">
        <v>268</v>
      </c>
      <c r="G43" s="66" t="s">
        <v>436</v>
      </c>
      <c r="H43" s="69" t="s">
        <v>30</v>
      </c>
      <c r="I43" s="53">
        <v>50</v>
      </c>
      <c r="J43" s="70">
        <v>225</v>
      </c>
      <c r="K43" s="54">
        <f t="shared" si="0"/>
        <v>11250</v>
      </c>
      <c r="L43" s="55" t="b">
        <v>1</v>
      </c>
      <c r="M43" s="56">
        <v>51220242013</v>
      </c>
      <c r="N43" s="57" t="b">
        <v>1</v>
      </c>
      <c r="O43" s="58"/>
      <c r="P43" s="226"/>
      <c r="Q43" s="59" t="b">
        <v>1</v>
      </c>
      <c r="R43" s="129"/>
      <c r="S43" s="165"/>
      <c r="T43" s="47" t="b">
        <v>1</v>
      </c>
      <c r="U43" s="227" t="s">
        <v>2776</v>
      </c>
      <c r="V43" s="75"/>
      <c r="W43" s="75"/>
      <c r="X43" s="166"/>
      <c r="Y43" s="166"/>
      <c r="Z43" s="167"/>
      <c r="AA43" s="167"/>
    </row>
    <row r="44" spans="1:27">
      <c r="A44" s="162"/>
      <c r="B44" s="187"/>
      <c r="C44" s="132" t="s">
        <v>2767</v>
      </c>
      <c r="D44" s="66" t="s">
        <v>93</v>
      </c>
      <c r="E44" s="66" t="s">
        <v>137</v>
      </c>
      <c r="F44" s="66" t="s">
        <v>268</v>
      </c>
      <c r="G44" s="66" t="s">
        <v>72</v>
      </c>
      <c r="H44" s="69" t="s">
        <v>30</v>
      </c>
      <c r="I44" s="53">
        <v>1</v>
      </c>
      <c r="J44" s="70">
        <v>750</v>
      </c>
      <c r="K44" s="54">
        <f t="shared" si="0"/>
        <v>750</v>
      </c>
      <c r="L44" s="55" t="b">
        <v>1</v>
      </c>
      <c r="M44" s="56">
        <v>51220242013</v>
      </c>
      <c r="N44" s="57" t="b">
        <v>1</v>
      </c>
      <c r="O44" s="58"/>
      <c r="P44" s="226"/>
      <c r="Q44" s="59" t="b">
        <v>1</v>
      </c>
      <c r="R44" s="129"/>
      <c r="S44" s="165"/>
      <c r="T44" s="47" t="b">
        <v>1</v>
      </c>
      <c r="U44" s="227" t="s">
        <v>2776</v>
      </c>
      <c r="V44" s="75"/>
      <c r="W44" s="75"/>
      <c r="X44" s="166"/>
      <c r="Y44" s="166"/>
      <c r="Z44" s="167"/>
      <c r="AA44" s="167"/>
    </row>
    <row r="45" spans="1:27">
      <c r="A45" s="162"/>
      <c r="B45" s="187"/>
      <c r="C45" s="132" t="s">
        <v>2767</v>
      </c>
      <c r="D45" s="66" t="s">
        <v>1165</v>
      </c>
      <c r="E45" s="66" t="s">
        <v>47</v>
      </c>
      <c r="F45" s="66" t="s">
        <v>2777</v>
      </c>
      <c r="G45" s="66" t="s">
        <v>2778</v>
      </c>
      <c r="H45" s="69" t="s">
        <v>30</v>
      </c>
      <c r="I45" s="53">
        <v>20</v>
      </c>
      <c r="J45" s="70">
        <v>525</v>
      </c>
      <c r="K45" s="54">
        <f t="shared" si="0"/>
        <v>10500</v>
      </c>
      <c r="L45" s="55" t="b">
        <v>1</v>
      </c>
      <c r="M45" s="56">
        <v>51220242013</v>
      </c>
      <c r="N45" s="57" t="b">
        <v>1</v>
      </c>
      <c r="O45" s="58"/>
      <c r="P45" s="226"/>
      <c r="Q45" s="59" t="b">
        <v>1</v>
      </c>
      <c r="R45" s="129"/>
      <c r="S45" s="165"/>
      <c r="T45" s="47" t="b">
        <v>1</v>
      </c>
      <c r="U45" s="227" t="s">
        <v>2779</v>
      </c>
      <c r="V45" s="75"/>
      <c r="W45" s="75"/>
      <c r="X45" s="166"/>
      <c r="Y45" s="166"/>
      <c r="Z45" s="167"/>
      <c r="AA45" s="167"/>
    </row>
    <row r="46" spans="1:27">
      <c r="A46" s="162"/>
      <c r="B46" s="187"/>
      <c r="C46" s="132" t="s">
        <v>2780</v>
      </c>
      <c r="D46" s="66" t="s">
        <v>51</v>
      </c>
      <c r="E46" s="66" t="s">
        <v>201</v>
      </c>
      <c r="F46" s="66" t="s">
        <v>202</v>
      </c>
      <c r="G46" s="66" t="s">
        <v>2781</v>
      </c>
      <c r="H46" s="69" t="s">
        <v>30</v>
      </c>
      <c r="I46" s="53">
        <v>10</v>
      </c>
      <c r="J46" s="70">
        <v>750</v>
      </c>
      <c r="K46" s="54">
        <f t="shared" si="0"/>
        <v>7500</v>
      </c>
      <c r="L46" s="55" t="b">
        <v>1</v>
      </c>
      <c r="M46" s="56">
        <v>61220241442</v>
      </c>
      <c r="N46" s="57" t="b">
        <v>1</v>
      </c>
      <c r="O46" s="58" t="s">
        <v>2356</v>
      </c>
      <c r="P46" s="226">
        <v>45635</v>
      </c>
      <c r="Q46" s="59" t="b">
        <v>1</v>
      </c>
      <c r="R46" s="129"/>
      <c r="S46" s="165"/>
      <c r="T46" s="47" t="b">
        <v>1</v>
      </c>
      <c r="U46" s="227" t="s">
        <v>2782</v>
      </c>
      <c r="V46" s="75"/>
      <c r="W46" s="75"/>
      <c r="X46" s="166"/>
      <c r="Y46" s="166"/>
      <c r="Z46" s="167"/>
      <c r="AA46" s="167"/>
    </row>
    <row r="47" spans="1:27">
      <c r="A47" s="162"/>
      <c r="B47" s="187"/>
      <c r="C47" s="132" t="s">
        <v>2783</v>
      </c>
      <c r="D47" s="66" t="s">
        <v>1133</v>
      </c>
      <c r="E47" s="66" t="s">
        <v>1133</v>
      </c>
      <c r="F47" s="66" t="s">
        <v>1134</v>
      </c>
      <c r="G47" s="66" t="s">
        <v>842</v>
      </c>
      <c r="H47" s="69" t="s">
        <v>30</v>
      </c>
      <c r="I47" s="53">
        <v>1</v>
      </c>
      <c r="J47" s="70">
        <v>3750</v>
      </c>
      <c r="K47" s="54">
        <f t="shared" si="0"/>
        <v>3750</v>
      </c>
      <c r="L47" s="55" t="b">
        <v>1</v>
      </c>
      <c r="M47" s="56">
        <v>71220241005</v>
      </c>
      <c r="N47" s="57" t="b">
        <v>1</v>
      </c>
      <c r="O47" s="58" t="s">
        <v>529</v>
      </c>
      <c r="P47" s="226"/>
      <c r="Q47" s="59" t="b">
        <v>1</v>
      </c>
      <c r="R47" s="129"/>
      <c r="S47" s="165"/>
      <c r="T47" s="47" t="b">
        <v>1</v>
      </c>
      <c r="U47" s="227" t="s">
        <v>2784</v>
      </c>
      <c r="V47" s="75"/>
      <c r="W47" s="75"/>
      <c r="X47" s="166"/>
      <c r="Y47" s="166"/>
      <c r="Z47" s="167"/>
      <c r="AA47" s="167"/>
    </row>
    <row r="48" spans="1:27">
      <c r="A48" s="162"/>
      <c r="B48" s="187"/>
      <c r="C48" s="132" t="s">
        <v>2783</v>
      </c>
      <c r="D48" s="66" t="s">
        <v>1300</v>
      </c>
      <c r="E48" s="66" t="s">
        <v>94</v>
      </c>
      <c r="F48" s="66" t="s">
        <v>2318</v>
      </c>
      <c r="G48" s="66" t="s">
        <v>1952</v>
      </c>
      <c r="H48" s="69" t="s">
        <v>30</v>
      </c>
      <c r="I48" s="53">
        <v>10</v>
      </c>
      <c r="J48" s="70">
        <v>600</v>
      </c>
      <c r="K48" s="54">
        <f t="shared" si="0"/>
        <v>6000</v>
      </c>
      <c r="L48" s="55" t="b">
        <v>1</v>
      </c>
      <c r="M48" s="56">
        <v>71220241136</v>
      </c>
      <c r="N48" s="57" t="b">
        <v>1</v>
      </c>
      <c r="O48" s="58" t="s">
        <v>2356</v>
      </c>
      <c r="P48" s="226">
        <v>45635</v>
      </c>
      <c r="Q48" s="59" t="b">
        <v>1</v>
      </c>
      <c r="R48" s="129"/>
      <c r="S48" s="165"/>
      <c r="T48" s="47" t="b">
        <v>1</v>
      </c>
      <c r="U48" s="227" t="s">
        <v>2785</v>
      </c>
      <c r="V48" s="75"/>
      <c r="W48" s="75"/>
      <c r="X48" s="166"/>
      <c r="Y48" s="166"/>
      <c r="Z48" s="167"/>
      <c r="AA48" s="167"/>
    </row>
    <row r="49" spans="1:27">
      <c r="A49" s="162"/>
      <c r="B49" s="187"/>
      <c r="C49" s="132" t="s">
        <v>2556</v>
      </c>
      <c r="D49" s="66" t="s">
        <v>98</v>
      </c>
      <c r="E49" s="66" t="s">
        <v>99</v>
      </c>
      <c r="F49" s="66" t="s">
        <v>444</v>
      </c>
      <c r="G49" s="66" t="s">
        <v>236</v>
      </c>
      <c r="H49" s="69" t="s">
        <v>30</v>
      </c>
      <c r="I49" s="53">
        <v>12</v>
      </c>
      <c r="J49" s="70">
        <v>150</v>
      </c>
      <c r="K49" s="54">
        <f t="shared" si="0"/>
        <v>1800</v>
      </c>
      <c r="L49" s="55" t="b">
        <v>1</v>
      </c>
      <c r="M49" s="56">
        <v>91220240951</v>
      </c>
      <c r="N49" s="57" t="b">
        <v>1</v>
      </c>
      <c r="O49" s="58" t="s">
        <v>2356</v>
      </c>
      <c r="P49" s="226">
        <v>45635</v>
      </c>
      <c r="Q49" s="59" t="b">
        <v>1</v>
      </c>
      <c r="R49" s="129"/>
      <c r="S49" s="165"/>
      <c r="T49" s="47" t="b">
        <v>1</v>
      </c>
      <c r="U49" s="227" t="s">
        <v>2786</v>
      </c>
      <c r="V49" s="75"/>
      <c r="W49" s="75"/>
      <c r="X49" s="166"/>
      <c r="Y49" s="166"/>
      <c r="Z49" s="167"/>
      <c r="AA49" s="167"/>
    </row>
    <row r="50" spans="1:27">
      <c r="A50" s="162"/>
      <c r="B50" s="187"/>
      <c r="C50" s="132" t="s">
        <v>2787</v>
      </c>
      <c r="D50" s="66" t="s">
        <v>55</v>
      </c>
      <c r="E50" s="66">
        <v>41</v>
      </c>
      <c r="F50" s="66" t="s">
        <v>1552</v>
      </c>
      <c r="G50" s="66" t="s">
        <v>2788</v>
      </c>
      <c r="H50" s="69" t="s">
        <v>30</v>
      </c>
      <c r="I50" s="53">
        <v>2</v>
      </c>
      <c r="J50" s="70">
        <v>2950</v>
      </c>
      <c r="K50" s="54">
        <f t="shared" si="0"/>
        <v>5900</v>
      </c>
      <c r="L50" s="55" t="b">
        <v>1</v>
      </c>
      <c r="M50" s="56">
        <v>91220240955</v>
      </c>
      <c r="N50" s="57" t="b">
        <v>1</v>
      </c>
      <c r="O50" s="58" t="s">
        <v>529</v>
      </c>
      <c r="P50" s="226"/>
      <c r="Q50" s="59" t="b">
        <v>1</v>
      </c>
      <c r="R50" s="129"/>
      <c r="S50" s="165"/>
      <c r="T50" s="47" t="b">
        <v>1</v>
      </c>
      <c r="U50" s="227" t="s">
        <v>2789</v>
      </c>
      <c r="V50" s="75"/>
      <c r="W50" s="75"/>
      <c r="X50" s="166"/>
      <c r="Y50" s="166"/>
      <c r="Z50" s="167"/>
      <c r="AA50" s="167"/>
    </row>
    <row r="51" spans="1:27">
      <c r="A51" s="162"/>
      <c r="B51" s="187"/>
      <c r="C51" s="132" t="s">
        <v>2787</v>
      </c>
      <c r="D51" s="66" t="s">
        <v>26</v>
      </c>
      <c r="E51" s="66" t="s">
        <v>36</v>
      </c>
      <c r="F51" s="66" t="s">
        <v>715</v>
      </c>
      <c r="G51" s="66" t="s">
        <v>58</v>
      </c>
      <c r="H51" s="69" t="s">
        <v>30</v>
      </c>
      <c r="I51" s="53">
        <v>84</v>
      </c>
      <c r="J51" s="70">
        <v>41.5</v>
      </c>
      <c r="K51" s="54">
        <f t="shared" si="0"/>
        <v>3486</v>
      </c>
      <c r="L51" s="55" t="b">
        <v>1</v>
      </c>
      <c r="M51" s="56">
        <v>91220241829</v>
      </c>
      <c r="N51" s="57" t="b">
        <v>1</v>
      </c>
      <c r="O51" s="58"/>
      <c r="P51" s="226"/>
      <c r="Q51" s="59" t="b">
        <v>1</v>
      </c>
      <c r="R51" s="129"/>
      <c r="S51" s="165"/>
      <c r="T51" s="47" t="b">
        <v>1</v>
      </c>
      <c r="U51" s="227" t="s">
        <v>2790</v>
      </c>
      <c r="V51" s="75"/>
      <c r="W51" s="75"/>
      <c r="X51" s="166"/>
      <c r="Y51" s="166"/>
      <c r="Z51" s="167"/>
      <c r="AA51" s="167"/>
    </row>
    <row r="52" spans="1:27">
      <c r="A52" s="162"/>
      <c r="B52" s="187"/>
      <c r="C52" s="132" t="s">
        <v>2787</v>
      </c>
      <c r="D52" s="66" t="s">
        <v>104</v>
      </c>
      <c r="E52" s="66" t="s">
        <v>122</v>
      </c>
      <c r="F52" s="66" t="s">
        <v>123</v>
      </c>
      <c r="G52" s="66" t="s">
        <v>2760</v>
      </c>
      <c r="H52" s="69" t="s">
        <v>30</v>
      </c>
      <c r="I52" s="53">
        <v>100</v>
      </c>
      <c r="J52" s="70">
        <v>30</v>
      </c>
      <c r="K52" s="54">
        <f t="shared" si="0"/>
        <v>3000</v>
      </c>
      <c r="L52" s="55" t="b">
        <v>1</v>
      </c>
      <c r="M52" s="56">
        <v>91220241830</v>
      </c>
      <c r="N52" s="57" t="b">
        <v>1</v>
      </c>
      <c r="O52" s="58" t="s">
        <v>2356</v>
      </c>
      <c r="P52" s="226">
        <v>45635</v>
      </c>
      <c r="Q52" s="59" t="b">
        <v>1</v>
      </c>
      <c r="R52" s="129"/>
      <c r="S52" s="165"/>
      <c r="T52" s="47" t="b">
        <v>1</v>
      </c>
      <c r="U52" s="227" t="s">
        <v>2791</v>
      </c>
      <c r="V52" s="75"/>
      <c r="W52" s="75"/>
      <c r="X52" s="166"/>
      <c r="Y52" s="166"/>
      <c r="Z52" s="167"/>
      <c r="AA52" s="167"/>
    </row>
    <row r="53" spans="1:27">
      <c r="A53" s="162"/>
      <c r="B53" s="187"/>
      <c r="C53" s="132" t="s">
        <v>2787</v>
      </c>
      <c r="D53" s="66" t="s">
        <v>104</v>
      </c>
      <c r="E53" s="66" t="s">
        <v>620</v>
      </c>
      <c r="F53" s="66" t="s">
        <v>621</v>
      </c>
      <c r="G53" s="66" t="s">
        <v>2792</v>
      </c>
      <c r="H53" s="69" t="s">
        <v>30</v>
      </c>
      <c r="I53" s="53">
        <v>10</v>
      </c>
      <c r="J53" s="70">
        <v>545</v>
      </c>
      <c r="K53" s="54">
        <f t="shared" si="0"/>
        <v>5450</v>
      </c>
      <c r="L53" s="55" t="b">
        <v>1</v>
      </c>
      <c r="M53" s="56">
        <v>91220241835</v>
      </c>
      <c r="N53" s="57" t="b">
        <v>1</v>
      </c>
      <c r="O53" s="58"/>
      <c r="P53" s="226"/>
      <c r="Q53" s="59" t="b">
        <v>1</v>
      </c>
      <c r="R53" s="129"/>
      <c r="S53" s="165"/>
      <c r="T53" s="47" t="b">
        <v>1</v>
      </c>
      <c r="U53" s="227" t="s">
        <v>2793</v>
      </c>
      <c r="V53" s="75"/>
      <c r="W53" s="75"/>
      <c r="X53" s="166"/>
      <c r="Y53" s="166"/>
      <c r="Z53" s="167"/>
      <c r="AA53" s="167"/>
    </row>
    <row r="54" spans="1:27">
      <c r="A54" s="162"/>
      <c r="B54" s="187"/>
      <c r="C54" s="132" t="s">
        <v>2787</v>
      </c>
      <c r="D54" s="66" t="s">
        <v>144</v>
      </c>
      <c r="E54" s="66" t="s">
        <v>1959</v>
      </c>
      <c r="F54" s="66" t="s">
        <v>1235</v>
      </c>
      <c r="G54" s="66" t="s">
        <v>2794</v>
      </c>
      <c r="H54" s="69" t="s">
        <v>30</v>
      </c>
      <c r="I54" s="53">
        <v>2</v>
      </c>
      <c r="J54" s="70">
        <v>1550</v>
      </c>
      <c r="K54" s="54">
        <f t="shared" si="0"/>
        <v>3100</v>
      </c>
      <c r="L54" s="55" t="b">
        <v>1</v>
      </c>
      <c r="M54" s="56">
        <v>91220241837</v>
      </c>
      <c r="N54" s="57" t="b">
        <v>1</v>
      </c>
      <c r="O54" s="58" t="s">
        <v>2356</v>
      </c>
      <c r="P54" s="226">
        <v>45635</v>
      </c>
      <c r="Q54" s="59" t="b">
        <v>1</v>
      </c>
      <c r="R54" s="129"/>
      <c r="S54" s="165"/>
      <c r="T54" s="47" t="b">
        <v>1</v>
      </c>
      <c r="U54" s="227" t="s">
        <v>2795</v>
      </c>
      <c r="V54" s="75"/>
      <c r="W54" s="75"/>
      <c r="X54" s="166"/>
      <c r="Y54" s="166"/>
      <c r="Z54" s="167"/>
      <c r="AA54" s="167"/>
    </row>
    <row r="55" spans="1:27">
      <c r="A55" s="162"/>
      <c r="B55" s="187"/>
      <c r="C55" s="132" t="s">
        <v>2787</v>
      </c>
      <c r="D55" s="66" t="s">
        <v>108</v>
      </c>
      <c r="E55" s="66" t="s">
        <v>109</v>
      </c>
      <c r="F55" s="66" t="s">
        <v>110</v>
      </c>
      <c r="G55" s="66" t="s">
        <v>101</v>
      </c>
      <c r="H55" s="69" t="s">
        <v>30</v>
      </c>
      <c r="I55" s="53">
        <v>4</v>
      </c>
      <c r="J55" s="70">
        <v>975</v>
      </c>
      <c r="K55" s="54">
        <f t="shared" si="0"/>
        <v>3900</v>
      </c>
      <c r="L55" s="55" t="b">
        <v>1</v>
      </c>
      <c r="M55" s="56">
        <v>91220241841</v>
      </c>
      <c r="N55" s="57" t="b">
        <v>1</v>
      </c>
      <c r="O55" s="58" t="s">
        <v>2356</v>
      </c>
      <c r="P55" s="226">
        <v>45639</v>
      </c>
      <c r="Q55" s="59" t="b">
        <v>1</v>
      </c>
      <c r="R55" s="129"/>
      <c r="S55" s="165"/>
      <c r="T55" s="47" t="b">
        <v>1</v>
      </c>
      <c r="U55" s="227" t="s">
        <v>2796</v>
      </c>
      <c r="V55" s="75"/>
      <c r="W55" s="75"/>
      <c r="X55" s="166"/>
      <c r="Y55" s="166"/>
      <c r="Z55" s="167"/>
      <c r="AA55" s="167"/>
    </row>
    <row r="56" spans="1:27">
      <c r="A56" s="162"/>
      <c r="B56" s="187"/>
      <c r="C56" s="132" t="s">
        <v>2787</v>
      </c>
      <c r="D56" s="66" t="s">
        <v>55</v>
      </c>
      <c r="E56" s="66">
        <v>41</v>
      </c>
      <c r="F56" s="66" t="s">
        <v>1552</v>
      </c>
      <c r="G56" s="66" t="s">
        <v>2797</v>
      </c>
      <c r="H56" s="69" t="s">
        <v>30</v>
      </c>
      <c r="I56" s="53">
        <v>25</v>
      </c>
      <c r="J56" s="70">
        <v>412.5</v>
      </c>
      <c r="K56" s="54">
        <f t="shared" si="0"/>
        <v>10312.5</v>
      </c>
      <c r="L56" s="55" t="b">
        <v>1</v>
      </c>
      <c r="M56" s="56">
        <v>91220241920</v>
      </c>
      <c r="N56" s="57" t="b">
        <v>1</v>
      </c>
      <c r="O56" s="58"/>
      <c r="P56" s="226" t="s">
        <v>529</v>
      </c>
      <c r="Q56" s="59" t="b">
        <v>1</v>
      </c>
      <c r="R56" s="129"/>
      <c r="S56" s="165"/>
      <c r="T56" s="47" t="b">
        <v>1</v>
      </c>
      <c r="U56" s="227" t="s">
        <v>2798</v>
      </c>
      <c r="V56" s="75"/>
      <c r="W56" s="75"/>
      <c r="X56" s="166"/>
      <c r="Y56" s="166"/>
      <c r="Z56" s="167"/>
      <c r="AA56" s="167"/>
    </row>
    <row r="57" spans="1:27">
      <c r="A57" s="162"/>
      <c r="B57" s="187"/>
      <c r="C57" s="132" t="s">
        <v>2787</v>
      </c>
      <c r="D57" s="66" t="s">
        <v>55</v>
      </c>
      <c r="E57" s="66">
        <v>41</v>
      </c>
      <c r="F57" s="66" t="s">
        <v>1552</v>
      </c>
      <c r="G57" s="66" t="s">
        <v>2799</v>
      </c>
      <c r="H57" s="69" t="s">
        <v>30</v>
      </c>
      <c r="I57" s="53">
        <v>10</v>
      </c>
      <c r="J57" s="70">
        <v>600</v>
      </c>
      <c r="K57" s="54">
        <f t="shared" si="0"/>
        <v>6000</v>
      </c>
      <c r="L57" s="55" t="b">
        <v>1</v>
      </c>
      <c r="M57" s="56">
        <v>91220241920</v>
      </c>
      <c r="N57" s="57" t="b">
        <v>1</v>
      </c>
      <c r="O57" s="58"/>
      <c r="P57" s="226" t="s">
        <v>529</v>
      </c>
      <c r="Q57" s="59" t="b">
        <v>1</v>
      </c>
      <c r="R57" s="129"/>
      <c r="S57" s="165"/>
      <c r="T57" s="47" t="b">
        <v>1</v>
      </c>
      <c r="U57" s="227" t="s">
        <v>2798</v>
      </c>
      <c r="V57" s="75"/>
      <c r="W57" s="75"/>
      <c r="X57" s="166"/>
      <c r="Y57" s="166"/>
      <c r="Z57" s="167"/>
      <c r="AA57" s="167"/>
    </row>
    <row r="58" spans="1:27">
      <c r="A58" s="162"/>
      <c r="B58" s="187"/>
      <c r="C58" s="132" t="s">
        <v>2787</v>
      </c>
      <c r="D58" s="66" t="s">
        <v>55</v>
      </c>
      <c r="E58" s="66">
        <v>41</v>
      </c>
      <c r="F58" s="66" t="s">
        <v>1552</v>
      </c>
      <c r="G58" s="66" t="s">
        <v>2800</v>
      </c>
      <c r="H58" s="69" t="s">
        <v>30</v>
      </c>
      <c r="I58" s="53">
        <v>4</v>
      </c>
      <c r="J58" s="70">
        <v>202.5</v>
      </c>
      <c r="K58" s="54">
        <f t="shared" si="0"/>
        <v>810</v>
      </c>
      <c r="L58" s="55" t="b">
        <v>1</v>
      </c>
      <c r="M58" s="56">
        <v>91220241920</v>
      </c>
      <c r="N58" s="57" t="b">
        <v>1</v>
      </c>
      <c r="O58" s="58"/>
      <c r="P58" s="226" t="s">
        <v>529</v>
      </c>
      <c r="Q58" s="59" t="b">
        <v>1</v>
      </c>
      <c r="R58" s="129"/>
      <c r="S58" s="165"/>
      <c r="T58" s="47" t="b">
        <v>1</v>
      </c>
      <c r="U58" s="227" t="s">
        <v>2798</v>
      </c>
      <c r="V58" s="75"/>
      <c r="W58" s="75"/>
      <c r="X58" s="166"/>
      <c r="Y58" s="166"/>
      <c r="Z58" s="167"/>
      <c r="AA58" s="167"/>
    </row>
    <row r="59" spans="1:27">
      <c r="A59" s="162"/>
      <c r="B59" s="187"/>
      <c r="C59" s="132" t="s">
        <v>2787</v>
      </c>
      <c r="D59" s="66" t="s">
        <v>55</v>
      </c>
      <c r="E59" s="66">
        <v>41</v>
      </c>
      <c r="F59" s="66" t="s">
        <v>1552</v>
      </c>
      <c r="G59" s="66" t="s">
        <v>2801</v>
      </c>
      <c r="H59" s="69" t="s">
        <v>30</v>
      </c>
      <c r="I59" s="53">
        <v>4</v>
      </c>
      <c r="J59" s="70">
        <v>300</v>
      </c>
      <c r="K59" s="54">
        <f t="shared" si="0"/>
        <v>1200</v>
      </c>
      <c r="L59" s="55" t="b">
        <v>1</v>
      </c>
      <c r="M59" s="56">
        <v>91220241920</v>
      </c>
      <c r="N59" s="57" t="b">
        <v>1</v>
      </c>
      <c r="O59" s="58"/>
      <c r="P59" s="226" t="s">
        <v>529</v>
      </c>
      <c r="Q59" s="59" t="b">
        <v>1</v>
      </c>
      <c r="R59" s="129"/>
      <c r="S59" s="165"/>
      <c r="T59" s="47" t="b">
        <v>1</v>
      </c>
      <c r="U59" s="227" t="s">
        <v>2798</v>
      </c>
      <c r="V59" s="75"/>
      <c r="W59" s="75"/>
      <c r="X59" s="166"/>
      <c r="Y59" s="166"/>
      <c r="Z59" s="167"/>
      <c r="AA59" s="167"/>
    </row>
    <row r="60" spans="1:27">
      <c r="A60" s="162"/>
      <c r="B60" s="187"/>
      <c r="C60" s="132" t="s">
        <v>2787</v>
      </c>
      <c r="D60" s="66" t="s">
        <v>55</v>
      </c>
      <c r="E60" s="66">
        <v>41</v>
      </c>
      <c r="F60" s="66" t="s">
        <v>1552</v>
      </c>
      <c r="G60" s="66" t="s">
        <v>2802</v>
      </c>
      <c r="H60" s="69" t="s">
        <v>30</v>
      </c>
      <c r="I60" s="53">
        <v>1</v>
      </c>
      <c r="J60" s="70">
        <v>2000</v>
      </c>
      <c r="K60" s="54">
        <f t="shared" si="0"/>
        <v>2000</v>
      </c>
      <c r="L60" s="55" t="b">
        <v>1</v>
      </c>
      <c r="M60" s="56">
        <v>91220241920</v>
      </c>
      <c r="N60" s="57" t="b">
        <v>1</v>
      </c>
      <c r="O60" s="58"/>
      <c r="P60" s="226" t="s">
        <v>529</v>
      </c>
      <c r="Q60" s="59" t="b">
        <v>1</v>
      </c>
      <c r="R60" s="129"/>
      <c r="S60" s="165"/>
      <c r="T60" s="47" t="b">
        <v>1</v>
      </c>
      <c r="U60" s="227" t="s">
        <v>2798</v>
      </c>
      <c r="V60" s="75"/>
      <c r="W60" s="75"/>
      <c r="X60" s="166"/>
      <c r="Y60" s="166"/>
      <c r="Z60" s="167"/>
      <c r="AA60" s="167"/>
    </row>
    <row r="61" spans="1:27">
      <c r="A61" s="162"/>
      <c r="B61" s="187"/>
      <c r="C61" s="132" t="s">
        <v>2803</v>
      </c>
      <c r="D61" s="66" t="s">
        <v>433</v>
      </c>
      <c r="E61" s="66" t="s">
        <v>434</v>
      </c>
      <c r="F61" s="66" t="s">
        <v>2621</v>
      </c>
      <c r="G61" s="66" t="s">
        <v>142</v>
      </c>
      <c r="H61" s="69" t="s">
        <v>30</v>
      </c>
      <c r="I61" s="53">
        <v>1500</v>
      </c>
      <c r="J61" s="70">
        <v>1.3</v>
      </c>
      <c r="K61" s="54">
        <f t="shared" si="0"/>
        <v>1950</v>
      </c>
      <c r="L61" s="55" t="b">
        <v>1</v>
      </c>
      <c r="M61" s="56">
        <v>101220241147</v>
      </c>
      <c r="N61" s="57" t="b">
        <v>1</v>
      </c>
      <c r="O61" s="58" t="s">
        <v>2356</v>
      </c>
      <c r="P61" s="226">
        <v>45637</v>
      </c>
      <c r="Q61" s="59" t="b">
        <v>1</v>
      </c>
      <c r="R61" s="129"/>
      <c r="S61" s="165"/>
      <c r="T61" s="47" t="b">
        <v>1</v>
      </c>
      <c r="U61" s="227" t="s">
        <v>2804</v>
      </c>
      <c r="V61" s="75"/>
      <c r="W61" s="75"/>
      <c r="X61" s="166"/>
      <c r="Y61" s="166"/>
      <c r="Z61" s="167"/>
      <c r="AA61" s="167"/>
    </row>
    <row r="62" spans="1:27">
      <c r="A62" s="162"/>
      <c r="B62" s="187"/>
      <c r="C62" s="132" t="s">
        <v>2803</v>
      </c>
      <c r="D62" s="66" t="s">
        <v>51</v>
      </c>
      <c r="E62" s="66" t="s">
        <v>475</v>
      </c>
      <c r="F62" s="66" t="s">
        <v>2105</v>
      </c>
      <c r="G62" s="66" t="s">
        <v>2501</v>
      </c>
      <c r="H62" s="69" t="s">
        <v>30</v>
      </c>
      <c r="I62" s="53">
        <v>1</v>
      </c>
      <c r="J62" s="70">
        <v>1000</v>
      </c>
      <c r="K62" s="54">
        <f t="shared" si="0"/>
        <v>1000</v>
      </c>
      <c r="L62" s="55" t="b">
        <v>1</v>
      </c>
      <c r="M62" s="56">
        <v>101220241505</v>
      </c>
      <c r="N62" s="57" t="b">
        <v>1</v>
      </c>
      <c r="O62" s="58"/>
      <c r="P62" s="226"/>
      <c r="Q62" s="59" t="b">
        <v>1</v>
      </c>
      <c r="R62" s="129"/>
      <c r="S62" s="165"/>
      <c r="T62" s="47" t="b">
        <v>1</v>
      </c>
      <c r="U62" s="227" t="s">
        <v>2742</v>
      </c>
      <c r="V62" s="75"/>
      <c r="W62" s="75"/>
      <c r="X62" s="166"/>
      <c r="Y62" s="166"/>
      <c r="Z62" s="167"/>
      <c r="AA62" s="167"/>
    </row>
    <row r="63" spans="1:27">
      <c r="A63" s="162"/>
      <c r="B63" s="187"/>
      <c r="C63" s="132" t="s">
        <v>2803</v>
      </c>
      <c r="D63" s="66" t="s">
        <v>26</v>
      </c>
      <c r="E63" s="66" t="s">
        <v>27</v>
      </c>
      <c r="F63" s="66" t="s">
        <v>1273</v>
      </c>
      <c r="G63" s="66" t="s">
        <v>2674</v>
      </c>
      <c r="H63" s="69" t="s">
        <v>30</v>
      </c>
      <c r="I63" s="53">
        <v>3</v>
      </c>
      <c r="J63" s="70">
        <v>510</v>
      </c>
      <c r="K63" s="54">
        <f t="shared" si="0"/>
        <v>1530</v>
      </c>
      <c r="L63" s="55" t="b">
        <v>1</v>
      </c>
      <c r="M63" s="56">
        <v>101220241614</v>
      </c>
      <c r="N63" s="57" t="b">
        <v>1</v>
      </c>
      <c r="O63" s="58"/>
      <c r="P63" s="226"/>
      <c r="Q63" s="59" t="b">
        <v>1</v>
      </c>
      <c r="R63" s="129"/>
      <c r="S63" s="165"/>
      <c r="T63" s="47" t="b">
        <v>1</v>
      </c>
      <c r="U63" s="227" t="s">
        <v>2805</v>
      </c>
      <c r="V63" s="75"/>
      <c r="W63" s="75"/>
      <c r="X63" s="166"/>
      <c r="Y63" s="166"/>
      <c r="Z63" s="167"/>
      <c r="AA63" s="167"/>
    </row>
    <row r="64" spans="1:27">
      <c r="A64" s="162"/>
      <c r="B64" s="187"/>
      <c r="C64" s="132" t="s">
        <v>2803</v>
      </c>
      <c r="D64" s="66" t="s">
        <v>433</v>
      </c>
      <c r="E64" s="66" t="s">
        <v>434</v>
      </c>
      <c r="F64" s="66" t="s">
        <v>2621</v>
      </c>
      <c r="G64" s="66" t="s">
        <v>139</v>
      </c>
      <c r="H64" s="69" t="s">
        <v>30</v>
      </c>
      <c r="I64" s="53">
        <v>30</v>
      </c>
      <c r="J64" s="70">
        <v>30</v>
      </c>
      <c r="K64" s="54">
        <f t="shared" si="0"/>
        <v>900</v>
      </c>
      <c r="L64" s="55" t="b">
        <v>1</v>
      </c>
      <c r="M64" s="56">
        <v>101220241652</v>
      </c>
      <c r="N64" s="57" t="b">
        <v>1</v>
      </c>
      <c r="O64" s="58" t="s">
        <v>2356</v>
      </c>
      <c r="P64" s="226">
        <v>45637</v>
      </c>
      <c r="Q64" s="59" t="b">
        <v>1</v>
      </c>
      <c r="R64" s="129"/>
      <c r="S64" s="165"/>
      <c r="T64" s="47" t="b">
        <v>1</v>
      </c>
      <c r="U64" s="227" t="s">
        <v>2806</v>
      </c>
      <c r="V64" s="75"/>
      <c r="W64" s="75"/>
      <c r="X64" s="166"/>
      <c r="Y64" s="166"/>
      <c r="Z64" s="167"/>
      <c r="AA64" s="167"/>
    </row>
    <row r="65" spans="1:27">
      <c r="A65" s="162"/>
      <c r="B65" s="187"/>
      <c r="C65" s="132" t="s">
        <v>2807</v>
      </c>
      <c r="D65" s="66" t="s">
        <v>149</v>
      </c>
      <c r="E65" s="66" t="s">
        <v>130</v>
      </c>
      <c r="F65" s="66" t="s">
        <v>1344</v>
      </c>
      <c r="G65" s="66" t="s">
        <v>101</v>
      </c>
      <c r="H65" s="69" t="s">
        <v>30</v>
      </c>
      <c r="I65" s="53">
        <v>10</v>
      </c>
      <c r="J65" s="70">
        <v>950</v>
      </c>
      <c r="K65" s="54">
        <f t="shared" si="0"/>
        <v>9500</v>
      </c>
      <c r="L65" s="55" t="b">
        <v>1</v>
      </c>
      <c r="M65" s="56">
        <v>111220241813</v>
      </c>
      <c r="N65" s="57" t="b">
        <v>1</v>
      </c>
      <c r="O65" s="58" t="s">
        <v>2356</v>
      </c>
      <c r="P65" s="226">
        <v>45638</v>
      </c>
      <c r="Q65" s="59" t="b">
        <v>1</v>
      </c>
      <c r="R65" s="129"/>
      <c r="S65" s="165"/>
      <c r="T65" s="47" t="b">
        <v>1</v>
      </c>
      <c r="U65" s="227" t="s">
        <v>2808</v>
      </c>
      <c r="V65" s="75"/>
      <c r="W65" s="75"/>
      <c r="X65" s="166"/>
      <c r="Y65" s="166"/>
      <c r="Z65" s="167"/>
      <c r="AA65" s="167"/>
    </row>
    <row r="66" spans="1:27">
      <c r="A66" s="162"/>
      <c r="B66" s="187"/>
      <c r="C66" s="132" t="s">
        <v>2807</v>
      </c>
      <c r="D66" s="66" t="s">
        <v>51</v>
      </c>
      <c r="E66" s="66" t="s">
        <v>201</v>
      </c>
      <c r="F66" s="66" t="s">
        <v>202</v>
      </c>
      <c r="G66" s="66" t="s">
        <v>2809</v>
      </c>
      <c r="H66" s="69" t="s">
        <v>30</v>
      </c>
      <c r="I66" s="53">
        <v>1</v>
      </c>
      <c r="J66" s="70">
        <v>10500</v>
      </c>
      <c r="K66" s="54">
        <f t="shared" si="0"/>
        <v>10500</v>
      </c>
      <c r="L66" s="55" t="b">
        <v>1</v>
      </c>
      <c r="M66" s="56">
        <v>6122021516</v>
      </c>
      <c r="N66" s="57" t="b">
        <v>1</v>
      </c>
      <c r="O66" s="58"/>
      <c r="P66" s="226"/>
      <c r="Q66" s="59" t="b">
        <v>1</v>
      </c>
      <c r="R66" s="129"/>
      <c r="S66" s="165"/>
      <c r="T66" s="47" t="b">
        <v>1</v>
      </c>
      <c r="U66" s="227" t="s">
        <v>2810</v>
      </c>
      <c r="V66" s="75"/>
      <c r="W66" s="75"/>
      <c r="X66" s="166"/>
      <c r="Y66" s="166"/>
      <c r="Z66" s="167"/>
      <c r="AA66" s="167"/>
    </row>
    <row r="67" spans="1:27">
      <c r="A67" s="162"/>
      <c r="B67" s="187"/>
      <c r="C67" s="132" t="s">
        <v>2811</v>
      </c>
      <c r="D67" s="66" t="s">
        <v>171</v>
      </c>
      <c r="E67" s="66" t="s">
        <v>137</v>
      </c>
      <c r="F67" s="66" t="s">
        <v>2812</v>
      </c>
      <c r="G67" s="66" t="s">
        <v>2813</v>
      </c>
      <c r="H67" s="69" t="s">
        <v>30</v>
      </c>
      <c r="I67" s="53">
        <v>1</v>
      </c>
      <c r="J67" s="70">
        <v>875</v>
      </c>
      <c r="K67" s="54">
        <f t="shared" si="0"/>
        <v>875</v>
      </c>
      <c r="L67" s="55" t="b">
        <v>1</v>
      </c>
      <c r="M67" s="56">
        <v>121220240946</v>
      </c>
      <c r="N67" s="57" t="b">
        <v>1</v>
      </c>
      <c r="O67" s="58" t="s">
        <v>39</v>
      </c>
      <c r="P67" s="226"/>
      <c r="Q67" s="59" t="b">
        <v>1</v>
      </c>
      <c r="R67" s="129"/>
      <c r="S67" s="165"/>
      <c r="T67" s="47" t="b">
        <v>1</v>
      </c>
      <c r="U67" s="227" t="s">
        <v>2814</v>
      </c>
      <c r="V67" s="75"/>
      <c r="W67" s="75"/>
      <c r="X67" s="166"/>
      <c r="Y67" s="166"/>
      <c r="Z67" s="167"/>
      <c r="AA67" s="167"/>
    </row>
    <row r="68" spans="1:27">
      <c r="A68" s="162"/>
      <c r="B68" s="187"/>
      <c r="C68" s="132" t="s">
        <v>2811</v>
      </c>
      <c r="D68" s="66" t="s">
        <v>98</v>
      </c>
      <c r="E68" s="66" t="s">
        <v>2296</v>
      </c>
      <c r="F68" s="66" t="s">
        <v>1279</v>
      </c>
      <c r="G68" s="66" t="s">
        <v>177</v>
      </c>
      <c r="H68" s="69" t="s">
        <v>30</v>
      </c>
      <c r="I68" s="53">
        <v>10</v>
      </c>
      <c r="J68" s="70">
        <v>925</v>
      </c>
      <c r="K68" s="54">
        <f t="shared" si="0"/>
        <v>9250</v>
      </c>
      <c r="L68" s="55" t="b">
        <v>1</v>
      </c>
      <c r="M68" s="56">
        <v>121220241114</v>
      </c>
      <c r="N68" s="57" t="b">
        <v>1</v>
      </c>
      <c r="O68" s="58"/>
      <c r="P68" s="226"/>
      <c r="Q68" s="59" t="b">
        <v>1</v>
      </c>
      <c r="R68" s="129"/>
      <c r="S68" s="165"/>
      <c r="T68" s="47" t="b">
        <v>1</v>
      </c>
      <c r="U68" s="227" t="s">
        <v>2815</v>
      </c>
      <c r="V68" s="75"/>
      <c r="W68" s="75"/>
      <c r="X68" s="166"/>
      <c r="Y68" s="166"/>
      <c r="Z68" s="167"/>
      <c r="AA68" s="167"/>
    </row>
    <row r="69" spans="1:27">
      <c r="A69" s="162"/>
      <c r="B69" s="187"/>
      <c r="C69" s="132" t="s">
        <v>2811</v>
      </c>
      <c r="D69" s="66" t="s">
        <v>51</v>
      </c>
      <c r="E69" s="66" t="s">
        <v>201</v>
      </c>
      <c r="F69" s="66" t="s">
        <v>2816</v>
      </c>
      <c r="G69" s="66" t="s">
        <v>58</v>
      </c>
      <c r="H69" s="69" t="s">
        <v>30</v>
      </c>
      <c r="I69" s="53">
        <v>252</v>
      </c>
      <c r="J69" s="70">
        <v>41.5</v>
      </c>
      <c r="K69" s="54">
        <f t="shared" si="0"/>
        <v>10458</v>
      </c>
      <c r="L69" s="55" t="b">
        <v>1</v>
      </c>
      <c r="M69" s="56">
        <v>121220241513</v>
      </c>
      <c r="N69" s="57" t="b">
        <v>1</v>
      </c>
      <c r="O69" s="58"/>
      <c r="P69" s="226"/>
      <c r="Q69" s="59" t="b">
        <v>1</v>
      </c>
      <c r="R69" s="129"/>
      <c r="S69" s="165"/>
      <c r="T69" s="47" t="b">
        <v>1</v>
      </c>
      <c r="U69" s="227" t="s">
        <v>2746</v>
      </c>
      <c r="V69" s="75"/>
      <c r="W69" s="75"/>
      <c r="X69" s="166"/>
      <c r="Y69" s="166"/>
      <c r="Z69" s="167"/>
      <c r="AA69" s="167"/>
    </row>
    <row r="70" spans="1:27">
      <c r="A70" s="162"/>
      <c r="B70" s="187"/>
      <c r="C70" s="132" t="s">
        <v>2811</v>
      </c>
      <c r="D70" s="66" t="s">
        <v>171</v>
      </c>
      <c r="E70" s="66" t="s">
        <v>137</v>
      </c>
      <c r="F70" s="66" t="s">
        <v>2812</v>
      </c>
      <c r="G70" s="66" t="s">
        <v>2817</v>
      </c>
      <c r="H70" s="69" t="s">
        <v>30</v>
      </c>
      <c r="I70" s="53">
        <v>70</v>
      </c>
      <c r="J70" s="70">
        <v>220</v>
      </c>
      <c r="K70" s="54">
        <f t="shared" si="0"/>
        <v>15400</v>
      </c>
      <c r="L70" s="55" t="b">
        <v>1</v>
      </c>
      <c r="M70" s="56">
        <v>121220241713</v>
      </c>
      <c r="N70" s="57" t="b">
        <v>1</v>
      </c>
      <c r="O70" s="58" t="s">
        <v>39</v>
      </c>
      <c r="P70" s="226" t="s">
        <v>2818</v>
      </c>
      <c r="Q70" s="59" t="b">
        <v>1</v>
      </c>
      <c r="R70" s="129"/>
      <c r="S70" s="165"/>
      <c r="T70" s="47" t="b">
        <v>1</v>
      </c>
      <c r="U70" s="227" t="s">
        <v>2819</v>
      </c>
      <c r="V70" s="75"/>
      <c r="W70" s="75"/>
      <c r="X70" s="166"/>
      <c r="Y70" s="166"/>
      <c r="Z70" s="167"/>
      <c r="AA70" s="167"/>
    </row>
    <row r="71" spans="1:27">
      <c r="A71" s="162"/>
      <c r="B71" s="187"/>
      <c r="C71" s="132" t="s">
        <v>2811</v>
      </c>
      <c r="D71" s="66" t="s">
        <v>26</v>
      </c>
      <c r="E71" s="66" t="s">
        <v>1976</v>
      </c>
      <c r="F71" s="66" t="s">
        <v>2124</v>
      </c>
      <c r="G71" s="66" t="s">
        <v>2820</v>
      </c>
      <c r="H71" s="69" t="s">
        <v>30</v>
      </c>
      <c r="I71" s="53">
        <v>55</v>
      </c>
      <c r="J71" s="70">
        <v>125</v>
      </c>
      <c r="K71" s="54">
        <f t="shared" si="0"/>
        <v>6875</v>
      </c>
      <c r="L71" s="55" t="b">
        <v>1</v>
      </c>
      <c r="M71" s="56">
        <v>121220241719</v>
      </c>
      <c r="N71" s="57" t="b">
        <v>1</v>
      </c>
      <c r="O71" s="58" t="s">
        <v>2356</v>
      </c>
      <c r="P71" s="226">
        <v>45639</v>
      </c>
      <c r="Q71" s="59" t="b">
        <v>1</v>
      </c>
      <c r="R71" s="129"/>
      <c r="S71" s="165"/>
      <c r="T71" s="47" t="b">
        <v>1</v>
      </c>
      <c r="U71" s="227" t="s">
        <v>2821</v>
      </c>
      <c r="V71" s="75"/>
      <c r="W71" s="75"/>
      <c r="X71" s="166"/>
      <c r="Y71" s="166"/>
      <c r="Z71" s="167"/>
      <c r="AA71" s="167"/>
    </row>
    <row r="72" spans="1:27">
      <c r="A72" s="162"/>
      <c r="B72" s="187"/>
      <c r="C72" s="132" t="s">
        <v>2811</v>
      </c>
      <c r="D72" s="66" t="s">
        <v>171</v>
      </c>
      <c r="E72" s="66" t="s">
        <v>137</v>
      </c>
      <c r="F72" s="66" t="s">
        <v>2812</v>
      </c>
      <c r="G72" s="66" t="s">
        <v>49</v>
      </c>
      <c r="H72" s="69" t="s">
        <v>30</v>
      </c>
      <c r="I72" s="53">
        <v>20</v>
      </c>
      <c r="J72" s="70">
        <v>600</v>
      </c>
      <c r="K72" s="54">
        <f t="shared" si="0"/>
        <v>12000</v>
      </c>
      <c r="L72" s="55" t="b">
        <v>1</v>
      </c>
      <c r="M72" s="56">
        <v>121220241723</v>
      </c>
      <c r="N72" s="57" t="b">
        <v>1</v>
      </c>
      <c r="O72" s="58"/>
      <c r="P72" s="226"/>
      <c r="Q72" s="59" t="b">
        <v>1</v>
      </c>
      <c r="R72" s="129"/>
      <c r="S72" s="165"/>
      <c r="T72" s="47" t="b">
        <v>1</v>
      </c>
      <c r="U72" s="227" t="s">
        <v>2819</v>
      </c>
      <c r="V72" s="75"/>
      <c r="W72" s="75"/>
      <c r="X72" s="166"/>
      <c r="Y72" s="166"/>
      <c r="Z72" s="167"/>
      <c r="AA72" s="167"/>
    </row>
    <row r="73" spans="1:27">
      <c r="A73" s="162"/>
      <c r="B73" s="187"/>
      <c r="C73" s="132" t="s">
        <v>2811</v>
      </c>
      <c r="D73" s="66" t="s">
        <v>345</v>
      </c>
      <c r="E73" s="66" t="s">
        <v>2822</v>
      </c>
      <c r="F73" s="66" t="s">
        <v>2823</v>
      </c>
      <c r="G73" s="66" t="s">
        <v>2824</v>
      </c>
      <c r="H73" s="69" t="s">
        <v>30</v>
      </c>
      <c r="I73" s="53">
        <v>1</v>
      </c>
      <c r="J73" s="70">
        <v>39850</v>
      </c>
      <c r="K73" s="54">
        <f t="shared" si="0"/>
        <v>39850</v>
      </c>
      <c r="L73" s="55" t="b">
        <v>1</v>
      </c>
      <c r="M73" s="56">
        <v>121220242345</v>
      </c>
      <c r="N73" s="57" t="b">
        <v>1</v>
      </c>
      <c r="O73" s="58"/>
      <c r="P73" s="226"/>
      <c r="Q73" s="59" t="b">
        <v>1</v>
      </c>
      <c r="R73" s="129" t="s">
        <v>2825</v>
      </c>
      <c r="S73" s="165"/>
      <c r="T73" s="47" t="b">
        <v>1</v>
      </c>
      <c r="U73" s="227" t="s">
        <v>2826</v>
      </c>
      <c r="V73" s="75"/>
      <c r="W73" s="75"/>
      <c r="X73" s="166"/>
      <c r="Y73" s="166"/>
      <c r="Z73" s="167"/>
      <c r="AA73" s="167"/>
    </row>
    <row r="74" spans="1:27">
      <c r="A74" s="162"/>
      <c r="B74" s="187"/>
      <c r="C74" s="132" t="s">
        <v>2827</v>
      </c>
      <c r="D74" s="66" t="s">
        <v>104</v>
      </c>
      <c r="E74" s="66" t="s">
        <v>486</v>
      </c>
      <c r="F74" s="66" t="s">
        <v>241</v>
      </c>
      <c r="G74" s="66" t="s">
        <v>58</v>
      </c>
      <c r="H74" s="69" t="s">
        <v>30</v>
      </c>
      <c r="I74" s="53">
        <v>84</v>
      </c>
      <c r="J74" s="70">
        <v>41.5</v>
      </c>
      <c r="K74" s="54">
        <f t="shared" si="0"/>
        <v>3486</v>
      </c>
      <c r="L74" s="55" t="b">
        <v>1</v>
      </c>
      <c r="M74" s="56">
        <v>131220241729</v>
      </c>
      <c r="N74" s="57" t="b">
        <v>1</v>
      </c>
      <c r="O74" s="58" t="s">
        <v>529</v>
      </c>
      <c r="P74" s="226"/>
      <c r="Q74" s="59" t="b">
        <v>1</v>
      </c>
      <c r="R74" s="129"/>
      <c r="S74" s="165"/>
      <c r="T74" s="47" t="b">
        <v>1</v>
      </c>
      <c r="U74" s="227" t="s">
        <v>2828</v>
      </c>
      <c r="V74" s="75"/>
      <c r="W74" s="75"/>
      <c r="X74" s="166"/>
      <c r="Y74" s="166"/>
      <c r="Z74" s="167"/>
      <c r="AA74" s="167"/>
    </row>
    <row r="75" spans="1:27">
      <c r="A75" s="162"/>
      <c r="B75" s="187"/>
      <c r="C75" s="132" t="s">
        <v>2827</v>
      </c>
      <c r="D75" s="66" t="s">
        <v>104</v>
      </c>
      <c r="E75" s="66" t="s">
        <v>486</v>
      </c>
      <c r="F75" s="66" t="s">
        <v>241</v>
      </c>
      <c r="G75" s="66" t="s">
        <v>2829</v>
      </c>
      <c r="H75" s="69" t="s">
        <v>30</v>
      </c>
      <c r="I75" s="53">
        <v>84</v>
      </c>
      <c r="J75" s="70">
        <v>36.5</v>
      </c>
      <c r="K75" s="54">
        <f t="shared" si="0"/>
        <v>3066</v>
      </c>
      <c r="L75" s="55" t="b">
        <v>1</v>
      </c>
      <c r="M75" s="56">
        <v>131220241729</v>
      </c>
      <c r="N75" s="57" t="b">
        <v>1</v>
      </c>
      <c r="O75" s="58" t="s">
        <v>2356</v>
      </c>
      <c r="P75" s="226">
        <v>45642</v>
      </c>
      <c r="Q75" s="59" t="b">
        <v>1</v>
      </c>
      <c r="R75" s="129"/>
      <c r="S75" s="165"/>
      <c r="T75" s="47" t="b">
        <v>1</v>
      </c>
      <c r="U75" s="227" t="s">
        <v>2828</v>
      </c>
      <c r="V75" s="75"/>
      <c r="W75" s="75"/>
      <c r="X75" s="166"/>
      <c r="Y75" s="166"/>
      <c r="Z75" s="167"/>
      <c r="AA75" s="167"/>
    </row>
    <row r="76" spans="1:27">
      <c r="A76" s="162"/>
      <c r="B76" s="187"/>
      <c r="C76" s="132" t="s">
        <v>2827</v>
      </c>
      <c r="D76" s="66" t="s">
        <v>282</v>
      </c>
      <c r="E76" s="66" t="s">
        <v>282</v>
      </c>
      <c r="F76" s="66" t="s">
        <v>365</v>
      </c>
      <c r="G76" s="66" t="s">
        <v>2674</v>
      </c>
      <c r="H76" s="69" t="s">
        <v>30</v>
      </c>
      <c r="I76" s="53">
        <v>1</v>
      </c>
      <c r="J76" s="70">
        <v>510</v>
      </c>
      <c r="K76" s="54">
        <f t="shared" si="0"/>
        <v>510</v>
      </c>
      <c r="L76" s="55" t="b">
        <v>1</v>
      </c>
      <c r="M76" s="56">
        <v>131220241729</v>
      </c>
      <c r="N76" s="57" t="b">
        <v>1</v>
      </c>
      <c r="O76" s="58"/>
      <c r="P76" s="226"/>
      <c r="Q76" s="59" t="b">
        <v>1</v>
      </c>
      <c r="R76" s="129"/>
      <c r="S76" s="165"/>
      <c r="T76" s="47" t="b">
        <v>1</v>
      </c>
      <c r="U76" s="227" t="s">
        <v>2830</v>
      </c>
      <c r="V76" s="75"/>
      <c r="W76" s="75"/>
      <c r="X76" s="166"/>
      <c r="Y76" s="166"/>
      <c r="Z76" s="167"/>
      <c r="AA76" s="167"/>
    </row>
    <row r="77" spans="1:27">
      <c r="A77" s="162"/>
      <c r="B77" s="187"/>
      <c r="C77" s="132" t="s">
        <v>2831</v>
      </c>
      <c r="D77" s="66" t="s">
        <v>832</v>
      </c>
      <c r="E77" s="66" t="s">
        <v>833</v>
      </c>
      <c r="F77" s="66" t="s">
        <v>834</v>
      </c>
      <c r="G77" s="66" t="s">
        <v>308</v>
      </c>
      <c r="H77" s="69" t="s">
        <v>30</v>
      </c>
      <c r="I77" s="53">
        <v>4</v>
      </c>
      <c r="J77" s="70">
        <v>850</v>
      </c>
      <c r="K77" s="54">
        <f t="shared" si="0"/>
        <v>3400</v>
      </c>
      <c r="L77" s="55" t="b">
        <v>1</v>
      </c>
      <c r="M77" s="56">
        <v>161220240939</v>
      </c>
      <c r="N77" s="57" t="b">
        <v>1</v>
      </c>
      <c r="O77" s="58"/>
      <c r="P77" s="226" t="s">
        <v>1581</v>
      </c>
      <c r="Q77" s="59" t="b">
        <v>1</v>
      </c>
      <c r="R77" s="129"/>
      <c r="S77" s="165"/>
      <c r="T77" s="47" t="b">
        <v>1</v>
      </c>
      <c r="U77" s="227" t="s">
        <v>2832</v>
      </c>
      <c r="V77" s="75"/>
      <c r="W77" s="75"/>
      <c r="X77" s="166"/>
      <c r="Y77" s="166"/>
      <c r="Z77" s="167"/>
      <c r="AA77" s="167"/>
    </row>
    <row r="78" spans="1:27">
      <c r="A78" s="162"/>
      <c r="B78" s="187"/>
      <c r="C78" s="132" t="s">
        <v>2831</v>
      </c>
      <c r="D78" s="66" t="s">
        <v>832</v>
      </c>
      <c r="E78" s="66" t="s">
        <v>833</v>
      </c>
      <c r="F78" s="66" t="s">
        <v>834</v>
      </c>
      <c r="G78" s="66" t="s">
        <v>2833</v>
      </c>
      <c r="H78" s="69" t="s">
        <v>30</v>
      </c>
      <c r="I78" s="53">
        <v>15</v>
      </c>
      <c r="J78" s="70">
        <v>125</v>
      </c>
      <c r="K78" s="54">
        <f t="shared" si="0"/>
        <v>1875</v>
      </c>
      <c r="L78" s="55" t="b">
        <v>1</v>
      </c>
      <c r="M78" s="56">
        <v>161220240939</v>
      </c>
      <c r="N78" s="57" t="b">
        <v>1</v>
      </c>
      <c r="O78" s="58" t="s">
        <v>2356</v>
      </c>
      <c r="P78" s="226">
        <v>45642</v>
      </c>
      <c r="Q78" s="59" t="b">
        <v>1</v>
      </c>
      <c r="R78" s="129"/>
      <c r="S78" s="165"/>
      <c r="T78" s="47" t="b">
        <v>1</v>
      </c>
      <c r="U78" s="227" t="s">
        <v>2834</v>
      </c>
      <c r="V78" s="75"/>
      <c r="W78" s="75"/>
      <c r="X78" s="166"/>
      <c r="Y78" s="166"/>
      <c r="Z78" s="167"/>
      <c r="AA78" s="167"/>
    </row>
    <row r="79" spans="1:27">
      <c r="A79" s="162"/>
      <c r="B79" s="187"/>
      <c r="C79" s="132" t="s">
        <v>2831</v>
      </c>
      <c r="D79" s="66" t="s">
        <v>832</v>
      </c>
      <c r="E79" s="66" t="s">
        <v>833</v>
      </c>
      <c r="F79" s="66" t="s">
        <v>834</v>
      </c>
      <c r="G79" s="66" t="s">
        <v>177</v>
      </c>
      <c r="H79" s="69" t="s">
        <v>30</v>
      </c>
      <c r="I79" s="53">
        <v>4</v>
      </c>
      <c r="J79" s="70">
        <v>925</v>
      </c>
      <c r="K79" s="54">
        <f t="shared" si="0"/>
        <v>3700</v>
      </c>
      <c r="L79" s="55" t="b">
        <v>1</v>
      </c>
      <c r="M79" s="56">
        <v>161220240939</v>
      </c>
      <c r="N79" s="57" t="b">
        <v>1</v>
      </c>
      <c r="O79" s="58" t="s">
        <v>529</v>
      </c>
      <c r="P79" s="226" t="s">
        <v>2835</v>
      </c>
      <c r="Q79" s="59" t="b">
        <v>1</v>
      </c>
      <c r="R79" s="129"/>
      <c r="S79" s="165"/>
      <c r="T79" s="47" t="b">
        <v>1</v>
      </c>
      <c r="U79" s="227" t="s">
        <v>2836</v>
      </c>
      <c r="V79" s="75"/>
      <c r="W79" s="75"/>
      <c r="X79" s="166"/>
      <c r="Y79" s="166"/>
      <c r="Z79" s="167"/>
      <c r="AA79" s="167"/>
    </row>
    <row r="80" spans="1:27">
      <c r="A80" s="162"/>
      <c r="B80" s="187"/>
      <c r="C80" s="132" t="s">
        <v>2831</v>
      </c>
      <c r="D80" s="66" t="s">
        <v>832</v>
      </c>
      <c r="E80" s="66" t="s">
        <v>833</v>
      </c>
      <c r="F80" s="66" t="s">
        <v>834</v>
      </c>
      <c r="G80" s="66" t="s">
        <v>2837</v>
      </c>
      <c r="H80" s="69" t="s">
        <v>30</v>
      </c>
      <c r="I80" s="53">
        <v>5</v>
      </c>
      <c r="J80" s="70">
        <v>525</v>
      </c>
      <c r="K80" s="54">
        <f t="shared" si="0"/>
        <v>2625</v>
      </c>
      <c r="L80" s="55" t="b">
        <v>1</v>
      </c>
      <c r="M80" s="56">
        <v>161220240939</v>
      </c>
      <c r="N80" s="57" t="b">
        <v>1</v>
      </c>
      <c r="O80" s="58" t="s">
        <v>529</v>
      </c>
      <c r="P80" s="226"/>
      <c r="Q80" s="59" t="b">
        <v>1</v>
      </c>
      <c r="R80" s="129"/>
      <c r="S80" s="165"/>
      <c r="T80" s="47" t="b">
        <v>1</v>
      </c>
      <c r="U80" s="227" t="s">
        <v>2836</v>
      </c>
      <c r="V80" s="75"/>
      <c r="W80" s="75"/>
      <c r="X80" s="166"/>
      <c r="Y80" s="166"/>
      <c r="Z80" s="167"/>
      <c r="AA80" s="167"/>
    </row>
    <row r="81" spans="1:27">
      <c r="A81" s="162"/>
      <c r="B81" s="187"/>
      <c r="C81" s="132" t="s">
        <v>2831</v>
      </c>
      <c r="D81" s="66" t="s">
        <v>832</v>
      </c>
      <c r="E81" s="66" t="s">
        <v>833</v>
      </c>
      <c r="F81" s="66" t="s">
        <v>834</v>
      </c>
      <c r="G81" s="66" t="s">
        <v>101</v>
      </c>
      <c r="H81" s="69" t="s">
        <v>30</v>
      </c>
      <c r="I81" s="53">
        <v>6</v>
      </c>
      <c r="J81" s="70">
        <v>925</v>
      </c>
      <c r="K81" s="54">
        <f t="shared" si="0"/>
        <v>5550</v>
      </c>
      <c r="L81" s="55" t="b">
        <v>1</v>
      </c>
      <c r="M81" s="56">
        <v>161220240939</v>
      </c>
      <c r="N81" s="57" t="b">
        <v>1</v>
      </c>
      <c r="O81" s="58" t="s">
        <v>529</v>
      </c>
      <c r="P81" s="226"/>
      <c r="Q81" s="59" t="b">
        <v>1</v>
      </c>
      <c r="R81" s="129"/>
      <c r="S81" s="165"/>
      <c r="T81" s="47" t="b">
        <v>1</v>
      </c>
      <c r="U81" s="227" t="s">
        <v>2838</v>
      </c>
      <c r="V81" s="75"/>
      <c r="W81" s="75"/>
      <c r="X81" s="166"/>
      <c r="Y81" s="166"/>
      <c r="Z81" s="167"/>
      <c r="AA81" s="167"/>
    </row>
    <row r="82" spans="1:27">
      <c r="A82" s="162"/>
      <c r="B82" s="187"/>
      <c r="C82" s="132" t="s">
        <v>2831</v>
      </c>
      <c r="D82" s="66" t="s">
        <v>212</v>
      </c>
      <c r="E82" s="66" t="s">
        <v>213</v>
      </c>
      <c r="F82" s="66" t="s">
        <v>2839</v>
      </c>
      <c r="G82" s="66" t="s">
        <v>1829</v>
      </c>
      <c r="H82" s="69" t="s">
        <v>30</v>
      </c>
      <c r="I82" s="53">
        <v>10</v>
      </c>
      <c r="J82" s="70">
        <v>49.5</v>
      </c>
      <c r="K82" s="54">
        <f t="shared" si="0"/>
        <v>495</v>
      </c>
      <c r="L82" s="55" t="b">
        <v>1</v>
      </c>
      <c r="M82" s="56">
        <v>161220240939</v>
      </c>
      <c r="N82" s="57" t="b">
        <v>1</v>
      </c>
      <c r="O82" s="58" t="s">
        <v>2356</v>
      </c>
      <c r="P82" s="226">
        <v>45642</v>
      </c>
      <c r="Q82" s="59" t="b">
        <v>1</v>
      </c>
      <c r="R82" s="129"/>
      <c r="S82" s="165"/>
      <c r="T82" s="47" t="b">
        <v>1</v>
      </c>
      <c r="U82" s="227" t="s">
        <v>2840</v>
      </c>
      <c r="V82" s="75"/>
      <c r="W82" s="75"/>
      <c r="X82" s="166"/>
      <c r="Y82" s="166"/>
      <c r="Z82" s="167"/>
      <c r="AA82" s="167"/>
    </row>
    <row r="83" spans="1:27">
      <c r="A83" s="162"/>
      <c r="B83" s="187"/>
      <c r="C83" s="132" t="s">
        <v>2831</v>
      </c>
      <c r="D83" s="66" t="s">
        <v>171</v>
      </c>
      <c r="E83" s="66" t="s">
        <v>137</v>
      </c>
      <c r="F83" s="66" t="s">
        <v>2812</v>
      </c>
      <c r="G83" s="66" t="s">
        <v>1024</v>
      </c>
      <c r="H83" s="69" t="s">
        <v>30</v>
      </c>
      <c r="I83" s="53">
        <v>10</v>
      </c>
      <c r="J83" s="70">
        <v>100</v>
      </c>
      <c r="K83" s="54">
        <f t="shared" si="0"/>
        <v>1000</v>
      </c>
      <c r="L83" s="55" t="b">
        <v>1</v>
      </c>
      <c r="M83" s="56">
        <v>161220240939</v>
      </c>
      <c r="N83" s="57" t="b">
        <v>1</v>
      </c>
      <c r="O83" s="58" t="s">
        <v>2356</v>
      </c>
      <c r="P83" s="226">
        <v>45642</v>
      </c>
      <c r="Q83" s="59" t="b">
        <v>1</v>
      </c>
      <c r="R83" s="129"/>
      <c r="S83" s="165"/>
      <c r="T83" s="47" t="b">
        <v>1</v>
      </c>
      <c r="U83" s="227" t="s">
        <v>2819</v>
      </c>
      <c r="V83" s="75"/>
      <c r="W83" s="75"/>
      <c r="X83" s="166"/>
      <c r="Y83" s="166"/>
      <c r="Z83" s="167"/>
      <c r="AA83" s="167"/>
    </row>
    <row r="84" spans="1:27">
      <c r="A84" s="162"/>
      <c r="B84" s="187"/>
      <c r="C84" s="132" t="s">
        <v>2831</v>
      </c>
      <c r="D84" s="66" t="s">
        <v>171</v>
      </c>
      <c r="E84" s="66" t="s">
        <v>137</v>
      </c>
      <c r="F84" s="66" t="s">
        <v>2812</v>
      </c>
      <c r="G84" s="66" t="s">
        <v>83</v>
      </c>
      <c r="H84" s="69" t="s">
        <v>30</v>
      </c>
      <c r="I84" s="53">
        <v>1000</v>
      </c>
      <c r="J84" s="70">
        <v>1.5</v>
      </c>
      <c r="K84" s="54">
        <f t="shared" si="0"/>
        <v>1500</v>
      </c>
      <c r="L84" s="55" t="b">
        <v>1</v>
      </c>
      <c r="M84" s="56">
        <v>161220240939</v>
      </c>
      <c r="N84" s="57" t="b">
        <v>1</v>
      </c>
      <c r="O84" s="58"/>
      <c r="P84" s="226"/>
      <c r="Q84" s="59" t="b">
        <v>1</v>
      </c>
      <c r="R84" s="129"/>
      <c r="S84" s="165"/>
      <c r="T84" s="47" t="b">
        <v>1</v>
      </c>
      <c r="U84" s="227" t="s">
        <v>2819</v>
      </c>
      <c r="V84" s="75"/>
      <c r="W84" s="75"/>
      <c r="X84" s="166"/>
      <c r="Y84" s="166"/>
      <c r="Z84" s="167"/>
      <c r="AA84" s="167"/>
    </row>
    <row r="85" spans="1:27">
      <c r="A85" s="162"/>
      <c r="B85" s="187"/>
      <c r="C85" s="132" t="s">
        <v>2831</v>
      </c>
      <c r="D85" s="66" t="s">
        <v>51</v>
      </c>
      <c r="E85" s="66" t="s">
        <v>335</v>
      </c>
      <c r="F85" s="66" t="s">
        <v>457</v>
      </c>
      <c r="G85" s="66" t="s">
        <v>2479</v>
      </c>
      <c r="H85" s="69" t="s">
        <v>30</v>
      </c>
      <c r="I85" s="53">
        <v>1</v>
      </c>
      <c r="J85" s="70">
        <v>2750</v>
      </c>
      <c r="K85" s="54">
        <f t="shared" si="0"/>
        <v>2750</v>
      </c>
      <c r="L85" s="55" t="b">
        <v>1</v>
      </c>
      <c r="M85" s="56">
        <v>161220241040</v>
      </c>
      <c r="N85" s="57" t="b">
        <v>1</v>
      </c>
      <c r="O85" s="58"/>
      <c r="P85" s="226"/>
      <c r="Q85" s="59" t="b">
        <v>1</v>
      </c>
      <c r="R85" s="129"/>
      <c r="S85" s="165"/>
      <c r="T85" s="47" t="b">
        <v>1</v>
      </c>
      <c r="U85" s="227" t="s">
        <v>2841</v>
      </c>
      <c r="V85" s="75"/>
      <c r="W85" s="75"/>
      <c r="X85" s="166"/>
      <c r="Y85" s="166"/>
      <c r="Z85" s="167"/>
      <c r="AA85" s="167"/>
    </row>
    <row r="86" spans="1:27">
      <c r="A86" s="162"/>
      <c r="B86" s="187"/>
      <c r="C86" s="132" t="s">
        <v>2831</v>
      </c>
      <c r="D86" s="66" t="s">
        <v>51</v>
      </c>
      <c r="E86" s="66" t="s">
        <v>201</v>
      </c>
      <c r="F86" s="66" t="s">
        <v>2842</v>
      </c>
      <c r="G86" s="66" t="s">
        <v>785</v>
      </c>
      <c r="H86" s="69" t="s">
        <v>30</v>
      </c>
      <c r="I86" s="53">
        <v>1</v>
      </c>
      <c r="J86" s="70">
        <v>2750</v>
      </c>
      <c r="K86" s="54">
        <f t="shared" si="0"/>
        <v>2750</v>
      </c>
      <c r="L86" s="55" t="b">
        <v>1</v>
      </c>
      <c r="M86" s="56">
        <v>161220241110</v>
      </c>
      <c r="N86" s="57" t="b">
        <v>1</v>
      </c>
      <c r="O86" s="58" t="s">
        <v>529</v>
      </c>
      <c r="P86" s="226"/>
      <c r="Q86" s="59" t="b">
        <v>1</v>
      </c>
      <c r="R86" s="129"/>
      <c r="S86" s="165"/>
      <c r="T86" s="47" t="b">
        <v>1</v>
      </c>
      <c r="U86" s="227" t="s">
        <v>2746</v>
      </c>
      <c r="V86" s="75"/>
      <c r="W86" s="75"/>
      <c r="X86" s="166"/>
      <c r="Y86" s="166"/>
      <c r="Z86" s="167"/>
      <c r="AA86" s="167"/>
    </row>
    <row r="87" spans="1:27">
      <c r="A87" s="162"/>
      <c r="B87" s="187"/>
      <c r="C87" s="132" t="s">
        <v>2843</v>
      </c>
      <c r="D87" s="66" t="s">
        <v>51</v>
      </c>
      <c r="E87" s="66" t="s">
        <v>201</v>
      </c>
      <c r="F87" s="66" t="s">
        <v>2842</v>
      </c>
      <c r="G87" s="66" t="s">
        <v>787</v>
      </c>
      <c r="H87" s="69" t="s">
        <v>30</v>
      </c>
      <c r="I87" s="53">
        <v>1</v>
      </c>
      <c r="J87" s="70">
        <v>3400</v>
      </c>
      <c r="K87" s="54">
        <f t="shared" si="0"/>
        <v>3400</v>
      </c>
      <c r="L87" s="55" t="b">
        <v>1</v>
      </c>
      <c r="M87" s="56">
        <v>161220241110</v>
      </c>
      <c r="N87" s="57" t="b">
        <v>1</v>
      </c>
      <c r="O87" s="58" t="s">
        <v>529</v>
      </c>
      <c r="P87" s="226"/>
      <c r="Q87" s="59" t="b">
        <v>1</v>
      </c>
      <c r="R87" s="129"/>
      <c r="S87" s="165"/>
      <c r="T87" s="47" t="b">
        <v>1</v>
      </c>
      <c r="U87" s="227" t="s">
        <v>2746</v>
      </c>
      <c r="V87" s="75"/>
      <c r="W87" s="75"/>
      <c r="X87" s="166"/>
      <c r="Y87" s="166"/>
      <c r="Z87" s="167"/>
      <c r="AA87" s="167"/>
    </row>
    <row r="88" spans="1:27">
      <c r="A88" s="162"/>
      <c r="B88" s="187"/>
      <c r="C88" s="132" t="s">
        <v>2831</v>
      </c>
      <c r="D88" s="66" t="s">
        <v>51</v>
      </c>
      <c r="E88" s="66" t="s">
        <v>201</v>
      </c>
      <c r="F88" s="66" t="s">
        <v>2842</v>
      </c>
      <c r="G88" s="66" t="s">
        <v>2763</v>
      </c>
      <c r="H88" s="69" t="s">
        <v>30</v>
      </c>
      <c r="I88" s="53">
        <v>1</v>
      </c>
      <c r="J88" s="70">
        <v>2750</v>
      </c>
      <c r="K88" s="54">
        <f t="shared" si="0"/>
        <v>2750</v>
      </c>
      <c r="L88" s="55" t="b">
        <v>1</v>
      </c>
      <c r="M88" s="56">
        <v>161220241110</v>
      </c>
      <c r="N88" s="57" t="b">
        <v>1</v>
      </c>
      <c r="O88" s="58" t="s">
        <v>529</v>
      </c>
      <c r="P88" s="226"/>
      <c r="Q88" s="59" t="b">
        <v>1</v>
      </c>
      <c r="R88" s="129"/>
      <c r="S88" s="165"/>
      <c r="T88" s="47" t="b">
        <v>1</v>
      </c>
      <c r="U88" s="227" t="s">
        <v>2746</v>
      </c>
      <c r="V88" s="75"/>
      <c r="W88" s="75"/>
      <c r="X88" s="166"/>
      <c r="Y88" s="166"/>
      <c r="Z88" s="167"/>
      <c r="AA88" s="167"/>
    </row>
    <row r="89" spans="1:27">
      <c r="A89" s="162"/>
      <c r="B89" s="187"/>
      <c r="C89" s="132" t="s">
        <v>2831</v>
      </c>
      <c r="D89" s="66" t="s">
        <v>1899</v>
      </c>
      <c r="E89" s="66" t="s">
        <v>137</v>
      </c>
      <c r="F89" s="66" t="s">
        <v>2812</v>
      </c>
      <c r="G89" s="66" t="s">
        <v>2073</v>
      </c>
      <c r="H89" s="69" t="s">
        <v>30</v>
      </c>
      <c r="I89" s="53">
        <v>100</v>
      </c>
      <c r="J89" s="70">
        <v>8</v>
      </c>
      <c r="K89" s="54">
        <f t="shared" si="0"/>
        <v>800</v>
      </c>
      <c r="L89" s="55" t="b">
        <v>1</v>
      </c>
      <c r="M89" s="56">
        <v>161220241126</v>
      </c>
      <c r="N89" s="57" t="b">
        <v>1</v>
      </c>
      <c r="O89" s="58" t="s">
        <v>64</v>
      </c>
      <c r="P89" s="226"/>
      <c r="Q89" s="59" t="b">
        <v>1</v>
      </c>
      <c r="R89" s="129"/>
      <c r="S89" s="165"/>
      <c r="T89" s="47" t="b">
        <v>1</v>
      </c>
      <c r="U89" s="227" t="s">
        <v>2819</v>
      </c>
      <c r="V89" s="75"/>
      <c r="W89" s="75"/>
      <c r="X89" s="166"/>
      <c r="Y89" s="166"/>
      <c r="Z89" s="167"/>
      <c r="AA89" s="167"/>
    </row>
    <row r="90" spans="1:27">
      <c r="A90" s="162"/>
      <c r="B90" s="187"/>
      <c r="C90" s="132" t="s">
        <v>2843</v>
      </c>
      <c r="D90" s="66" t="s">
        <v>1899</v>
      </c>
      <c r="E90" s="66" t="s">
        <v>137</v>
      </c>
      <c r="F90" s="66" t="s">
        <v>2812</v>
      </c>
      <c r="G90" s="66" t="s">
        <v>2844</v>
      </c>
      <c r="H90" s="69" t="s">
        <v>30</v>
      </c>
      <c r="I90" s="53">
        <v>100</v>
      </c>
      <c r="J90" s="70">
        <v>2</v>
      </c>
      <c r="K90" s="54">
        <f t="shared" si="0"/>
        <v>200</v>
      </c>
      <c r="L90" s="55" t="b">
        <v>1</v>
      </c>
      <c r="M90" s="56">
        <v>161220241126</v>
      </c>
      <c r="N90" s="57" t="b">
        <v>1</v>
      </c>
      <c r="O90" s="58" t="s">
        <v>1581</v>
      </c>
      <c r="P90" s="226"/>
      <c r="Q90" s="59" t="b">
        <v>1</v>
      </c>
      <c r="R90" s="129"/>
      <c r="S90" s="165"/>
      <c r="T90" s="47" t="b">
        <v>1</v>
      </c>
      <c r="U90" s="227" t="s">
        <v>2819</v>
      </c>
      <c r="V90" s="75"/>
      <c r="W90" s="75"/>
      <c r="X90" s="166"/>
      <c r="Y90" s="166"/>
      <c r="Z90" s="167"/>
      <c r="AA90" s="167"/>
    </row>
    <row r="91" spans="1:27">
      <c r="A91" s="162"/>
      <c r="B91" s="187"/>
      <c r="C91" s="132" t="s">
        <v>2831</v>
      </c>
      <c r="D91" s="66" t="s">
        <v>1899</v>
      </c>
      <c r="E91" s="66" t="s">
        <v>137</v>
      </c>
      <c r="F91" s="66" t="s">
        <v>2812</v>
      </c>
      <c r="G91" s="66" t="s">
        <v>2845</v>
      </c>
      <c r="H91" s="69" t="s">
        <v>30</v>
      </c>
      <c r="I91" s="53">
        <v>100</v>
      </c>
      <c r="J91" s="70">
        <v>40</v>
      </c>
      <c r="K91" s="54">
        <f t="shared" si="0"/>
        <v>4000</v>
      </c>
      <c r="L91" s="55" t="b">
        <v>1</v>
      </c>
      <c r="M91" s="56">
        <v>161220241126</v>
      </c>
      <c r="N91" s="57" t="b">
        <v>1</v>
      </c>
      <c r="O91" s="58" t="s">
        <v>2356</v>
      </c>
      <c r="P91" s="226">
        <v>45642</v>
      </c>
      <c r="Q91" s="59" t="b">
        <v>1</v>
      </c>
      <c r="R91" s="129"/>
      <c r="S91" s="165"/>
      <c r="T91" s="47" t="b">
        <v>1</v>
      </c>
      <c r="U91" s="227" t="s">
        <v>2846</v>
      </c>
      <c r="V91" s="75"/>
      <c r="W91" s="75"/>
      <c r="X91" s="166"/>
      <c r="Y91" s="166"/>
      <c r="Z91" s="167"/>
      <c r="AA91" s="167"/>
    </row>
    <row r="92" spans="1:27">
      <c r="A92" s="162"/>
      <c r="B92" s="187"/>
      <c r="C92" s="132" t="s">
        <v>2831</v>
      </c>
      <c r="D92" s="66" t="s">
        <v>46</v>
      </c>
      <c r="E92" s="66" t="s">
        <v>47</v>
      </c>
      <c r="F92" s="66" t="s">
        <v>2676</v>
      </c>
      <c r="G92" s="66" t="s">
        <v>2847</v>
      </c>
      <c r="H92" s="69" t="s">
        <v>30</v>
      </c>
      <c r="I92" s="53">
        <v>3</v>
      </c>
      <c r="J92" s="70">
        <v>925</v>
      </c>
      <c r="K92" s="54">
        <f t="shared" si="0"/>
        <v>2775</v>
      </c>
      <c r="L92" s="55" t="b">
        <v>1</v>
      </c>
      <c r="M92" s="56">
        <v>161220241545</v>
      </c>
      <c r="N92" s="57" t="b">
        <v>1</v>
      </c>
      <c r="O92" s="58" t="s">
        <v>529</v>
      </c>
      <c r="P92" s="226"/>
      <c r="Q92" s="59" t="b">
        <v>1</v>
      </c>
      <c r="R92" s="129"/>
      <c r="S92" s="165"/>
      <c r="T92" s="47" t="b">
        <v>1</v>
      </c>
      <c r="U92" s="227" t="s">
        <v>2848</v>
      </c>
      <c r="V92" s="75"/>
      <c r="W92" s="75"/>
      <c r="X92" s="166"/>
      <c r="Y92" s="166"/>
      <c r="Z92" s="167"/>
      <c r="AA92" s="167"/>
    </row>
    <row r="93" spans="1:27">
      <c r="A93" s="162"/>
      <c r="B93" s="187"/>
      <c r="C93" s="132" t="s">
        <v>2831</v>
      </c>
      <c r="D93" s="66" t="s">
        <v>1165</v>
      </c>
      <c r="E93" s="66" t="s">
        <v>47</v>
      </c>
      <c r="F93" s="66" t="s">
        <v>2676</v>
      </c>
      <c r="G93" s="66" t="s">
        <v>1171</v>
      </c>
      <c r="H93" s="69" t="s">
        <v>30</v>
      </c>
      <c r="I93" s="53">
        <v>15</v>
      </c>
      <c r="J93" s="70">
        <v>1495</v>
      </c>
      <c r="K93" s="54">
        <f t="shared" si="0"/>
        <v>22425</v>
      </c>
      <c r="L93" s="55" t="b">
        <v>1</v>
      </c>
      <c r="M93" s="56">
        <v>161220241545</v>
      </c>
      <c r="N93" s="57" t="b">
        <v>1</v>
      </c>
      <c r="O93" s="58" t="s">
        <v>529</v>
      </c>
      <c r="P93" s="226"/>
      <c r="Q93" s="59" t="b">
        <v>1</v>
      </c>
      <c r="R93" s="129"/>
      <c r="S93" s="165"/>
      <c r="T93" s="47" t="b">
        <v>1</v>
      </c>
      <c r="U93" s="227" t="s">
        <v>2849</v>
      </c>
      <c r="V93" s="75"/>
      <c r="W93" s="75"/>
      <c r="X93" s="166"/>
      <c r="Y93" s="166"/>
      <c r="Z93" s="167"/>
      <c r="AA93" s="167"/>
    </row>
    <row r="94" spans="1:27">
      <c r="A94" s="162"/>
      <c r="B94" s="187"/>
      <c r="C94" s="132" t="s">
        <v>2831</v>
      </c>
      <c r="D94" s="66" t="s">
        <v>433</v>
      </c>
      <c r="E94" s="66" t="s">
        <v>434</v>
      </c>
      <c r="F94" s="66" t="s">
        <v>2621</v>
      </c>
      <c r="G94" s="66" t="s">
        <v>2850</v>
      </c>
      <c r="H94" s="69" t="s">
        <v>30</v>
      </c>
      <c r="I94" s="53">
        <v>5</v>
      </c>
      <c r="J94" s="70">
        <v>100</v>
      </c>
      <c r="K94" s="54">
        <f t="shared" si="0"/>
        <v>500</v>
      </c>
      <c r="L94" s="55" t="b">
        <v>1</v>
      </c>
      <c r="M94" s="56">
        <v>161220241546</v>
      </c>
      <c r="N94" s="57" t="b">
        <v>1</v>
      </c>
      <c r="O94" s="58" t="s">
        <v>2356</v>
      </c>
      <c r="P94" s="226">
        <v>45642</v>
      </c>
      <c r="Q94" s="59" t="b">
        <v>1</v>
      </c>
      <c r="R94" s="129"/>
      <c r="S94" s="165"/>
      <c r="T94" s="47" t="b">
        <v>1</v>
      </c>
      <c r="U94" s="227" t="s">
        <v>2806</v>
      </c>
      <c r="V94" s="75"/>
      <c r="W94" s="75"/>
      <c r="X94" s="166"/>
      <c r="Y94" s="166"/>
      <c r="Z94" s="167"/>
      <c r="AA94" s="167"/>
    </row>
    <row r="95" spans="1:27">
      <c r="A95" s="162"/>
      <c r="B95" s="187"/>
      <c r="C95" s="132" t="s">
        <v>2851</v>
      </c>
      <c r="D95" s="66" t="s">
        <v>51</v>
      </c>
      <c r="E95" s="66" t="s">
        <v>475</v>
      </c>
      <c r="F95" s="66" t="s">
        <v>168</v>
      </c>
      <c r="G95" s="66" t="s">
        <v>1024</v>
      </c>
      <c r="H95" s="69" t="s">
        <v>30</v>
      </c>
      <c r="I95" s="53">
        <v>25</v>
      </c>
      <c r="J95" s="70">
        <v>95</v>
      </c>
      <c r="K95" s="54">
        <f t="shared" si="0"/>
        <v>2375</v>
      </c>
      <c r="L95" s="55" t="b">
        <v>1</v>
      </c>
      <c r="M95" s="56">
        <v>171220240933</v>
      </c>
      <c r="N95" s="57" t="b">
        <v>1</v>
      </c>
      <c r="O95" s="58" t="s">
        <v>2356</v>
      </c>
      <c r="P95" s="226">
        <v>45643</v>
      </c>
      <c r="Q95" s="59" t="b">
        <v>1</v>
      </c>
      <c r="R95" s="129"/>
      <c r="S95" s="165"/>
      <c r="T95" s="47" t="b">
        <v>1</v>
      </c>
      <c r="U95" s="227" t="s">
        <v>2852</v>
      </c>
      <c r="V95" s="75"/>
      <c r="W95" s="75"/>
      <c r="X95" s="166"/>
      <c r="Y95" s="166"/>
      <c r="Z95" s="167"/>
      <c r="AA95" s="167"/>
    </row>
    <row r="96" spans="1:27">
      <c r="A96" s="162"/>
      <c r="B96" s="187"/>
      <c r="C96" s="132" t="s">
        <v>2851</v>
      </c>
      <c r="D96" s="66" t="s">
        <v>51</v>
      </c>
      <c r="E96" s="66" t="s">
        <v>89</v>
      </c>
      <c r="F96" s="66" t="s">
        <v>2853</v>
      </c>
      <c r="G96" s="66" t="s">
        <v>1343</v>
      </c>
      <c r="H96" s="69" t="s">
        <v>30</v>
      </c>
      <c r="I96" s="53">
        <v>5</v>
      </c>
      <c r="J96" s="70">
        <v>630</v>
      </c>
      <c r="K96" s="54">
        <f t="shared" si="0"/>
        <v>3150</v>
      </c>
      <c r="L96" s="55" t="b">
        <v>1</v>
      </c>
      <c r="M96" s="56">
        <v>171220241243</v>
      </c>
      <c r="N96" s="57" t="b">
        <v>1</v>
      </c>
      <c r="O96" s="58" t="s">
        <v>2356</v>
      </c>
      <c r="P96" s="226">
        <v>45643</v>
      </c>
      <c r="Q96" s="59" t="b">
        <v>1</v>
      </c>
      <c r="R96" s="129"/>
      <c r="S96" s="165"/>
      <c r="T96" s="47" t="b">
        <v>1</v>
      </c>
      <c r="U96" s="227" t="s">
        <v>2854</v>
      </c>
      <c r="V96" s="75"/>
      <c r="W96" s="75"/>
      <c r="X96" s="166"/>
      <c r="Y96" s="166"/>
      <c r="Z96" s="167"/>
      <c r="AA96" s="167"/>
    </row>
    <row r="97" spans="1:27">
      <c r="A97" s="162"/>
      <c r="B97" s="187"/>
      <c r="C97" s="132" t="s">
        <v>2851</v>
      </c>
      <c r="D97" s="66" t="s">
        <v>262</v>
      </c>
      <c r="E97" s="66" t="s">
        <v>263</v>
      </c>
      <c r="F97" s="66" t="s">
        <v>2855</v>
      </c>
      <c r="G97" s="66" t="s">
        <v>2856</v>
      </c>
      <c r="H97" s="69" t="s">
        <v>30</v>
      </c>
      <c r="I97" s="53">
        <v>100</v>
      </c>
      <c r="J97" s="70">
        <v>9.75</v>
      </c>
      <c r="K97" s="54">
        <f t="shared" si="0"/>
        <v>975</v>
      </c>
      <c r="L97" s="55" t="b">
        <v>1</v>
      </c>
      <c r="M97" s="56">
        <v>171220241516</v>
      </c>
      <c r="N97" s="57" t="b">
        <v>1</v>
      </c>
      <c r="O97" s="58" t="s">
        <v>39</v>
      </c>
      <c r="P97" s="226">
        <v>45643</v>
      </c>
      <c r="Q97" s="59" t="b">
        <v>1</v>
      </c>
      <c r="R97" s="129"/>
      <c r="S97" s="165"/>
      <c r="T97" s="47" t="b">
        <v>1</v>
      </c>
      <c r="U97" s="227" t="s">
        <v>2857</v>
      </c>
      <c r="V97" s="75"/>
      <c r="W97" s="75"/>
      <c r="X97" s="166"/>
      <c r="Y97" s="166"/>
      <c r="Z97" s="167"/>
      <c r="AA97" s="167"/>
    </row>
    <row r="98" spans="1:27">
      <c r="A98" s="162"/>
      <c r="B98" s="187"/>
      <c r="C98" s="132" t="s">
        <v>2851</v>
      </c>
      <c r="D98" s="66" t="s">
        <v>262</v>
      </c>
      <c r="E98" s="66" t="s">
        <v>263</v>
      </c>
      <c r="F98" s="66" t="s">
        <v>2855</v>
      </c>
      <c r="G98" s="66" t="s">
        <v>758</v>
      </c>
      <c r="H98" s="69" t="s">
        <v>30</v>
      </c>
      <c r="I98" s="53">
        <v>10</v>
      </c>
      <c r="J98" s="70">
        <v>300</v>
      </c>
      <c r="K98" s="54">
        <f t="shared" si="0"/>
        <v>3000</v>
      </c>
      <c r="L98" s="55" t="b">
        <v>1</v>
      </c>
      <c r="M98" s="56">
        <v>171220241516</v>
      </c>
      <c r="N98" s="57" t="b">
        <v>1</v>
      </c>
      <c r="O98" s="58"/>
      <c r="P98" s="226"/>
      <c r="Q98" s="59" t="b">
        <v>1</v>
      </c>
      <c r="R98" s="129"/>
      <c r="S98" s="165"/>
      <c r="T98" s="47" t="b">
        <v>1</v>
      </c>
      <c r="U98" s="227" t="s">
        <v>2858</v>
      </c>
      <c r="V98" s="75"/>
      <c r="W98" s="75"/>
      <c r="X98" s="166"/>
      <c r="Y98" s="166"/>
      <c r="Z98" s="167"/>
      <c r="AA98" s="167"/>
    </row>
    <row r="99" spans="1:27">
      <c r="A99" s="162"/>
      <c r="B99" s="187"/>
      <c r="C99" s="132" t="s">
        <v>2851</v>
      </c>
      <c r="D99" s="66" t="s">
        <v>262</v>
      </c>
      <c r="E99" s="66" t="s">
        <v>263</v>
      </c>
      <c r="F99" s="66" t="s">
        <v>2855</v>
      </c>
      <c r="G99" s="66" t="s">
        <v>1076</v>
      </c>
      <c r="H99" s="69" t="s">
        <v>30</v>
      </c>
      <c r="I99" s="53">
        <v>20</v>
      </c>
      <c r="J99" s="70">
        <v>130</v>
      </c>
      <c r="K99" s="54">
        <f t="shared" si="0"/>
        <v>2600</v>
      </c>
      <c r="L99" s="55" t="b">
        <v>1</v>
      </c>
      <c r="M99" s="56">
        <v>171220241516</v>
      </c>
      <c r="N99" s="57" t="b">
        <v>1</v>
      </c>
      <c r="O99" s="58"/>
      <c r="P99" s="226"/>
      <c r="Q99" s="59" t="b">
        <v>1</v>
      </c>
      <c r="R99" s="129"/>
      <c r="S99" s="165"/>
      <c r="T99" s="47" t="b">
        <v>1</v>
      </c>
      <c r="U99" s="227" t="s">
        <v>2858</v>
      </c>
      <c r="V99" s="75"/>
      <c r="W99" s="75"/>
      <c r="X99" s="166"/>
      <c r="Y99" s="166"/>
      <c r="Z99" s="167"/>
      <c r="AA99" s="167"/>
    </row>
    <row r="100" spans="1:27">
      <c r="A100" s="162"/>
      <c r="B100" s="187"/>
      <c r="C100" s="132" t="s">
        <v>2851</v>
      </c>
      <c r="D100" s="66" t="s">
        <v>262</v>
      </c>
      <c r="E100" s="66" t="s">
        <v>263</v>
      </c>
      <c r="F100" s="66" t="s">
        <v>2855</v>
      </c>
      <c r="G100" s="66" t="s">
        <v>2859</v>
      </c>
      <c r="H100" s="69" t="s">
        <v>30</v>
      </c>
      <c r="I100" s="53">
        <v>10</v>
      </c>
      <c r="J100" s="70">
        <v>15.5</v>
      </c>
      <c r="K100" s="54">
        <f t="shared" si="0"/>
        <v>155</v>
      </c>
      <c r="L100" s="55" t="b">
        <v>1</v>
      </c>
      <c r="M100" s="56">
        <v>171220241516</v>
      </c>
      <c r="N100" s="57" t="b">
        <v>1</v>
      </c>
      <c r="O100" s="58"/>
      <c r="P100" s="226"/>
      <c r="Q100" s="59" t="b">
        <v>1</v>
      </c>
      <c r="R100" s="129"/>
      <c r="S100" s="165"/>
      <c r="T100" s="47" t="b">
        <v>1</v>
      </c>
      <c r="U100" s="227" t="s">
        <v>2860</v>
      </c>
      <c r="V100" s="75" t="s">
        <v>2149</v>
      </c>
      <c r="W100" s="75"/>
      <c r="X100" s="166"/>
      <c r="Y100" s="166"/>
      <c r="Z100" s="167"/>
      <c r="AA100" s="167"/>
    </row>
    <row r="101" spans="1:27">
      <c r="A101" s="162"/>
      <c r="B101" s="187"/>
      <c r="C101" s="132" t="s">
        <v>2851</v>
      </c>
      <c r="D101" s="66" t="s">
        <v>144</v>
      </c>
      <c r="E101" s="66" t="s">
        <v>1959</v>
      </c>
      <c r="F101" s="66" t="s">
        <v>1235</v>
      </c>
      <c r="G101" s="66" t="s">
        <v>68</v>
      </c>
      <c r="H101" s="69" t="s">
        <v>30</v>
      </c>
      <c r="I101" s="53">
        <v>2</v>
      </c>
      <c r="J101" s="70">
        <v>2350</v>
      </c>
      <c r="K101" s="54">
        <f t="shared" si="0"/>
        <v>4700</v>
      </c>
      <c r="L101" s="55" t="b">
        <v>1</v>
      </c>
      <c r="M101" s="56">
        <v>171220241826</v>
      </c>
      <c r="N101" s="57" t="b">
        <v>1</v>
      </c>
      <c r="O101" s="58"/>
      <c r="P101" s="226"/>
      <c r="Q101" s="59" t="b">
        <v>1</v>
      </c>
      <c r="R101" s="129"/>
      <c r="S101" s="165"/>
      <c r="T101" s="47" t="b">
        <v>1</v>
      </c>
      <c r="U101" s="227" t="s">
        <v>2861</v>
      </c>
      <c r="V101" s="75"/>
      <c r="W101" s="75"/>
      <c r="X101" s="166"/>
      <c r="Y101" s="166"/>
      <c r="Z101" s="167"/>
      <c r="AA101" s="167"/>
    </row>
    <row r="102" spans="1:27">
      <c r="A102" s="162"/>
      <c r="B102" s="187"/>
      <c r="C102" s="132" t="s">
        <v>2851</v>
      </c>
      <c r="D102" s="66" t="s">
        <v>144</v>
      </c>
      <c r="E102" s="66" t="s">
        <v>1959</v>
      </c>
      <c r="F102" s="66" t="s">
        <v>1235</v>
      </c>
      <c r="G102" s="66" t="s">
        <v>177</v>
      </c>
      <c r="H102" s="69" t="s">
        <v>30</v>
      </c>
      <c r="I102" s="53">
        <v>10</v>
      </c>
      <c r="J102" s="70">
        <v>900</v>
      </c>
      <c r="K102" s="54">
        <f t="shared" si="0"/>
        <v>9000</v>
      </c>
      <c r="L102" s="55" t="b">
        <v>1</v>
      </c>
      <c r="M102" s="56">
        <v>171220241834</v>
      </c>
      <c r="N102" s="57" t="b">
        <v>1</v>
      </c>
      <c r="O102" s="58" t="s">
        <v>529</v>
      </c>
      <c r="P102" s="226"/>
      <c r="Q102" s="59" t="b">
        <v>1</v>
      </c>
      <c r="R102" s="129"/>
      <c r="S102" s="165"/>
      <c r="T102" s="47" t="b">
        <v>1</v>
      </c>
      <c r="U102" s="227" t="s">
        <v>2761</v>
      </c>
      <c r="V102" s="75"/>
      <c r="W102" s="75"/>
      <c r="X102" s="166"/>
      <c r="Y102" s="166"/>
      <c r="Z102" s="167"/>
      <c r="AA102" s="167"/>
    </row>
    <row r="103" spans="1:27">
      <c r="A103" s="162"/>
      <c r="B103" s="187"/>
      <c r="C103" s="132" t="s">
        <v>2851</v>
      </c>
      <c r="D103" s="66" t="s">
        <v>1133</v>
      </c>
      <c r="E103" s="66" t="s">
        <v>1133</v>
      </c>
      <c r="F103" s="66" t="s">
        <v>1134</v>
      </c>
      <c r="G103" s="66" t="s">
        <v>2833</v>
      </c>
      <c r="H103" s="69" t="s">
        <v>30</v>
      </c>
      <c r="I103" s="53">
        <v>10</v>
      </c>
      <c r="J103" s="70">
        <v>125</v>
      </c>
      <c r="K103" s="54">
        <f t="shared" si="0"/>
        <v>1250</v>
      </c>
      <c r="L103" s="55" t="b">
        <v>1</v>
      </c>
      <c r="M103" s="56">
        <v>171220241834</v>
      </c>
      <c r="N103" s="57" t="b">
        <v>1</v>
      </c>
      <c r="O103" s="58"/>
      <c r="P103" s="226"/>
      <c r="Q103" s="59" t="b">
        <v>1</v>
      </c>
      <c r="R103" s="129"/>
      <c r="S103" s="165"/>
      <c r="T103" s="47" t="b">
        <v>1</v>
      </c>
      <c r="U103" s="227" t="s">
        <v>2773</v>
      </c>
      <c r="V103" s="75"/>
      <c r="W103" s="75"/>
      <c r="X103" s="166"/>
      <c r="Y103" s="166"/>
      <c r="Z103" s="167"/>
      <c r="AA103" s="167"/>
    </row>
    <row r="104" spans="1:27">
      <c r="A104" s="162"/>
      <c r="B104" s="187"/>
      <c r="C104" s="132" t="s">
        <v>2862</v>
      </c>
      <c r="D104" s="66" t="s">
        <v>247</v>
      </c>
      <c r="E104" s="66" t="s">
        <v>248</v>
      </c>
      <c r="F104" s="66" t="s">
        <v>249</v>
      </c>
      <c r="G104" s="66" t="s">
        <v>746</v>
      </c>
      <c r="H104" s="69" t="s">
        <v>30</v>
      </c>
      <c r="I104" s="53">
        <v>18</v>
      </c>
      <c r="J104" s="70">
        <v>850</v>
      </c>
      <c r="K104" s="54">
        <f t="shared" si="0"/>
        <v>15300</v>
      </c>
      <c r="L104" s="55" t="b">
        <v>1</v>
      </c>
      <c r="M104" s="56">
        <v>181220241458</v>
      </c>
      <c r="N104" s="57" t="b">
        <v>1</v>
      </c>
      <c r="O104" s="58" t="s">
        <v>529</v>
      </c>
      <c r="P104" s="226" t="s">
        <v>2835</v>
      </c>
      <c r="Q104" s="59" t="b">
        <v>1</v>
      </c>
      <c r="R104" s="129"/>
      <c r="S104" s="165"/>
      <c r="T104" s="47" t="b">
        <v>1</v>
      </c>
      <c r="U104" s="227" t="s">
        <v>2863</v>
      </c>
      <c r="V104" s="75"/>
      <c r="W104" s="75"/>
      <c r="X104" s="166"/>
      <c r="Y104" s="166"/>
      <c r="Z104" s="167"/>
      <c r="AA104" s="167"/>
    </row>
    <row r="105" spans="1:27">
      <c r="A105" s="162"/>
      <c r="B105" s="187"/>
      <c r="C105" s="132" t="s">
        <v>2862</v>
      </c>
      <c r="D105" s="66" t="s">
        <v>282</v>
      </c>
      <c r="E105" s="66" t="s">
        <v>282</v>
      </c>
      <c r="F105" s="66" t="s">
        <v>365</v>
      </c>
      <c r="G105" s="66" t="s">
        <v>2770</v>
      </c>
      <c r="H105" s="69" t="s">
        <v>30</v>
      </c>
      <c r="I105" s="53">
        <v>1</v>
      </c>
      <c r="J105" s="70">
        <v>510</v>
      </c>
      <c r="K105" s="54">
        <f t="shared" si="0"/>
        <v>510</v>
      </c>
      <c r="L105" s="55" t="b">
        <v>1</v>
      </c>
      <c r="M105" s="56">
        <v>181220241545</v>
      </c>
      <c r="N105" s="57" t="b">
        <v>1</v>
      </c>
      <c r="O105" s="58"/>
      <c r="P105" s="226"/>
      <c r="Q105" s="59" t="b">
        <v>1</v>
      </c>
      <c r="R105" s="129"/>
      <c r="S105" s="165"/>
      <c r="T105" s="47" t="b">
        <v>1</v>
      </c>
      <c r="U105" s="227" t="s">
        <v>2864</v>
      </c>
      <c r="V105" s="75"/>
      <c r="W105" s="75"/>
      <c r="X105" s="166"/>
      <c r="Y105" s="166"/>
      <c r="Z105" s="167"/>
      <c r="AA105" s="167"/>
    </row>
    <row r="106" spans="1:27">
      <c r="A106" s="162"/>
      <c r="B106" s="187"/>
      <c r="C106" s="132" t="s">
        <v>2862</v>
      </c>
      <c r="D106" s="66" t="s">
        <v>51</v>
      </c>
      <c r="E106" s="66" t="s">
        <v>475</v>
      </c>
      <c r="F106" s="66" t="s">
        <v>2105</v>
      </c>
      <c r="G106" s="66" t="s">
        <v>2501</v>
      </c>
      <c r="H106" s="69" t="s">
        <v>30</v>
      </c>
      <c r="I106" s="53">
        <v>1</v>
      </c>
      <c r="J106" s="70">
        <v>7950</v>
      </c>
      <c r="K106" s="54">
        <f t="shared" si="0"/>
        <v>7950</v>
      </c>
      <c r="L106" s="55" t="b">
        <v>1</v>
      </c>
      <c r="M106" s="56">
        <v>181220241559</v>
      </c>
      <c r="N106" s="57" t="b">
        <v>1</v>
      </c>
      <c r="O106" s="58"/>
      <c r="P106" s="226"/>
      <c r="Q106" s="59" t="b">
        <v>1</v>
      </c>
      <c r="R106" s="129"/>
      <c r="S106" s="165"/>
      <c r="T106" s="47" t="b">
        <v>1</v>
      </c>
      <c r="U106" s="227" t="s">
        <v>2865</v>
      </c>
      <c r="V106" s="75"/>
      <c r="W106" s="75"/>
      <c r="X106" s="166"/>
      <c r="Y106" s="166"/>
      <c r="Z106" s="167"/>
      <c r="AA106" s="167"/>
    </row>
    <row r="107" spans="1:27">
      <c r="A107" s="162"/>
      <c r="B107" s="187"/>
      <c r="C107" s="132" t="s">
        <v>2862</v>
      </c>
      <c r="D107" s="66" t="s">
        <v>55</v>
      </c>
      <c r="E107" s="66">
        <v>41</v>
      </c>
      <c r="F107" s="66" t="s">
        <v>1552</v>
      </c>
      <c r="G107" s="66" t="s">
        <v>1952</v>
      </c>
      <c r="H107" s="69" t="s">
        <v>30</v>
      </c>
      <c r="I107" s="53">
        <v>20</v>
      </c>
      <c r="J107" s="70">
        <v>600</v>
      </c>
      <c r="K107" s="54">
        <f t="shared" si="0"/>
        <v>12000</v>
      </c>
      <c r="L107" s="55" t="b">
        <v>1</v>
      </c>
      <c r="M107" s="56">
        <v>181220241604</v>
      </c>
      <c r="N107" s="57" t="b">
        <v>1</v>
      </c>
      <c r="O107" s="58" t="s">
        <v>2356</v>
      </c>
      <c r="P107" s="226">
        <v>45645</v>
      </c>
      <c r="Q107" s="59" t="b">
        <v>1</v>
      </c>
      <c r="R107" s="129"/>
      <c r="S107" s="165"/>
      <c r="T107" s="47" t="b">
        <v>1</v>
      </c>
      <c r="U107" s="227" t="s">
        <v>2789</v>
      </c>
      <c r="V107" s="75"/>
      <c r="W107" s="75"/>
      <c r="X107" s="166"/>
      <c r="Y107" s="166"/>
      <c r="Z107" s="167"/>
      <c r="AA107" s="167"/>
    </row>
    <row r="108" spans="1:27">
      <c r="A108" s="162"/>
      <c r="B108" s="187"/>
      <c r="C108" s="132" t="s">
        <v>2862</v>
      </c>
      <c r="D108" s="66" t="s">
        <v>397</v>
      </c>
      <c r="E108" s="66" t="s">
        <v>646</v>
      </c>
      <c r="F108" s="66" t="s">
        <v>2260</v>
      </c>
      <c r="G108" s="66" t="s">
        <v>68</v>
      </c>
      <c r="H108" s="69" t="s">
        <v>30</v>
      </c>
      <c r="I108" s="53">
        <v>1</v>
      </c>
      <c r="J108" s="70">
        <v>2350</v>
      </c>
      <c r="K108" s="54">
        <f t="shared" si="0"/>
        <v>2350</v>
      </c>
      <c r="L108" s="55" t="b">
        <v>1</v>
      </c>
      <c r="M108" s="56">
        <v>181220242154</v>
      </c>
      <c r="N108" s="57" t="b">
        <v>1</v>
      </c>
      <c r="O108" s="58" t="s">
        <v>2356</v>
      </c>
      <c r="P108" s="226">
        <v>45645</v>
      </c>
      <c r="Q108" s="59" t="b">
        <v>1</v>
      </c>
      <c r="R108" s="129"/>
      <c r="S108" s="165"/>
      <c r="T108" s="47" t="b">
        <v>1</v>
      </c>
      <c r="U108" s="227" t="s">
        <v>2866</v>
      </c>
      <c r="V108" s="75"/>
      <c r="W108" s="75"/>
      <c r="X108" s="166"/>
      <c r="Y108" s="166"/>
      <c r="Z108" s="167"/>
      <c r="AA108" s="167"/>
    </row>
    <row r="109" spans="1:27">
      <c r="A109" s="162"/>
      <c r="B109" s="187"/>
      <c r="C109" s="132" t="s">
        <v>2862</v>
      </c>
      <c r="D109" s="66" t="s">
        <v>98</v>
      </c>
      <c r="E109" s="66" t="s">
        <v>2296</v>
      </c>
      <c r="F109" s="66" t="s">
        <v>2601</v>
      </c>
      <c r="G109" s="66" t="s">
        <v>236</v>
      </c>
      <c r="H109" s="69" t="s">
        <v>30</v>
      </c>
      <c r="I109" s="53">
        <v>24</v>
      </c>
      <c r="J109" s="70">
        <v>150</v>
      </c>
      <c r="K109" s="54">
        <f t="shared" si="0"/>
        <v>3600</v>
      </c>
      <c r="L109" s="55" t="b">
        <v>1</v>
      </c>
      <c r="M109" s="56">
        <v>181220242155</v>
      </c>
      <c r="N109" s="57" t="b">
        <v>1</v>
      </c>
      <c r="O109" s="58" t="s">
        <v>2356</v>
      </c>
      <c r="P109" s="226">
        <v>45645</v>
      </c>
      <c r="Q109" s="59" t="b">
        <v>1</v>
      </c>
      <c r="R109" s="129"/>
      <c r="S109" s="165"/>
      <c r="T109" s="47" t="b">
        <v>1</v>
      </c>
      <c r="U109" s="227" t="s">
        <v>2867</v>
      </c>
      <c r="V109" s="75"/>
      <c r="W109" s="75"/>
      <c r="X109" s="166"/>
      <c r="Y109" s="166"/>
      <c r="Z109" s="167"/>
      <c r="AA109" s="167"/>
    </row>
    <row r="110" spans="1:27">
      <c r="A110" s="162"/>
      <c r="B110" s="187"/>
      <c r="C110" s="132" t="s">
        <v>2868</v>
      </c>
      <c r="D110" s="66" t="s">
        <v>104</v>
      </c>
      <c r="E110" s="66" t="s">
        <v>1941</v>
      </c>
      <c r="F110" s="66" t="s">
        <v>1942</v>
      </c>
      <c r="G110" s="66" t="s">
        <v>1800</v>
      </c>
      <c r="H110" s="69" t="s">
        <v>30</v>
      </c>
      <c r="I110" s="53">
        <v>10</v>
      </c>
      <c r="J110" s="70">
        <v>975</v>
      </c>
      <c r="K110" s="54">
        <f t="shared" si="0"/>
        <v>9750</v>
      </c>
      <c r="L110" s="55" t="b">
        <v>1</v>
      </c>
      <c r="M110" s="56">
        <v>191220241209</v>
      </c>
      <c r="N110" s="57" t="b">
        <v>1</v>
      </c>
      <c r="O110" s="58" t="s">
        <v>529</v>
      </c>
      <c r="P110" s="226" t="s">
        <v>2835</v>
      </c>
      <c r="Q110" s="59" t="b">
        <v>1</v>
      </c>
      <c r="R110" s="129"/>
      <c r="S110" s="165"/>
      <c r="T110" s="47" t="b">
        <v>1</v>
      </c>
      <c r="U110" s="227" t="s">
        <v>2869</v>
      </c>
      <c r="V110" s="75"/>
      <c r="W110" s="75"/>
      <c r="X110" s="166"/>
      <c r="Y110" s="166"/>
      <c r="Z110" s="167"/>
      <c r="AA110" s="167"/>
    </row>
    <row r="111" spans="1:27">
      <c r="A111" s="162"/>
      <c r="B111" s="187"/>
      <c r="C111" s="132" t="s">
        <v>2868</v>
      </c>
      <c r="D111" s="66" t="s">
        <v>1133</v>
      </c>
      <c r="E111" s="66" t="s">
        <v>1133</v>
      </c>
      <c r="F111" s="66" t="s">
        <v>1439</v>
      </c>
      <c r="G111" s="66" t="s">
        <v>1952</v>
      </c>
      <c r="H111" s="69" t="s">
        <v>30</v>
      </c>
      <c r="I111" s="53">
        <v>10</v>
      </c>
      <c r="J111" s="70">
        <v>600</v>
      </c>
      <c r="K111" s="54">
        <f t="shared" si="0"/>
        <v>6000</v>
      </c>
      <c r="L111" s="55" t="b">
        <v>1</v>
      </c>
      <c r="M111" s="56">
        <v>191220241210</v>
      </c>
      <c r="N111" s="57" t="b">
        <v>1</v>
      </c>
      <c r="O111" s="58" t="s">
        <v>2356</v>
      </c>
      <c r="P111" s="226">
        <v>45645</v>
      </c>
      <c r="Q111" s="59" t="b">
        <v>1</v>
      </c>
      <c r="R111" s="129"/>
      <c r="S111" s="165"/>
      <c r="T111" s="47" t="b">
        <v>1</v>
      </c>
      <c r="U111" s="227" t="s">
        <v>2870</v>
      </c>
      <c r="V111" s="75"/>
      <c r="W111" s="75"/>
      <c r="X111" s="166"/>
      <c r="Y111" s="166"/>
      <c r="Z111" s="167"/>
      <c r="AA111" s="167"/>
    </row>
    <row r="112" spans="1:27">
      <c r="A112" s="162"/>
      <c r="B112" s="187"/>
      <c r="C112" s="132" t="s">
        <v>2868</v>
      </c>
      <c r="D112" s="66" t="s">
        <v>104</v>
      </c>
      <c r="E112" s="66" t="s">
        <v>1941</v>
      </c>
      <c r="F112" s="66" t="s">
        <v>1942</v>
      </c>
      <c r="G112" s="66" t="s">
        <v>1024</v>
      </c>
      <c r="H112" s="69" t="s">
        <v>30</v>
      </c>
      <c r="I112" s="53">
        <v>5</v>
      </c>
      <c r="J112" s="70">
        <v>100</v>
      </c>
      <c r="K112" s="54">
        <f t="shared" si="0"/>
        <v>500</v>
      </c>
      <c r="L112" s="55" t="b">
        <v>1</v>
      </c>
      <c r="M112" s="56">
        <v>191220242118</v>
      </c>
      <c r="N112" s="57" t="b">
        <v>1</v>
      </c>
      <c r="O112" s="58"/>
      <c r="P112" s="226"/>
      <c r="Q112" s="59" t="b">
        <v>1</v>
      </c>
      <c r="R112" s="129"/>
      <c r="S112" s="165"/>
      <c r="T112" s="47" t="b">
        <v>1</v>
      </c>
      <c r="U112" s="227" t="s">
        <v>2871</v>
      </c>
      <c r="V112" s="75"/>
      <c r="W112" s="75"/>
      <c r="X112" s="166"/>
      <c r="Y112" s="166"/>
      <c r="Z112" s="167"/>
      <c r="AA112" s="167"/>
    </row>
    <row r="113" spans="1:27">
      <c r="A113" s="162"/>
      <c r="B113" s="187"/>
      <c r="C113" s="132" t="s">
        <v>2872</v>
      </c>
      <c r="D113" s="66" t="s">
        <v>433</v>
      </c>
      <c r="E113" s="66" t="s">
        <v>2873</v>
      </c>
      <c r="F113" s="66" t="s">
        <v>2621</v>
      </c>
      <c r="G113" s="66" t="s">
        <v>2704</v>
      </c>
      <c r="H113" s="69" t="s">
        <v>30</v>
      </c>
      <c r="I113" s="53">
        <v>10</v>
      </c>
      <c r="J113" s="70">
        <v>600</v>
      </c>
      <c r="K113" s="54">
        <f t="shared" si="0"/>
        <v>6000</v>
      </c>
      <c r="L113" s="55" t="b">
        <v>1</v>
      </c>
      <c r="M113" s="56">
        <v>201220241339</v>
      </c>
      <c r="N113" s="57" t="b">
        <v>1</v>
      </c>
      <c r="O113" s="58"/>
      <c r="P113" s="226"/>
      <c r="Q113" s="59" t="b">
        <v>1</v>
      </c>
      <c r="R113" s="129"/>
      <c r="S113" s="165"/>
      <c r="T113" s="47" t="b">
        <v>1</v>
      </c>
      <c r="U113" s="227" t="s">
        <v>2874</v>
      </c>
      <c r="V113" s="75"/>
      <c r="W113" s="75"/>
      <c r="X113" s="166"/>
      <c r="Y113" s="166"/>
      <c r="Z113" s="167"/>
      <c r="AA113" s="167"/>
    </row>
    <row r="114" spans="1:27">
      <c r="A114" s="162"/>
      <c r="B114" s="187"/>
      <c r="C114" s="132" t="s">
        <v>2872</v>
      </c>
      <c r="D114" s="66" t="s">
        <v>171</v>
      </c>
      <c r="E114" s="66" t="s">
        <v>137</v>
      </c>
      <c r="F114" s="66" t="s">
        <v>2812</v>
      </c>
      <c r="G114" s="66" t="s">
        <v>760</v>
      </c>
      <c r="H114" s="69" t="s">
        <v>30</v>
      </c>
      <c r="I114" s="53">
        <v>10</v>
      </c>
      <c r="J114" s="70">
        <v>130</v>
      </c>
      <c r="K114" s="54">
        <f t="shared" si="0"/>
        <v>1300</v>
      </c>
      <c r="L114" s="55" t="b">
        <v>1</v>
      </c>
      <c r="M114" s="56">
        <v>201220241341</v>
      </c>
      <c r="N114" s="57" t="b">
        <v>1</v>
      </c>
      <c r="O114" s="58"/>
      <c r="P114" s="226"/>
      <c r="Q114" s="59" t="b">
        <v>1</v>
      </c>
      <c r="R114" s="129"/>
      <c r="S114" s="165"/>
      <c r="T114" s="47" t="b">
        <v>1</v>
      </c>
      <c r="U114" s="227" t="s">
        <v>2814</v>
      </c>
      <c r="V114" s="75"/>
      <c r="W114" s="75"/>
      <c r="X114" s="166"/>
      <c r="Y114" s="166"/>
      <c r="Z114" s="167"/>
      <c r="AA114" s="167"/>
    </row>
    <row r="115" spans="1:27">
      <c r="A115" s="162"/>
      <c r="B115" s="187"/>
      <c r="C115" s="132" t="s">
        <v>2872</v>
      </c>
      <c r="D115" s="66" t="s">
        <v>2875</v>
      </c>
      <c r="E115" s="66" t="s">
        <v>2296</v>
      </c>
      <c r="F115" s="66" t="s">
        <v>1279</v>
      </c>
      <c r="G115" s="66" t="s">
        <v>177</v>
      </c>
      <c r="H115" s="69" t="s">
        <v>30</v>
      </c>
      <c r="I115" s="53">
        <v>10</v>
      </c>
      <c r="J115" s="70">
        <v>925</v>
      </c>
      <c r="K115" s="54">
        <f t="shared" si="0"/>
        <v>9250</v>
      </c>
      <c r="L115" s="55" t="b">
        <v>1</v>
      </c>
      <c r="M115" s="56">
        <v>201220241552</v>
      </c>
      <c r="N115" s="57" t="b">
        <v>1</v>
      </c>
      <c r="O115" s="58"/>
      <c r="P115" s="226"/>
      <c r="Q115" s="59" t="b">
        <v>1</v>
      </c>
      <c r="R115" s="129"/>
      <c r="S115" s="165"/>
      <c r="T115" s="47" t="b">
        <v>1</v>
      </c>
      <c r="U115" s="227" t="s">
        <v>2876</v>
      </c>
      <c r="V115" s="75"/>
      <c r="W115" s="75"/>
      <c r="X115" s="166"/>
      <c r="Y115" s="166"/>
      <c r="Z115" s="167"/>
      <c r="AA115" s="167"/>
    </row>
    <row r="116" spans="1:27">
      <c r="A116" s="162"/>
      <c r="B116" s="187"/>
      <c r="C116" s="132" t="s">
        <v>2872</v>
      </c>
      <c r="D116" s="66" t="s">
        <v>51</v>
      </c>
      <c r="E116" s="66" t="s">
        <v>594</v>
      </c>
      <c r="F116" s="66" t="s">
        <v>595</v>
      </c>
      <c r="G116" s="66" t="s">
        <v>139</v>
      </c>
      <c r="H116" s="69" t="s">
        <v>30</v>
      </c>
      <c r="I116" s="53">
        <v>100</v>
      </c>
      <c r="J116" s="70">
        <v>30</v>
      </c>
      <c r="K116" s="54">
        <f t="shared" si="0"/>
        <v>3000</v>
      </c>
      <c r="L116" s="55" t="b">
        <v>1</v>
      </c>
      <c r="M116" s="56">
        <v>201220241554</v>
      </c>
      <c r="N116" s="57" t="b">
        <v>1</v>
      </c>
      <c r="O116" s="58" t="s">
        <v>2356</v>
      </c>
      <c r="P116" s="226">
        <v>45649</v>
      </c>
      <c r="Q116" s="59" t="b">
        <v>1</v>
      </c>
      <c r="R116" s="129"/>
      <c r="S116" s="165"/>
      <c r="T116" s="47" t="b">
        <v>1</v>
      </c>
      <c r="U116" s="227" t="s">
        <v>2877</v>
      </c>
      <c r="V116" s="75"/>
      <c r="W116" s="75"/>
      <c r="X116" s="166"/>
      <c r="Y116" s="166"/>
      <c r="Z116" s="167"/>
      <c r="AA116" s="167"/>
    </row>
    <row r="117" spans="1:27">
      <c r="A117" s="162"/>
      <c r="B117" s="187"/>
      <c r="C117" s="132" t="s">
        <v>2872</v>
      </c>
      <c r="D117" s="66" t="s">
        <v>51</v>
      </c>
      <c r="E117" s="66" t="s">
        <v>594</v>
      </c>
      <c r="F117" s="66" t="s">
        <v>595</v>
      </c>
      <c r="G117" s="66" t="s">
        <v>147</v>
      </c>
      <c r="H117" s="69" t="s">
        <v>30</v>
      </c>
      <c r="I117" s="53">
        <v>2</v>
      </c>
      <c r="J117" s="70">
        <v>800</v>
      </c>
      <c r="K117" s="54">
        <f t="shared" si="0"/>
        <v>1600</v>
      </c>
      <c r="L117" s="55" t="b">
        <v>1</v>
      </c>
      <c r="M117" s="56">
        <v>201220241557</v>
      </c>
      <c r="N117" s="57" t="b">
        <v>1</v>
      </c>
      <c r="O117" s="58"/>
      <c r="P117" s="226"/>
      <c r="Q117" s="59" t="b">
        <v>1</v>
      </c>
      <c r="R117" s="129"/>
      <c r="S117" s="165"/>
      <c r="T117" s="47" t="b">
        <v>1</v>
      </c>
      <c r="U117" s="227" t="s">
        <v>2878</v>
      </c>
      <c r="V117" s="75"/>
      <c r="W117" s="75"/>
      <c r="X117" s="166"/>
      <c r="Y117" s="166"/>
      <c r="Z117" s="167"/>
      <c r="AA117" s="167"/>
    </row>
    <row r="118" spans="1:27">
      <c r="A118" s="162"/>
      <c r="B118" s="187"/>
      <c r="C118" s="132" t="s">
        <v>2872</v>
      </c>
      <c r="D118" s="66" t="s">
        <v>51</v>
      </c>
      <c r="E118" s="66" t="s">
        <v>594</v>
      </c>
      <c r="F118" s="66" t="s">
        <v>595</v>
      </c>
      <c r="G118" s="66" t="s">
        <v>877</v>
      </c>
      <c r="H118" s="69" t="s">
        <v>30</v>
      </c>
      <c r="I118" s="53">
        <v>2</v>
      </c>
      <c r="J118" s="70">
        <v>875</v>
      </c>
      <c r="K118" s="54">
        <f t="shared" si="0"/>
        <v>1750</v>
      </c>
      <c r="L118" s="55" t="b">
        <v>1</v>
      </c>
      <c r="M118" s="56">
        <v>201220241557</v>
      </c>
      <c r="N118" s="57" t="b">
        <v>1</v>
      </c>
      <c r="O118" s="58"/>
      <c r="P118" s="226"/>
      <c r="Q118" s="59" t="b">
        <v>1</v>
      </c>
      <c r="R118" s="129"/>
      <c r="S118" s="165"/>
      <c r="T118" s="47" t="b">
        <v>1</v>
      </c>
      <c r="U118" s="227" t="s">
        <v>2878</v>
      </c>
      <c r="V118" s="75"/>
      <c r="W118" s="75"/>
      <c r="X118" s="166"/>
      <c r="Y118" s="166"/>
      <c r="Z118" s="167"/>
      <c r="AA118" s="167"/>
    </row>
    <row r="119" spans="1:27">
      <c r="A119" s="162"/>
      <c r="B119" s="187"/>
      <c r="C119" s="132" t="s">
        <v>2872</v>
      </c>
      <c r="D119" s="66" t="s">
        <v>98</v>
      </c>
      <c r="E119" s="66" t="s">
        <v>99</v>
      </c>
      <c r="F119" s="66" t="s">
        <v>2879</v>
      </c>
      <c r="G119" s="66" t="s">
        <v>177</v>
      </c>
      <c r="H119" s="69" t="s">
        <v>30</v>
      </c>
      <c r="I119" s="53">
        <v>12</v>
      </c>
      <c r="J119" s="70">
        <v>925</v>
      </c>
      <c r="K119" s="54">
        <f t="shared" si="0"/>
        <v>11100</v>
      </c>
      <c r="L119" s="55" t="b">
        <v>1</v>
      </c>
      <c r="M119" s="56">
        <v>201220241726</v>
      </c>
      <c r="N119" s="57" t="b">
        <v>1</v>
      </c>
      <c r="O119" s="58"/>
      <c r="P119" s="226"/>
      <c r="Q119" s="59" t="b">
        <v>1</v>
      </c>
      <c r="R119" s="129"/>
      <c r="S119" s="165"/>
      <c r="T119" s="47" t="b">
        <v>1</v>
      </c>
      <c r="U119" s="227" t="s">
        <v>2880</v>
      </c>
      <c r="V119" s="75"/>
      <c r="W119" s="75"/>
      <c r="X119" s="166"/>
      <c r="Y119" s="166"/>
      <c r="Z119" s="167"/>
      <c r="AA119" s="167"/>
    </row>
    <row r="120" spans="1:27">
      <c r="A120" s="162"/>
      <c r="B120" s="187"/>
      <c r="C120" s="132" t="s">
        <v>2881</v>
      </c>
      <c r="D120" s="66" t="s">
        <v>51</v>
      </c>
      <c r="E120" s="66" t="s">
        <v>66</v>
      </c>
      <c r="F120" s="66" t="s">
        <v>67</v>
      </c>
      <c r="G120" s="66" t="s">
        <v>68</v>
      </c>
      <c r="H120" s="69" t="s">
        <v>30</v>
      </c>
      <c r="I120" s="53">
        <v>3</v>
      </c>
      <c r="J120" s="70">
        <v>2350</v>
      </c>
      <c r="K120" s="54">
        <f t="shared" si="0"/>
        <v>7050</v>
      </c>
      <c r="L120" s="55" t="b">
        <v>1</v>
      </c>
      <c r="M120" s="56">
        <v>231220240928</v>
      </c>
      <c r="N120" s="57" t="b">
        <v>1</v>
      </c>
      <c r="O120" s="58"/>
      <c r="P120" s="226"/>
      <c r="Q120" s="59" t="b">
        <v>1</v>
      </c>
      <c r="R120" s="129"/>
      <c r="S120" s="165"/>
      <c r="T120" s="47" t="b">
        <v>1</v>
      </c>
      <c r="U120" s="227" t="s">
        <v>2882</v>
      </c>
      <c r="V120" s="75"/>
      <c r="W120" s="75"/>
      <c r="X120" s="166"/>
      <c r="Y120" s="166"/>
      <c r="Z120" s="167"/>
      <c r="AA120" s="167"/>
    </row>
    <row r="121" spans="1:27">
      <c r="A121" s="162"/>
      <c r="B121" s="187"/>
      <c r="C121" s="132" t="s">
        <v>2881</v>
      </c>
      <c r="D121" s="66" t="s">
        <v>104</v>
      </c>
      <c r="E121" s="66" t="s">
        <v>486</v>
      </c>
      <c r="F121" s="66" t="s">
        <v>241</v>
      </c>
      <c r="G121" s="66" t="s">
        <v>103</v>
      </c>
      <c r="H121" s="69" t="s">
        <v>30</v>
      </c>
      <c r="I121" s="53">
        <v>15</v>
      </c>
      <c r="J121" s="70">
        <v>265</v>
      </c>
      <c r="K121" s="54">
        <f t="shared" si="0"/>
        <v>3975</v>
      </c>
      <c r="L121" s="55" t="b">
        <v>1</v>
      </c>
      <c r="M121" s="56">
        <v>231220240932</v>
      </c>
      <c r="N121" s="57" t="b">
        <v>1</v>
      </c>
      <c r="O121" s="58"/>
      <c r="P121" s="226"/>
      <c r="Q121" s="59" t="b">
        <v>1</v>
      </c>
      <c r="R121" s="129"/>
      <c r="S121" s="165"/>
      <c r="T121" s="47" t="b">
        <v>1</v>
      </c>
      <c r="U121" s="227" t="s">
        <v>2883</v>
      </c>
      <c r="V121" s="75"/>
      <c r="W121" s="75"/>
      <c r="X121" s="166"/>
      <c r="Y121" s="166"/>
      <c r="Z121" s="167"/>
      <c r="AA121" s="167"/>
    </row>
    <row r="122" spans="1:27">
      <c r="A122" s="162"/>
      <c r="B122" s="187"/>
      <c r="C122" s="132" t="s">
        <v>2881</v>
      </c>
      <c r="D122" s="66" t="s">
        <v>51</v>
      </c>
      <c r="E122" s="66" t="s">
        <v>475</v>
      </c>
      <c r="F122" s="66" t="s">
        <v>168</v>
      </c>
      <c r="G122" s="66" t="s">
        <v>2884</v>
      </c>
      <c r="H122" s="69" t="s">
        <v>30</v>
      </c>
      <c r="I122" s="53">
        <v>3</v>
      </c>
      <c r="J122" s="70">
        <v>125</v>
      </c>
      <c r="K122" s="54">
        <f t="shared" si="0"/>
        <v>375</v>
      </c>
      <c r="L122" s="55" t="b">
        <v>1</v>
      </c>
      <c r="M122" s="56">
        <v>231220240934</v>
      </c>
      <c r="N122" s="57" t="b">
        <v>1</v>
      </c>
      <c r="O122" s="58"/>
      <c r="P122" s="226"/>
      <c r="Q122" s="59" t="b">
        <v>1</v>
      </c>
      <c r="R122" s="129"/>
      <c r="S122" s="165"/>
      <c r="T122" s="47" t="b">
        <v>1</v>
      </c>
      <c r="U122" s="227" t="s">
        <v>2865</v>
      </c>
      <c r="V122" s="75"/>
      <c r="W122" s="75"/>
      <c r="X122" s="166"/>
      <c r="Y122" s="166"/>
      <c r="Z122" s="167"/>
      <c r="AA122" s="167"/>
    </row>
    <row r="123" spans="1:27">
      <c r="A123" s="162"/>
      <c r="B123" s="187"/>
      <c r="C123" s="132" t="s">
        <v>2881</v>
      </c>
      <c r="D123" s="66" t="s">
        <v>51</v>
      </c>
      <c r="E123" s="66" t="s">
        <v>475</v>
      </c>
      <c r="F123" s="66" t="s">
        <v>168</v>
      </c>
      <c r="G123" s="66" t="s">
        <v>2884</v>
      </c>
      <c r="H123" s="69" t="s">
        <v>30</v>
      </c>
      <c r="I123" s="53">
        <v>7</v>
      </c>
      <c r="J123" s="70">
        <v>125</v>
      </c>
      <c r="K123" s="54">
        <f t="shared" si="0"/>
        <v>875</v>
      </c>
      <c r="L123" s="55" t="b">
        <v>1</v>
      </c>
      <c r="M123" s="56">
        <v>231220240934</v>
      </c>
      <c r="N123" s="57" t="b">
        <v>1</v>
      </c>
      <c r="O123" s="58"/>
      <c r="P123" s="226"/>
      <c r="Q123" s="59" t="b">
        <v>1</v>
      </c>
      <c r="R123" s="129"/>
      <c r="S123" s="165"/>
      <c r="T123" s="47" t="b">
        <v>1</v>
      </c>
      <c r="U123" s="227" t="s">
        <v>2885</v>
      </c>
      <c r="V123" s="75"/>
      <c r="W123" s="75"/>
      <c r="X123" s="166"/>
      <c r="Y123" s="166"/>
      <c r="Z123" s="167"/>
      <c r="AA123" s="167"/>
    </row>
    <row r="124" spans="1:27">
      <c r="A124" s="162"/>
      <c r="B124" s="187"/>
      <c r="C124" s="132" t="s">
        <v>2881</v>
      </c>
      <c r="D124" s="66" t="s">
        <v>51</v>
      </c>
      <c r="E124" s="66" t="s">
        <v>475</v>
      </c>
      <c r="F124" s="66" t="s">
        <v>168</v>
      </c>
      <c r="G124" s="66" t="s">
        <v>2886</v>
      </c>
      <c r="H124" s="69" t="s">
        <v>30</v>
      </c>
      <c r="I124" s="53">
        <v>8</v>
      </c>
      <c r="J124" s="70">
        <v>95</v>
      </c>
      <c r="K124" s="54">
        <f t="shared" si="0"/>
        <v>760</v>
      </c>
      <c r="L124" s="55" t="b">
        <v>1</v>
      </c>
      <c r="M124" s="56">
        <v>231220240934</v>
      </c>
      <c r="N124" s="57" t="b">
        <v>1</v>
      </c>
      <c r="O124" s="58"/>
      <c r="P124" s="226"/>
      <c r="Q124" s="59" t="b">
        <v>1</v>
      </c>
      <c r="R124" s="129"/>
      <c r="S124" s="165"/>
      <c r="T124" s="47" t="b">
        <v>1</v>
      </c>
      <c r="U124" s="227" t="s">
        <v>2865</v>
      </c>
      <c r="V124" s="75"/>
      <c r="W124" s="75"/>
      <c r="X124" s="166"/>
      <c r="Y124" s="166"/>
      <c r="Z124" s="167"/>
      <c r="AA124" s="167"/>
    </row>
    <row r="125" spans="1:27">
      <c r="A125" s="162"/>
      <c r="B125" s="187"/>
      <c r="C125" s="132" t="s">
        <v>2881</v>
      </c>
      <c r="D125" s="66" t="s">
        <v>51</v>
      </c>
      <c r="E125" s="66" t="s">
        <v>475</v>
      </c>
      <c r="F125" s="66" t="s">
        <v>168</v>
      </c>
      <c r="G125" s="66" t="s">
        <v>2886</v>
      </c>
      <c r="H125" s="69" t="s">
        <v>30</v>
      </c>
      <c r="I125" s="53">
        <v>20</v>
      </c>
      <c r="J125" s="70">
        <v>95</v>
      </c>
      <c r="K125" s="54">
        <f t="shared" si="0"/>
        <v>1900</v>
      </c>
      <c r="L125" s="55" t="b">
        <v>1</v>
      </c>
      <c r="M125" s="56">
        <v>231220240934</v>
      </c>
      <c r="N125" s="57" t="b">
        <v>1</v>
      </c>
      <c r="O125" s="58"/>
      <c r="P125" s="226"/>
      <c r="Q125" s="59" t="b">
        <v>1</v>
      </c>
      <c r="R125" s="129"/>
      <c r="S125" s="165"/>
      <c r="T125" s="47" t="b">
        <v>1</v>
      </c>
      <c r="U125" s="227" t="s">
        <v>2887</v>
      </c>
      <c r="V125" s="75"/>
      <c r="W125" s="75"/>
      <c r="X125" s="166"/>
      <c r="Y125" s="166"/>
      <c r="Z125" s="167"/>
      <c r="AA125" s="167"/>
    </row>
    <row r="126" spans="1:27">
      <c r="A126" s="162"/>
      <c r="B126" s="187"/>
      <c r="C126" s="132" t="s">
        <v>2881</v>
      </c>
      <c r="D126" s="66" t="s">
        <v>433</v>
      </c>
      <c r="E126" s="66" t="s">
        <v>434</v>
      </c>
      <c r="F126" s="66" t="s">
        <v>2621</v>
      </c>
      <c r="G126" s="66" t="s">
        <v>103</v>
      </c>
      <c r="H126" s="69" t="s">
        <v>30</v>
      </c>
      <c r="I126" s="53">
        <v>10</v>
      </c>
      <c r="J126" s="70">
        <v>265</v>
      </c>
      <c r="K126" s="54">
        <f t="shared" si="0"/>
        <v>2650</v>
      </c>
      <c r="L126" s="55" t="b">
        <v>1</v>
      </c>
      <c r="M126" s="56">
        <v>231220241039</v>
      </c>
      <c r="N126" s="57" t="b">
        <v>1</v>
      </c>
      <c r="O126" s="58"/>
      <c r="P126" s="226"/>
      <c r="Q126" s="59" t="b">
        <v>1</v>
      </c>
      <c r="R126" s="129"/>
      <c r="S126" s="165"/>
      <c r="T126" s="47" t="b">
        <v>1</v>
      </c>
      <c r="U126" s="227" t="s">
        <v>2874</v>
      </c>
      <c r="V126" s="75"/>
      <c r="W126" s="75"/>
      <c r="X126" s="166"/>
      <c r="Y126" s="166"/>
      <c r="Z126" s="167"/>
      <c r="AA126" s="167"/>
    </row>
    <row r="127" spans="1:27">
      <c r="A127" s="162"/>
      <c r="B127" s="187"/>
      <c r="C127" s="132" t="s">
        <v>2881</v>
      </c>
      <c r="D127" s="66" t="s">
        <v>51</v>
      </c>
      <c r="E127" s="66" t="s">
        <v>66</v>
      </c>
      <c r="F127" s="66" t="s">
        <v>67</v>
      </c>
      <c r="G127" s="66" t="s">
        <v>2888</v>
      </c>
      <c r="H127" s="69" t="s">
        <v>30</v>
      </c>
      <c r="I127" s="53">
        <v>1</v>
      </c>
      <c r="J127" s="70">
        <v>5100</v>
      </c>
      <c r="K127" s="54">
        <f t="shared" si="0"/>
        <v>5100</v>
      </c>
      <c r="L127" s="55" t="b">
        <v>1</v>
      </c>
      <c r="M127" s="56">
        <v>231220241107</v>
      </c>
      <c r="N127" s="57" t="b">
        <v>1</v>
      </c>
      <c r="O127" s="58"/>
      <c r="P127" s="226"/>
      <c r="Q127" s="59" t="b">
        <v>1</v>
      </c>
      <c r="R127" s="129"/>
      <c r="S127" s="165"/>
      <c r="T127" s="47" t="b">
        <v>1</v>
      </c>
      <c r="U127" s="227" t="s">
        <v>2889</v>
      </c>
      <c r="V127" s="75"/>
      <c r="W127" s="75"/>
      <c r="X127" s="166"/>
      <c r="Y127" s="166"/>
      <c r="Z127" s="167"/>
      <c r="AA127" s="167"/>
    </row>
    <row r="128" spans="1:27">
      <c r="A128" s="162"/>
      <c r="B128" s="187"/>
      <c r="C128" s="132" t="s">
        <v>2881</v>
      </c>
      <c r="D128" s="66" t="s">
        <v>51</v>
      </c>
      <c r="E128" s="66" t="s">
        <v>89</v>
      </c>
      <c r="F128" s="66" t="s">
        <v>1872</v>
      </c>
      <c r="G128" s="69" t="s">
        <v>2890</v>
      </c>
      <c r="H128" s="69" t="s">
        <v>30</v>
      </c>
      <c r="I128" s="53">
        <v>1</v>
      </c>
      <c r="J128" s="70">
        <v>9000</v>
      </c>
      <c r="K128" s="54">
        <f t="shared" si="0"/>
        <v>9000</v>
      </c>
      <c r="L128" s="55" t="b">
        <v>1</v>
      </c>
      <c r="M128" s="56">
        <v>231220241126</v>
      </c>
      <c r="N128" s="57" t="b">
        <v>1</v>
      </c>
      <c r="O128" s="58" t="s">
        <v>529</v>
      </c>
      <c r="P128" s="226"/>
      <c r="Q128" s="59" t="b">
        <v>1</v>
      </c>
      <c r="R128" s="129"/>
      <c r="S128" s="165"/>
      <c r="T128" s="47" t="b">
        <v>1</v>
      </c>
      <c r="U128" s="227" t="s">
        <v>2891</v>
      </c>
      <c r="V128" s="75"/>
      <c r="W128" s="75"/>
      <c r="X128" s="166"/>
      <c r="Y128" s="166"/>
      <c r="Z128" s="167"/>
      <c r="AA128" s="167"/>
    </row>
    <row r="129" spans="1:27">
      <c r="A129" s="162"/>
      <c r="B129" s="187"/>
      <c r="C129" s="132" t="s">
        <v>2881</v>
      </c>
      <c r="D129" s="66" t="s">
        <v>51</v>
      </c>
      <c r="E129" s="66" t="s">
        <v>335</v>
      </c>
      <c r="F129" s="66" t="s">
        <v>339</v>
      </c>
      <c r="G129" s="69" t="s">
        <v>2890</v>
      </c>
      <c r="H129" s="69" t="s">
        <v>30</v>
      </c>
      <c r="I129" s="66">
        <v>1</v>
      </c>
      <c r="J129" s="70">
        <v>12000</v>
      </c>
      <c r="K129" s="54">
        <f t="shared" si="0"/>
        <v>12000</v>
      </c>
      <c r="L129" s="55" t="b">
        <v>1</v>
      </c>
      <c r="M129" s="154">
        <v>231220241126</v>
      </c>
      <c r="N129" s="57" t="b">
        <v>1</v>
      </c>
      <c r="O129" s="58" t="s">
        <v>39</v>
      </c>
      <c r="P129" s="215" t="s">
        <v>2892</v>
      </c>
      <c r="Q129" s="59" t="b">
        <v>1</v>
      </c>
      <c r="R129" s="164" t="s">
        <v>2893</v>
      </c>
      <c r="S129" s="165"/>
      <c r="T129" s="47" t="b">
        <v>1</v>
      </c>
      <c r="U129" s="227" t="s">
        <v>2894</v>
      </c>
      <c r="V129" s="75"/>
      <c r="W129" s="75"/>
      <c r="X129" s="166"/>
      <c r="Y129" s="166"/>
      <c r="Z129" s="167"/>
      <c r="AA129" s="167"/>
    </row>
    <row r="130" spans="1:27">
      <c r="A130" s="162"/>
      <c r="B130" s="187"/>
      <c r="C130" s="132" t="s">
        <v>2881</v>
      </c>
      <c r="D130" s="66" t="s">
        <v>51</v>
      </c>
      <c r="E130" s="66" t="s">
        <v>66</v>
      </c>
      <c r="F130" s="66" t="s">
        <v>67</v>
      </c>
      <c r="G130" s="66" t="s">
        <v>2890</v>
      </c>
      <c r="H130" s="69" t="s">
        <v>30</v>
      </c>
      <c r="I130" s="53">
        <v>1</v>
      </c>
      <c r="J130" s="70">
        <v>10000</v>
      </c>
      <c r="K130" s="54">
        <f t="shared" si="0"/>
        <v>10000</v>
      </c>
      <c r="L130" s="55" t="b">
        <v>1</v>
      </c>
      <c r="M130" s="56">
        <v>231220241126</v>
      </c>
      <c r="N130" s="57" t="b">
        <v>1</v>
      </c>
      <c r="O130" s="58" t="s">
        <v>39</v>
      </c>
      <c r="P130" s="226"/>
      <c r="Q130" s="59" t="b">
        <v>1</v>
      </c>
      <c r="R130" s="129" t="s">
        <v>2895</v>
      </c>
      <c r="S130" s="165"/>
      <c r="T130" s="47" t="b">
        <v>1</v>
      </c>
      <c r="U130" s="227" t="s">
        <v>2896</v>
      </c>
      <c r="V130" s="75"/>
      <c r="W130" s="75"/>
      <c r="X130" s="166"/>
      <c r="Y130" s="166"/>
      <c r="Z130" s="167"/>
      <c r="AA130" s="167"/>
    </row>
    <row r="131" spans="1:27">
      <c r="A131" s="162"/>
      <c r="B131" s="187"/>
      <c r="C131" s="132" t="s">
        <v>2881</v>
      </c>
      <c r="D131" s="66" t="s">
        <v>104</v>
      </c>
      <c r="E131" s="66" t="s">
        <v>2897</v>
      </c>
      <c r="F131" s="66" t="s">
        <v>2898</v>
      </c>
      <c r="G131" s="66" t="s">
        <v>1700</v>
      </c>
      <c r="H131" s="69" t="s">
        <v>30</v>
      </c>
      <c r="I131" s="53">
        <v>200</v>
      </c>
      <c r="J131" s="70">
        <v>15</v>
      </c>
      <c r="K131" s="54">
        <f t="shared" si="0"/>
        <v>3000</v>
      </c>
      <c r="L131" s="55" t="b">
        <v>1</v>
      </c>
      <c r="M131" s="56">
        <v>231220241643</v>
      </c>
      <c r="N131" s="57" t="b">
        <v>1</v>
      </c>
      <c r="O131" s="58"/>
      <c r="P131" s="226"/>
      <c r="Q131" s="59" t="b">
        <v>1</v>
      </c>
      <c r="R131" s="129"/>
      <c r="S131" s="165"/>
      <c r="T131" s="47" t="b">
        <v>1</v>
      </c>
      <c r="U131" s="227" t="s">
        <v>2899</v>
      </c>
      <c r="V131" s="75"/>
      <c r="W131" s="75"/>
      <c r="X131" s="166"/>
      <c r="Y131" s="166"/>
      <c r="Z131" s="167"/>
      <c r="AA131" s="167"/>
    </row>
    <row r="132" spans="1:27">
      <c r="A132" s="162"/>
      <c r="B132" s="187"/>
      <c r="C132" s="132" t="s">
        <v>2881</v>
      </c>
      <c r="D132" s="66" t="s">
        <v>104</v>
      </c>
      <c r="E132" s="66" t="s">
        <v>2900</v>
      </c>
      <c r="F132" s="66" t="s">
        <v>2901</v>
      </c>
      <c r="G132" s="69" t="s">
        <v>2674</v>
      </c>
      <c r="H132" s="69" t="s">
        <v>30</v>
      </c>
      <c r="I132" s="53">
        <v>2</v>
      </c>
      <c r="J132" s="70">
        <v>510</v>
      </c>
      <c r="K132" s="54">
        <f t="shared" si="0"/>
        <v>1020</v>
      </c>
      <c r="L132" s="55" t="b">
        <v>1</v>
      </c>
      <c r="M132" s="56">
        <v>231220241657</v>
      </c>
      <c r="N132" s="57" t="b">
        <v>1</v>
      </c>
      <c r="O132" s="58"/>
      <c r="P132" s="226"/>
      <c r="Q132" s="59" t="b">
        <v>1</v>
      </c>
      <c r="R132" s="129"/>
      <c r="S132" s="165"/>
      <c r="T132" s="47" t="b">
        <v>1</v>
      </c>
      <c r="U132" s="227" t="s">
        <v>2902</v>
      </c>
      <c r="V132" s="75"/>
      <c r="W132" s="75"/>
      <c r="X132" s="166"/>
      <c r="Y132" s="166"/>
      <c r="Z132" s="167"/>
      <c r="AA132" s="167"/>
    </row>
    <row r="133" spans="1:27">
      <c r="A133" s="162"/>
      <c r="B133" s="187"/>
      <c r="C133" s="132" t="s">
        <v>2881</v>
      </c>
      <c r="D133" s="66" t="s">
        <v>104</v>
      </c>
      <c r="E133" s="66" t="s">
        <v>2900</v>
      </c>
      <c r="F133" s="66" t="s">
        <v>2901</v>
      </c>
      <c r="G133" s="66" t="s">
        <v>2752</v>
      </c>
      <c r="H133" s="69" t="s">
        <v>30</v>
      </c>
      <c r="I133" s="53">
        <v>1</v>
      </c>
      <c r="J133" s="70">
        <v>1200</v>
      </c>
      <c r="K133" s="54">
        <f t="shared" si="0"/>
        <v>1200</v>
      </c>
      <c r="L133" s="55" t="b">
        <v>1</v>
      </c>
      <c r="M133" s="56">
        <v>231220241657</v>
      </c>
      <c r="N133" s="57" t="b">
        <v>1</v>
      </c>
      <c r="O133" s="58"/>
      <c r="P133" s="226"/>
      <c r="Q133" s="59" t="b">
        <v>1</v>
      </c>
      <c r="R133" s="129"/>
      <c r="S133" s="165"/>
      <c r="T133" s="47" t="b">
        <v>1</v>
      </c>
      <c r="U133" s="227" t="s">
        <v>2902</v>
      </c>
      <c r="V133" s="75"/>
      <c r="W133" s="75"/>
      <c r="X133" s="166"/>
      <c r="Y133" s="166"/>
      <c r="Z133" s="167"/>
      <c r="AA133" s="167"/>
    </row>
    <row r="134" spans="1:27">
      <c r="A134" s="162"/>
      <c r="B134" s="187"/>
      <c r="C134" s="132" t="s">
        <v>2881</v>
      </c>
      <c r="D134" s="66" t="s">
        <v>51</v>
      </c>
      <c r="E134" s="66" t="s">
        <v>89</v>
      </c>
      <c r="F134" s="66" t="s">
        <v>1872</v>
      </c>
      <c r="G134" s="69" t="s">
        <v>68</v>
      </c>
      <c r="H134" s="69" t="s">
        <v>30</v>
      </c>
      <c r="I134" s="53">
        <v>5</v>
      </c>
      <c r="J134" s="70">
        <v>2350</v>
      </c>
      <c r="K134" s="54">
        <f t="shared" si="0"/>
        <v>11750</v>
      </c>
      <c r="L134" s="55" t="b">
        <v>1</v>
      </c>
      <c r="M134" s="56"/>
      <c r="N134" s="57" t="b">
        <v>1</v>
      </c>
      <c r="O134" s="58"/>
      <c r="P134" s="226"/>
      <c r="Q134" s="59" t="b">
        <v>1</v>
      </c>
      <c r="R134" s="129"/>
      <c r="S134" s="165"/>
      <c r="T134" s="47" t="b">
        <v>1</v>
      </c>
      <c r="U134" s="227" t="s">
        <v>2903</v>
      </c>
      <c r="V134" s="75"/>
      <c r="W134" s="75"/>
      <c r="X134" s="166"/>
      <c r="Y134" s="166"/>
      <c r="Z134" s="167"/>
      <c r="AA134" s="167"/>
    </row>
    <row r="135" spans="1:27">
      <c r="A135" s="162"/>
      <c r="B135" s="187"/>
      <c r="C135" s="132" t="s">
        <v>2904</v>
      </c>
      <c r="D135" s="66" t="s">
        <v>225</v>
      </c>
      <c r="E135" s="66" t="s">
        <v>1048</v>
      </c>
      <c r="F135" s="66" t="s">
        <v>2905</v>
      </c>
      <c r="G135" s="66" t="s">
        <v>467</v>
      </c>
      <c r="H135" s="69" t="s">
        <v>30</v>
      </c>
      <c r="I135" s="53">
        <v>3</v>
      </c>
      <c r="J135" s="70">
        <v>695</v>
      </c>
      <c r="K135" s="54">
        <f t="shared" si="0"/>
        <v>2085</v>
      </c>
      <c r="L135" s="55" t="b">
        <v>1</v>
      </c>
      <c r="M135" s="56">
        <v>241220241642</v>
      </c>
      <c r="N135" s="57" t="b">
        <v>1</v>
      </c>
      <c r="O135" s="58"/>
      <c r="P135" s="226"/>
      <c r="Q135" s="59" t="b">
        <v>1</v>
      </c>
      <c r="R135" s="129"/>
      <c r="S135" s="165"/>
      <c r="T135" s="47" t="b">
        <v>1</v>
      </c>
      <c r="U135" s="227" t="s">
        <v>2906</v>
      </c>
      <c r="V135" s="75"/>
      <c r="W135" s="75"/>
      <c r="X135" s="166"/>
      <c r="Y135" s="166"/>
      <c r="Z135" s="167"/>
      <c r="AA135" s="167"/>
    </row>
    <row r="136" spans="1:27">
      <c r="A136" s="162"/>
      <c r="B136" s="187"/>
      <c r="C136" s="132" t="s">
        <v>2904</v>
      </c>
      <c r="D136" s="66" t="s">
        <v>104</v>
      </c>
      <c r="E136" s="66" t="s">
        <v>1048</v>
      </c>
      <c r="F136" s="66" t="s">
        <v>2905</v>
      </c>
      <c r="G136" s="66" t="s">
        <v>574</v>
      </c>
      <c r="H136" s="69" t="s">
        <v>30</v>
      </c>
      <c r="I136" s="53">
        <v>3</v>
      </c>
      <c r="J136" s="70">
        <v>695</v>
      </c>
      <c r="K136" s="54">
        <f t="shared" si="0"/>
        <v>2085</v>
      </c>
      <c r="L136" s="55" t="b">
        <v>1</v>
      </c>
      <c r="M136" s="56">
        <v>241220241643</v>
      </c>
      <c r="N136" s="57" t="b">
        <v>1</v>
      </c>
      <c r="O136" s="58"/>
      <c r="P136" s="226"/>
      <c r="Q136" s="59" t="b">
        <v>1</v>
      </c>
      <c r="R136" s="129"/>
      <c r="S136" s="165"/>
      <c r="T136" s="47" t="b">
        <v>1</v>
      </c>
      <c r="U136" s="227" t="s">
        <v>2906</v>
      </c>
      <c r="V136" s="75"/>
      <c r="W136" s="75"/>
      <c r="X136" s="166"/>
      <c r="Y136" s="166"/>
      <c r="Z136" s="167"/>
      <c r="AA136" s="167"/>
    </row>
    <row r="137" spans="1:27">
      <c r="A137" s="162"/>
      <c r="B137" s="187"/>
      <c r="C137" s="132" t="s">
        <v>2904</v>
      </c>
      <c r="D137" s="66" t="s">
        <v>51</v>
      </c>
      <c r="E137" s="66" t="s">
        <v>475</v>
      </c>
      <c r="F137" s="66" t="s">
        <v>168</v>
      </c>
      <c r="G137" s="66" t="s">
        <v>467</v>
      </c>
      <c r="H137" s="69" t="s">
        <v>30</v>
      </c>
      <c r="I137" s="53">
        <v>5</v>
      </c>
      <c r="J137" s="70">
        <v>695</v>
      </c>
      <c r="K137" s="54">
        <f t="shared" si="0"/>
        <v>3475</v>
      </c>
      <c r="L137" s="55" t="b">
        <v>1</v>
      </c>
      <c r="M137" s="56">
        <v>241220241646</v>
      </c>
      <c r="N137" s="57" t="b">
        <v>1</v>
      </c>
      <c r="O137" s="58"/>
      <c r="P137" s="226"/>
      <c r="Q137" s="59" t="b">
        <v>1</v>
      </c>
      <c r="R137" s="129"/>
      <c r="S137" s="165"/>
      <c r="T137" s="47" t="b">
        <v>1</v>
      </c>
      <c r="U137" s="227" t="s">
        <v>2907</v>
      </c>
      <c r="V137" s="75"/>
      <c r="W137" s="75"/>
      <c r="X137" s="166"/>
      <c r="Y137" s="166"/>
      <c r="Z137" s="167"/>
      <c r="AA137" s="167"/>
    </row>
    <row r="138" spans="1:27">
      <c r="A138" s="162"/>
      <c r="B138" s="187"/>
      <c r="C138" s="132" t="s">
        <v>2904</v>
      </c>
      <c r="D138" s="66" t="s">
        <v>51</v>
      </c>
      <c r="E138" s="66" t="s">
        <v>475</v>
      </c>
      <c r="F138" s="66" t="s">
        <v>168</v>
      </c>
      <c r="G138" s="66" t="s">
        <v>574</v>
      </c>
      <c r="H138" s="69" t="s">
        <v>30</v>
      </c>
      <c r="I138" s="53">
        <v>5</v>
      </c>
      <c r="J138" s="70">
        <v>695</v>
      </c>
      <c r="K138" s="54">
        <f t="shared" si="0"/>
        <v>3475</v>
      </c>
      <c r="L138" s="55" t="b">
        <v>1</v>
      </c>
      <c r="M138" s="56">
        <v>241220241647</v>
      </c>
      <c r="N138" s="57" t="b">
        <v>1</v>
      </c>
      <c r="O138" s="58"/>
      <c r="P138" s="226"/>
      <c r="Q138" s="59" t="b">
        <v>1</v>
      </c>
      <c r="R138" s="129"/>
      <c r="S138" s="165"/>
      <c r="T138" s="47" t="b">
        <v>1</v>
      </c>
      <c r="U138" s="227" t="s">
        <v>2907</v>
      </c>
      <c r="V138" s="75"/>
      <c r="W138" s="75"/>
      <c r="X138" s="166"/>
      <c r="Y138" s="166"/>
      <c r="Z138" s="167"/>
      <c r="AA138" s="167"/>
    </row>
    <row r="139" spans="1:27">
      <c r="A139" s="162"/>
      <c r="B139" s="187"/>
      <c r="C139" s="132" t="s">
        <v>2908</v>
      </c>
      <c r="D139" s="66" t="s">
        <v>1337</v>
      </c>
      <c r="E139" s="66" t="s">
        <v>137</v>
      </c>
      <c r="F139" s="66" t="s">
        <v>2812</v>
      </c>
      <c r="G139" s="66" t="s">
        <v>2909</v>
      </c>
      <c r="H139" s="69" t="s">
        <v>30</v>
      </c>
      <c r="I139" s="53">
        <v>3</v>
      </c>
      <c r="J139" s="70">
        <v>925</v>
      </c>
      <c r="K139" s="54">
        <f t="shared" si="0"/>
        <v>2775</v>
      </c>
      <c r="L139" s="55" t="b">
        <v>1</v>
      </c>
      <c r="M139" s="56">
        <v>25122024</v>
      </c>
      <c r="N139" s="57" t="b">
        <v>1</v>
      </c>
      <c r="O139" s="58" t="s">
        <v>39</v>
      </c>
      <c r="P139" s="226">
        <v>45652</v>
      </c>
      <c r="Q139" s="59" t="b">
        <v>1</v>
      </c>
      <c r="R139" s="129"/>
      <c r="S139" s="165"/>
      <c r="T139" s="47" t="b">
        <v>1</v>
      </c>
      <c r="U139" s="227" t="s">
        <v>2910</v>
      </c>
      <c r="V139" s="75"/>
      <c r="W139" s="75"/>
      <c r="X139" s="166"/>
      <c r="Y139" s="166"/>
      <c r="Z139" s="167"/>
      <c r="AA139" s="167"/>
    </row>
    <row r="140" spans="1:27">
      <c r="A140" s="162"/>
      <c r="B140" s="187"/>
      <c r="C140" s="132" t="s">
        <v>2908</v>
      </c>
      <c r="D140" s="66" t="s">
        <v>262</v>
      </c>
      <c r="E140" s="66" t="s">
        <v>263</v>
      </c>
      <c r="F140" s="66" t="s">
        <v>957</v>
      </c>
      <c r="G140" s="66" t="s">
        <v>2911</v>
      </c>
      <c r="H140" s="69" t="s">
        <v>30</v>
      </c>
      <c r="I140" s="53">
        <v>1</v>
      </c>
      <c r="J140" s="53">
        <v>925</v>
      </c>
      <c r="K140" s="54">
        <f t="shared" si="0"/>
        <v>925</v>
      </c>
      <c r="L140" s="55" t="b">
        <v>1</v>
      </c>
      <c r="M140" s="56">
        <v>251220241458</v>
      </c>
      <c r="N140" s="57" t="b">
        <v>1</v>
      </c>
      <c r="O140" s="58" t="s">
        <v>39</v>
      </c>
      <c r="P140" s="226">
        <v>45652</v>
      </c>
      <c r="Q140" s="59" t="b">
        <v>1</v>
      </c>
      <c r="R140" s="129"/>
      <c r="S140" s="165"/>
      <c r="T140" s="47" t="b">
        <v>1</v>
      </c>
      <c r="U140" s="227" t="s">
        <v>2912</v>
      </c>
      <c r="V140" s="75"/>
      <c r="W140" s="75"/>
      <c r="X140" s="166"/>
      <c r="Y140" s="166"/>
      <c r="Z140" s="167"/>
      <c r="AA140" s="167"/>
    </row>
    <row r="141" spans="1:27">
      <c r="A141" s="162"/>
      <c r="B141" s="187"/>
      <c r="C141" s="132" t="s">
        <v>2913</v>
      </c>
      <c r="D141" s="66" t="s">
        <v>51</v>
      </c>
      <c r="E141" s="66" t="s">
        <v>475</v>
      </c>
      <c r="F141" s="66" t="s">
        <v>2105</v>
      </c>
      <c r="G141" s="66" t="s">
        <v>2914</v>
      </c>
      <c r="H141" s="69" t="s">
        <v>30</v>
      </c>
      <c r="I141" s="53">
        <v>10</v>
      </c>
      <c r="J141" s="70">
        <v>145</v>
      </c>
      <c r="K141" s="54">
        <f t="shared" si="0"/>
        <v>1450</v>
      </c>
      <c r="L141" s="55" t="b">
        <v>1</v>
      </c>
      <c r="M141" s="56"/>
      <c r="N141" s="57" t="b">
        <v>1</v>
      </c>
      <c r="O141" s="58"/>
      <c r="P141" s="226"/>
      <c r="Q141" s="59" t="b">
        <v>1</v>
      </c>
      <c r="R141" s="129"/>
      <c r="S141" s="165"/>
      <c r="T141" s="47" t="b">
        <v>1</v>
      </c>
      <c r="U141" s="227" t="s">
        <v>2915</v>
      </c>
      <c r="V141" s="75"/>
      <c r="W141" s="75"/>
      <c r="X141" s="166"/>
      <c r="Y141" s="166"/>
      <c r="Z141" s="167"/>
      <c r="AA141" s="167"/>
    </row>
    <row r="142" spans="1:27">
      <c r="A142" s="162"/>
      <c r="B142" s="187"/>
      <c r="C142" s="132" t="s">
        <v>2908</v>
      </c>
      <c r="D142" s="66" t="s">
        <v>51</v>
      </c>
      <c r="E142" s="66" t="s">
        <v>475</v>
      </c>
      <c r="F142" s="66" t="s">
        <v>2120</v>
      </c>
      <c r="G142" s="66" t="s">
        <v>2914</v>
      </c>
      <c r="H142" s="69" t="s">
        <v>30</v>
      </c>
      <c r="I142" s="53">
        <v>5</v>
      </c>
      <c r="J142" s="70">
        <v>90</v>
      </c>
      <c r="K142" s="54">
        <f t="shared" si="0"/>
        <v>450</v>
      </c>
      <c r="L142" s="55" t="b">
        <v>1</v>
      </c>
      <c r="M142" s="56"/>
      <c r="N142" s="57" t="b">
        <v>1</v>
      </c>
      <c r="O142" s="58"/>
      <c r="P142" s="226"/>
      <c r="Q142" s="59" t="b">
        <v>1</v>
      </c>
      <c r="R142" s="129"/>
      <c r="S142" s="165"/>
      <c r="T142" s="47" t="b">
        <v>1</v>
      </c>
      <c r="U142" s="227" t="s">
        <v>2915</v>
      </c>
      <c r="V142" s="75"/>
      <c r="W142" s="75"/>
      <c r="X142" s="166"/>
      <c r="Y142" s="166"/>
      <c r="Z142" s="167"/>
      <c r="AA142" s="167"/>
    </row>
    <row r="143" spans="1:27">
      <c r="A143" s="162"/>
      <c r="B143" s="187"/>
      <c r="C143" s="132" t="s">
        <v>2916</v>
      </c>
      <c r="D143" s="66" t="s">
        <v>194</v>
      </c>
      <c r="E143" s="66" t="s">
        <v>195</v>
      </c>
      <c r="F143" s="66" t="s">
        <v>196</v>
      </c>
      <c r="G143" s="66" t="s">
        <v>49</v>
      </c>
      <c r="H143" s="69" t="s">
        <v>30</v>
      </c>
      <c r="I143" s="53">
        <v>10</v>
      </c>
      <c r="J143" s="70">
        <v>600</v>
      </c>
      <c r="K143" s="54">
        <f t="shared" si="0"/>
        <v>6000</v>
      </c>
      <c r="L143" s="55" t="b">
        <v>1</v>
      </c>
      <c r="M143" s="56">
        <v>261220241122</v>
      </c>
      <c r="N143" s="57" t="b">
        <v>1</v>
      </c>
      <c r="O143" s="58" t="s">
        <v>2356</v>
      </c>
      <c r="P143" s="226">
        <v>45652</v>
      </c>
      <c r="Q143" s="59" t="b">
        <v>1</v>
      </c>
      <c r="R143" s="129"/>
      <c r="S143" s="165"/>
      <c r="T143" s="47" t="b">
        <v>1</v>
      </c>
      <c r="U143" s="227" t="s">
        <v>2917</v>
      </c>
      <c r="V143" s="75"/>
      <c r="W143" s="75"/>
      <c r="X143" s="166"/>
      <c r="Y143" s="166"/>
      <c r="Z143" s="167"/>
      <c r="AA143" s="167"/>
    </row>
    <row r="144" spans="1:27">
      <c r="A144" s="162"/>
      <c r="B144" s="187"/>
      <c r="C144" s="132" t="s">
        <v>2916</v>
      </c>
      <c r="D144" s="66" t="s">
        <v>194</v>
      </c>
      <c r="E144" s="66" t="s">
        <v>195</v>
      </c>
      <c r="F144" s="66" t="s">
        <v>196</v>
      </c>
      <c r="G144" s="66" t="s">
        <v>2918</v>
      </c>
      <c r="H144" s="69" t="s">
        <v>30</v>
      </c>
      <c r="I144" s="53">
        <v>12</v>
      </c>
      <c r="J144" s="70">
        <v>175</v>
      </c>
      <c r="K144" s="54">
        <f t="shared" si="0"/>
        <v>2100</v>
      </c>
      <c r="L144" s="55" t="b">
        <v>1</v>
      </c>
      <c r="M144" s="56">
        <v>261220241122</v>
      </c>
      <c r="N144" s="57" t="b">
        <v>1</v>
      </c>
      <c r="O144" s="58" t="s">
        <v>2356</v>
      </c>
      <c r="P144" s="226">
        <v>45653</v>
      </c>
      <c r="Q144" s="59" t="b">
        <v>1</v>
      </c>
      <c r="R144" s="129"/>
      <c r="S144" s="165"/>
      <c r="T144" s="47" t="b">
        <v>1</v>
      </c>
      <c r="U144" s="227" t="s">
        <v>2917</v>
      </c>
      <c r="V144" s="75"/>
      <c r="W144" s="75"/>
      <c r="X144" s="166"/>
      <c r="Y144" s="166"/>
      <c r="Z144" s="167"/>
      <c r="AA144" s="167"/>
    </row>
    <row r="145" spans="1:27">
      <c r="A145" s="162"/>
      <c r="B145" s="187"/>
      <c r="C145" s="132" t="s">
        <v>2916</v>
      </c>
      <c r="D145" s="66" t="s">
        <v>212</v>
      </c>
      <c r="E145" s="66" t="s">
        <v>213</v>
      </c>
      <c r="F145" s="66" t="s">
        <v>2839</v>
      </c>
      <c r="G145" s="66" t="s">
        <v>49</v>
      </c>
      <c r="H145" s="69" t="s">
        <v>30</v>
      </c>
      <c r="I145" s="53">
        <v>10</v>
      </c>
      <c r="J145" s="70">
        <v>600</v>
      </c>
      <c r="K145" s="54">
        <f t="shared" si="0"/>
        <v>6000</v>
      </c>
      <c r="L145" s="55" t="b">
        <v>1</v>
      </c>
      <c r="M145" s="56">
        <v>261220241305</v>
      </c>
      <c r="N145" s="57" t="b">
        <v>1</v>
      </c>
      <c r="O145" s="58"/>
      <c r="P145" s="226"/>
      <c r="Q145" s="59" t="b">
        <v>1</v>
      </c>
      <c r="R145" s="129"/>
      <c r="S145" s="165"/>
      <c r="T145" s="47" t="b">
        <v>1</v>
      </c>
      <c r="U145" s="227" t="s">
        <v>2919</v>
      </c>
      <c r="V145" s="75"/>
      <c r="W145" s="75"/>
      <c r="X145" s="166"/>
      <c r="Y145" s="166"/>
      <c r="Z145" s="167"/>
      <c r="AA145" s="167"/>
    </row>
    <row r="146" spans="1:27">
      <c r="A146" s="162"/>
      <c r="B146" s="187"/>
      <c r="C146" s="132" t="s">
        <v>2916</v>
      </c>
      <c r="D146" s="66" t="s">
        <v>144</v>
      </c>
      <c r="E146" s="66" t="s">
        <v>122</v>
      </c>
      <c r="F146" s="66" t="s">
        <v>582</v>
      </c>
      <c r="G146" s="66" t="s">
        <v>49</v>
      </c>
      <c r="H146" s="69" t="s">
        <v>30</v>
      </c>
      <c r="I146" s="66">
        <v>10</v>
      </c>
      <c r="J146" s="70">
        <v>600</v>
      </c>
      <c r="K146" s="54">
        <f t="shared" si="0"/>
        <v>6000</v>
      </c>
      <c r="L146" s="55" t="b">
        <v>1</v>
      </c>
      <c r="M146" s="56">
        <v>261220241518</v>
      </c>
      <c r="N146" s="57" t="b">
        <v>1</v>
      </c>
      <c r="O146" s="58" t="s">
        <v>2356</v>
      </c>
      <c r="P146" s="226">
        <v>45653</v>
      </c>
      <c r="Q146" s="59" t="b">
        <v>1</v>
      </c>
      <c r="R146" s="129"/>
      <c r="S146" s="165"/>
      <c r="T146" s="47" t="b">
        <v>1</v>
      </c>
      <c r="U146" s="227" t="s">
        <v>2920</v>
      </c>
      <c r="V146" s="75"/>
      <c r="W146" s="75"/>
      <c r="X146" s="166"/>
      <c r="Y146" s="166"/>
      <c r="Z146" s="167"/>
      <c r="AA146" s="167"/>
    </row>
    <row r="147" spans="1:27">
      <c r="A147" s="162"/>
      <c r="B147" s="187"/>
      <c r="C147" s="132" t="s">
        <v>2916</v>
      </c>
      <c r="D147" s="66" t="s">
        <v>1133</v>
      </c>
      <c r="E147" s="66" t="s">
        <v>1234</v>
      </c>
      <c r="F147" s="66" t="s">
        <v>1439</v>
      </c>
      <c r="G147" s="66" t="s">
        <v>639</v>
      </c>
      <c r="H147" s="69" t="s">
        <v>30</v>
      </c>
      <c r="I147" s="66">
        <v>24</v>
      </c>
      <c r="J147" s="70">
        <v>219</v>
      </c>
      <c r="K147" s="54">
        <f t="shared" si="0"/>
        <v>5256</v>
      </c>
      <c r="L147" s="55" t="b">
        <v>1</v>
      </c>
      <c r="M147" s="56">
        <v>261220241855</v>
      </c>
      <c r="N147" s="57" t="b">
        <v>1</v>
      </c>
      <c r="O147" s="58" t="s">
        <v>2356</v>
      </c>
      <c r="P147" s="226">
        <v>45293</v>
      </c>
      <c r="Q147" s="59" t="b">
        <v>1</v>
      </c>
      <c r="R147" s="129"/>
      <c r="S147" s="165"/>
      <c r="T147" s="47" t="b">
        <v>1</v>
      </c>
      <c r="U147" s="227" t="s">
        <v>2921</v>
      </c>
      <c r="V147" s="75"/>
      <c r="W147" s="75"/>
      <c r="X147" s="166"/>
      <c r="Y147" s="166"/>
      <c r="Z147" s="167"/>
      <c r="AA147" s="167"/>
    </row>
    <row r="148" spans="1:27">
      <c r="A148" s="162"/>
      <c r="B148" s="187"/>
      <c r="C148" s="132" t="s">
        <v>2916</v>
      </c>
      <c r="D148" s="66" t="s">
        <v>1133</v>
      </c>
      <c r="E148" s="66" t="s">
        <v>1234</v>
      </c>
      <c r="F148" s="66" t="s">
        <v>1439</v>
      </c>
      <c r="G148" s="66" t="s">
        <v>2674</v>
      </c>
      <c r="H148" s="69" t="s">
        <v>30</v>
      </c>
      <c r="I148" s="53">
        <v>2</v>
      </c>
      <c r="J148" s="70">
        <v>510</v>
      </c>
      <c r="K148" s="54">
        <f t="shared" si="0"/>
        <v>1020</v>
      </c>
      <c r="L148" s="55" t="b">
        <v>1</v>
      </c>
      <c r="M148" s="56">
        <v>261220241857</v>
      </c>
      <c r="N148" s="57" t="b">
        <v>1</v>
      </c>
      <c r="O148" s="58"/>
      <c r="P148" s="226"/>
      <c r="Q148" s="59" t="b">
        <v>1</v>
      </c>
      <c r="R148" s="129"/>
      <c r="S148" s="165"/>
      <c r="T148" s="47" t="b">
        <v>1</v>
      </c>
      <c r="U148" s="227" t="s">
        <v>2922</v>
      </c>
      <c r="V148" s="75"/>
      <c r="W148" s="75"/>
      <c r="X148" s="166"/>
      <c r="Y148" s="166"/>
      <c r="Z148" s="167"/>
      <c r="AA148" s="167"/>
    </row>
    <row r="149" spans="1:27">
      <c r="A149" s="162"/>
      <c r="B149" s="187"/>
      <c r="C149" s="132" t="s">
        <v>2916</v>
      </c>
      <c r="D149" s="66" t="s">
        <v>51</v>
      </c>
      <c r="E149" s="66" t="s">
        <v>201</v>
      </c>
      <c r="F149" s="66" t="s">
        <v>202</v>
      </c>
      <c r="G149" s="66" t="s">
        <v>2923</v>
      </c>
      <c r="H149" s="69" t="s">
        <v>30</v>
      </c>
      <c r="I149" s="53">
        <v>2</v>
      </c>
      <c r="J149" s="70">
        <v>390</v>
      </c>
      <c r="K149" s="54">
        <f t="shared" si="0"/>
        <v>780</v>
      </c>
      <c r="L149" s="55" t="b">
        <v>1</v>
      </c>
      <c r="M149" s="56">
        <v>261220241901</v>
      </c>
      <c r="N149" s="57" t="b">
        <v>1</v>
      </c>
      <c r="O149" s="58" t="s">
        <v>2356</v>
      </c>
      <c r="P149" s="226">
        <v>45653</v>
      </c>
      <c r="Q149" s="59" t="b">
        <v>1</v>
      </c>
      <c r="R149" s="129"/>
      <c r="S149" s="165"/>
      <c r="T149" s="47" t="b">
        <v>1</v>
      </c>
      <c r="U149" s="227" t="s">
        <v>2924</v>
      </c>
      <c r="V149" s="75"/>
      <c r="W149" s="75"/>
      <c r="X149" s="166"/>
      <c r="Y149" s="166"/>
      <c r="Z149" s="167"/>
      <c r="AA149" s="167"/>
    </row>
    <row r="150" spans="1:27">
      <c r="A150" s="162"/>
      <c r="B150" s="187"/>
      <c r="C150" s="132" t="s">
        <v>2925</v>
      </c>
      <c r="D150" s="66" t="s">
        <v>51</v>
      </c>
      <c r="E150" s="66" t="s">
        <v>201</v>
      </c>
      <c r="F150" s="66" t="s">
        <v>202</v>
      </c>
      <c r="G150" s="66" t="s">
        <v>2926</v>
      </c>
      <c r="H150" s="69" t="s">
        <v>30</v>
      </c>
      <c r="I150" s="53">
        <v>4</v>
      </c>
      <c r="J150" s="70">
        <v>180</v>
      </c>
      <c r="K150" s="54">
        <f t="shared" si="0"/>
        <v>720</v>
      </c>
      <c r="L150" s="55" t="b">
        <v>1</v>
      </c>
      <c r="M150" s="56">
        <v>27122024026</v>
      </c>
      <c r="N150" s="57" t="b">
        <v>1</v>
      </c>
      <c r="O150" s="58"/>
      <c r="P150" s="226"/>
      <c r="Q150" s="59" t="b">
        <v>1</v>
      </c>
      <c r="R150" s="129"/>
      <c r="S150" s="165"/>
      <c r="T150" s="47" t="b">
        <v>1</v>
      </c>
      <c r="U150" s="227" t="s">
        <v>2927</v>
      </c>
      <c r="V150" s="75"/>
      <c r="W150" s="75"/>
      <c r="X150" s="166"/>
      <c r="Y150" s="166"/>
      <c r="Z150" s="167"/>
      <c r="AA150" s="167"/>
    </row>
    <row r="151" spans="1:27">
      <c r="A151" s="162"/>
      <c r="B151" s="187"/>
      <c r="C151" s="132" t="s">
        <v>2925</v>
      </c>
      <c r="D151" s="66" t="s">
        <v>2928</v>
      </c>
      <c r="E151" s="66" t="s">
        <v>137</v>
      </c>
      <c r="F151" s="66" t="s">
        <v>2812</v>
      </c>
      <c r="G151" s="66" t="s">
        <v>760</v>
      </c>
      <c r="H151" s="69" t="s">
        <v>30</v>
      </c>
      <c r="I151" s="53">
        <v>10</v>
      </c>
      <c r="J151" s="70">
        <v>130</v>
      </c>
      <c r="K151" s="54">
        <f t="shared" si="0"/>
        <v>1300</v>
      </c>
      <c r="L151" s="55" t="b">
        <v>1</v>
      </c>
      <c r="M151" s="56">
        <v>271220241108</v>
      </c>
      <c r="N151" s="57" t="b">
        <v>1</v>
      </c>
      <c r="O151" s="58"/>
      <c r="P151" s="226">
        <v>45666</v>
      </c>
      <c r="Q151" s="59" t="b">
        <v>1</v>
      </c>
      <c r="R151" s="129"/>
      <c r="S151" s="165"/>
      <c r="T151" s="47" t="b">
        <v>1</v>
      </c>
      <c r="U151" s="227" t="s">
        <v>2929</v>
      </c>
      <c r="V151" s="75"/>
      <c r="W151" s="75"/>
      <c r="X151" s="166"/>
      <c r="Y151" s="166"/>
      <c r="Z151" s="167"/>
      <c r="AA151" s="167"/>
    </row>
    <row r="152" spans="1:27">
      <c r="A152" s="162"/>
      <c r="B152" s="187"/>
      <c r="C152" s="132" t="s">
        <v>2925</v>
      </c>
      <c r="D152" s="66" t="s">
        <v>2928</v>
      </c>
      <c r="E152" s="66" t="s">
        <v>137</v>
      </c>
      <c r="F152" s="66" t="s">
        <v>2812</v>
      </c>
      <c r="G152" s="66" t="s">
        <v>300</v>
      </c>
      <c r="H152" s="69" t="s">
        <v>30</v>
      </c>
      <c r="I152" s="53">
        <v>20</v>
      </c>
      <c r="J152" s="70">
        <v>125</v>
      </c>
      <c r="K152" s="54">
        <f t="shared" si="0"/>
        <v>2500</v>
      </c>
      <c r="L152" s="55" t="b">
        <v>1</v>
      </c>
      <c r="M152" s="56">
        <v>271220241108</v>
      </c>
      <c r="N152" s="57" t="b">
        <v>1</v>
      </c>
      <c r="O152" s="58"/>
      <c r="P152" s="226"/>
      <c r="Q152" s="59" t="b">
        <v>1</v>
      </c>
      <c r="R152" s="129"/>
      <c r="S152" s="165"/>
      <c r="T152" s="47" t="b">
        <v>1</v>
      </c>
      <c r="U152" s="227" t="s">
        <v>2930</v>
      </c>
      <c r="V152" s="75"/>
      <c r="W152" s="75"/>
      <c r="X152" s="166"/>
      <c r="Y152" s="166"/>
      <c r="Z152" s="167"/>
      <c r="AA152" s="167"/>
    </row>
    <row r="153" spans="1:27">
      <c r="A153" s="162"/>
      <c r="B153" s="187"/>
      <c r="C153" s="132" t="s">
        <v>2925</v>
      </c>
      <c r="D153" s="66" t="s">
        <v>144</v>
      </c>
      <c r="E153" s="66" t="s">
        <v>145</v>
      </c>
      <c r="F153" s="66" t="s">
        <v>1542</v>
      </c>
      <c r="G153" s="66" t="s">
        <v>2931</v>
      </c>
      <c r="H153" s="69" t="s">
        <v>30</v>
      </c>
      <c r="I153" s="53">
        <v>6</v>
      </c>
      <c r="J153" s="70">
        <v>225</v>
      </c>
      <c r="K153" s="54">
        <f t="shared" si="0"/>
        <v>1350</v>
      </c>
      <c r="L153" s="55" t="b">
        <v>1</v>
      </c>
      <c r="M153" s="56">
        <v>271220241325</v>
      </c>
      <c r="N153" s="57" t="b">
        <v>1</v>
      </c>
      <c r="O153" s="58" t="s">
        <v>39</v>
      </c>
      <c r="P153" s="226"/>
      <c r="Q153" s="59" t="b">
        <v>1</v>
      </c>
      <c r="R153" s="129" t="s">
        <v>2932</v>
      </c>
      <c r="S153" s="165"/>
      <c r="T153" s="47" t="b">
        <v>1</v>
      </c>
      <c r="U153" s="227" t="s">
        <v>2933</v>
      </c>
      <c r="V153" s="75"/>
      <c r="W153" s="75"/>
      <c r="X153" s="166"/>
      <c r="Y153" s="166"/>
      <c r="Z153" s="167"/>
      <c r="AA153" s="167"/>
    </row>
    <row r="154" spans="1:27">
      <c r="A154" s="162"/>
      <c r="B154" s="187"/>
      <c r="C154" s="132" t="s">
        <v>2934</v>
      </c>
      <c r="D154" s="66" t="s">
        <v>26</v>
      </c>
      <c r="E154" s="66" t="s">
        <v>386</v>
      </c>
      <c r="F154" s="66" t="s">
        <v>2935</v>
      </c>
      <c r="G154" s="66" t="s">
        <v>1463</v>
      </c>
      <c r="H154" s="69" t="s">
        <v>30</v>
      </c>
      <c r="I154" s="53">
        <v>4</v>
      </c>
      <c r="J154" s="70">
        <v>750</v>
      </c>
      <c r="K154" s="54">
        <f t="shared" si="0"/>
        <v>3000</v>
      </c>
      <c r="L154" s="55" t="b">
        <v>1</v>
      </c>
      <c r="M154" s="56">
        <v>281220240946</v>
      </c>
      <c r="N154" s="57" t="b">
        <v>1</v>
      </c>
      <c r="O154" s="58" t="s">
        <v>1581</v>
      </c>
      <c r="P154" s="215"/>
      <c r="Q154" s="59" t="b">
        <v>1</v>
      </c>
      <c r="R154" s="129"/>
      <c r="S154" s="165"/>
      <c r="T154" s="47" t="b">
        <v>1</v>
      </c>
      <c r="U154" s="227" t="s">
        <v>2936</v>
      </c>
      <c r="V154" s="75"/>
      <c r="W154" s="75"/>
      <c r="X154" s="166"/>
      <c r="Y154" s="166"/>
      <c r="Z154" s="167"/>
      <c r="AA154" s="167"/>
    </row>
    <row r="155" spans="1:27">
      <c r="A155" s="162"/>
      <c r="B155" s="187"/>
      <c r="C155" s="132" t="s">
        <v>2934</v>
      </c>
      <c r="D155" s="66" t="s">
        <v>26</v>
      </c>
      <c r="E155" s="66" t="s">
        <v>386</v>
      </c>
      <c r="F155" s="66" t="s">
        <v>2935</v>
      </c>
      <c r="G155" s="66" t="s">
        <v>668</v>
      </c>
      <c r="H155" s="69" t="s">
        <v>30</v>
      </c>
      <c r="I155" s="53">
        <v>5</v>
      </c>
      <c r="J155" s="70">
        <v>125</v>
      </c>
      <c r="K155" s="54">
        <f t="shared" si="0"/>
        <v>625</v>
      </c>
      <c r="L155" s="55" t="b">
        <v>1</v>
      </c>
      <c r="M155" s="56">
        <v>281220240946</v>
      </c>
      <c r="N155" s="57" t="b">
        <v>1</v>
      </c>
      <c r="O155" s="58"/>
      <c r="P155" s="215"/>
      <c r="Q155" s="59" t="b">
        <v>1</v>
      </c>
      <c r="R155" s="129"/>
      <c r="S155" s="165"/>
      <c r="T155" s="47" t="b">
        <v>1</v>
      </c>
      <c r="U155" s="227" t="s">
        <v>2937</v>
      </c>
      <c r="V155" s="75"/>
      <c r="W155" s="75"/>
      <c r="X155" s="166"/>
      <c r="Y155" s="166"/>
      <c r="Z155" s="167"/>
      <c r="AA155" s="167"/>
    </row>
    <row r="156" spans="1:27">
      <c r="A156" s="162"/>
      <c r="B156" s="187"/>
      <c r="C156" s="132" t="s">
        <v>2934</v>
      </c>
      <c r="D156" s="66" t="s">
        <v>26</v>
      </c>
      <c r="E156" s="66" t="s">
        <v>386</v>
      </c>
      <c r="F156" s="66" t="s">
        <v>2935</v>
      </c>
      <c r="G156" s="66" t="s">
        <v>142</v>
      </c>
      <c r="H156" s="69" t="s">
        <v>30</v>
      </c>
      <c r="I156" s="53">
        <v>1500</v>
      </c>
      <c r="J156" s="70">
        <v>1.35</v>
      </c>
      <c r="K156" s="54">
        <f t="shared" si="0"/>
        <v>2025.0000000000002</v>
      </c>
      <c r="L156" s="55" t="b">
        <v>1</v>
      </c>
      <c r="M156" s="56">
        <v>281220240946</v>
      </c>
      <c r="N156" s="57" t="b">
        <v>1</v>
      </c>
      <c r="O156" s="58" t="s">
        <v>2356</v>
      </c>
      <c r="P156" s="215">
        <v>45656</v>
      </c>
      <c r="Q156" s="59" t="b">
        <v>1</v>
      </c>
      <c r="R156" s="129"/>
      <c r="S156" s="165"/>
      <c r="T156" s="47" t="b">
        <v>1</v>
      </c>
      <c r="U156" s="227" t="s">
        <v>2937</v>
      </c>
      <c r="V156" s="75"/>
      <c r="W156" s="75"/>
      <c r="X156" s="166"/>
      <c r="Y156" s="166"/>
      <c r="Z156" s="167"/>
      <c r="AA156" s="167"/>
    </row>
    <row r="157" spans="1:27">
      <c r="A157" s="232"/>
      <c r="B157" s="233"/>
      <c r="C157" s="220" t="s">
        <v>2934</v>
      </c>
      <c r="D157" s="175" t="s">
        <v>171</v>
      </c>
      <c r="E157" s="175" t="s">
        <v>137</v>
      </c>
      <c r="F157" s="175" t="s">
        <v>2812</v>
      </c>
      <c r="G157" s="175" t="s">
        <v>2931</v>
      </c>
      <c r="H157" s="161" t="s">
        <v>30</v>
      </c>
      <c r="I157" s="175">
        <v>7</v>
      </c>
      <c r="J157" s="234">
        <v>225</v>
      </c>
      <c r="K157" s="235">
        <f t="shared" si="0"/>
        <v>1575</v>
      </c>
      <c r="L157" s="236" t="b">
        <v>1</v>
      </c>
      <c r="M157" s="237">
        <v>281220241302</v>
      </c>
      <c r="N157" s="238" t="b">
        <v>1</v>
      </c>
      <c r="O157" s="239" t="s">
        <v>39</v>
      </c>
      <c r="P157" s="240"/>
      <c r="Q157" s="241" t="b">
        <v>1</v>
      </c>
      <c r="R157" s="242"/>
      <c r="S157" s="243"/>
      <c r="T157" s="244" t="b">
        <v>1</v>
      </c>
      <c r="U157" s="245" t="s">
        <v>2938</v>
      </c>
      <c r="V157" s="235"/>
      <c r="W157" s="235"/>
      <c r="X157" s="246"/>
      <c r="Y157" s="246"/>
      <c r="Z157" s="221"/>
      <c r="AA157" s="221"/>
    </row>
    <row r="158" spans="1:27">
      <c r="A158" s="162"/>
      <c r="B158" s="187"/>
      <c r="C158" s="132" t="s">
        <v>2934</v>
      </c>
      <c r="D158" s="66" t="s">
        <v>149</v>
      </c>
      <c r="E158" s="66" t="s">
        <v>130</v>
      </c>
      <c r="F158" s="66" t="s">
        <v>1809</v>
      </c>
      <c r="G158" s="247" t="s">
        <v>2939</v>
      </c>
      <c r="H158" s="69" t="s">
        <v>30</v>
      </c>
      <c r="I158" s="53">
        <v>4</v>
      </c>
      <c r="J158" s="70">
        <v>950</v>
      </c>
      <c r="K158" s="54">
        <f t="shared" si="0"/>
        <v>3800</v>
      </c>
      <c r="L158" s="55" t="b">
        <v>1</v>
      </c>
      <c r="M158" s="56">
        <v>281220241816</v>
      </c>
      <c r="N158" s="57" t="b">
        <v>1</v>
      </c>
      <c r="O158" s="58" t="s">
        <v>529</v>
      </c>
      <c r="P158" s="226"/>
      <c r="Q158" s="59" t="b">
        <v>1</v>
      </c>
      <c r="R158" s="129"/>
      <c r="S158" s="165"/>
      <c r="T158" s="47" t="b">
        <v>1</v>
      </c>
      <c r="U158" s="227" t="s">
        <v>2940</v>
      </c>
      <c r="V158" s="75"/>
      <c r="W158" s="75"/>
      <c r="X158" s="166"/>
      <c r="Y158" s="166"/>
      <c r="Z158" s="167"/>
      <c r="AA158" s="167"/>
    </row>
    <row r="159" spans="1:27">
      <c r="A159" s="162"/>
      <c r="B159" s="187"/>
      <c r="C159" s="132" t="s">
        <v>2934</v>
      </c>
      <c r="D159" s="66" t="s">
        <v>149</v>
      </c>
      <c r="E159" s="66" t="s">
        <v>130</v>
      </c>
      <c r="F159" s="66" t="s">
        <v>1809</v>
      </c>
      <c r="G159" s="247" t="s">
        <v>2941</v>
      </c>
      <c r="H159" s="69" t="s">
        <v>30</v>
      </c>
      <c r="I159" s="53">
        <v>2</v>
      </c>
      <c r="J159" s="70">
        <v>1250</v>
      </c>
      <c r="K159" s="54">
        <f t="shared" si="0"/>
        <v>2500</v>
      </c>
      <c r="L159" s="55" t="b">
        <v>1</v>
      </c>
      <c r="M159" s="56">
        <v>281220241816</v>
      </c>
      <c r="N159" s="57" t="b">
        <v>1</v>
      </c>
      <c r="O159" s="58" t="s">
        <v>529</v>
      </c>
      <c r="P159" s="226"/>
      <c r="Q159" s="59" t="b">
        <v>1</v>
      </c>
      <c r="R159" s="129"/>
      <c r="S159" s="165"/>
      <c r="T159" s="47" t="b">
        <v>1</v>
      </c>
      <c r="U159" s="227" t="s">
        <v>2940</v>
      </c>
      <c r="V159" s="75"/>
      <c r="W159" s="75"/>
      <c r="X159" s="166"/>
      <c r="Y159" s="166"/>
      <c r="Z159" s="167"/>
      <c r="AA159" s="167"/>
    </row>
    <row r="160" spans="1:27">
      <c r="A160" s="162"/>
      <c r="B160" s="187"/>
      <c r="C160" s="132" t="s">
        <v>2942</v>
      </c>
      <c r="D160" s="66" t="s">
        <v>1133</v>
      </c>
      <c r="E160" s="66" t="s">
        <v>1234</v>
      </c>
      <c r="F160" s="66" t="s">
        <v>1439</v>
      </c>
      <c r="G160" s="247" t="s">
        <v>236</v>
      </c>
      <c r="H160" s="69" t="s">
        <v>30</v>
      </c>
      <c r="I160" s="53">
        <v>6</v>
      </c>
      <c r="J160" s="70">
        <v>150</v>
      </c>
      <c r="K160" s="54">
        <f t="shared" si="0"/>
        <v>900</v>
      </c>
      <c r="L160" s="55" t="b">
        <v>1</v>
      </c>
      <c r="M160" s="56">
        <v>291220241743</v>
      </c>
      <c r="N160" s="57" t="b">
        <v>1</v>
      </c>
      <c r="O160" s="58" t="s">
        <v>2356</v>
      </c>
      <c r="P160" s="226">
        <v>45656</v>
      </c>
      <c r="Q160" s="59" t="b">
        <v>1</v>
      </c>
      <c r="R160" s="129"/>
      <c r="S160" s="165"/>
      <c r="T160" s="47" t="b">
        <v>1</v>
      </c>
      <c r="U160" s="227" t="s">
        <v>2943</v>
      </c>
      <c r="V160" s="75"/>
      <c r="W160" s="75"/>
      <c r="X160" s="166"/>
      <c r="Y160" s="166"/>
      <c r="Z160" s="167"/>
      <c r="AA160" s="167"/>
    </row>
    <row r="161" spans="1:27">
      <c r="A161" s="162"/>
      <c r="B161" s="187"/>
      <c r="C161" s="132" t="s">
        <v>2944</v>
      </c>
      <c r="D161" s="66" t="s">
        <v>26</v>
      </c>
      <c r="E161" s="66" t="s">
        <v>27</v>
      </c>
      <c r="F161" s="66" t="s">
        <v>1590</v>
      </c>
      <c r="G161" s="66" t="s">
        <v>229</v>
      </c>
      <c r="H161" s="69" t="s">
        <v>30</v>
      </c>
      <c r="I161" s="53">
        <v>8</v>
      </c>
      <c r="J161" s="70">
        <v>595</v>
      </c>
      <c r="K161" s="54">
        <f t="shared" si="0"/>
        <v>4760</v>
      </c>
      <c r="L161" s="55" t="b">
        <v>1</v>
      </c>
      <c r="M161" s="56">
        <v>301220240931</v>
      </c>
      <c r="N161" s="57" t="b">
        <v>1</v>
      </c>
      <c r="O161" s="58"/>
      <c r="P161" s="226"/>
      <c r="Q161" s="59" t="b">
        <v>1</v>
      </c>
      <c r="R161" s="129"/>
      <c r="S161" s="165"/>
      <c r="T161" s="47" t="b">
        <v>1</v>
      </c>
      <c r="U161" s="227" t="s">
        <v>2945</v>
      </c>
      <c r="V161" s="75"/>
      <c r="W161" s="75"/>
      <c r="X161" s="166"/>
      <c r="Y161" s="166"/>
      <c r="Z161" s="167"/>
      <c r="AA161" s="167"/>
    </row>
    <row r="162" spans="1:27">
      <c r="A162" s="162"/>
      <c r="B162" s="187"/>
      <c r="C162" s="132" t="s">
        <v>2946</v>
      </c>
      <c r="D162" s="66" t="s">
        <v>212</v>
      </c>
      <c r="E162" s="66" t="s">
        <v>213</v>
      </c>
      <c r="F162" s="66" t="s">
        <v>2947</v>
      </c>
      <c r="G162" s="66" t="s">
        <v>2674</v>
      </c>
      <c r="H162" s="69" t="s">
        <v>30</v>
      </c>
      <c r="I162" s="53">
        <v>5</v>
      </c>
      <c r="J162" s="70">
        <v>510</v>
      </c>
      <c r="K162" s="54">
        <f t="shared" si="0"/>
        <v>2550</v>
      </c>
      <c r="L162" s="55" t="b">
        <v>1</v>
      </c>
      <c r="M162" s="56">
        <v>311220241409</v>
      </c>
      <c r="N162" s="57" t="b">
        <v>1</v>
      </c>
      <c r="O162" s="58"/>
      <c r="P162" s="226"/>
      <c r="Q162" s="59" t="b">
        <v>1</v>
      </c>
      <c r="R162" s="129"/>
      <c r="S162" s="165"/>
      <c r="T162" s="47" t="b">
        <v>1</v>
      </c>
      <c r="U162" s="227" t="s">
        <v>2948</v>
      </c>
      <c r="V162" s="75"/>
      <c r="W162" s="75"/>
      <c r="X162" s="166"/>
      <c r="Y162" s="166"/>
      <c r="Z162" s="167"/>
      <c r="AA162" s="167"/>
    </row>
    <row r="163" spans="1:27">
      <c r="A163" s="162"/>
      <c r="B163" s="187"/>
      <c r="C163" s="132" t="s">
        <v>2946</v>
      </c>
      <c r="D163" s="66" t="s">
        <v>418</v>
      </c>
      <c r="E163" s="66" t="s">
        <v>84</v>
      </c>
      <c r="F163" s="66" t="s">
        <v>2949</v>
      </c>
      <c r="G163" s="66" t="s">
        <v>2950</v>
      </c>
      <c r="H163" s="69" t="s">
        <v>30</v>
      </c>
      <c r="I163" s="53">
        <v>2</v>
      </c>
      <c r="J163" s="70">
        <v>9750</v>
      </c>
      <c r="K163" s="54">
        <f t="shared" si="0"/>
        <v>19500</v>
      </c>
      <c r="L163" s="55" t="b">
        <v>1</v>
      </c>
      <c r="M163" s="56">
        <v>311220241442</v>
      </c>
      <c r="N163" s="57" t="b">
        <v>1</v>
      </c>
      <c r="O163" s="58" t="s">
        <v>529</v>
      </c>
      <c r="P163" s="226">
        <v>45293</v>
      </c>
      <c r="Q163" s="59" t="b">
        <v>1</v>
      </c>
      <c r="R163" s="129" t="s">
        <v>2951</v>
      </c>
      <c r="S163" s="165"/>
      <c r="T163" s="47" t="b">
        <v>1</v>
      </c>
      <c r="U163" s="227" t="s">
        <v>2952</v>
      </c>
      <c r="V163" s="75"/>
      <c r="W163" s="75"/>
      <c r="X163" s="166"/>
      <c r="Y163" s="166"/>
      <c r="Z163" s="167"/>
      <c r="AA163" s="167"/>
    </row>
    <row r="164" spans="1:27">
      <c r="A164" s="162"/>
      <c r="B164" s="187"/>
      <c r="C164" s="132" t="s">
        <v>2946</v>
      </c>
      <c r="D164" s="66" t="s">
        <v>26</v>
      </c>
      <c r="E164" s="66" t="s">
        <v>386</v>
      </c>
      <c r="F164" s="66" t="s">
        <v>2935</v>
      </c>
      <c r="G164" s="66" t="s">
        <v>1197</v>
      </c>
      <c r="H164" s="69" t="s">
        <v>30</v>
      </c>
      <c r="I164" s="53">
        <v>20</v>
      </c>
      <c r="J164" s="70">
        <v>750</v>
      </c>
      <c r="K164" s="54">
        <f t="shared" si="0"/>
        <v>15000</v>
      </c>
      <c r="L164" s="55" t="b">
        <v>1</v>
      </c>
      <c r="M164" s="56">
        <v>311220241607</v>
      </c>
      <c r="N164" s="57" t="b">
        <v>1</v>
      </c>
      <c r="O164" s="58" t="s">
        <v>2356</v>
      </c>
      <c r="P164" s="226">
        <v>45659</v>
      </c>
      <c r="Q164" s="59" t="b">
        <v>1</v>
      </c>
      <c r="R164" s="129"/>
      <c r="S164" s="165"/>
      <c r="T164" s="47" t="b">
        <v>1</v>
      </c>
      <c r="U164" s="227" t="s">
        <v>2936</v>
      </c>
      <c r="V164" s="75"/>
      <c r="W164" s="75"/>
      <c r="X164" s="166"/>
      <c r="Y164" s="166"/>
      <c r="Z164" s="167"/>
      <c r="AA164" s="167"/>
    </row>
    <row r="165" spans="1:27">
      <c r="A165" s="162"/>
      <c r="B165" s="187"/>
      <c r="C165" s="132"/>
      <c r="D165" s="66"/>
      <c r="E165" s="66"/>
      <c r="F165" s="66"/>
      <c r="G165" s="66"/>
      <c r="H165" s="69"/>
      <c r="I165" s="53"/>
      <c r="J165" s="70"/>
      <c r="K165" s="54">
        <f t="shared" si="0"/>
        <v>0</v>
      </c>
      <c r="L165" s="55" t="b">
        <v>0</v>
      </c>
      <c r="M165" s="56"/>
      <c r="N165" s="57" t="b">
        <v>0</v>
      </c>
      <c r="O165" s="58"/>
      <c r="P165" s="226"/>
      <c r="Q165" s="59" t="b">
        <v>0</v>
      </c>
      <c r="R165" s="129"/>
      <c r="S165" s="165"/>
      <c r="T165" s="47" t="b">
        <v>0</v>
      </c>
      <c r="U165" s="227"/>
      <c r="V165" s="75"/>
      <c r="W165" s="75"/>
      <c r="X165" s="166"/>
      <c r="Y165" s="166"/>
      <c r="Z165" s="167"/>
      <c r="AA165" s="167"/>
    </row>
    <row r="166" spans="1:27">
      <c r="A166" s="162"/>
      <c r="B166" s="187"/>
      <c r="C166" s="132"/>
      <c r="D166" s="66"/>
      <c r="E166" s="66"/>
      <c r="F166" s="66"/>
      <c r="G166" s="66"/>
      <c r="H166" s="69"/>
      <c r="I166" s="53"/>
      <c r="J166" s="70"/>
      <c r="K166" s="54">
        <f t="shared" si="0"/>
        <v>0</v>
      </c>
      <c r="L166" s="55" t="b">
        <v>0</v>
      </c>
      <c r="M166" s="56"/>
      <c r="N166" s="57" t="b">
        <v>0</v>
      </c>
      <c r="O166" s="58"/>
      <c r="P166" s="226"/>
      <c r="Q166" s="59" t="b">
        <v>0</v>
      </c>
      <c r="R166" s="129"/>
      <c r="S166" s="165"/>
      <c r="T166" s="47" t="b">
        <v>0</v>
      </c>
      <c r="U166" s="227"/>
      <c r="V166" s="75"/>
      <c r="W166" s="75"/>
      <c r="X166" s="166"/>
      <c r="Y166" s="166"/>
      <c r="Z166" s="167"/>
      <c r="AA166" s="167"/>
    </row>
    <row r="167" spans="1:27">
      <c r="A167" s="162"/>
      <c r="B167" s="187"/>
      <c r="C167" s="132"/>
      <c r="D167" s="66"/>
      <c r="E167" s="66"/>
      <c r="F167" s="66"/>
      <c r="G167" s="66"/>
      <c r="H167" s="69"/>
      <c r="I167" s="53"/>
      <c r="J167" s="70"/>
      <c r="K167" s="54">
        <f t="shared" si="0"/>
        <v>0</v>
      </c>
      <c r="L167" s="55" t="b">
        <v>0</v>
      </c>
      <c r="M167" s="56"/>
      <c r="N167" s="57" t="b">
        <v>0</v>
      </c>
      <c r="O167" s="58"/>
      <c r="P167" s="226"/>
      <c r="Q167" s="59" t="b">
        <v>0</v>
      </c>
      <c r="R167" s="129"/>
      <c r="S167" s="165"/>
      <c r="T167" s="47" t="b">
        <v>0</v>
      </c>
      <c r="U167" s="227"/>
      <c r="V167" s="75"/>
      <c r="W167" s="75"/>
      <c r="X167" s="166"/>
      <c r="Y167" s="166"/>
      <c r="Z167" s="167"/>
      <c r="AA167" s="167"/>
    </row>
    <row r="168" spans="1:27">
      <c r="A168" s="162"/>
      <c r="B168" s="187"/>
      <c r="C168" s="132"/>
      <c r="D168" s="66"/>
      <c r="E168" s="66"/>
      <c r="F168" s="66"/>
      <c r="G168" s="66"/>
      <c r="H168" s="69"/>
      <c r="I168" s="53"/>
      <c r="J168" s="70"/>
      <c r="K168" s="54">
        <f t="shared" si="0"/>
        <v>0</v>
      </c>
      <c r="L168" s="55" t="b">
        <v>0</v>
      </c>
      <c r="M168" s="56"/>
      <c r="N168" s="57" t="b">
        <v>0</v>
      </c>
      <c r="O168" s="58"/>
      <c r="P168" s="226"/>
      <c r="Q168" s="59" t="b">
        <v>0</v>
      </c>
      <c r="R168" s="129"/>
      <c r="S168" s="165"/>
      <c r="T168" s="47" t="b">
        <v>0</v>
      </c>
      <c r="U168" s="227"/>
      <c r="V168" s="75"/>
      <c r="W168" s="75"/>
      <c r="X168" s="166"/>
      <c r="Y168" s="166"/>
      <c r="Z168" s="167"/>
      <c r="AA168" s="167"/>
    </row>
    <row r="169" spans="1:27">
      <c r="A169" s="162"/>
      <c r="B169" s="187"/>
      <c r="C169" s="132"/>
      <c r="D169" s="66"/>
      <c r="E169" s="66"/>
      <c r="F169" s="66"/>
      <c r="G169" s="66"/>
      <c r="H169" s="69"/>
      <c r="I169" s="66"/>
      <c r="J169" s="70"/>
      <c r="K169" s="54">
        <f t="shared" si="0"/>
        <v>0</v>
      </c>
      <c r="L169" s="55" t="b">
        <v>0</v>
      </c>
      <c r="M169" s="56"/>
      <c r="N169" s="57" t="b">
        <v>0</v>
      </c>
      <c r="O169" s="58"/>
      <c r="P169" s="226"/>
      <c r="Q169" s="59" t="b">
        <v>0</v>
      </c>
      <c r="R169" s="129"/>
      <c r="S169" s="165"/>
      <c r="T169" s="47" t="b">
        <v>0</v>
      </c>
      <c r="U169" s="227"/>
      <c r="V169" s="75"/>
      <c r="W169" s="75"/>
      <c r="X169" s="166"/>
      <c r="Y169" s="166"/>
      <c r="Z169" s="167"/>
      <c r="AA169" s="167"/>
    </row>
    <row r="170" spans="1:27">
      <c r="A170" s="162"/>
      <c r="B170" s="187"/>
      <c r="C170" s="132"/>
      <c r="D170" s="66"/>
      <c r="E170" s="66"/>
      <c r="F170" s="66"/>
      <c r="G170" s="66"/>
      <c r="H170" s="69"/>
      <c r="I170" s="66"/>
      <c r="J170" s="70"/>
      <c r="K170" s="54">
        <f t="shared" si="0"/>
        <v>0</v>
      </c>
      <c r="L170" s="55" t="b">
        <v>0</v>
      </c>
      <c r="M170" s="56"/>
      <c r="N170" s="57" t="b">
        <v>0</v>
      </c>
      <c r="O170" s="58"/>
      <c r="P170" s="226"/>
      <c r="Q170" s="59" t="b">
        <v>0</v>
      </c>
      <c r="R170" s="129"/>
      <c r="S170" s="165"/>
      <c r="T170" s="47" t="b">
        <v>0</v>
      </c>
      <c r="U170" s="227"/>
      <c r="V170" s="75"/>
      <c r="W170" s="75"/>
      <c r="X170" s="166"/>
      <c r="Y170" s="166"/>
      <c r="Z170" s="167"/>
      <c r="AA170" s="167"/>
    </row>
    <row r="171" spans="1:27">
      <c r="A171" s="162"/>
      <c r="B171" s="187"/>
      <c r="C171" s="132"/>
      <c r="D171" s="66"/>
      <c r="E171" s="66"/>
      <c r="F171" s="66"/>
      <c r="G171" s="69"/>
      <c r="H171" s="69"/>
      <c r="I171" s="66"/>
      <c r="J171" s="70"/>
      <c r="K171" s="54">
        <f t="shared" si="0"/>
        <v>0</v>
      </c>
      <c r="L171" s="55" t="b">
        <v>0</v>
      </c>
      <c r="M171" s="56"/>
      <c r="N171" s="57" t="b">
        <v>0</v>
      </c>
      <c r="O171" s="58"/>
      <c r="P171" s="226"/>
      <c r="Q171" s="59" t="b">
        <v>0</v>
      </c>
      <c r="R171" s="129"/>
      <c r="S171" s="165"/>
      <c r="T171" s="47" t="b">
        <v>0</v>
      </c>
      <c r="U171" s="227"/>
      <c r="V171" s="75"/>
      <c r="W171" s="75"/>
      <c r="X171" s="166"/>
      <c r="Y171" s="166"/>
      <c r="Z171" s="167"/>
      <c r="AA171" s="167"/>
    </row>
    <row r="172" spans="1:27">
      <c r="A172" s="162"/>
      <c r="B172" s="187"/>
      <c r="C172" s="132"/>
      <c r="D172" s="66"/>
      <c r="E172" s="66"/>
      <c r="F172" s="66"/>
      <c r="G172" s="66"/>
      <c r="H172" s="69"/>
      <c r="I172" s="53"/>
      <c r="J172" s="70"/>
      <c r="K172" s="54">
        <f t="shared" si="0"/>
        <v>0</v>
      </c>
      <c r="L172" s="55" t="b">
        <v>0</v>
      </c>
      <c r="M172" s="56"/>
      <c r="N172" s="57" t="b">
        <v>0</v>
      </c>
      <c r="O172" s="58"/>
      <c r="P172" s="226"/>
      <c r="Q172" s="59" t="b">
        <v>0</v>
      </c>
      <c r="R172" s="129"/>
      <c r="S172" s="165"/>
      <c r="T172" s="47" t="b">
        <v>0</v>
      </c>
      <c r="U172" s="227"/>
      <c r="V172" s="75"/>
      <c r="W172" s="75"/>
      <c r="X172" s="166"/>
      <c r="Y172" s="166"/>
      <c r="Z172" s="167"/>
      <c r="AA172" s="167"/>
    </row>
    <row r="173" spans="1:27">
      <c r="A173" s="162"/>
      <c r="B173" s="187"/>
      <c r="C173" s="132"/>
      <c r="D173" s="66"/>
      <c r="E173" s="66"/>
      <c r="F173" s="66"/>
      <c r="G173" s="66"/>
      <c r="H173" s="69"/>
      <c r="I173" s="53"/>
      <c r="J173" s="70"/>
      <c r="K173" s="54">
        <f t="shared" si="0"/>
        <v>0</v>
      </c>
      <c r="L173" s="55" t="b">
        <v>0</v>
      </c>
      <c r="M173" s="56"/>
      <c r="N173" s="57" t="b">
        <v>0</v>
      </c>
      <c r="O173" s="58"/>
      <c r="P173" s="226"/>
      <c r="Q173" s="59" t="b">
        <v>0</v>
      </c>
      <c r="R173" s="129"/>
      <c r="S173" s="165"/>
      <c r="T173" s="47" t="b">
        <v>0</v>
      </c>
      <c r="U173" s="227"/>
      <c r="V173" s="75"/>
      <c r="W173" s="75"/>
      <c r="X173" s="166"/>
      <c r="Y173" s="166"/>
      <c r="Z173" s="167"/>
      <c r="AA173" s="167"/>
    </row>
    <row r="174" spans="1:27">
      <c r="A174" s="162"/>
      <c r="B174" s="187"/>
      <c r="C174" s="132"/>
      <c r="D174" s="66"/>
      <c r="E174" s="66"/>
      <c r="F174" s="66"/>
      <c r="G174" s="66"/>
      <c r="H174" s="69"/>
      <c r="I174" s="53"/>
      <c r="J174" s="70"/>
      <c r="K174" s="54">
        <f t="shared" si="0"/>
        <v>0</v>
      </c>
      <c r="L174" s="55" t="b">
        <v>0</v>
      </c>
      <c r="M174" s="56"/>
      <c r="N174" s="57" t="b">
        <v>0</v>
      </c>
      <c r="O174" s="58"/>
      <c r="P174" s="226"/>
      <c r="Q174" s="59" t="b">
        <v>0</v>
      </c>
      <c r="R174" s="129"/>
      <c r="S174" s="165"/>
      <c r="T174" s="47" t="b">
        <v>0</v>
      </c>
      <c r="U174" s="227"/>
      <c r="V174" s="75"/>
      <c r="W174" s="75"/>
      <c r="X174" s="166"/>
      <c r="Y174" s="166"/>
      <c r="Z174" s="167"/>
      <c r="AA174" s="167"/>
    </row>
    <row r="175" spans="1:27">
      <c r="A175" s="162"/>
      <c r="B175" s="187"/>
      <c r="C175" s="132"/>
      <c r="D175" s="66"/>
      <c r="E175" s="66"/>
      <c r="F175" s="66"/>
      <c r="G175" s="66"/>
      <c r="H175" s="69"/>
      <c r="I175" s="53"/>
      <c r="J175" s="70"/>
      <c r="K175" s="54">
        <f t="shared" si="0"/>
        <v>0</v>
      </c>
      <c r="L175" s="55" t="b">
        <v>0</v>
      </c>
      <c r="M175" s="56"/>
      <c r="N175" s="57" t="b">
        <v>0</v>
      </c>
      <c r="O175" s="58"/>
      <c r="P175" s="226"/>
      <c r="Q175" s="59" t="b">
        <v>0</v>
      </c>
      <c r="R175" s="129"/>
      <c r="S175" s="165"/>
      <c r="T175" s="47" t="b">
        <v>0</v>
      </c>
      <c r="U175" s="227"/>
      <c r="V175" s="75"/>
      <c r="W175" s="75"/>
      <c r="X175" s="166"/>
      <c r="Y175" s="166"/>
      <c r="Z175" s="167"/>
      <c r="AA175" s="167"/>
    </row>
    <row r="176" spans="1:27">
      <c r="A176" s="162"/>
      <c r="B176" s="187"/>
      <c r="C176" s="132"/>
      <c r="D176" s="66"/>
      <c r="E176" s="66"/>
      <c r="F176" s="66"/>
      <c r="G176" s="66"/>
      <c r="H176" s="69"/>
      <c r="I176" s="53"/>
      <c r="J176" s="70"/>
      <c r="K176" s="54">
        <f t="shared" si="0"/>
        <v>0</v>
      </c>
      <c r="L176" s="55" t="b">
        <v>0</v>
      </c>
      <c r="M176" s="56"/>
      <c r="N176" s="57" t="b">
        <v>0</v>
      </c>
      <c r="O176" s="58"/>
      <c r="P176" s="226"/>
      <c r="Q176" s="59" t="b">
        <v>0</v>
      </c>
      <c r="R176" s="129"/>
      <c r="S176" s="165"/>
      <c r="T176" s="47" t="b">
        <v>0</v>
      </c>
      <c r="U176" s="227"/>
      <c r="V176" s="75"/>
      <c r="W176" s="75"/>
      <c r="X176" s="166"/>
      <c r="Y176" s="166"/>
      <c r="Z176" s="167"/>
      <c r="AA176" s="167"/>
    </row>
    <row r="177" spans="1:27">
      <c r="A177" s="162"/>
      <c r="B177" s="187"/>
      <c r="C177" s="132"/>
      <c r="D177" s="66"/>
      <c r="E177" s="66"/>
      <c r="F177" s="66"/>
      <c r="G177" s="66"/>
      <c r="H177" s="69"/>
      <c r="I177" s="53"/>
      <c r="J177" s="70"/>
      <c r="K177" s="54">
        <f t="shared" si="0"/>
        <v>0</v>
      </c>
      <c r="L177" s="55" t="b">
        <v>0</v>
      </c>
      <c r="M177" s="56"/>
      <c r="N177" s="57" t="b">
        <v>0</v>
      </c>
      <c r="O177" s="58"/>
      <c r="P177" s="226"/>
      <c r="Q177" s="59" t="b">
        <v>0</v>
      </c>
      <c r="R177" s="129"/>
      <c r="S177" s="165"/>
      <c r="T177" s="47" t="b">
        <v>0</v>
      </c>
      <c r="U177" s="227"/>
      <c r="V177" s="75"/>
      <c r="W177" s="75"/>
      <c r="X177" s="166"/>
      <c r="Y177" s="166"/>
      <c r="Z177" s="167"/>
      <c r="AA177" s="167"/>
    </row>
    <row r="178" spans="1:27">
      <c r="A178" s="162"/>
      <c r="B178" s="187"/>
      <c r="C178" s="132"/>
      <c r="D178" s="66"/>
      <c r="E178" s="66"/>
      <c r="F178" s="66"/>
      <c r="G178" s="66"/>
      <c r="H178" s="69"/>
      <c r="I178" s="53"/>
      <c r="J178" s="70"/>
      <c r="K178" s="54">
        <f t="shared" si="0"/>
        <v>0</v>
      </c>
      <c r="L178" s="55" t="b">
        <v>0</v>
      </c>
      <c r="M178" s="56"/>
      <c r="N178" s="57" t="b">
        <v>0</v>
      </c>
      <c r="O178" s="58"/>
      <c r="P178" s="226"/>
      <c r="Q178" s="59" t="b">
        <v>0</v>
      </c>
      <c r="R178" s="129"/>
      <c r="S178" s="165"/>
      <c r="T178" s="47" t="b">
        <v>0</v>
      </c>
      <c r="U178" s="227"/>
      <c r="V178" s="75"/>
      <c r="W178" s="75"/>
      <c r="X178" s="166"/>
      <c r="Y178" s="166"/>
      <c r="Z178" s="167"/>
      <c r="AA178" s="167"/>
    </row>
    <row r="179" spans="1:27">
      <c r="A179" s="162"/>
      <c r="B179" s="187"/>
      <c r="C179" s="132"/>
      <c r="D179" s="66"/>
      <c r="E179" s="66"/>
      <c r="F179" s="66"/>
      <c r="G179" s="66"/>
      <c r="H179" s="69"/>
      <c r="I179" s="53"/>
      <c r="J179" s="70"/>
      <c r="K179" s="54">
        <f t="shared" si="0"/>
        <v>0</v>
      </c>
      <c r="L179" s="55" t="b">
        <v>0</v>
      </c>
      <c r="M179" s="56"/>
      <c r="N179" s="57" t="b">
        <v>0</v>
      </c>
      <c r="O179" s="58"/>
      <c r="P179" s="226"/>
      <c r="Q179" s="59" t="b">
        <v>0</v>
      </c>
      <c r="R179" s="129"/>
      <c r="S179" s="165"/>
      <c r="T179" s="47" t="b">
        <v>0</v>
      </c>
      <c r="U179" s="227"/>
      <c r="V179" s="75"/>
      <c r="W179" s="75"/>
      <c r="X179" s="166"/>
      <c r="Y179" s="166"/>
      <c r="Z179" s="167"/>
      <c r="AA179" s="167"/>
    </row>
    <row r="180" spans="1:27">
      <c r="A180" s="162"/>
      <c r="B180" s="187"/>
      <c r="C180" s="132"/>
      <c r="D180" s="66"/>
      <c r="E180" s="66"/>
      <c r="F180" s="66"/>
      <c r="G180" s="66"/>
      <c r="H180" s="69"/>
      <c r="I180" s="53"/>
      <c r="J180" s="70"/>
      <c r="K180" s="54">
        <f t="shared" si="0"/>
        <v>0</v>
      </c>
      <c r="L180" s="55" t="b">
        <v>0</v>
      </c>
      <c r="M180" s="56"/>
      <c r="N180" s="57" t="b">
        <v>0</v>
      </c>
      <c r="O180" s="58"/>
      <c r="P180" s="226"/>
      <c r="Q180" s="59" t="b">
        <v>0</v>
      </c>
      <c r="R180" s="129"/>
      <c r="S180" s="165"/>
      <c r="T180" s="47" t="b">
        <v>0</v>
      </c>
      <c r="U180" s="227"/>
      <c r="V180" s="75"/>
      <c r="W180" s="75"/>
      <c r="X180" s="166"/>
      <c r="Y180" s="166"/>
      <c r="Z180" s="167"/>
      <c r="AA180" s="167"/>
    </row>
    <row r="181" spans="1:27">
      <c r="A181" s="162"/>
      <c r="B181" s="187"/>
      <c r="C181" s="132"/>
      <c r="D181" s="66"/>
      <c r="E181" s="66"/>
      <c r="F181" s="66"/>
      <c r="G181" s="66"/>
      <c r="H181" s="69"/>
      <c r="I181" s="53"/>
      <c r="J181" s="70"/>
      <c r="K181" s="54">
        <f t="shared" si="0"/>
        <v>0</v>
      </c>
      <c r="L181" s="55" t="b">
        <v>0</v>
      </c>
      <c r="M181" s="56"/>
      <c r="N181" s="57" t="b">
        <v>0</v>
      </c>
      <c r="O181" s="58"/>
      <c r="P181" s="226"/>
      <c r="Q181" s="59" t="b">
        <v>0</v>
      </c>
      <c r="R181" s="129"/>
      <c r="S181" s="165"/>
      <c r="T181" s="47" t="b">
        <v>0</v>
      </c>
      <c r="U181" s="227"/>
      <c r="V181" s="75"/>
      <c r="W181" s="75"/>
      <c r="X181" s="166"/>
      <c r="Y181" s="166"/>
      <c r="Z181" s="167"/>
      <c r="AA181" s="167"/>
    </row>
    <row r="182" spans="1:27">
      <c r="A182" s="162"/>
      <c r="B182" s="187"/>
      <c r="C182" s="132"/>
      <c r="D182" s="66"/>
      <c r="E182" s="66"/>
      <c r="F182" s="66"/>
      <c r="G182" s="66"/>
      <c r="H182" s="69"/>
      <c r="I182" s="53"/>
      <c r="J182" s="70"/>
      <c r="K182" s="54">
        <f t="shared" si="0"/>
        <v>0</v>
      </c>
      <c r="L182" s="55" t="b">
        <v>0</v>
      </c>
      <c r="M182" s="56"/>
      <c r="N182" s="57" t="b">
        <v>0</v>
      </c>
      <c r="O182" s="58"/>
      <c r="P182" s="226"/>
      <c r="Q182" s="59" t="b">
        <v>0</v>
      </c>
      <c r="R182" s="129"/>
      <c r="S182" s="165"/>
      <c r="T182" s="47" t="b">
        <v>0</v>
      </c>
      <c r="U182" s="227"/>
      <c r="V182" s="75"/>
      <c r="W182" s="75"/>
      <c r="X182" s="166"/>
      <c r="Y182" s="166"/>
      <c r="Z182" s="167"/>
      <c r="AA182" s="167"/>
    </row>
    <row r="183" spans="1:27">
      <c r="A183" s="162"/>
      <c r="B183" s="187"/>
      <c r="C183" s="132"/>
      <c r="D183" s="66"/>
      <c r="E183" s="66"/>
      <c r="F183" s="66"/>
      <c r="G183" s="66"/>
      <c r="H183" s="69"/>
      <c r="I183" s="53"/>
      <c r="J183" s="70"/>
      <c r="K183" s="54">
        <f t="shared" si="0"/>
        <v>0</v>
      </c>
      <c r="L183" s="55" t="b">
        <v>0</v>
      </c>
      <c r="M183" s="56"/>
      <c r="N183" s="57" t="b">
        <v>0</v>
      </c>
      <c r="O183" s="58"/>
      <c r="P183" s="226"/>
      <c r="Q183" s="59" t="b">
        <v>0</v>
      </c>
      <c r="R183" s="129"/>
      <c r="S183" s="165"/>
      <c r="T183" s="47" t="b">
        <v>0</v>
      </c>
      <c r="U183" s="227"/>
      <c r="V183" s="75"/>
      <c r="W183" s="75"/>
      <c r="X183" s="166"/>
      <c r="Y183" s="166"/>
      <c r="Z183" s="167"/>
      <c r="AA183" s="167"/>
    </row>
    <row r="184" spans="1:27">
      <c r="A184" s="162"/>
      <c r="B184" s="187"/>
      <c r="C184" s="132"/>
      <c r="D184" s="66"/>
      <c r="E184" s="66"/>
      <c r="F184" s="66"/>
      <c r="G184" s="66"/>
      <c r="H184" s="69"/>
      <c r="I184" s="53"/>
      <c r="J184" s="70"/>
      <c r="K184" s="54">
        <f t="shared" si="0"/>
        <v>0</v>
      </c>
      <c r="L184" s="55" t="b">
        <v>0</v>
      </c>
      <c r="M184" s="56"/>
      <c r="N184" s="57" t="b">
        <v>0</v>
      </c>
      <c r="O184" s="58"/>
      <c r="P184" s="226"/>
      <c r="Q184" s="59" t="b">
        <v>0</v>
      </c>
      <c r="R184" s="129"/>
      <c r="S184" s="165"/>
      <c r="T184" s="47" t="b">
        <v>0</v>
      </c>
      <c r="U184" s="227"/>
      <c r="V184" s="75"/>
      <c r="W184" s="75"/>
      <c r="X184" s="166"/>
      <c r="Y184" s="166"/>
      <c r="Z184" s="167"/>
      <c r="AA184" s="167"/>
    </row>
    <row r="185" spans="1:27">
      <c r="A185" s="162"/>
      <c r="B185" s="187"/>
      <c r="C185" s="132"/>
      <c r="D185" s="66"/>
      <c r="E185" s="66"/>
      <c r="F185" s="66"/>
      <c r="G185" s="66"/>
      <c r="H185" s="69"/>
      <c r="I185" s="53"/>
      <c r="J185" s="70"/>
      <c r="K185" s="54">
        <f t="shared" si="0"/>
        <v>0</v>
      </c>
      <c r="L185" s="55" t="b">
        <v>0</v>
      </c>
      <c r="M185" s="56"/>
      <c r="N185" s="57" t="b">
        <v>0</v>
      </c>
      <c r="O185" s="58"/>
      <c r="P185" s="226"/>
      <c r="Q185" s="59" t="b">
        <v>0</v>
      </c>
      <c r="R185" s="129"/>
      <c r="S185" s="165"/>
      <c r="T185" s="47" t="b">
        <v>0</v>
      </c>
      <c r="U185" s="227"/>
      <c r="V185" s="75"/>
      <c r="W185" s="75"/>
      <c r="X185" s="166"/>
      <c r="Y185" s="166"/>
      <c r="Z185" s="167"/>
      <c r="AA185" s="167"/>
    </row>
    <row r="186" spans="1:27">
      <c r="A186" s="162"/>
      <c r="B186" s="187"/>
      <c r="C186" s="132"/>
      <c r="D186" s="66"/>
      <c r="E186" s="66"/>
      <c r="F186" s="66"/>
      <c r="G186" s="66"/>
      <c r="H186" s="69"/>
      <c r="I186" s="53"/>
      <c r="J186" s="70"/>
      <c r="K186" s="54">
        <f t="shared" si="0"/>
        <v>0</v>
      </c>
      <c r="L186" s="55" t="b">
        <v>0</v>
      </c>
      <c r="M186" s="56"/>
      <c r="N186" s="57" t="b">
        <v>0</v>
      </c>
      <c r="O186" s="58"/>
      <c r="P186" s="226"/>
      <c r="Q186" s="59" t="b">
        <v>0</v>
      </c>
      <c r="R186" s="129"/>
      <c r="S186" s="165"/>
      <c r="T186" s="47" t="b">
        <v>0</v>
      </c>
      <c r="U186" s="227"/>
      <c r="V186" s="75"/>
      <c r="W186" s="75"/>
      <c r="X186" s="166"/>
      <c r="Y186" s="166"/>
      <c r="Z186" s="167"/>
      <c r="AA186" s="167"/>
    </row>
    <row r="187" spans="1:27">
      <c r="A187" s="162"/>
      <c r="B187" s="187"/>
      <c r="C187" s="132"/>
      <c r="D187" s="66"/>
      <c r="E187" s="66"/>
      <c r="F187" s="66"/>
      <c r="G187" s="66"/>
      <c r="H187" s="69"/>
      <c r="I187" s="53"/>
      <c r="J187" s="70"/>
      <c r="K187" s="54">
        <f t="shared" si="0"/>
        <v>0</v>
      </c>
      <c r="L187" s="55" t="b">
        <v>0</v>
      </c>
      <c r="M187" s="56"/>
      <c r="N187" s="57" t="b">
        <v>0</v>
      </c>
      <c r="O187" s="58"/>
      <c r="P187" s="226"/>
      <c r="Q187" s="59" t="b">
        <v>0</v>
      </c>
      <c r="R187" s="129"/>
      <c r="S187" s="165"/>
      <c r="T187" s="47" t="b">
        <v>0</v>
      </c>
      <c r="U187" s="227"/>
      <c r="V187" s="75"/>
      <c r="W187" s="75"/>
      <c r="X187" s="166"/>
      <c r="Y187" s="166"/>
      <c r="Z187" s="167"/>
      <c r="AA187" s="167"/>
    </row>
    <row r="188" spans="1:27">
      <c r="A188" s="162"/>
      <c r="B188" s="187"/>
      <c r="C188" s="132"/>
      <c r="D188" s="66"/>
      <c r="E188" s="66"/>
      <c r="F188" s="66"/>
      <c r="G188" s="66"/>
      <c r="H188" s="69"/>
      <c r="I188" s="53"/>
      <c r="J188" s="70"/>
      <c r="K188" s="54"/>
      <c r="L188" s="55" t="b">
        <v>0</v>
      </c>
      <c r="M188" s="56"/>
      <c r="N188" s="57" t="b">
        <v>0</v>
      </c>
      <c r="O188" s="58"/>
      <c r="P188" s="226"/>
      <c r="Q188" s="59" t="b">
        <v>0</v>
      </c>
      <c r="R188" s="129"/>
      <c r="S188" s="165"/>
      <c r="T188" s="47" t="b">
        <v>0</v>
      </c>
      <c r="U188" s="227"/>
      <c r="V188" s="75"/>
      <c r="W188" s="75"/>
      <c r="X188" s="166"/>
      <c r="Y188" s="166"/>
      <c r="Z188" s="167"/>
      <c r="AA188" s="167"/>
    </row>
    <row r="189" spans="1:27">
      <c r="A189" s="162"/>
      <c r="B189" s="187"/>
      <c r="C189" s="132"/>
      <c r="D189" s="66"/>
      <c r="E189" s="66"/>
      <c r="F189" s="66"/>
      <c r="G189" s="66"/>
      <c r="H189" s="69"/>
      <c r="I189" s="53"/>
      <c r="J189" s="70"/>
      <c r="K189" s="54"/>
      <c r="L189" s="55" t="b">
        <v>0</v>
      </c>
      <c r="M189" s="56"/>
      <c r="N189" s="57" t="b">
        <v>0</v>
      </c>
      <c r="O189" s="58"/>
      <c r="P189" s="226"/>
      <c r="Q189" s="59" t="b">
        <v>0</v>
      </c>
      <c r="R189" s="129"/>
      <c r="S189" s="165"/>
      <c r="T189" s="47" t="b">
        <v>0</v>
      </c>
      <c r="U189" s="227"/>
      <c r="V189" s="75"/>
      <c r="W189" s="75"/>
      <c r="X189" s="166"/>
      <c r="Y189" s="166"/>
      <c r="Z189" s="167"/>
      <c r="AA189" s="167"/>
    </row>
    <row r="190" spans="1:27">
      <c r="A190" s="162"/>
      <c r="B190" s="187"/>
      <c r="C190" s="132"/>
      <c r="D190" s="66"/>
      <c r="E190" s="66"/>
      <c r="F190" s="66"/>
      <c r="G190" s="66"/>
      <c r="H190" s="69"/>
      <c r="I190" s="53"/>
      <c r="J190" s="70"/>
      <c r="K190" s="54"/>
      <c r="L190" s="55" t="b">
        <v>0</v>
      </c>
      <c r="M190" s="56"/>
      <c r="N190" s="57" t="b">
        <v>0</v>
      </c>
      <c r="O190" s="58"/>
      <c r="P190" s="226"/>
      <c r="Q190" s="59" t="b">
        <v>0</v>
      </c>
      <c r="R190" s="129"/>
      <c r="S190" s="165"/>
      <c r="T190" s="47" t="b">
        <v>0</v>
      </c>
      <c r="U190" s="227"/>
      <c r="V190" s="75"/>
      <c r="W190" s="75"/>
      <c r="X190" s="166"/>
      <c r="Y190" s="166"/>
      <c r="Z190" s="167"/>
      <c r="AA190" s="167"/>
    </row>
    <row r="191" spans="1:27">
      <c r="A191" s="162"/>
      <c r="B191" s="187"/>
      <c r="C191" s="132"/>
      <c r="D191" s="66"/>
      <c r="E191" s="66"/>
      <c r="F191" s="66"/>
      <c r="G191" s="66"/>
      <c r="H191" s="69"/>
      <c r="I191" s="53"/>
      <c r="J191" s="70"/>
      <c r="K191" s="54"/>
      <c r="L191" s="55" t="b">
        <v>0</v>
      </c>
      <c r="M191" s="56"/>
      <c r="N191" s="57" t="b">
        <v>0</v>
      </c>
      <c r="O191" s="58"/>
      <c r="P191" s="226"/>
      <c r="Q191" s="59" t="b">
        <v>0</v>
      </c>
      <c r="R191" s="129"/>
      <c r="S191" s="165"/>
      <c r="T191" s="47" t="b">
        <v>0</v>
      </c>
      <c r="U191" s="227"/>
      <c r="V191" s="75"/>
      <c r="W191" s="75"/>
      <c r="X191" s="166"/>
      <c r="Y191" s="166"/>
      <c r="Z191" s="167"/>
      <c r="AA191" s="167"/>
    </row>
    <row r="192" spans="1:27">
      <c r="A192" s="162"/>
      <c r="B192" s="187"/>
      <c r="C192" s="132"/>
      <c r="D192" s="66"/>
      <c r="E192" s="66"/>
      <c r="F192" s="66"/>
      <c r="G192" s="66"/>
      <c r="H192" s="69"/>
      <c r="I192" s="53"/>
      <c r="J192" s="70"/>
      <c r="K192" s="54"/>
      <c r="L192" s="55" t="b">
        <v>0</v>
      </c>
      <c r="M192" s="56"/>
      <c r="N192" s="57" t="b">
        <v>0</v>
      </c>
      <c r="O192" s="58"/>
      <c r="P192" s="226"/>
      <c r="Q192" s="59" t="b">
        <v>0</v>
      </c>
      <c r="R192" s="129"/>
      <c r="S192" s="165"/>
      <c r="T192" s="47" t="b">
        <v>0</v>
      </c>
      <c r="U192" s="227"/>
      <c r="V192" s="75"/>
      <c r="W192" s="75"/>
      <c r="X192" s="166"/>
      <c r="Y192" s="166"/>
      <c r="Z192" s="167"/>
      <c r="AA192" s="167"/>
    </row>
    <row r="193" spans="1:27">
      <c r="A193" s="162"/>
      <c r="B193" s="187"/>
      <c r="C193" s="132"/>
      <c r="D193" s="66"/>
      <c r="E193" s="66"/>
      <c r="F193" s="66"/>
      <c r="G193" s="66"/>
      <c r="H193" s="69"/>
      <c r="I193" s="53"/>
      <c r="J193" s="70"/>
      <c r="K193" s="54"/>
      <c r="L193" s="55" t="b">
        <v>0</v>
      </c>
      <c r="M193" s="56"/>
      <c r="N193" s="57" t="b">
        <v>0</v>
      </c>
      <c r="O193" s="58"/>
      <c r="P193" s="226"/>
      <c r="Q193" s="59" t="b">
        <v>0</v>
      </c>
      <c r="R193" s="129"/>
      <c r="S193" s="165"/>
      <c r="T193" s="47" t="b">
        <v>0</v>
      </c>
      <c r="U193" s="227"/>
      <c r="V193" s="75"/>
      <c r="W193" s="75"/>
      <c r="X193" s="166"/>
      <c r="Y193" s="166"/>
      <c r="Z193" s="167"/>
      <c r="AA193" s="167"/>
    </row>
    <row r="194" spans="1:27">
      <c r="A194" s="162"/>
      <c r="B194" s="187"/>
      <c r="C194" s="132"/>
      <c r="D194" s="66"/>
      <c r="E194" s="66"/>
      <c r="F194" s="66"/>
      <c r="G194" s="66"/>
      <c r="H194" s="69"/>
      <c r="I194" s="53"/>
      <c r="J194" s="70"/>
      <c r="K194" s="54"/>
      <c r="L194" s="55" t="b">
        <v>0</v>
      </c>
      <c r="M194" s="56"/>
      <c r="N194" s="57" t="b">
        <v>0</v>
      </c>
      <c r="O194" s="58"/>
      <c r="P194" s="226"/>
      <c r="Q194" s="59" t="b">
        <v>0</v>
      </c>
      <c r="R194" s="129"/>
      <c r="S194" s="165"/>
      <c r="T194" s="47" t="b">
        <v>0</v>
      </c>
      <c r="U194" s="227"/>
      <c r="V194" s="75"/>
      <c r="W194" s="75"/>
      <c r="X194" s="166"/>
      <c r="Y194" s="166"/>
      <c r="Z194" s="167"/>
      <c r="AA194" s="167"/>
    </row>
    <row r="195" spans="1:27">
      <c r="A195" s="162"/>
      <c r="B195" s="187"/>
      <c r="C195" s="132"/>
      <c r="D195" s="66"/>
      <c r="E195" s="66"/>
      <c r="F195" s="66"/>
      <c r="G195" s="66"/>
      <c r="H195" s="69"/>
      <c r="I195" s="53"/>
      <c r="J195" s="70"/>
      <c r="K195" s="54"/>
      <c r="L195" s="55" t="b">
        <v>0</v>
      </c>
      <c r="M195" s="56"/>
      <c r="N195" s="57" t="b">
        <v>0</v>
      </c>
      <c r="O195" s="58"/>
      <c r="P195" s="226"/>
      <c r="Q195" s="59" t="b">
        <v>0</v>
      </c>
      <c r="R195" s="129"/>
      <c r="S195" s="165"/>
      <c r="T195" s="47" t="b">
        <v>0</v>
      </c>
      <c r="U195" s="227"/>
      <c r="V195" s="75"/>
      <c r="W195" s="75"/>
      <c r="X195" s="166"/>
      <c r="Y195" s="166"/>
      <c r="Z195" s="167"/>
      <c r="AA195" s="167"/>
    </row>
    <row r="196" spans="1:27">
      <c r="A196" s="162"/>
      <c r="B196" s="187"/>
      <c r="C196" s="132"/>
      <c r="D196" s="66"/>
      <c r="E196" s="66"/>
      <c r="F196" s="66"/>
      <c r="G196" s="66"/>
      <c r="H196" s="69"/>
      <c r="I196" s="53"/>
      <c r="J196" s="70"/>
      <c r="K196" s="54"/>
      <c r="L196" s="55" t="b">
        <v>0</v>
      </c>
      <c r="M196" s="56"/>
      <c r="N196" s="57" t="b">
        <v>0</v>
      </c>
      <c r="O196" s="58"/>
      <c r="P196" s="226"/>
      <c r="Q196" s="59" t="b">
        <v>0</v>
      </c>
      <c r="R196" s="129"/>
      <c r="S196" s="165"/>
      <c r="T196" s="47" t="b">
        <v>0</v>
      </c>
      <c r="U196" s="227"/>
      <c r="V196" s="75"/>
      <c r="W196" s="75"/>
      <c r="X196" s="166"/>
      <c r="Y196" s="166"/>
      <c r="Z196" s="167"/>
      <c r="AA196" s="167"/>
    </row>
    <row r="197" spans="1:27">
      <c r="A197" s="162"/>
      <c r="B197" s="187"/>
      <c r="C197" s="132"/>
      <c r="D197" s="66"/>
      <c r="E197" s="66"/>
      <c r="F197" s="66"/>
      <c r="G197" s="66"/>
      <c r="H197" s="69"/>
      <c r="I197" s="53"/>
      <c r="J197" s="70"/>
      <c r="K197" s="54"/>
      <c r="L197" s="55" t="b">
        <v>0</v>
      </c>
      <c r="M197" s="56"/>
      <c r="N197" s="57" t="b">
        <v>0</v>
      </c>
      <c r="O197" s="58"/>
      <c r="P197" s="226"/>
      <c r="Q197" s="59" t="b">
        <v>0</v>
      </c>
      <c r="R197" s="129"/>
      <c r="S197" s="165"/>
      <c r="T197" s="47" t="b">
        <v>0</v>
      </c>
      <c r="U197" s="227"/>
      <c r="V197" s="75"/>
      <c r="W197" s="75"/>
      <c r="X197" s="166"/>
      <c r="Y197" s="166"/>
      <c r="Z197" s="167"/>
      <c r="AA197" s="167"/>
    </row>
    <row r="198" spans="1:27">
      <c r="A198" s="162"/>
      <c r="B198" s="187"/>
      <c r="C198" s="132"/>
      <c r="D198" s="66"/>
      <c r="E198" s="66"/>
      <c r="F198" s="66"/>
      <c r="G198" s="66"/>
      <c r="H198" s="69"/>
      <c r="I198" s="53"/>
      <c r="J198" s="70"/>
      <c r="K198" s="54"/>
      <c r="L198" s="55" t="b">
        <v>0</v>
      </c>
      <c r="M198" s="56"/>
      <c r="N198" s="57" t="b">
        <v>0</v>
      </c>
      <c r="O198" s="58"/>
      <c r="P198" s="226"/>
      <c r="Q198" s="59" t="b">
        <v>0</v>
      </c>
      <c r="R198" s="129"/>
      <c r="S198" s="165"/>
      <c r="T198" s="47" t="b">
        <v>0</v>
      </c>
      <c r="U198" s="227"/>
      <c r="V198" s="75"/>
      <c r="W198" s="75"/>
      <c r="X198" s="166"/>
      <c r="Y198" s="166"/>
      <c r="Z198" s="167"/>
      <c r="AA198" s="167"/>
    </row>
    <row r="199" spans="1:27">
      <c r="A199" s="162"/>
      <c r="B199" s="187"/>
      <c r="C199" s="132"/>
      <c r="D199" s="66"/>
      <c r="E199" s="66"/>
      <c r="F199" s="66"/>
      <c r="G199" s="66"/>
      <c r="H199" s="69"/>
      <c r="I199" s="53"/>
      <c r="J199" s="70"/>
      <c r="K199" s="54"/>
      <c r="L199" s="55" t="b">
        <v>0</v>
      </c>
      <c r="M199" s="56"/>
      <c r="N199" s="57" t="b">
        <v>0</v>
      </c>
      <c r="O199" s="58"/>
      <c r="P199" s="226"/>
      <c r="Q199" s="59" t="b">
        <v>0</v>
      </c>
      <c r="R199" s="129"/>
      <c r="S199" s="165"/>
      <c r="T199" s="47" t="b">
        <v>0</v>
      </c>
      <c r="U199" s="227"/>
      <c r="V199" s="75"/>
      <c r="W199" s="75"/>
      <c r="X199" s="166"/>
      <c r="Y199" s="166"/>
      <c r="Z199" s="167"/>
      <c r="AA199" s="167"/>
    </row>
    <row r="200" spans="1:27">
      <c r="A200" s="162"/>
      <c r="B200" s="187"/>
      <c r="C200" s="132"/>
      <c r="D200" s="66"/>
      <c r="E200" s="66"/>
      <c r="F200" s="66"/>
      <c r="G200" s="66"/>
      <c r="H200" s="69"/>
      <c r="I200" s="53"/>
      <c r="J200" s="70"/>
      <c r="K200" s="54"/>
      <c r="L200" s="55" t="b">
        <v>0</v>
      </c>
      <c r="M200" s="56"/>
      <c r="N200" s="57" t="b">
        <v>0</v>
      </c>
      <c r="O200" s="58"/>
      <c r="P200" s="226"/>
      <c r="Q200" s="59" t="b">
        <v>0</v>
      </c>
      <c r="R200" s="129"/>
      <c r="S200" s="165"/>
      <c r="T200" s="47" t="b">
        <v>0</v>
      </c>
      <c r="U200" s="227"/>
      <c r="V200" s="75"/>
      <c r="W200" s="75"/>
      <c r="X200" s="166"/>
      <c r="Y200" s="166"/>
      <c r="Z200" s="167"/>
      <c r="AA200" s="167"/>
    </row>
    <row r="201" spans="1:27">
      <c r="A201" s="162"/>
      <c r="B201" s="187"/>
      <c r="C201" s="132"/>
      <c r="D201" s="66"/>
      <c r="E201" s="66"/>
      <c r="F201" s="66"/>
      <c r="G201" s="66"/>
      <c r="H201" s="69"/>
      <c r="I201" s="53"/>
      <c r="J201" s="70"/>
      <c r="K201" s="54"/>
      <c r="L201" s="55" t="b">
        <v>0</v>
      </c>
      <c r="M201" s="56"/>
      <c r="N201" s="57" t="b">
        <v>0</v>
      </c>
      <c r="O201" s="58"/>
      <c r="P201" s="226"/>
      <c r="Q201" s="59" t="b">
        <v>0</v>
      </c>
      <c r="R201" s="129"/>
      <c r="S201" s="165"/>
      <c r="T201" s="47" t="b">
        <v>0</v>
      </c>
      <c r="U201" s="227"/>
      <c r="V201" s="75"/>
      <c r="W201" s="75"/>
      <c r="X201" s="166"/>
      <c r="Y201" s="166"/>
      <c r="Z201" s="167"/>
      <c r="AA201" s="167"/>
    </row>
    <row r="202" spans="1:27">
      <c r="A202" s="162"/>
      <c r="B202" s="187"/>
      <c r="C202" s="132"/>
      <c r="D202" s="66"/>
      <c r="E202" s="66"/>
      <c r="F202" s="66"/>
      <c r="G202" s="66"/>
      <c r="H202" s="69"/>
      <c r="I202" s="53"/>
      <c r="J202" s="70"/>
      <c r="K202" s="54"/>
      <c r="L202" s="55" t="b">
        <v>0</v>
      </c>
      <c r="M202" s="56"/>
      <c r="N202" s="57" t="b">
        <v>0</v>
      </c>
      <c r="O202" s="58"/>
      <c r="P202" s="226"/>
      <c r="Q202" s="59" t="b">
        <v>0</v>
      </c>
      <c r="R202" s="129"/>
      <c r="S202" s="165"/>
      <c r="T202" s="47" t="b">
        <v>0</v>
      </c>
      <c r="U202" s="227"/>
      <c r="V202" s="75"/>
      <c r="W202" s="75"/>
      <c r="X202" s="166"/>
      <c r="Y202" s="166"/>
      <c r="Z202" s="167"/>
      <c r="AA202" s="167"/>
    </row>
    <row r="203" spans="1:27">
      <c r="A203" s="162"/>
      <c r="B203" s="187"/>
      <c r="C203" s="132"/>
      <c r="D203" s="66"/>
      <c r="E203" s="66"/>
      <c r="F203" s="66"/>
      <c r="G203" s="66"/>
      <c r="H203" s="69"/>
      <c r="I203" s="53"/>
      <c r="J203" s="70"/>
      <c r="K203" s="54"/>
      <c r="L203" s="55" t="b">
        <v>0</v>
      </c>
      <c r="M203" s="56"/>
      <c r="N203" s="57" t="b">
        <v>0</v>
      </c>
      <c r="O203" s="58"/>
      <c r="P203" s="226"/>
      <c r="Q203" s="59" t="b">
        <v>0</v>
      </c>
      <c r="R203" s="129"/>
      <c r="S203" s="165"/>
      <c r="T203" s="47" t="b">
        <v>0</v>
      </c>
      <c r="U203" s="227"/>
      <c r="V203" s="75"/>
      <c r="W203" s="75"/>
      <c r="X203" s="166"/>
      <c r="Y203" s="166"/>
      <c r="Z203" s="167"/>
      <c r="AA203" s="167"/>
    </row>
    <row r="204" spans="1:27">
      <c r="A204" s="162"/>
      <c r="B204" s="187"/>
      <c r="C204" s="132"/>
      <c r="D204" s="66"/>
      <c r="E204" s="66"/>
      <c r="F204" s="66"/>
      <c r="G204" s="66"/>
      <c r="H204" s="69"/>
      <c r="I204" s="53"/>
      <c r="J204" s="70"/>
      <c r="K204" s="54"/>
      <c r="L204" s="55" t="b">
        <v>0</v>
      </c>
      <c r="M204" s="56"/>
      <c r="N204" s="57" t="b">
        <v>0</v>
      </c>
      <c r="O204" s="58"/>
      <c r="P204" s="226"/>
      <c r="Q204" s="59" t="b">
        <v>0</v>
      </c>
      <c r="R204" s="129"/>
      <c r="S204" s="165"/>
      <c r="T204" s="47" t="b">
        <v>0</v>
      </c>
      <c r="U204" s="227"/>
      <c r="V204" s="75"/>
      <c r="W204" s="75"/>
      <c r="X204" s="166"/>
      <c r="Y204" s="166"/>
      <c r="Z204" s="167"/>
      <c r="AA204" s="167"/>
    </row>
    <row r="205" spans="1:27">
      <c r="A205" s="162"/>
      <c r="B205" s="187"/>
      <c r="C205" s="132"/>
      <c r="D205" s="66"/>
      <c r="E205" s="66"/>
      <c r="F205" s="66"/>
      <c r="G205" s="66"/>
      <c r="H205" s="69"/>
      <c r="I205" s="53"/>
      <c r="J205" s="70"/>
      <c r="K205" s="54"/>
      <c r="L205" s="55" t="b">
        <v>0</v>
      </c>
      <c r="M205" s="56"/>
      <c r="N205" s="57" t="b">
        <v>0</v>
      </c>
      <c r="O205" s="58"/>
      <c r="P205" s="226"/>
      <c r="Q205" s="59" t="b">
        <v>0</v>
      </c>
      <c r="R205" s="129"/>
      <c r="S205" s="165"/>
      <c r="T205" s="47" t="b">
        <v>0</v>
      </c>
      <c r="U205" s="227"/>
      <c r="V205" s="75"/>
      <c r="W205" s="75"/>
      <c r="X205" s="166"/>
      <c r="Y205" s="166"/>
      <c r="Z205" s="167"/>
      <c r="AA205" s="167"/>
    </row>
    <row r="206" spans="1:27">
      <c r="A206" s="162"/>
      <c r="B206" s="187"/>
      <c r="C206" s="132"/>
      <c r="D206" s="66"/>
      <c r="E206" s="66"/>
      <c r="F206" s="66"/>
      <c r="G206" s="66"/>
      <c r="H206" s="69"/>
      <c r="I206" s="53"/>
      <c r="J206" s="70"/>
      <c r="K206" s="54"/>
      <c r="L206" s="55" t="b">
        <v>0</v>
      </c>
      <c r="M206" s="56"/>
      <c r="N206" s="57" t="b">
        <v>0</v>
      </c>
      <c r="O206" s="58"/>
      <c r="P206" s="226"/>
      <c r="Q206" s="59" t="b">
        <v>0</v>
      </c>
      <c r="R206" s="129"/>
      <c r="S206" s="165"/>
      <c r="T206" s="47" t="b">
        <v>0</v>
      </c>
      <c r="U206" s="227"/>
      <c r="V206" s="75"/>
      <c r="W206" s="75"/>
      <c r="X206" s="166"/>
      <c r="Y206" s="166"/>
      <c r="Z206" s="167"/>
      <c r="AA206" s="167"/>
    </row>
    <row r="207" spans="1:27">
      <c r="A207" s="162"/>
      <c r="B207" s="187"/>
      <c r="C207" s="132"/>
      <c r="D207" s="66"/>
      <c r="E207" s="66"/>
      <c r="F207" s="66"/>
      <c r="G207" s="66"/>
      <c r="H207" s="69"/>
      <c r="I207" s="53"/>
      <c r="J207" s="70"/>
      <c r="K207" s="54"/>
      <c r="L207" s="55" t="b">
        <v>0</v>
      </c>
      <c r="M207" s="56"/>
      <c r="N207" s="57" t="b">
        <v>0</v>
      </c>
      <c r="O207" s="58"/>
      <c r="P207" s="226"/>
      <c r="Q207" s="59" t="b">
        <v>0</v>
      </c>
      <c r="R207" s="129"/>
      <c r="S207" s="165"/>
      <c r="T207" s="47" t="b">
        <v>0</v>
      </c>
      <c r="U207" s="227"/>
      <c r="V207" s="75"/>
      <c r="W207" s="75"/>
      <c r="X207" s="166"/>
      <c r="Y207" s="166"/>
      <c r="Z207" s="167"/>
      <c r="AA207" s="167"/>
    </row>
    <row r="208" spans="1:27">
      <c r="A208" s="162"/>
      <c r="B208" s="187"/>
      <c r="C208" s="132"/>
      <c r="D208" s="66"/>
      <c r="E208" s="66"/>
      <c r="F208" s="66"/>
      <c r="G208" s="66"/>
      <c r="H208" s="69"/>
      <c r="I208" s="53"/>
      <c r="J208" s="70"/>
      <c r="K208" s="54"/>
      <c r="L208" s="55" t="b">
        <v>0</v>
      </c>
      <c r="M208" s="56"/>
      <c r="N208" s="57" t="b">
        <v>0</v>
      </c>
      <c r="O208" s="58"/>
      <c r="P208" s="226"/>
      <c r="Q208" s="59" t="b">
        <v>0</v>
      </c>
      <c r="R208" s="129"/>
      <c r="S208" s="165"/>
      <c r="T208" s="47" t="b">
        <v>0</v>
      </c>
      <c r="U208" s="227"/>
      <c r="V208" s="75"/>
      <c r="W208" s="75"/>
      <c r="X208" s="166"/>
      <c r="Y208" s="166"/>
      <c r="Z208" s="167"/>
      <c r="AA208" s="167"/>
    </row>
    <row r="209" spans="1:27">
      <c r="A209" s="162"/>
      <c r="B209" s="187"/>
      <c r="C209" s="132"/>
      <c r="D209" s="66"/>
      <c r="E209" s="66"/>
      <c r="F209" s="66"/>
      <c r="G209" s="66"/>
      <c r="H209" s="69"/>
      <c r="I209" s="53"/>
      <c r="J209" s="70"/>
      <c r="K209" s="54"/>
      <c r="L209" s="55" t="b">
        <v>0</v>
      </c>
      <c r="M209" s="56"/>
      <c r="N209" s="57" t="b">
        <v>0</v>
      </c>
      <c r="O209" s="58"/>
      <c r="P209" s="226"/>
      <c r="Q209" s="59" t="b">
        <v>0</v>
      </c>
      <c r="R209" s="129"/>
      <c r="S209" s="165"/>
      <c r="T209" s="47" t="b">
        <v>0</v>
      </c>
      <c r="U209" s="227"/>
      <c r="V209" s="75"/>
      <c r="W209" s="75"/>
      <c r="X209" s="166"/>
      <c r="Y209" s="166"/>
      <c r="Z209" s="167"/>
      <c r="AA209" s="167"/>
    </row>
    <row r="210" spans="1:27">
      <c r="A210" s="162"/>
      <c r="B210" s="187"/>
      <c r="C210" s="132"/>
      <c r="D210" s="66"/>
      <c r="E210" s="66"/>
      <c r="F210" s="66"/>
      <c r="G210" s="66"/>
      <c r="H210" s="69"/>
      <c r="I210" s="53"/>
      <c r="J210" s="70"/>
      <c r="K210" s="54"/>
      <c r="L210" s="55" t="b">
        <v>0</v>
      </c>
      <c r="M210" s="56"/>
      <c r="N210" s="57" t="b">
        <v>0</v>
      </c>
      <c r="O210" s="58"/>
      <c r="P210" s="226"/>
      <c r="Q210" s="59" t="b">
        <v>0</v>
      </c>
      <c r="R210" s="129"/>
      <c r="S210" s="165"/>
      <c r="T210" s="47" t="b">
        <v>0</v>
      </c>
      <c r="U210" s="227"/>
      <c r="V210" s="75"/>
      <c r="W210" s="75"/>
      <c r="X210" s="166"/>
      <c r="Y210" s="166"/>
      <c r="Z210" s="167"/>
      <c r="AA210" s="167"/>
    </row>
    <row r="211" spans="1:27">
      <c r="A211" s="162"/>
      <c r="B211" s="187"/>
      <c r="C211" s="132"/>
      <c r="D211" s="66"/>
      <c r="E211" s="66"/>
      <c r="F211" s="66"/>
      <c r="G211" s="66"/>
      <c r="H211" s="69"/>
      <c r="I211" s="53"/>
      <c r="J211" s="70"/>
      <c r="K211" s="54"/>
      <c r="L211" s="55" t="b">
        <v>0</v>
      </c>
      <c r="M211" s="56"/>
      <c r="N211" s="57" t="b">
        <v>0</v>
      </c>
      <c r="O211" s="58"/>
      <c r="P211" s="226"/>
      <c r="Q211" s="59" t="b">
        <v>0</v>
      </c>
      <c r="R211" s="129"/>
      <c r="S211" s="165"/>
      <c r="T211" s="47" t="b">
        <v>0</v>
      </c>
      <c r="U211" s="227"/>
      <c r="V211" s="75"/>
      <c r="W211" s="75"/>
      <c r="X211" s="166"/>
      <c r="Y211" s="166"/>
      <c r="Z211" s="167"/>
      <c r="AA211" s="167"/>
    </row>
    <row r="212" spans="1:27">
      <c r="A212" s="162"/>
      <c r="B212" s="187"/>
      <c r="C212" s="132"/>
      <c r="D212" s="66"/>
      <c r="E212" s="66"/>
      <c r="F212" s="66"/>
      <c r="G212" s="66"/>
      <c r="H212" s="69"/>
      <c r="I212" s="53"/>
      <c r="J212" s="70"/>
      <c r="K212" s="54"/>
      <c r="L212" s="55" t="b">
        <v>0</v>
      </c>
      <c r="M212" s="56"/>
      <c r="N212" s="57" t="b">
        <v>0</v>
      </c>
      <c r="O212" s="58"/>
      <c r="P212" s="226"/>
      <c r="Q212" s="59" t="b">
        <v>0</v>
      </c>
      <c r="R212" s="129"/>
      <c r="S212" s="165"/>
      <c r="T212" s="47" t="b">
        <v>0</v>
      </c>
      <c r="U212" s="227"/>
      <c r="V212" s="75"/>
      <c r="W212" s="75"/>
      <c r="X212" s="166"/>
      <c r="Y212" s="166"/>
      <c r="Z212" s="167"/>
      <c r="AA212" s="167"/>
    </row>
    <row r="213" spans="1:27">
      <c r="A213" s="162"/>
      <c r="B213" s="187"/>
      <c r="C213" s="132"/>
      <c r="D213" s="66"/>
      <c r="E213" s="66"/>
      <c r="F213" s="66"/>
      <c r="G213" s="66"/>
      <c r="H213" s="69"/>
      <c r="I213" s="53"/>
      <c r="J213" s="70"/>
      <c r="K213" s="54"/>
      <c r="L213" s="55" t="b">
        <v>0</v>
      </c>
      <c r="M213" s="56"/>
      <c r="N213" s="57" t="b">
        <v>0</v>
      </c>
      <c r="O213" s="58"/>
      <c r="P213" s="226"/>
      <c r="Q213" s="59" t="b">
        <v>0</v>
      </c>
      <c r="R213" s="129"/>
      <c r="S213" s="165"/>
      <c r="T213" s="47" t="b">
        <v>0</v>
      </c>
      <c r="U213" s="227"/>
      <c r="V213" s="75"/>
      <c r="W213" s="75"/>
      <c r="X213" s="166"/>
      <c r="Y213" s="166"/>
      <c r="Z213" s="167"/>
      <c r="AA213" s="167"/>
    </row>
    <row r="214" spans="1:27">
      <c r="A214" s="162"/>
      <c r="B214" s="187"/>
      <c r="C214" s="132"/>
      <c r="D214" s="66"/>
      <c r="E214" s="66"/>
      <c r="F214" s="66"/>
      <c r="G214" s="66"/>
      <c r="H214" s="69"/>
      <c r="I214" s="53"/>
      <c r="J214" s="70"/>
      <c r="K214" s="54"/>
      <c r="L214" s="55" t="b">
        <v>0</v>
      </c>
      <c r="M214" s="56"/>
      <c r="N214" s="57" t="b">
        <v>0</v>
      </c>
      <c r="O214" s="58"/>
      <c r="P214" s="226"/>
      <c r="Q214" s="59" t="b">
        <v>0</v>
      </c>
      <c r="R214" s="129"/>
      <c r="S214" s="165"/>
      <c r="T214" s="47" t="b">
        <v>0</v>
      </c>
      <c r="U214" s="227"/>
      <c r="V214" s="75"/>
      <c r="W214" s="75"/>
      <c r="X214" s="166"/>
      <c r="Y214" s="166"/>
      <c r="Z214" s="167"/>
      <c r="AA214" s="167"/>
    </row>
    <row r="215" spans="1:27">
      <c r="A215" s="162"/>
      <c r="B215" s="187"/>
      <c r="C215" s="132"/>
      <c r="D215" s="66"/>
      <c r="E215" s="66"/>
      <c r="F215" s="66"/>
      <c r="G215" s="66"/>
      <c r="H215" s="69"/>
      <c r="I215" s="53"/>
      <c r="J215" s="70"/>
      <c r="K215" s="54"/>
      <c r="L215" s="55" t="b">
        <v>0</v>
      </c>
      <c r="M215" s="56"/>
      <c r="N215" s="57" t="b">
        <v>0</v>
      </c>
      <c r="O215" s="58"/>
      <c r="P215" s="226"/>
      <c r="Q215" s="59" t="b">
        <v>0</v>
      </c>
      <c r="R215" s="129"/>
      <c r="S215" s="165"/>
      <c r="T215" s="47" t="b">
        <v>0</v>
      </c>
      <c r="U215" s="227"/>
      <c r="V215" s="75"/>
      <c r="W215" s="75"/>
      <c r="X215" s="166"/>
      <c r="Y215" s="166"/>
      <c r="Z215" s="167"/>
      <c r="AA215" s="167"/>
    </row>
    <row r="216" spans="1:27">
      <c r="A216" s="162"/>
      <c r="B216" s="187"/>
      <c r="C216" s="132"/>
      <c r="D216" s="66"/>
      <c r="E216" s="66"/>
      <c r="F216" s="66"/>
      <c r="G216" s="66"/>
      <c r="H216" s="69"/>
      <c r="I216" s="53"/>
      <c r="J216" s="70"/>
      <c r="K216" s="54"/>
      <c r="L216" s="55" t="b">
        <v>0</v>
      </c>
      <c r="M216" s="56"/>
      <c r="N216" s="57" t="b">
        <v>0</v>
      </c>
      <c r="O216" s="58"/>
      <c r="P216" s="226"/>
      <c r="Q216" s="59" t="b">
        <v>0</v>
      </c>
      <c r="R216" s="129"/>
      <c r="S216" s="165"/>
      <c r="T216" s="47" t="b">
        <v>0</v>
      </c>
      <c r="U216" s="227"/>
      <c r="V216" s="75"/>
      <c r="W216" s="75"/>
      <c r="X216" s="166"/>
      <c r="Y216" s="166"/>
      <c r="Z216" s="167"/>
      <c r="AA216" s="167"/>
    </row>
    <row r="217" spans="1:27">
      <c r="A217" s="162"/>
      <c r="B217" s="187"/>
      <c r="C217" s="132"/>
      <c r="D217" s="66"/>
      <c r="E217" s="66"/>
      <c r="F217" s="66"/>
      <c r="G217" s="66"/>
      <c r="H217" s="69"/>
      <c r="I217" s="53"/>
      <c r="J217" s="70"/>
      <c r="K217" s="54"/>
      <c r="L217" s="55" t="b">
        <v>0</v>
      </c>
      <c r="M217" s="56"/>
      <c r="N217" s="57" t="b">
        <v>0</v>
      </c>
      <c r="O217" s="58"/>
      <c r="P217" s="226"/>
      <c r="Q217" s="59" t="b">
        <v>0</v>
      </c>
      <c r="R217" s="129"/>
      <c r="S217" s="165"/>
      <c r="T217" s="47" t="b">
        <v>0</v>
      </c>
      <c r="U217" s="227"/>
      <c r="V217" s="75"/>
      <c r="W217" s="75"/>
      <c r="X217" s="166"/>
      <c r="Y217" s="166"/>
      <c r="Z217" s="167"/>
      <c r="AA217" s="167"/>
    </row>
    <row r="218" spans="1:27">
      <c r="A218" s="162"/>
      <c r="B218" s="187"/>
      <c r="C218" s="132"/>
      <c r="D218" s="66"/>
      <c r="E218" s="66"/>
      <c r="F218" s="66"/>
      <c r="G218" s="66"/>
      <c r="H218" s="69"/>
      <c r="I218" s="53"/>
      <c r="J218" s="70"/>
      <c r="K218" s="54"/>
      <c r="L218" s="55" t="b">
        <v>0</v>
      </c>
      <c r="M218" s="56"/>
      <c r="N218" s="57" t="b">
        <v>0</v>
      </c>
      <c r="O218" s="58"/>
      <c r="P218" s="226"/>
      <c r="Q218" s="59" t="b">
        <v>0</v>
      </c>
      <c r="R218" s="129"/>
      <c r="S218" s="165"/>
      <c r="T218" s="47" t="b">
        <v>0</v>
      </c>
      <c r="U218" s="227"/>
      <c r="V218" s="75"/>
      <c r="W218" s="75"/>
      <c r="X218" s="166"/>
      <c r="Y218" s="166"/>
      <c r="Z218" s="167"/>
      <c r="AA218" s="167"/>
    </row>
    <row r="219" spans="1:27">
      <c r="A219" s="162"/>
      <c r="B219" s="187"/>
      <c r="C219" s="132"/>
      <c r="D219" s="66"/>
      <c r="E219" s="66"/>
      <c r="F219" s="66"/>
      <c r="G219" s="66"/>
      <c r="H219" s="69"/>
      <c r="I219" s="53"/>
      <c r="J219" s="70"/>
      <c r="K219" s="54"/>
      <c r="L219" s="55" t="b">
        <v>0</v>
      </c>
      <c r="M219" s="56"/>
      <c r="N219" s="57" t="b">
        <v>0</v>
      </c>
      <c r="O219" s="58"/>
      <c r="P219" s="226"/>
      <c r="Q219" s="59" t="b">
        <v>0</v>
      </c>
      <c r="R219" s="129"/>
      <c r="S219" s="165"/>
      <c r="T219" s="47" t="b">
        <v>0</v>
      </c>
      <c r="U219" s="227"/>
      <c r="V219" s="75"/>
      <c r="W219" s="75"/>
      <c r="X219" s="166"/>
      <c r="Y219" s="166"/>
      <c r="Z219" s="167"/>
      <c r="AA219" s="167"/>
    </row>
    <row r="220" spans="1:27">
      <c r="A220" s="162"/>
      <c r="B220" s="187"/>
      <c r="C220" s="132"/>
      <c r="D220" s="66"/>
      <c r="E220" s="66"/>
      <c r="F220" s="66"/>
      <c r="G220" s="66"/>
      <c r="H220" s="69"/>
      <c r="I220" s="53"/>
      <c r="J220" s="70"/>
      <c r="K220" s="54"/>
      <c r="L220" s="55" t="b">
        <v>0</v>
      </c>
      <c r="M220" s="56"/>
      <c r="N220" s="57" t="b">
        <v>0</v>
      </c>
      <c r="O220" s="58"/>
      <c r="P220" s="226"/>
      <c r="Q220" s="59" t="b">
        <v>0</v>
      </c>
      <c r="R220" s="129"/>
      <c r="S220" s="165"/>
      <c r="T220" s="47" t="b">
        <v>0</v>
      </c>
      <c r="U220" s="227"/>
      <c r="V220" s="75"/>
      <c r="W220" s="75"/>
      <c r="X220" s="166"/>
      <c r="Y220" s="166"/>
      <c r="Z220" s="167"/>
      <c r="AA220" s="167"/>
    </row>
    <row r="221" spans="1:27">
      <c r="A221" s="162"/>
      <c r="B221" s="187"/>
      <c r="C221" s="132"/>
      <c r="D221" s="66"/>
      <c r="E221" s="66"/>
      <c r="F221" s="66"/>
      <c r="G221" s="66"/>
      <c r="H221" s="69"/>
      <c r="I221" s="53"/>
      <c r="J221" s="70"/>
      <c r="K221" s="54"/>
      <c r="L221" s="55" t="b">
        <v>0</v>
      </c>
      <c r="M221" s="56"/>
      <c r="N221" s="57" t="b">
        <v>0</v>
      </c>
      <c r="O221" s="58"/>
      <c r="P221" s="226"/>
      <c r="Q221" s="59" t="b">
        <v>0</v>
      </c>
      <c r="R221" s="129"/>
      <c r="S221" s="165"/>
      <c r="T221" s="47" t="b">
        <v>0</v>
      </c>
      <c r="U221" s="227"/>
      <c r="V221" s="75"/>
      <c r="W221" s="75"/>
      <c r="X221" s="166"/>
      <c r="Y221" s="166"/>
      <c r="Z221" s="167"/>
      <c r="AA221" s="167"/>
    </row>
    <row r="222" spans="1:27">
      <c r="A222" s="162"/>
      <c r="B222" s="187"/>
      <c r="C222" s="132"/>
      <c r="D222" s="66"/>
      <c r="E222" s="66"/>
      <c r="F222" s="66"/>
      <c r="G222" s="66"/>
      <c r="H222" s="69"/>
      <c r="I222" s="53"/>
      <c r="J222" s="70"/>
      <c r="K222" s="54"/>
      <c r="L222" s="55" t="b">
        <v>0</v>
      </c>
      <c r="M222" s="56"/>
      <c r="N222" s="57" t="b">
        <v>0</v>
      </c>
      <c r="O222" s="58"/>
      <c r="P222" s="226"/>
      <c r="Q222" s="59" t="b">
        <v>0</v>
      </c>
      <c r="R222" s="129"/>
      <c r="S222" s="165"/>
      <c r="T222" s="47" t="b">
        <v>0</v>
      </c>
      <c r="U222" s="227"/>
      <c r="V222" s="75"/>
      <c r="W222" s="75"/>
      <c r="X222" s="166"/>
      <c r="Y222" s="166"/>
      <c r="Z222" s="167"/>
      <c r="AA222" s="167"/>
    </row>
    <row r="223" spans="1:27">
      <c r="A223" s="162"/>
      <c r="B223" s="187"/>
      <c r="C223" s="132"/>
      <c r="D223" s="66"/>
      <c r="E223" s="66"/>
      <c r="F223" s="66"/>
      <c r="G223" s="66"/>
      <c r="H223" s="69"/>
      <c r="I223" s="53"/>
      <c r="J223" s="70"/>
      <c r="K223" s="54"/>
      <c r="L223" s="55" t="b">
        <v>0</v>
      </c>
      <c r="M223" s="56"/>
      <c r="N223" s="57" t="b">
        <v>0</v>
      </c>
      <c r="O223" s="58"/>
      <c r="P223" s="226"/>
      <c r="Q223" s="59" t="b">
        <v>0</v>
      </c>
      <c r="R223" s="129"/>
      <c r="S223" s="165"/>
      <c r="T223" s="47" t="b">
        <v>0</v>
      </c>
      <c r="U223" s="227"/>
      <c r="V223" s="75"/>
      <c r="W223" s="75"/>
      <c r="X223" s="166"/>
      <c r="Y223" s="166"/>
      <c r="Z223" s="167"/>
      <c r="AA223" s="167"/>
    </row>
    <row r="224" spans="1:27">
      <c r="A224" s="162"/>
      <c r="B224" s="187"/>
      <c r="C224" s="132"/>
      <c r="D224" s="66"/>
      <c r="E224" s="66"/>
      <c r="F224" s="66"/>
      <c r="G224" s="66"/>
      <c r="H224" s="69"/>
      <c r="I224" s="53"/>
      <c r="J224" s="70"/>
      <c r="K224" s="54"/>
      <c r="L224" s="55" t="b">
        <v>0</v>
      </c>
      <c r="M224" s="56"/>
      <c r="N224" s="57" t="b">
        <v>0</v>
      </c>
      <c r="O224" s="58"/>
      <c r="P224" s="226"/>
      <c r="Q224" s="59" t="b">
        <v>0</v>
      </c>
      <c r="R224" s="129"/>
      <c r="S224" s="165"/>
      <c r="T224" s="47" t="b">
        <v>0</v>
      </c>
      <c r="U224" s="227"/>
      <c r="V224" s="75"/>
      <c r="W224" s="75"/>
      <c r="X224" s="166"/>
      <c r="Y224" s="166"/>
      <c r="Z224" s="167"/>
      <c r="AA224" s="167"/>
    </row>
    <row r="225" spans="1:27">
      <c r="A225" s="162"/>
      <c r="B225" s="187"/>
      <c r="C225" s="132"/>
      <c r="D225" s="66"/>
      <c r="E225" s="66"/>
      <c r="F225" s="66"/>
      <c r="G225" s="66"/>
      <c r="H225" s="69"/>
      <c r="I225" s="53"/>
      <c r="J225" s="70"/>
      <c r="K225" s="54"/>
      <c r="L225" s="55" t="b">
        <v>0</v>
      </c>
      <c r="M225" s="56"/>
      <c r="N225" s="57" t="b">
        <v>0</v>
      </c>
      <c r="O225" s="58"/>
      <c r="P225" s="226"/>
      <c r="Q225" s="59" t="b">
        <v>0</v>
      </c>
      <c r="R225" s="129"/>
      <c r="S225" s="165"/>
      <c r="T225" s="47" t="b">
        <v>0</v>
      </c>
      <c r="U225" s="227"/>
      <c r="V225" s="75"/>
      <c r="W225" s="75"/>
      <c r="X225" s="166"/>
      <c r="Y225" s="166"/>
      <c r="Z225" s="167"/>
      <c r="AA225" s="167"/>
    </row>
    <row r="226" spans="1:27">
      <c r="A226" s="162"/>
      <c r="B226" s="187"/>
      <c r="C226" s="132"/>
      <c r="D226" s="66"/>
      <c r="E226" s="66"/>
      <c r="F226" s="66"/>
      <c r="G226" s="66"/>
      <c r="H226" s="69"/>
      <c r="I226" s="53"/>
      <c r="J226" s="70"/>
      <c r="K226" s="54"/>
      <c r="L226" s="55" t="b">
        <v>0</v>
      </c>
      <c r="M226" s="56"/>
      <c r="N226" s="57" t="b">
        <v>0</v>
      </c>
      <c r="O226" s="58"/>
      <c r="P226" s="226"/>
      <c r="Q226" s="59" t="b">
        <v>0</v>
      </c>
      <c r="R226" s="129"/>
      <c r="S226" s="165"/>
      <c r="T226" s="47" t="b">
        <v>0</v>
      </c>
      <c r="U226" s="227"/>
      <c r="V226" s="75"/>
      <c r="W226" s="75"/>
      <c r="X226" s="166"/>
      <c r="Y226" s="166"/>
      <c r="Z226" s="167"/>
      <c r="AA226" s="167"/>
    </row>
    <row r="227" spans="1:27">
      <c r="A227" s="162"/>
      <c r="B227" s="187"/>
      <c r="C227" s="132"/>
      <c r="D227" s="66"/>
      <c r="E227" s="66"/>
      <c r="F227" s="66"/>
      <c r="G227" s="66"/>
      <c r="H227" s="69"/>
      <c r="I227" s="53"/>
      <c r="J227" s="70"/>
      <c r="K227" s="54"/>
      <c r="L227" s="55" t="b">
        <v>0</v>
      </c>
      <c r="M227" s="56"/>
      <c r="N227" s="57" t="b">
        <v>0</v>
      </c>
      <c r="O227" s="58"/>
      <c r="P227" s="226"/>
      <c r="Q227" s="59" t="b">
        <v>0</v>
      </c>
      <c r="R227" s="129"/>
      <c r="S227" s="165"/>
      <c r="T227" s="47" t="b">
        <v>0</v>
      </c>
      <c r="U227" s="227"/>
      <c r="V227" s="75"/>
      <c r="W227" s="75"/>
      <c r="X227" s="166"/>
      <c r="Y227" s="166"/>
      <c r="Z227" s="167"/>
      <c r="AA227" s="167"/>
    </row>
    <row r="228" spans="1:27">
      <c r="A228" s="162"/>
      <c r="B228" s="187"/>
      <c r="C228" s="132"/>
      <c r="D228" s="66"/>
      <c r="E228" s="66"/>
      <c r="F228" s="66"/>
      <c r="G228" s="66"/>
      <c r="H228" s="69"/>
      <c r="I228" s="53"/>
      <c r="J228" s="70"/>
      <c r="K228" s="54"/>
      <c r="L228" s="55" t="b">
        <v>0</v>
      </c>
      <c r="M228" s="56"/>
      <c r="N228" s="57" t="b">
        <v>0</v>
      </c>
      <c r="O228" s="58"/>
      <c r="P228" s="226"/>
      <c r="Q228" s="59" t="b">
        <v>0</v>
      </c>
      <c r="R228" s="129"/>
      <c r="S228" s="165"/>
      <c r="T228" s="47" t="b">
        <v>0</v>
      </c>
      <c r="U228" s="227"/>
      <c r="V228" s="75"/>
      <c r="W228" s="75"/>
      <c r="X228" s="166"/>
      <c r="Y228" s="166"/>
      <c r="Z228" s="167"/>
      <c r="AA228" s="167"/>
    </row>
    <row r="229" spans="1:27">
      <c r="A229" s="162"/>
      <c r="B229" s="187"/>
      <c r="C229" s="132"/>
      <c r="D229" s="66"/>
      <c r="E229" s="66"/>
      <c r="F229" s="66"/>
      <c r="G229" s="66"/>
      <c r="H229" s="69"/>
      <c r="I229" s="53"/>
      <c r="J229" s="70"/>
      <c r="K229" s="54"/>
      <c r="L229" s="55" t="b">
        <v>0</v>
      </c>
      <c r="M229" s="56"/>
      <c r="N229" s="57" t="b">
        <v>0</v>
      </c>
      <c r="O229" s="58"/>
      <c r="P229" s="226"/>
      <c r="Q229" s="59" t="b">
        <v>0</v>
      </c>
      <c r="R229" s="129"/>
      <c r="S229" s="165"/>
      <c r="T229" s="47" t="b">
        <v>0</v>
      </c>
      <c r="U229" s="227"/>
      <c r="V229" s="75"/>
      <c r="W229" s="75"/>
      <c r="X229" s="166"/>
      <c r="Y229" s="166"/>
      <c r="Z229" s="167"/>
      <c r="AA229" s="167"/>
    </row>
    <row r="230" spans="1:27">
      <c r="A230" s="162"/>
      <c r="B230" s="187"/>
      <c r="C230" s="132"/>
      <c r="D230" s="66"/>
      <c r="E230" s="66"/>
      <c r="F230" s="66"/>
      <c r="G230" s="66"/>
      <c r="H230" s="69"/>
      <c r="I230" s="53"/>
      <c r="J230" s="70"/>
      <c r="K230" s="54"/>
      <c r="L230" s="55" t="b">
        <v>0</v>
      </c>
      <c r="M230" s="56"/>
      <c r="N230" s="57" t="b">
        <v>0</v>
      </c>
      <c r="O230" s="58"/>
      <c r="P230" s="226"/>
      <c r="Q230" s="59" t="b">
        <v>0</v>
      </c>
      <c r="R230" s="129"/>
      <c r="S230" s="165"/>
      <c r="T230" s="47" t="b">
        <v>0</v>
      </c>
      <c r="U230" s="227"/>
      <c r="V230" s="75"/>
      <c r="W230" s="75"/>
      <c r="X230" s="166"/>
      <c r="Y230" s="166"/>
      <c r="Z230" s="167"/>
      <c r="AA230" s="167"/>
    </row>
    <row r="231" spans="1:27">
      <c r="A231" s="162"/>
      <c r="B231" s="187"/>
      <c r="C231" s="132"/>
      <c r="D231" s="66"/>
      <c r="E231" s="66"/>
      <c r="F231" s="66"/>
      <c r="G231" s="66"/>
      <c r="H231" s="69"/>
      <c r="I231" s="53"/>
      <c r="J231" s="70"/>
      <c r="K231" s="54"/>
      <c r="L231" s="55" t="b">
        <v>0</v>
      </c>
      <c r="M231" s="56"/>
      <c r="N231" s="57" t="b">
        <v>0</v>
      </c>
      <c r="O231" s="58"/>
      <c r="P231" s="226"/>
      <c r="Q231" s="59" t="b">
        <v>0</v>
      </c>
      <c r="R231" s="129"/>
      <c r="S231" s="165"/>
      <c r="T231" s="47" t="b">
        <v>0</v>
      </c>
      <c r="U231" s="227"/>
      <c r="V231" s="75"/>
      <c r="W231" s="75"/>
      <c r="X231" s="166"/>
      <c r="Y231" s="166"/>
      <c r="Z231" s="167"/>
      <c r="AA231" s="167"/>
    </row>
    <row r="232" spans="1:27">
      <c r="P232" s="225"/>
      <c r="U232" s="205"/>
    </row>
    <row r="233" spans="1:27">
      <c r="P233" s="225"/>
      <c r="U233" s="205"/>
    </row>
    <row r="234" spans="1:27">
      <c r="P234" s="225"/>
      <c r="U234" s="205"/>
    </row>
    <row r="235" spans="1:27">
      <c r="P235" s="225"/>
      <c r="U235" s="205"/>
    </row>
    <row r="236" spans="1:27">
      <c r="P236" s="225"/>
      <c r="U236" s="205"/>
    </row>
    <row r="237" spans="1:27">
      <c r="P237" s="225"/>
      <c r="U237" s="205"/>
    </row>
    <row r="238" spans="1:27">
      <c r="P238" s="225"/>
      <c r="U238" s="205"/>
    </row>
    <row r="239" spans="1:27">
      <c r="P239" s="225"/>
      <c r="U239" s="205"/>
    </row>
    <row r="240" spans="1:27">
      <c r="P240" s="225"/>
      <c r="U240" s="205"/>
    </row>
    <row r="241" spans="16:21">
      <c r="P241" s="225"/>
      <c r="U241" s="205"/>
    </row>
    <row r="242" spans="16:21">
      <c r="P242" s="225"/>
      <c r="U242" s="205"/>
    </row>
    <row r="243" spans="16:21">
      <c r="P243" s="225"/>
      <c r="U243" s="205"/>
    </row>
    <row r="244" spans="16:21">
      <c r="P244" s="225"/>
      <c r="U244" s="205"/>
    </row>
    <row r="245" spans="16:21">
      <c r="P245" s="225"/>
      <c r="U245" s="205"/>
    </row>
    <row r="246" spans="16:21">
      <c r="P246" s="225"/>
      <c r="U246" s="205"/>
    </row>
    <row r="247" spans="16:21">
      <c r="P247" s="225"/>
      <c r="U247" s="205"/>
    </row>
    <row r="248" spans="16:21">
      <c r="P248" s="225"/>
      <c r="U248" s="205"/>
    </row>
    <row r="249" spans="16:21">
      <c r="P249" s="225"/>
      <c r="U249" s="205"/>
    </row>
    <row r="250" spans="16:21">
      <c r="P250" s="225"/>
      <c r="U250" s="205"/>
    </row>
    <row r="251" spans="16:21">
      <c r="P251" s="225"/>
      <c r="U251" s="205"/>
    </row>
    <row r="252" spans="16:21">
      <c r="P252" s="225"/>
      <c r="U252" s="205"/>
    </row>
    <row r="253" spans="16:21">
      <c r="P253" s="225"/>
      <c r="U253" s="205"/>
    </row>
    <row r="254" spans="16:21">
      <c r="P254" s="225"/>
      <c r="U254" s="205"/>
    </row>
    <row r="255" spans="16:21">
      <c r="P255" s="225"/>
      <c r="U255" s="205"/>
    </row>
    <row r="256" spans="16:21">
      <c r="P256" s="225"/>
      <c r="U256" s="205"/>
    </row>
    <row r="257" spans="16:21">
      <c r="P257" s="225"/>
      <c r="U257" s="205"/>
    </row>
    <row r="258" spans="16:21">
      <c r="P258" s="225"/>
      <c r="U258" s="205"/>
    </row>
    <row r="259" spans="16:21">
      <c r="P259" s="225"/>
      <c r="U259" s="205"/>
    </row>
    <row r="260" spans="16:21">
      <c r="P260" s="225"/>
      <c r="U260" s="205"/>
    </row>
    <row r="261" spans="16:21">
      <c r="P261" s="225"/>
      <c r="U261" s="205"/>
    </row>
    <row r="262" spans="16:21">
      <c r="P262" s="225"/>
      <c r="U262" s="205"/>
    </row>
    <row r="263" spans="16:21">
      <c r="P263" s="225"/>
      <c r="U263" s="205"/>
    </row>
    <row r="264" spans="16:21">
      <c r="P264" s="225"/>
      <c r="U264" s="205"/>
    </row>
    <row r="265" spans="16:21">
      <c r="P265" s="225"/>
      <c r="U265" s="205"/>
    </row>
    <row r="266" spans="16:21">
      <c r="P266" s="225"/>
      <c r="U266" s="205"/>
    </row>
    <row r="267" spans="16:21">
      <c r="P267" s="225"/>
      <c r="U267" s="205"/>
    </row>
    <row r="268" spans="16:21">
      <c r="P268" s="225"/>
      <c r="U268" s="205"/>
    </row>
    <row r="269" spans="16:21">
      <c r="P269" s="225"/>
      <c r="U269" s="205"/>
    </row>
    <row r="270" spans="16:21">
      <c r="P270" s="225"/>
      <c r="U270" s="205"/>
    </row>
    <row r="271" spans="16:21">
      <c r="P271" s="225"/>
      <c r="U271" s="205"/>
    </row>
    <row r="272" spans="16:21">
      <c r="P272" s="225"/>
      <c r="U272" s="205"/>
    </row>
    <row r="273" spans="16:21">
      <c r="P273" s="225"/>
      <c r="U273" s="205"/>
    </row>
    <row r="274" spans="16:21">
      <c r="P274" s="225"/>
      <c r="U274" s="205"/>
    </row>
    <row r="275" spans="16:21">
      <c r="P275" s="225"/>
      <c r="U275" s="205"/>
    </row>
    <row r="276" spans="16:21">
      <c r="P276" s="225"/>
      <c r="U276" s="205"/>
    </row>
    <row r="277" spans="16:21">
      <c r="P277" s="225"/>
      <c r="U277" s="205"/>
    </row>
    <row r="278" spans="16:21">
      <c r="P278" s="225"/>
      <c r="U278" s="205"/>
    </row>
    <row r="279" spans="16:21">
      <c r="P279" s="225"/>
      <c r="U279" s="205"/>
    </row>
    <row r="280" spans="16:21">
      <c r="P280" s="225"/>
      <c r="U280" s="205"/>
    </row>
    <row r="281" spans="16:21">
      <c r="P281" s="225"/>
      <c r="U281" s="205"/>
    </row>
    <row r="282" spans="16:21">
      <c r="P282" s="225"/>
      <c r="U282" s="205"/>
    </row>
    <row r="283" spans="16:21">
      <c r="P283" s="225"/>
      <c r="U283" s="205"/>
    </row>
    <row r="284" spans="16:21">
      <c r="P284" s="225"/>
      <c r="U284" s="205"/>
    </row>
    <row r="285" spans="16:21">
      <c r="P285" s="225"/>
      <c r="U285" s="205"/>
    </row>
    <row r="286" spans="16:21">
      <c r="P286" s="225"/>
      <c r="U286" s="205"/>
    </row>
    <row r="287" spans="16:21">
      <c r="P287" s="225"/>
      <c r="U287" s="205"/>
    </row>
    <row r="288" spans="16:21">
      <c r="P288" s="225"/>
      <c r="U288" s="205"/>
    </row>
    <row r="289" spans="16:21">
      <c r="P289" s="225"/>
      <c r="U289" s="205"/>
    </row>
    <row r="290" spans="16:21">
      <c r="P290" s="225"/>
      <c r="U290" s="205"/>
    </row>
    <row r="291" spans="16:21">
      <c r="P291" s="225"/>
      <c r="U291" s="205"/>
    </row>
    <row r="292" spans="16:21">
      <c r="P292" s="225"/>
      <c r="U292" s="205"/>
    </row>
    <row r="293" spans="16:21">
      <c r="P293" s="225"/>
      <c r="U293" s="205"/>
    </row>
    <row r="294" spans="16:21">
      <c r="P294" s="225"/>
      <c r="U294" s="205"/>
    </row>
    <row r="295" spans="16:21">
      <c r="P295" s="225"/>
      <c r="U295" s="205"/>
    </row>
    <row r="296" spans="16:21">
      <c r="P296" s="225"/>
      <c r="U296" s="205"/>
    </row>
    <row r="297" spans="16:21">
      <c r="P297" s="225"/>
      <c r="U297" s="205"/>
    </row>
    <row r="298" spans="16:21">
      <c r="P298" s="225"/>
      <c r="U298" s="205"/>
    </row>
    <row r="299" spans="16:21">
      <c r="P299" s="225"/>
      <c r="U299" s="205"/>
    </row>
    <row r="300" spans="16:21">
      <c r="P300" s="225"/>
      <c r="U300" s="205"/>
    </row>
    <row r="301" spans="16:21">
      <c r="P301" s="225"/>
      <c r="U301" s="205"/>
    </row>
    <row r="302" spans="16:21">
      <c r="P302" s="225"/>
      <c r="U302" s="205"/>
    </row>
    <row r="303" spans="16:21">
      <c r="P303" s="225"/>
      <c r="U303" s="205"/>
    </row>
    <row r="304" spans="16:21">
      <c r="P304" s="225"/>
      <c r="U304" s="205"/>
    </row>
    <row r="305" spans="16:21">
      <c r="P305" s="225"/>
      <c r="U305" s="205"/>
    </row>
    <row r="306" spans="16:21">
      <c r="P306" s="225"/>
      <c r="U306" s="205"/>
    </row>
    <row r="307" spans="16:21">
      <c r="P307" s="225"/>
      <c r="U307" s="205"/>
    </row>
    <row r="308" spans="16:21">
      <c r="P308" s="225"/>
      <c r="U308" s="205"/>
    </row>
    <row r="309" spans="16:21">
      <c r="P309" s="225"/>
      <c r="U309" s="205"/>
    </row>
    <row r="310" spans="16:21">
      <c r="P310" s="225"/>
      <c r="U310" s="205"/>
    </row>
    <row r="311" spans="16:21">
      <c r="P311" s="225"/>
      <c r="U311" s="205"/>
    </row>
    <row r="312" spans="16:21">
      <c r="P312" s="225"/>
      <c r="U312" s="205"/>
    </row>
    <row r="313" spans="16:21">
      <c r="P313" s="225"/>
      <c r="U313" s="205"/>
    </row>
    <row r="314" spans="16:21">
      <c r="P314" s="225"/>
      <c r="U314" s="205"/>
    </row>
    <row r="315" spans="16:21">
      <c r="P315" s="225"/>
      <c r="U315" s="205"/>
    </row>
    <row r="316" spans="16:21">
      <c r="P316" s="225"/>
      <c r="U316" s="205"/>
    </row>
    <row r="317" spans="16:21">
      <c r="P317" s="225"/>
      <c r="U317" s="205"/>
    </row>
    <row r="318" spans="16:21">
      <c r="P318" s="225"/>
      <c r="U318" s="205"/>
    </row>
    <row r="319" spans="16:21">
      <c r="P319" s="225"/>
      <c r="U319" s="205"/>
    </row>
    <row r="320" spans="16:21">
      <c r="P320" s="225"/>
      <c r="U320" s="205"/>
    </row>
    <row r="321" spans="16:21">
      <c r="P321" s="225"/>
      <c r="U321" s="205"/>
    </row>
    <row r="322" spans="16:21">
      <c r="P322" s="225"/>
      <c r="U322" s="205"/>
    </row>
    <row r="323" spans="16:21">
      <c r="P323" s="225"/>
      <c r="U323" s="205"/>
    </row>
    <row r="324" spans="16:21">
      <c r="P324" s="225"/>
      <c r="U324" s="205"/>
    </row>
    <row r="325" spans="16:21">
      <c r="P325" s="225"/>
      <c r="U325" s="205"/>
    </row>
    <row r="326" spans="16:21">
      <c r="P326" s="225"/>
      <c r="U326" s="205"/>
    </row>
    <row r="327" spans="16:21">
      <c r="P327" s="225"/>
      <c r="U327" s="205"/>
    </row>
    <row r="328" spans="16:21">
      <c r="P328" s="225"/>
      <c r="U328" s="205"/>
    </row>
    <row r="329" spans="16:21">
      <c r="P329" s="225"/>
      <c r="U329" s="205"/>
    </row>
    <row r="330" spans="16:21">
      <c r="P330" s="225"/>
      <c r="U330" s="205"/>
    </row>
    <row r="331" spans="16:21">
      <c r="P331" s="225"/>
      <c r="U331" s="205"/>
    </row>
    <row r="332" spans="16:21">
      <c r="P332" s="225"/>
      <c r="U332" s="205"/>
    </row>
    <row r="333" spans="16:21">
      <c r="P333" s="225"/>
      <c r="U333" s="205"/>
    </row>
    <row r="334" spans="16:21">
      <c r="P334" s="225"/>
      <c r="U334" s="205"/>
    </row>
    <row r="335" spans="16:21">
      <c r="P335" s="225"/>
      <c r="U335" s="205"/>
    </row>
    <row r="336" spans="16:21">
      <c r="P336" s="225"/>
      <c r="U336" s="205"/>
    </row>
    <row r="337" spans="16:21">
      <c r="P337" s="225"/>
      <c r="U337" s="205"/>
    </row>
    <row r="338" spans="16:21">
      <c r="P338" s="225"/>
      <c r="U338" s="205"/>
    </row>
    <row r="339" spans="16:21">
      <c r="P339" s="225"/>
      <c r="U339" s="205"/>
    </row>
    <row r="340" spans="16:21">
      <c r="P340" s="225"/>
      <c r="U340" s="205"/>
    </row>
    <row r="341" spans="16:21">
      <c r="P341" s="225"/>
      <c r="U341" s="205"/>
    </row>
    <row r="342" spans="16:21">
      <c r="P342" s="225"/>
      <c r="U342" s="205"/>
    </row>
    <row r="343" spans="16:21">
      <c r="P343" s="225"/>
      <c r="U343" s="205"/>
    </row>
    <row r="344" spans="16:21">
      <c r="P344" s="225"/>
      <c r="U344" s="205"/>
    </row>
    <row r="345" spans="16:21">
      <c r="P345" s="225"/>
      <c r="U345" s="205"/>
    </row>
    <row r="346" spans="16:21">
      <c r="P346" s="225"/>
      <c r="U346" s="205"/>
    </row>
    <row r="347" spans="16:21">
      <c r="P347" s="225"/>
      <c r="U347" s="205"/>
    </row>
    <row r="348" spans="16:21">
      <c r="P348" s="225"/>
      <c r="U348" s="205"/>
    </row>
    <row r="349" spans="16:21">
      <c r="P349" s="225"/>
      <c r="U349" s="205"/>
    </row>
    <row r="350" spans="16:21">
      <c r="P350" s="225"/>
      <c r="U350" s="205"/>
    </row>
    <row r="351" spans="16:21">
      <c r="P351" s="225"/>
      <c r="U351" s="205"/>
    </row>
    <row r="352" spans="16:21">
      <c r="P352" s="225"/>
      <c r="U352" s="205"/>
    </row>
    <row r="353" spans="16:21">
      <c r="P353" s="225"/>
      <c r="U353" s="205"/>
    </row>
    <row r="354" spans="16:21">
      <c r="P354" s="225"/>
      <c r="U354" s="205"/>
    </row>
    <row r="355" spans="16:21">
      <c r="P355" s="225"/>
      <c r="U355" s="205"/>
    </row>
    <row r="356" spans="16:21">
      <c r="P356" s="225"/>
      <c r="U356" s="205"/>
    </row>
    <row r="357" spans="16:21">
      <c r="P357" s="225"/>
      <c r="U357" s="205"/>
    </row>
    <row r="358" spans="16:21">
      <c r="P358" s="225"/>
      <c r="U358" s="205"/>
    </row>
    <row r="359" spans="16:21">
      <c r="P359" s="225"/>
      <c r="U359" s="205"/>
    </row>
    <row r="360" spans="16:21">
      <c r="P360" s="225"/>
      <c r="U360" s="205"/>
    </row>
    <row r="361" spans="16:21">
      <c r="P361" s="225"/>
      <c r="U361" s="205"/>
    </row>
    <row r="362" spans="16:21">
      <c r="P362" s="225"/>
      <c r="U362" s="205"/>
    </row>
    <row r="363" spans="16:21">
      <c r="P363" s="225"/>
      <c r="U363" s="205"/>
    </row>
    <row r="364" spans="16:21">
      <c r="P364" s="225"/>
      <c r="U364" s="205"/>
    </row>
    <row r="365" spans="16:21">
      <c r="P365" s="225"/>
      <c r="U365" s="205"/>
    </row>
    <row r="366" spans="16:21">
      <c r="P366" s="225"/>
      <c r="U366" s="205"/>
    </row>
    <row r="367" spans="16:21">
      <c r="P367" s="225"/>
      <c r="U367" s="205"/>
    </row>
    <row r="368" spans="16:21">
      <c r="P368" s="225"/>
      <c r="U368" s="205"/>
    </row>
    <row r="369" spans="16:21">
      <c r="P369" s="225"/>
      <c r="U369" s="205"/>
    </row>
    <row r="370" spans="16:21">
      <c r="P370" s="225"/>
      <c r="U370" s="205"/>
    </row>
    <row r="371" spans="16:21">
      <c r="P371" s="225"/>
      <c r="U371" s="205"/>
    </row>
    <row r="372" spans="16:21">
      <c r="P372" s="225"/>
      <c r="U372" s="205"/>
    </row>
    <row r="373" spans="16:21">
      <c r="P373" s="225"/>
      <c r="U373" s="205"/>
    </row>
    <row r="374" spans="16:21">
      <c r="P374" s="225"/>
      <c r="U374" s="205"/>
    </row>
    <row r="375" spans="16:21">
      <c r="P375" s="225"/>
      <c r="U375" s="205"/>
    </row>
    <row r="376" spans="16:21">
      <c r="P376" s="225"/>
      <c r="U376" s="205"/>
    </row>
    <row r="377" spans="16:21">
      <c r="P377" s="225"/>
      <c r="U377" s="205"/>
    </row>
    <row r="378" spans="16:21">
      <c r="P378" s="225"/>
      <c r="U378" s="205"/>
    </row>
    <row r="379" spans="16:21">
      <c r="P379" s="225"/>
      <c r="U379" s="205"/>
    </row>
    <row r="380" spans="16:21">
      <c r="P380" s="225"/>
      <c r="U380" s="205"/>
    </row>
    <row r="381" spans="16:21">
      <c r="P381" s="225"/>
      <c r="U381" s="205"/>
    </row>
    <row r="382" spans="16:21">
      <c r="P382" s="225"/>
      <c r="U382" s="205"/>
    </row>
    <row r="383" spans="16:21">
      <c r="P383" s="225"/>
      <c r="U383" s="205"/>
    </row>
    <row r="384" spans="16:21">
      <c r="P384" s="225"/>
      <c r="U384" s="205"/>
    </row>
    <row r="385" spans="16:21">
      <c r="P385" s="225"/>
      <c r="U385" s="205"/>
    </row>
    <row r="386" spans="16:21">
      <c r="P386" s="225"/>
      <c r="U386" s="205"/>
    </row>
    <row r="387" spans="16:21">
      <c r="P387" s="225"/>
      <c r="U387" s="205"/>
    </row>
    <row r="388" spans="16:21">
      <c r="P388" s="225"/>
      <c r="U388" s="205"/>
    </row>
    <row r="389" spans="16:21">
      <c r="P389" s="225"/>
      <c r="U389" s="205"/>
    </row>
    <row r="390" spans="16:21">
      <c r="P390" s="225"/>
      <c r="U390" s="205"/>
    </row>
    <row r="391" spans="16:21">
      <c r="P391" s="225"/>
      <c r="U391" s="205"/>
    </row>
    <row r="392" spans="16:21">
      <c r="P392" s="225"/>
      <c r="U392" s="205"/>
    </row>
    <row r="393" spans="16:21">
      <c r="P393" s="225"/>
      <c r="U393" s="205"/>
    </row>
    <row r="394" spans="16:21">
      <c r="P394" s="225"/>
      <c r="U394" s="205"/>
    </row>
    <row r="395" spans="16:21">
      <c r="P395" s="225"/>
      <c r="U395" s="205"/>
    </row>
    <row r="396" spans="16:21">
      <c r="P396" s="225"/>
      <c r="U396" s="205"/>
    </row>
    <row r="397" spans="16:21">
      <c r="P397" s="225"/>
      <c r="U397" s="205"/>
    </row>
    <row r="398" spans="16:21">
      <c r="P398" s="225"/>
      <c r="U398" s="205"/>
    </row>
    <row r="399" spans="16:21">
      <c r="P399" s="225"/>
      <c r="U399" s="205"/>
    </row>
    <row r="400" spans="16:21">
      <c r="P400" s="225"/>
      <c r="U400" s="205"/>
    </row>
    <row r="401" spans="16:21">
      <c r="P401" s="225"/>
      <c r="U401" s="205"/>
    </row>
    <row r="402" spans="16:21">
      <c r="P402" s="225"/>
      <c r="U402" s="205"/>
    </row>
    <row r="403" spans="16:21">
      <c r="P403" s="225"/>
      <c r="U403" s="205"/>
    </row>
    <row r="404" spans="16:21">
      <c r="P404" s="225"/>
      <c r="U404" s="205"/>
    </row>
    <row r="405" spans="16:21">
      <c r="P405" s="225"/>
      <c r="U405" s="205"/>
    </row>
    <row r="406" spans="16:21">
      <c r="P406" s="225"/>
      <c r="U406" s="205"/>
    </row>
    <row r="407" spans="16:21">
      <c r="P407" s="225"/>
      <c r="U407" s="205"/>
    </row>
    <row r="408" spans="16:21">
      <c r="P408" s="225"/>
      <c r="U408" s="205"/>
    </row>
    <row r="409" spans="16:21">
      <c r="P409" s="225"/>
      <c r="U409" s="205"/>
    </row>
    <row r="410" spans="16:21">
      <c r="P410" s="225"/>
      <c r="U410" s="205"/>
    </row>
    <row r="411" spans="16:21">
      <c r="P411" s="225"/>
      <c r="U411" s="205"/>
    </row>
    <row r="412" spans="16:21">
      <c r="P412" s="225"/>
      <c r="U412" s="205"/>
    </row>
    <row r="413" spans="16:21">
      <c r="P413" s="225"/>
      <c r="U413" s="205"/>
    </row>
    <row r="414" spans="16:21">
      <c r="P414" s="225"/>
      <c r="U414" s="205"/>
    </row>
    <row r="415" spans="16:21">
      <c r="P415" s="225"/>
      <c r="U415" s="205"/>
    </row>
    <row r="416" spans="16:21">
      <c r="P416" s="225"/>
      <c r="U416" s="205"/>
    </row>
    <row r="417" spans="16:21">
      <c r="P417" s="225"/>
      <c r="U417" s="205"/>
    </row>
    <row r="418" spans="16:21">
      <c r="P418" s="225"/>
      <c r="U418" s="205"/>
    </row>
    <row r="419" spans="16:21">
      <c r="P419" s="225"/>
      <c r="U419" s="205"/>
    </row>
    <row r="420" spans="16:21">
      <c r="P420" s="225"/>
      <c r="U420" s="205"/>
    </row>
    <row r="421" spans="16:21">
      <c r="P421" s="225"/>
      <c r="U421" s="205"/>
    </row>
    <row r="422" spans="16:21">
      <c r="P422" s="225"/>
      <c r="U422" s="205"/>
    </row>
    <row r="423" spans="16:21">
      <c r="P423" s="225"/>
      <c r="U423" s="205"/>
    </row>
    <row r="424" spans="16:21">
      <c r="P424" s="225"/>
      <c r="U424" s="205"/>
    </row>
    <row r="425" spans="16:21">
      <c r="P425" s="225"/>
      <c r="U425" s="205"/>
    </row>
    <row r="426" spans="16:21">
      <c r="P426" s="225"/>
      <c r="U426" s="205"/>
    </row>
    <row r="427" spans="16:21">
      <c r="P427" s="225"/>
      <c r="U427" s="205"/>
    </row>
    <row r="428" spans="16:21">
      <c r="P428" s="225"/>
      <c r="U428" s="205"/>
    </row>
    <row r="429" spans="16:21">
      <c r="P429" s="225"/>
      <c r="U429" s="205"/>
    </row>
    <row r="430" spans="16:21">
      <c r="P430" s="225"/>
      <c r="U430" s="205"/>
    </row>
    <row r="431" spans="16:21">
      <c r="P431" s="225"/>
      <c r="U431" s="205"/>
    </row>
    <row r="432" spans="16:21">
      <c r="P432" s="225"/>
      <c r="U432" s="205"/>
    </row>
    <row r="433" spans="16:21">
      <c r="P433" s="225"/>
      <c r="U433" s="205"/>
    </row>
    <row r="434" spans="16:21">
      <c r="P434" s="225"/>
      <c r="U434" s="205"/>
    </row>
    <row r="435" spans="16:21">
      <c r="P435" s="225"/>
      <c r="U435" s="205"/>
    </row>
    <row r="436" spans="16:21">
      <c r="P436" s="225"/>
      <c r="U436" s="205"/>
    </row>
    <row r="437" spans="16:21">
      <c r="P437" s="225"/>
      <c r="U437" s="205"/>
    </row>
    <row r="438" spans="16:21">
      <c r="P438" s="225"/>
      <c r="U438" s="205"/>
    </row>
    <row r="439" spans="16:21">
      <c r="P439" s="225"/>
      <c r="U439" s="205"/>
    </row>
    <row r="440" spans="16:21">
      <c r="P440" s="225"/>
      <c r="U440" s="205"/>
    </row>
    <row r="441" spans="16:21">
      <c r="P441" s="225"/>
      <c r="U441" s="205"/>
    </row>
    <row r="442" spans="16:21">
      <c r="P442" s="225"/>
      <c r="U442" s="205"/>
    </row>
    <row r="443" spans="16:21">
      <c r="P443" s="225"/>
      <c r="U443" s="205"/>
    </row>
    <row r="444" spans="16:21">
      <c r="P444" s="225"/>
      <c r="U444" s="205"/>
    </row>
    <row r="445" spans="16:21">
      <c r="P445" s="225"/>
      <c r="U445" s="205"/>
    </row>
    <row r="446" spans="16:21">
      <c r="P446" s="225"/>
      <c r="U446" s="205"/>
    </row>
    <row r="447" spans="16:21">
      <c r="P447" s="225"/>
      <c r="U447" s="205"/>
    </row>
    <row r="448" spans="16:21">
      <c r="P448" s="225"/>
      <c r="U448" s="205"/>
    </row>
    <row r="449" spans="16:21">
      <c r="P449" s="225"/>
      <c r="U449" s="205"/>
    </row>
    <row r="450" spans="16:21">
      <c r="P450" s="225"/>
      <c r="U450" s="205"/>
    </row>
    <row r="451" spans="16:21">
      <c r="P451" s="225"/>
      <c r="U451" s="205"/>
    </row>
    <row r="452" spans="16:21">
      <c r="P452" s="225"/>
      <c r="U452" s="205"/>
    </row>
    <row r="453" spans="16:21">
      <c r="P453" s="225"/>
      <c r="U453" s="205"/>
    </row>
    <row r="454" spans="16:21">
      <c r="P454" s="225"/>
      <c r="U454" s="205"/>
    </row>
    <row r="455" spans="16:21">
      <c r="P455" s="225"/>
      <c r="U455" s="205"/>
    </row>
    <row r="456" spans="16:21">
      <c r="P456" s="225"/>
      <c r="U456" s="205"/>
    </row>
    <row r="457" spans="16:21">
      <c r="P457" s="225"/>
      <c r="U457" s="205"/>
    </row>
    <row r="458" spans="16:21">
      <c r="P458" s="225"/>
      <c r="U458" s="205"/>
    </row>
    <row r="459" spans="16:21">
      <c r="P459" s="225"/>
      <c r="U459" s="205"/>
    </row>
    <row r="460" spans="16:21">
      <c r="P460" s="225"/>
      <c r="U460" s="205"/>
    </row>
    <row r="461" spans="16:21">
      <c r="P461" s="225"/>
      <c r="U461" s="205"/>
    </row>
    <row r="462" spans="16:21">
      <c r="P462" s="225"/>
      <c r="U462" s="205"/>
    </row>
    <row r="463" spans="16:21">
      <c r="P463" s="225"/>
      <c r="U463" s="205"/>
    </row>
    <row r="464" spans="16:21">
      <c r="P464" s="225"/>
      <c r="U464" s="205"/>
    </row>
    <row r="465" spans="16:21">
      <c r="P465" s="225"/>
      <c r="U465" s="205"/>
    </row>
    <row r="466" spans="16:21">
      <c r="P466" s="225"/>
      <c r="U466" s="205"/>
    </row>
    <row r="467" spans="16:21">
      <c r="P467" s="225"/>
      <c r="U467" s="205"/>
    </row>
    <row r="468" spans="16:21">
      <c r="P468" s="225"/>
      <c r="U468" s="205"/>
    </row>
    <row r="469" spans="16:21">
      <c r="P469" s="225"/>
      <c r="U469" s="205"/>
    </row>
    <row r="470" spans="16:21">
      <c r="P470" s="225"/>
      <c r="U470" s="205"/>
    </row>
    <row r="471" spans="16:21">
      <c r="P471" s="225"/>
      <c r="U471" s="205"/>
    </row>
    <row r="472" spans="16:21">
      <c r="P472" s="225"/>
      <c r="U472" s="205"/>
    </row>
    <row r="473" spans="16:21">
      <c r="P473" s="225"/>
      <c r="U473" s="205"/>
    </row>
    <row r="474" spans="16:21">
      <c r="P474" s="225"/>
      <c r="U474" s="205"/>
    </row>
    <row r="475" spans="16:21">
      <c r="P475" s="225"/>
      <c r="U475" s="205"/>
    </row>
    <row r="476" spans="16:21">
      <c r="P476" s="225"/>
      <c r="U476" s="205"/>
    </row>
    <row r="477" spans="16:21">
      <c r="P477" s="225"/>
      <c r="U477" s="205"/>
    </row>
    <row r="478" spans="16:21">
      <c r="P478" s="225"/>
      <c r="U478" s="205"/>
    </row>
    <row r="479" spans="16:21">
      <c r="P479" s="225"/>
      <c r="U479" s="205"/>
    </row>
    <row r="480" spans="16:21">
      <c r="P480" s="225"/>
      <c r="U480" s="205"/>
    </row>
    <row r="481" spans="16:21">
      <c r="P481" s="225"/>
      <c r="U481" s="205"/>
    </row>
    <row r="482" spans="16:21">
      <c r="P482" s="225"/>
      <c r="U482" s="205"/>
    </row>
    <row r="483" spans="16:21">
      <c r="P483" s="225"/>
      <c r="U483" s="205"/>
    </row>
    <row r="484" spans="16:21">
      <c r="P484" s="225"/>
      <c r="U484" s="205"/>
    </row>
    <row r="485" spans="16:21">
      <c r="P485" s="225"/>
      <c r="U485" s="205"/>
    </row>
    <row r="486" spans="16:21">
      <c r="P486" s="225"/>
      <c r="U486" s="205"/>
    </row>
    <row r="487" spans="16:21">
      <c r="P487" s="225"/>
      <c r="U487" s="205"/>
    </row>
    <row r="488" spans="16:21">
      <c r="P488" s="225"/>
      <c r="U488" s="205"/>
    </row>
    <row r="489" spans="16:21">
      <c r="P489" s="225"/>
      <c r="U489" s="205"/>
    </row>
    <row r="490" spans="16:21">
      <c r="P490" s="225"/>
      <c r="U490" s="205"/>
    </row>
    <row r="491" spans="16:21">
      <c r="P491" s="225"/>
      <c r="U491" s="205"/>
    </row>
    <row r="492" spans="16:21">
      <c r="P492" s="225"/>
      <c r="U492" s="205"/>
    </row>
    <row r="493" spans="16:21">
      <c r="P493" s="225"/>
      <c r="U493" s="205"/>
    </row>
    <row r="494" spans="16:21">
      <c r="P494" s="225"/>
      <c r="U494" s="205"/>
    </row>
    <row r="495" spans="16:21">
      <c r="P495" s="225"/>
      <c r="U495" s="205"/>
    </row>
    <row r="496" spans="16:21">
      <c r="P496" s="225"/>
      <c r="U496" s="205"/>
    </row>
    <row r="497" spans="16:21">
      <c r="P497" s="225"/>
      <c r="U497" s="205"/>
    </row>
    <row r="498" spans="16:21">
      <c r="P498" s="225"/>
      <c r="U498" s="205"/>
    </row>
    <row r="499" spans="16:21">
      <c r="P499" s="225"/>
      <c r="U499" s="205"/>
    </row>
    <row r="500" spans="16:21">
      <c r="P500" s="225"/>
      <c r="U500" s="205"/>
    </row>
    <row r="501" spans="16:21">
      <c r="P501" s="225"/>
      <c r="U501" s="205"/>
    </row>
    <row r="502" spans="16:21">
      <c r="P502" s="225"/>
      <c r="U502" s="205"/>
    </row>
    <row r="503" spans="16:21">
      <c r="P503" s="225"/>
      <c r="U503" s="205"/>
    </row>
    <row r="504" spans="16:21">
      <c r="P504" s="225"/>
      <c r="U504" s="205"/>
    </row>
    <row r="505" spans="16:21">
      <c r="P505" s="225"/>
      <c r="U505" s="205"/>
    </row>
    <row r="506" spans="16:21">
      <c r="P506" s="225"/>
      <c r="U506" s="205"/>
    </row>
    <row r="507" spans="16:21">
      <c r="P507" s="225"/>
      <c r="U507" s="205"/>
    </row>
    <row r="508" spans="16:21">
      <c r="P508" s="225"/>
      <c r="U508" s="205"/>
    </row>
    <row r="509" spans="16:21">
      <c r="P509" s="225"/>
      <c r="U509" s="205"/>
    </row>
    <row r="510" spans="16:21">
      <c r="P510" s="225"/>
      <c r="U510" s="205"/>
    </row>
    <row r="511" spans="16:21">
      <c r="P511" s="225"/>
      <c r="U511" s="205"/>
    </row>
    <row r="512" spans="16:21">
      <c r="P512" s="225"/>
      <c r="U512" s="205"/>
    </row>
    <row r="513" spans="16:21">
      <c r="P513" s="225"/>
      <c r="U513" s="205"/>
    </row>
    <row r="514" spans="16:21">
      <c r="P514" s="225"/>
      <c r="U514" s="205"/>
    </row>
    <row r="515" spans="16:21">
      <c r="P515" s="225"/>
      <c r="U515" s="205"/>
    </row>
    <row r="516" spans="16:21">
      <c r="P516" s="225"/>
      <c r="U516" s="205"/>
    </row>
    <row r="517" spans="16:21">
      <c r="P517" s="225"/>
      <c r="U517" s="205"/>
    </row>
    <row r="518" spans="16:21">
      <c r="P518" s="225"/>
      <c r="U518" s="205"/>
    </row>
    <row r="519" spans="16:21">
      <c r="P519" s="225"/>
      <c r="U519" s="205"/>
    </row>
    <row r="520" spans="16:21">
      <c r="P520" s="225"/>
      <c r="U520" s="205"/>
    </row>
    <row r="521" spans="16:21">
      <c r="P521" s="225"/>
      <c r="U521" s="205"/>
    </row>
    <row r="522" spans="16:21">
      <c r="P522" s="225"/>
      <c r="U522" s="205"/>
    </row>
    <row r="523" spans="16:21">
      <c r="P523" s="225"/>
      <c r="U523" s="205"/>
    </row>
    <row r="524" spans="16:21">
      <c r="P524" s="225"/>
      <c r="U524" s="205"/>
    </row>
    <row r="525" spans="16:21">
      <c r="P525" s="225"/>
      <c r="U525" s="205"/>
    </row>
    <row r="526" spans="16:21">
      <c r="P526" s="225"/>
      <c r="U526" s="205"/>
    </row>
    <row r="527" spans="16:21">
      <c r="P527" s="225"/>
      <c r="U527" s="205"/>
    </row>
    <row r="528" spans="16:21">
      <c r="P528" s="225"/>
      <c r="U528" s="205"/>
    </row>
    <row r="529" spans="16:21">
      <c r="P529" s="225"/>
      <c r="U529" s="205"/>
    </row>
    <row r="530" spans="16:21">
      <c r="P530" s="225"/>
      <c r="U530" s="205"/>
    </row>
    <row r="531" spans="16:21">
      <c r="P531" s="225"/>
      <c r="U531" s="205"/>
    </row>
    <row r="532" spans="16:21">
      <c r="P532" s="225"/>
      <c r="U532" s="205"/>
    </row>
    <row r="533" spans="16:21">
      <c r="P533" s="225"/>
      <c r="U533" s="205"/>
    </row>
    <row r="534" spans="16:21">
      <c r="P534" s="225"/>
      <c r="U534" s="205"/>
    </row>
    <row r="535" spans="16:21">
      <c r="P535" s="225"/>
      <c r="U535" s="205"/>
    </row>
    <row r="536" spans="16:21">
      <c r="P536" s="225"/>
      <c r="U536" s="205"/>
    </row>
    <row r="537" spans="16:21">
      <c r="P537" s="225"/>
      <c r="U537" s="205"/>
    </row>
    <row r="538" spans="16:21">
      <c r="P538" s="225"/>
      <c r="U538" s="205"/>
    </row>
    <row r="539" spans="16:21">
      <c r="P539" s="225"/>
      <c r="U539" s="205"/>
    </row>
    <row r="540" spans="16:21">
      <c r="P540" s="225"/>
      <c r="U540" s="205"/>
    </row>
    <row r="541" spans="16:21">
      <c r="P541" s="225"/>
      <c r="U541" s="205"/>
    </row>
    <row r="542" spans="16:21">
      <c r="P542" s="225"/>
      <c r="U542" s="205"/>
    </row>
    <row r="543" spans="16:21">
      <c r="P543" s="225"/>
      <c r="U543" s="205"/>
    </row>
    <row r="544" spans="16:21">
      <c r="P544" s="225"/>
      <c r="U544" s="205"/>
    </row>
    <row r="545" spans="16:21">
      <c r="P545" s="225"/>
      <c r="U545" s="205"/>
    </row>
    <row r="546" spans="16:21">
      <c r="P546" s="225"/>
      <c r="U546" s="205"/>
    </row>
    <row r="547" spans="16:21">
      <c r="P547" s="225"/>
      <c r="U547" s="205"/>
    </row>
    <row r="548" spans="16:21">
      <c r="P548" s="225"/>
      <c r="U548" s="205"/>
    </row>
    <row r="549" spans="16:21">
      <c r="P549" s="225"/>
      <c r="U549" s="205"/>
    </row>
    <row r="550" spans="16:21">
      <c r="P550" s="225"/>
      <c r="U550" s="205"/>
    </row>
    <row r="551" spans="16:21">
      <c r="P551" s="225"/>
      <c r="U551" s="205"/>
    </row>
    <row r="552" spans="16:21">
      <c r="P552" s="225"/>
      <c r="U552" s="205"/>
    </row>
    <row r="553" spans="16:21">
      <c r="P553" s="225"/>
      <c r="U553" s="205"/>
    </row>
    <row r="554" spans="16:21">
      <c r="P554" s="225"/>
      <c r="U554" s="205"/>
    </row>
    <row r="555" spans="16:21">
      <c r="P555" s="225"/>
      <c r="U555" s="205"/>
    </row>
    <row r="556" spans="16:21">
      <c r="P556" s="225"/>
      <c r="U556" s="205"/>
    </row>
    <row r="557" spans="16:21">
      <c r="P557" s="225"/>
      <c r="U557" s="205"/>
    </row>
    <row r="558" spans="16:21">
      <c r="P558" s="225"/>
      <c r="U558" s="205"/>
    </row>
    <row r="559" spans="16:21">
      <c r="P559" s="225"/>
      <c r="U559" s="205"/>
    </row>
    <row r="560" spans="16:21">
      <c r="P560" s="225"/>
      <c r="U560" s="205"/>
    </row>
    <row r="561" spans="16:21">
      <c r="P561" s="225"/>
      <c r="U561" s="205"/>
    </row>
    <row r="562" spans="16:21">
      <c r="P562" s="225"/>
      <c r="U562" s="205"/>
    </row>
    <row r="563" spans="16:21">
      <c r="P563" s="225"/>
      <c r="U563" s="205"/>
    </row>
    <row r="564" spans="16:21">
      <c r="P564" s="225"/>
      <c r="U564" s="205"/>
    </row>
    <row r="565" spans="16:21">
      <c r="P565" s="225"/>
      <c r="U565" s="205"/>
    </row>
    <row r="566" spans="16:21">
      <c r="P566" s="225"/>
      <c r="U566" s="205"/>
    </row>
    <row r="567" spans="16:21">
      <c r="P567" s="225"/>
      <c r="U567" s="205"/>
    </row>
    <row r="568" spans="16:21">
      <c r="P568" s="225"/>
      <c r="U568" s="205"/>
    </row>
    <row r="569" spans="16:21">
      <c r="P569" s="225"/>
      <c r="U569" s="205"/>
    </row>
    <row r="570" spans="16:21">
      <c r="P570" s="225"/>
      <c r="U570" s="205"/>
    </row>
    <row r="571" spans="16:21">
      <c r="P571" s="225"/>
      <c r="U571" s="205"/>
    </row>
    <row r="572" spans="16:21">
      <c r="P572" s="225"/>
      <c r="U572" s="205"/>
    </row>
    <row r="573" spans="16:21">
      <c r="P573" s="225"/>
      <c r="U573" s="205"/>
    </row>
    <row r="574" spans="16:21">
      <c r="P574" s="225"/>
      <c r="U574" s="205"/>
    </row>
    <row r="575" spans="16:21">
      <c r="P575" s="225"/>
      <c r="U575" s="205"/>
    </row>
    <row r="576" spans="16:21">
      <c r="P576" s="225"/>
      <c r="U576" s="205"/>
    </row>
    <row r="577" spans="16:21">
      <c r="P577" s="225"/>
      <c r="U577" s="205"/>
    </row>
    <row r="578" spans="16:21">
      <c r="P578" s="225"/>
      <c r="U578" s="205"/>
    </row>
    <row r="579" spans="16:21">
      <c r="P579" s="225"/>
      <c r="U579" s="205"/>
    </row>
    <row r="580" spans="16:21">
      <c r="P580" s="225"/>
      <c r="U580" s="205"/>
    </row>
    <row r="581" spans="16:21">
      <c r="P581" s="225"/>
      <c r="U581" s="205"/>
    </row>
    <row r="582" spans="16:21">
      <c r="P582" s="225"/>
      <c r="U582" s="205"/>
    </row>
    <row r="583" spans="16:21">
      <c r="P583" s="225"/>
      <c r="U583" s="205"/>
    </row>
    <row r="584" spans="16:21">
      <c r="P584" s="225"/>
      <c r="U584" s="205"/>
    </row>
    <row r="585" spans="16:21">
      <c r="P585" s="225"/>
      <c r="U585" s="205"/>
    </row>
    <row r="586" spans="16:21">
      <c r="P586" s="225"/>
      <c r="U586" s="205"/>
    </row>
    <row r="587" spans="16:21">
      <c r="P587" s="225"/>
      <c r="U587" s="205"/>
    </row>
    <row r="588" spans="16:21">
      <c r="P588" s="225"/>
      <c r="U588" s="205"/>
    </row>
    <row r="589" spans="16:21">
      <c r="P589" s="225"/>
      <c r="U589" s="205"/>
    </row>
    <row r="590" spans="16:21">
      <c r="P590" s="225"/>
      <c r="U590" s="205"/>
    </row>
    <row r="591" spans="16:21">
      <c r="P591" s="225"/>
      <c r="U591" s="205"/>
    </row>
    <row r="592" spans="16:21">
      <c r="P592" s="225"/>
      <c r="U592" s="205"/>
    </row>
    <row r="593" spans="16:21">
      <c r="P593" s="225"/>
      <c r="U593" s="205"/>
    </row>
    <row r="594" spans="16:21">
      <c r="P594" s="225"/>
      <c r="U594" s="205"/>
    </row>
    <row r="595" spans="16:21">
      <c r="P595" s="225"/>
      <c r="U595" s="205"/>
    </row>
    <row r="596" spans="16:21">
      <c r="P596" s="225"/>
      <c r="U596" s="205"/>
    </row>
    <row r="597" spans="16:21">
      <c r="P597" s="225"/>
      <c r="U597" s="205"/>
    </row>
    <row r="598" spans="16:21">
      <c r="P598" s="225"/>
      <c r="U598" s="205"/>
    </row>
    <row r="599" spans="16:21">
      <c r="P599" s="225"/>
      <c r="U599" s="205"/>
    </row>
    <row r="600" spans="16:21">
      <c r="P600" s="225"/>
      <c r="U600" s="205"/>
    </row>
    <row r="601" spans="16:21">
      <c r="P601" s="225"/>
      <c r="U601" s="205"/>
    </row>
    <row r="602" spans="16:21">
      <c r="P602" s="225"/>
      <c r="U602" s="205"/>
    </row>
    <row r="603" spans="16:21">
      <c r="P603" s="225"/>
      <c r="U603" s="205"/>
    </row>
    <row r="604" spans="16:21">
      <c r="P604" s="225"/>
      <c r="U604" s="205"/>
    </row>
    <row r="605" spans="16:21">
      <c r="P605" s="225"/>
      <c r="U605" s="205"/>
    </row>
    <row r="606" spans="16:21">
      <c r="P606" s="225"/>
      <c r="U606" s="205"/>
    </row>
    <row r="607" spans="16:21">
      <c r="P607" s="225"/>
      <c r="U607" s="205"/>
    </row>
    <row r="608" spans="16:21">
      <c r="P608" s="225"/>
      <c r="U608" s="205"/>
    </row>
    <row r="609" spans="16:21">
      <c r="P609" s="225"/>
      <c r="U609" s="205"/>
    </row>
    <row r="610" spans="16:21">
      <c r="P610" s="225"/>
      <c r="U610" s="205"/>
    </row>
    <row r="611" spans="16:21">
      <c r="P611" s="225"/>
      <c r="U611" s="205"/>
    </row>
    <row r="612" spans="16:21">
      <c r="P612" s="225"/>
      <c r="U612" s="205"/>
    </row>
    <row r="613" spans="16:21">
      <c r="P613" s="225"/>
      <c r="U613" s="205"/>
    </row>
    <row r="614" spans="16:21">
      <c r="P614" s="225"/>
      <c r="U614" s="205"/>
    </row>
    <row r="615" spans="16:21">
      <c r="P615" s="225"/>
      <c r="U615" s="205"/>
    </row>
    <row r="616" spans="16:21">
      <c r="P616" s="225"/>
      <c r="U616" s="205"/>
    </row>
    <row r="617" spans="16:21">
      <c r="P617" s="225"/>
      <c r="U617" s="205"/>
    </row>
    <row r="618" spans="16:21">
      <c r="P618" s="225"/>
      <c r="U618" s="205"/>
    </row>
    <row r="619" spans="16:21">
      <c r="P619" s="225"/>
      <c r="U619" s="205"/>
    </row>
    <row r="620" spans="16:21">
      <c r="P620" s="225"/>
      <c r="U620" s="205"/>
    </row>
    <row r="621" spans="16:21">
      <c r="P621" s="225"/>
      <c r="U621" s="205"/>
    </row>
    <row r="622" spans="16:21">
      <c r="P622" s="225"/>
      <c r="U622" s="205"/>
    </row>
    <row r="623" spans="16:21">
      <c r="P623" s="225"/>
      <c r="U623" s="205"/>
    </row>
    <row r="624" spans="16:21">
      <c r="P624" s="225"/>
      <c r="U624" s="205"/>
    </row>
    <row r="625" spans="16:21">
      <c r="P625" s="225"/>
      <c r="U625" s="205"/>
    </row>
    <row r="626" spans="16:21">
      <c r="P626" s="225"/>
      <c r="U626" s="205"/>
    </row>
    <row r="627" spans="16:21">
      <c r="P627" s="225"/>
      <c r="U627" s="205"/>
    </row>
    <row r="628" spans="16:21">
      <c r="P628" s="225"/>
      <c r="U628" s="205"/>
    </row>
    <row r="629" spans="16:21">
      <c r="P629" s="225"/>
      <c r="U629" s="205"/>
    </row>
    <row r="630" spans="16:21">
      <c r="P630" s="225"/>
      <c r="U630" s="205"/>
    </row>
    <row r="631" spans="16:21">
      <c r="P631" s="225"/>
      <c r="U631" s="205"/>
    </row>
    <row r="632" spans="16:21">
      <c r="P632" s="225"/>
      <c r="U632" s="205"/>
    </row>
    <row r="633" spans="16:21">
      <c r="P633" s="225"/>
      <c r="U633" s="205"/>
    </row>
    <row r="634" spans="16:21">
      <c r="P634" s="225"/>
      <c r="U634" s="205"/>
    </row>
    <row r="635" spans="16:21">
      <c r="P635" s="225"/>
      <c r="U635" s="205"/>
    </row>
    <row r="636" spans="16:21">
      <c r="P636" s="225"/>
      <c r="U636" s="205"/>
    </row>
    <row r="637" spans="16:21">
      <c r="P637" s="225"/>
      <c r="U637" s="205"/>
    </row>
    <row r="638" spans="16:21">
      <c r="P638" s="225"/>
      <c r="U638" s="205"/>
    </row>
    <row r="639" spans="16:21">
      <c r="P639" s="225"/>
      <c r="U639" s="205"/>
    </row>
    <row r="640" spans="16:21">
      <c r="P640" s="225"/>
      <c r="U640" s="205"/>
    </row>
    <row r="641" spans="16:21">
      <c r="P641" s="225"/>
      <c r="U641" s="205"/>
    </row>
    <row r="642" spans="16:21">
      <c r="P642" s="225"/>
      <c r="U642" s="205"/>
    </row>
    <row r="643" spans="16:21">
      <c r="P643" s="225"/>
      <c r="U643" s="205"/>
    </row>
    <row r="644" spans="16:21">
      <c r="P644" s="225"/>
      <c r="U644" s="205"/>
    </row>
    <row r="645" spans="16:21">
      <c r="P645" s="225"/>
      <c r="U645" s="205"/>
    </row>
    <row r="646" spans="16:21">
      <c r="P646" s="225"/>
      <c r="U646" s="205"/>
    </row>
    <row r="647" spans="16:21">
      <c r="P647" s="225"/>
      <c r="U647" s="205"/>
    </row>
    <row r="648" spans="16:21">
      <c r="P648" s="225"/>
      <c r="U648" s="205"/>
    </row>
    <row r="649" spans="16:21">
      <c r="P649" s="225"/>
      <c r="U649" s="205"/>
    </row>
    <row r="650" spans="16:21">
      <c r="P650" s="225"/>
      <c r="U650" s="205"/>
    </row>
    <row r="651" spans="16:21">
      <c r="P651" s="225"/>
      <c r="U651" s="205"/>
    </row>
    <row r="652" spans="16:21">
      <c r="P652" s="225"/>
      <c r="U652" s="205"/>
    </row>
    <row r="653" spans="16:21">
      <c r="P653" s="225"/>
      <c r="U653" s="205"/>
    </row>
    <row r="654" spans="16:21">
      <c r="P654" s="225"/>
      <c r="U654" s="205"/>
    </row>
    <row r="655" spans="16:21">
      <c r="P655" s="225"/>
      <c r="U655" s="205"/>
    </row>
    <row r="656" spans="16:21">
      <c r="P656" s="225"/>
      <c r="U656" s="205"/>
    </row>
    <row r="657" spans="16:21">
      <c r="P657" s="225"/>
      <c r="U657" s="205"/>
    </row>
    <row r="658" spans="16:21">
      <c r="P658" s="225"/>
      <c r="U658" s="205"/>
    </row>
    <row r="659" spans="16:21">
      <c r="P659" s="225"/>
      <c r="U659" s="205"/>
    </row>
    <row r="660" spans="16:21">
      <c r="P660" s="225"/>
      <c r="U660" s="205"/>
    </row>
    <row r="661" spans="16:21">
      <c r="P661" s="225"/>
      <c r="U661" s="205"/>
    </row>
    <row r="662" spans="16:21">
      <c r="P662" s="225"/>
      <c r="U662" s="205"/>
    </row>
    <row r="663" spans="16:21">
      <c r="P663" s="225"/>
      <c r="U663" s="205"/>
    </row>
    <row r="664" spans="16:21">
      <c r="P664" s="225"/>
      <c r="U664" s="205"/>
    </row>
    <row r="665" spans="16:21">
      <c r="P665" s="225"/>
      <c r="U665" s="205"/>
    </row>
    <row r="666" spans="16:21">
      <c r="P666" s="225"/>
      <c r="U666" s="205"/>
    </row>
    <row r="667" spans="16:21">
      <c r="P667" s="225"/>
      <c r="U667" s="205"/>
    </row>
    <row r="668" spans="16:21">
      <c r="P668" s="225"/>
      <c r="U668" s="205"/>
    </row>
    <row r="669" spans="16:21">
      <c r="P669" s="225"/>
      <c r="U669" s="205"/>
    </row>
    <row r="670" spans="16:21">
      <c r="P670" s="225"/>
      <c r="U670" s="205"/>
    </row>
    <row r="671" spans="16:21">
      <c r="P671" s="225"/>
      <c r="U671" s="205"/>
    </row>
    <row r="672" spans="16:21">
      <c r="P672" s="225"/>
      <c r="U672" s="205"/>
    </row>
    <row r="673" spans="16:21">
      <c r="P673" s="225"/>
      <c r="U673" s="205"/>
    </row>
    <row r="674" spans="16:21">
      <c r="P674" s="225"/>
      <c r="U674" s="205"/>
    </row>
    <row r="675" spans="16:21">
      <c r="P675" s="225"/>
      <c r="U675" s="205"/>
    </row>
    <row r="676" spans="16:21">
      <c r="P676" s="225"/>
      <c r="U676" s="205"/>
    </row>
    <row r="677" spans="16:21">
      <c r="P677" s="225"/>
      <c r="U677" s="205"/>
    </row>
    <row r="678" spans="16:21">
      <c r="P678" s="225"/>
      <c r="U678" s="205"/>
    </row>
    <row r="679" spans="16:21">
      <c r="P679" s="225"/>
      <c r="U679" s="205"/>
    </row>
    <row r="680" spans="16:21">
      <c r="P680" s="225"/>
      <c r="U680" s="205"/>
    </row>
    <row r="681" spans="16:21">
      <c r="P681" s="225"/>
      <c r="U681" s="205"/>
    </row>
    <row r="682" spans="16:21">
      <c r="P682" s="225"/>
      <c r="U682" s="205"/>
    </row>
    <row r="683" spans="16:21">
      <c r="P683" s="225"/>
      <c r="U683" s="205"/>
    </row>
    <row r="684" spans="16:21">
      <c r="P684" s="225"/>
      <c r="U684" s="205"/>
    </row>
    <row r="685" spans="16:21">
      <c r="P685" s="225"/>
      <c r="U685" s="205"/>
    </row>
    <row r="686" spans="16:21">
      <c r="P686" s="225"/>
      <c r="U686" s="205"/>
    </row>
    <row r="687" spans="16:21">
      <c r="P687" s="225"/>
      <c r="U687" s="205"/>
    </row>
    <row r="688" spans="16:21">
      <c r="P688" s="225"/>
      <c r="U688" s="205"/>
    </row>
    <row r="689" spans="16:21">
      <c r="P689" s="225"/>
      <c r="U689" s="205"/>
    </row>
    <row r="690" spans="16:21">
      <c r="P690" s="225"/>
      <c r="U690" s="205"/>
    </row>
    <row r="691" spans="16:21">
      <c r="P691" s="225"/>
      <c r="U691" s="205"/>
    </row>
    <row r="692" spans="16:21">
      <c r="P692" s="225"/>
      <c r="U692" s="205"/>
    </row>
    <row r="693" spans="16:21">
      <c r="P693" s="225"/>
      <c r="U693" s="205"/>
    </row>
    <row r="694" spans="16:21">
      <c r="P694" s="225"/>
      <c r="U694" s="205"/>
    </row>
    <row r="695" spans="16:21">
      <c r="P695" s="225"/>
      <c r="U695" s="205"/>
    </row>
    <row r="696" spans="16:21">
      <c r="P696" s="225"/>
      <c r="U696" s="205"/>
    </row>
    <row r="697" spans="16:21">
      <c r="P697" s="225"/>
      <c r="U697" s="205"/>
    </row>
    <row r="698" spans="16:21">
      <c r="P698" s="225"/>
      <c r="U698" s="205"/>
    </row>
    <row r="699" spans="16:21">
      <c r="P699" s="225"/>
      <c r="U699" s="205"/>
    </row>
    <row r="700" spans="16:21">
      <c r="P700" s="225"/>
      <c r="U700" s="205"/>
    </row>
    <row r="701" spans="16:21">
      <c r="P701" s="225"/>
      <c r="U701" s="205"/>
    </row>
    <row r="702" spans="16:21">
      <c r="P702" s="225"/>
      <c r="U702" s="205"/>
    </row>
    <row r="703" spans="16:21">
      <c r="P703" s="225"/>
      <c r="U703" s="205"/>
    </row>
    <row r="704" spans="16:21">
      <c r="P704" s="225"/>
      <c r="U704" s="205"/>
    </row>
    <row r="705" spans="16:21">
      <c r="P705" s="225"/>
      <c r="U705" s="205"/>
    </row>
    <row r="706" spans="16:21">
      <c r="P706" s="225"/>
      <c r="U706" s="205"/>
    </row>
    <row r="707" spans="16:21">
      <c r="P707" s="225"/>
      <c r="U707" s="205"/>
    </row>
    <row r="708" spans="16:21">
      <c r="P708" s="225"/>
      <c r="U708" s="205"/>
    </row>
    <row r="709" spans="16:21">
      <c r="P709" s="225"/>
      <c r="U709" s="205"/>
    </row>
    <row r="710" spans="16:21">
      <c r="P710" s="225"/>
      <c r="U710" s="205"/>
    </row>
    <row r="711" spans="16:21">
      <c r="P711" s="225"/>
      <c r="U711" s="205"/>
    </row>
    <row r="712" spans="16:21">
      <c r="P712" s="225"/>
      <c r="U712" s="205"/>
    </row>
    <row r="713" spans="16:21">
      <c r="P713" s="225"/>
      <c r="U713" s="205"/>
    </row>
    <row r="714" spans="16:21">
      <c r="P714" s="225"/>
      <c r="U714" s="205"/>
    </row>
    <row r="715" spans="16:21">
      <c r="P715" s="225"/>
      <c r="U715" s="205"/>
    </row>
    <row r="716" spans="16:21">
      <c r="P716" s="225"/>
      <c r="U716" s="205"/>
    </row>
    <row r="717" spans="16:21">
      <c r="P717" s="225"/>
      <c r="U717" s="205"/>
    </row>
    <row r="718" spans="16:21">
      <c r="P718" s="225"/>
      <c r="U718" s="205"/>
    </row>
    <row r="719" spans="16:21">
      <c r="P719" s="225"/>
      <c r="U719" s="205"/>
    </row>
    <row r="720" spans="16:21">
      <c r="P720" s="225"/>
      <c r="U720" s="205"/>
    </row>
    <row r="721" spans="16:21">
      <c r="P721" s="225"/>
      <c r="U721" s="205"/>
    </row>
    <row r="722" spans="16:21">
      <c r="P722" s="225"/>
      <c r="U722" s="205"/>
    </row>
    <row r="723" spans="16:21">
      <c r="P723" s="225"/>
      <c r="U723" s="205"/>
    </row>
    <row r="724" spans="16:21">
      <c r="P724" s="225"/>
      <c r="U724" s="205"/>
    </row>
    <row r="725" spans="16:21">
      <c r="P725" s="225"/>
      <c r="U725" s="205"/>
    </row>
    <row r="726" spans="16:21">
      <c r="P726" s="225"/>
      <c r="U726" s="205"/>
    </row>
    <row r="727" spans="16:21">
      <c r="P727" s="225"/>
      <c r="U727" s="205"/>
    </row>
    <row r="728" spans="16:21">
      <c r="P728" s="225"/>
      <c r="U728" s="205"/>
    </row>
    <row r="729" spans="16:21">
      <c r="P729" s="225"/>
      <c r="U729" s="205"/>
    </row>
    <row r="730" spans="16:21">
      <c r="P730" s="225"/>
      <c r="U730" s="205"/>
    </row>
    <row r="731" spans="16:21">
      <c r="P731" s="225"/>
      <c r="U731" s="205"/>
    </row>
    <row r="732" spans="16:21">
      <c r="P732" s="225"/>
      <c r="U732" s="205"/>
    </row>
    <row r="733" spans="16:21">
      <c r="P733" s="225"/>
      <c r="U733" s="205"/>
    </row>
    <row r="734" spans="16:21">
      <c r="P734" s="225"/>
      <c r="U734" s="205"/>
    </row>
    <row r="735" spans="16:21">
      <c r="P735" s="225"/>
      <c r="U735" s="205"/>
    </row>
    <row r="736" spans="16:21">
      <c r="P736" s="225"/>
      <c r="U736" s="205"/>
    </row>
    <row r="737" spans="16:21">
      <c r="P737" s="225"/>
      <c r="U737" s="205"/>
    </row>
    <row r="738" spans="16:21">
      <c r="P738" s="225"/>
      <c r="U738" s="205"/>
    </row>
    <row r="739" spans="16:21">
      <c r="P739" s="225"/>
      <c r="U739" s="205"/>
    </row>
    <row r="740" spans="16:21">
      <c r="P740" s="225"/>
      <c r="U740" s="205"/>
    </row>
    <row r="741" spans="16:21">
      <c r="P741" s="225"/>
      <c r="U741" s="205"/>
    </row>
    <row r="742" spans="16:21">
      <c r="P742" s="225"/>
      <c r="U742" s="205"/>
    </row>
    <row r="743" spans="16:21">
      <c r="P743" s="225"/>
      <c r="U743" s="205"/>
    </row>
    <row r="744" spans="16:21">
      <c r="P744" s="225"/>
      <c r="U744" s="205"/>
    </row>
    <row r="745" spans="16:21">
      <c r="P745" s="225"/>
      <c r="U745" s="205"/>
    </row>
    <row r="746" spans="16:21">
      <c r="P746" s="225"/>
      <c r="U746" s="205"/>
    </row>
    <row r="747" spans="16:21">
      <c r="P747" s="225"/>
      <c r="U747" s="205"/>
    </row>
    <row r="748" spans="16:21">
      <c r="P748" s="225"/>
      <c r="U748" s="205"/>
    </row>
    <row r="749" spans="16:21">
      <c r="P749" s="225"/>
      <c r="U749" s="205"/>
    </row>
    <row r="750" spans="16:21">
      <c r="P750" s="225"/>
      <c r="U750" s="205"/>
    </row>
    <row r="751" spans="16:21">
      <c r="P751" s="225"/>
      <c r="U751" s="205"/>
    </row>
    <row r="752" spans="16:21">
      <c r="P752" s="225"/>
      <c r="U752" s="205"/>
    </row>
    <row r="753" spans="16:21">
      <c r="P753" s="225"/>
      <c r="U753" s="205"/>
    </row>
    <row r="754" spans="16:21">
      <c r="P754" s="225"/>
      <c r="U754" s="205"/>
    </row>
    <row r="755" spans="16:21">
      <c r="P755" s="225"/>
      <c r="U755" s="205"/>
    </row>
    <row r="756" spans="16:21">
      <c r="P756" s="225"/>
      <c r="U756" s="205"/>
    </row>
    <row r="757" spans="16:21">
      <c r="P757" s="225"/>
      <c r="U757" s="205"/>
    </row>
    <row r="758" spans="16:21">
      <c r="P758" s="225"/>
      <c r="U758" s="205"/>
    </row>
    <row r="759" spans="16:21">
      <c r="P759" s="225"/>
      <c r="U759" s="205"/>
    </row>
    <row r="760" spans="16:21">
      <c r="P760" s="225"/>
      <c r="U760" s="205"/>
    </row>
    <row r="761" spans="16:21">
      <c r="P761" s="225"/>
      <c r="U761" s="205"/>
    </row>
    <row r="762" spans="16:21">
      <c r="P762" s="225"/>
      <c r="U762" s="205"/>
    </row>
    <row r="763" spans="16:21">
      <c r="P763" s="225"/>
      <c r="U763" s="205"/>
    </row>
    <row r="764" spans="16:21">
      <c r="P764" s="225"/>
      <c r="U764" s="205"/>
    </row>
    <row r="765" spans="16:21">
      <c r="P765" s="225"/>
      <c r="U765" s="205"/>
    </row>
    <row r="766" spans="16:21">
      <c r="P766" s="225"/>
      <c r="U766" s="205"/>
    </row>
    <row r="767" spans="16:21">
      <c r="P767" s="225"/>
      <c r="U767" s="205"/>
    </row>
    <row r="768" spans="16:21">
      <c r="P768" s="225"/>
      <c r="U768" s="205"/>
    </row>
    <row r="769" spans="16:21">
      <c r="P769" s="225"/>
      <c r="U769" s="205"/>
    </row>
    <row r="770" spans="16:21">
      <c r="P770" s="225"/>
      <c r="U770" s="205"/>
    </row>
    <row r="771" spans="16:21">
      <c r="P771" s="225"/>
      <c r="U771" s="205"/>
    </row>
    <row r="772" spans="16:21">
      <c r="P772" s="225"/>
      <c r="U772" s="205"/>
    </row>
    <row r="773" spans="16:21">
      <c r="P773" s="225"/>
      <c r="U773" s="205"/>
    </row>
    <row r="774" spans="16:21">
      <c r="P774" s="225"/>
      <c r="U774" s="205"/>
    </row>
    <row r="775" spans="16:21">
      <c r="P775" s="225"/>
      <c r="U775" s="205"/>
    </row>
    <row r="776" spans="16:21">
      <c r="P776" s="225"/>
      <c r="U776" s="205"/>
    </row>
    <row r="777" spans="16:21">
      <c r="P777" s="225"/>
      <c r="U777" s="205"/>
    </row>
    <row r="778" spans="16:21">
      <c r="P778" s="225"/>
      <c r="U778" s="205"/>
    </row>
    <row r="779" spans="16:21">
      <c r="P779" s="225"/>
      <c r="U779" s="205"/>
    </row>
    <row r="780" spans="16:21">
      <c r="P780" s="225"/>
      <c r="U780" s="205"/>
    </row>
    <row r="781" spans="16:21">
      <c r="P781" s="225"/>
      <c r="U781" s="205"/>
    </row>
    <row r="782" spans="16:21">
      <c r="P782" s="225"/>
      <c r="U782" s="205"/>
    </row>
    <row r="783" spans="16:21">
      <c r="P783" s="225"/>
      <c r="U783" s="205"/>
    </row>
    <row r="784" spans="16:21">
      <c r="P784" s="225"/>
      <c r="U784" s="205"/>
    </row>
    <row r="785" spans="16:21">
      <c r="P785" s="225"/>
      <c r="U785" s="205"/>
    </row>
    <row r="786" spans="16:21">
      <c r="P786" s="225"/>
      <c r="U786" s="205"/>
    </row>
    <row r="787" spans="16:21">
      <c r="P787" s="225"/>
      <c r="U787" s="205"/>
    </row>
    <row r="788" spans="16:21">
      <c r="P788" s="225"/>
      <c r="U788" s="205"/>
    </row>
    <row r="789" spans="16:21">
      <c r="P789" s="225"/>
      <c r="U789" s="205"/>
    </row>
    <row r="790" spans="16:21">
      <c r="P790" s="225"/>
      <c r="U790" s="205"/>
    </row>
    <row r="791" spans="16:21">
      <c r="P791" s="225"/>
      <c r="U791" s="205"/>
    </row>
    <row r="792" spans="16:21">
      <c r="P792" s="225"/>
      <c r="U792" s="205"/>
    </row>
    <row r="793" spans="16:21">
      <c r="P793" s="225"/>
      <c r="U793" s="205"/>
    </row>
    <row r="794" spans="16:21">
      <c r="P794" s="225"/>
      <c r="U794" s="205"/>
    </row>
    <row r="795" spans="16:21">
      <c r="P795" s="225"/>
      <c r="U795" s="205"/>
    </row>
    <row r="796" spans="16:21">
      <c r="P796" s="225"/>
      <c r="U796" s="205"/>
    </row>
    <row r="797" spans="16:21">
      <c r="P797" s="225"/>
      <c r="U797" s="205"/>
    </row>
    <row r="798" spans="16:21">
      <c r="P798" s="225"/>
      <c r="U798" s="205"/>
    </row>
    <row r="799" spans="16:21">
      <c r="P799" s="225"/>
      <c r="U799" s="205"/>
    </row>
    <row r="800" spans="16:21">
      <c r="P800" s="225"/>
      <c r="U800" s="205"/>
    </row>
    <row r="801" spans="16:21">
      <c r="P801" s="225"/>
      <c r="U801" s="205"/>
    </row>
    <row r="802" spans="16:21">
      <c r="P802" s="225"/>
      <c r="U802" s="205"/>
    </row>
    <row r="803" spans="16:21">
      <c r="P803" s="225"/>
      <c r="U803" s="205"/>
    </row>
    <row r="804" spans="16:21">
      <c r="P804" s="225"/>
      <c r="U804" s="205"/>
    </row>
    <row r="805" spans="16:21">
      <c r="P805" s="225"/>
      <c r="U805" s="205"/>
    </row>
    <row r="806" spans="16:21">
      <c r="P806" s="225"/>
      <c r="U806" s="205"/>
    </row>
    <row r="807" spans="16:21">
      <c r="P807" s="225"/>
      <c r="U807" s="205"/>
    </row>
    <row r="808" spans="16:21">
      <c r="P808" s="225"/>
      <c r="U808" s="205"/>
    </row>
    <row r="809" spans="16:21">
      <c r="P809" s="225"/>
      <c r="U809" s="205"/>
    </row>
    <row r="810" spans="16:21">
      <c r="P810" s="225"/>
      <c r="U810" s="205"/>
    </row>
    <row r="811" spans="16:21">
      <c r="P811" s="225"/>
      <c r="U811" s="205"/>
    </row>
    <row r="812" spans="16:21">
      <c r="P812" s="225"/>
      <c r="U812" s="205"/>
    </row>
    <row r="813" spans="16:21">
      <c r="P813" s="225"/>
      <c r="U813" s="205"/>
    </row>
    <row r="814" spans="16:21">
      <c r="P814" s="225"/>
      <c r="U814" s="205"/>
    </row>
    <row r="815" spans="16:21">
      <c r="P815" s="225"/>
      <c r="U815" s="205"/>
    </row>
    <row r="816" spans="16:21">
      <c r="P816" s="225"/>
      <c r="U816" s="205"/>
    </row>
    <row r="817" spans="16:21">
      <c r="P817" s="225"/>
      <c r="U817" s="205"/>
    </row>
    <row r="818" spans="16:21">
      <c r="P818" s="225"/>
      <c r="U818" s="205"/>
    </row>
    <row r="819" spans="16:21">
      <c r="P819" s="225"/>
      <c r="U819" s="205"/>
    </row>
    <row r="820" spans="16:21">
      <c r="P820" s="225"/>
      <c r="U820" s="205"/>
    </row>
    <row r="821" spans="16:21">
      <c r="P821" s="225"/>
      <c r="U821" s="205"/>
    </row>
    <row r="822" spans="16:21">
      <c r="P822" s="225"/>
      <c r="U822" s="205"/>
    </row>
    <row r="823" spans="16:21">
      <c r="P823" s="225"/>
      <c r="U823" s="205"/>
    </row>
    <row r="824" spans="16:21">
      <c r="P824" s="225"/>
      <c r="U824" s="205"/>
    </row>
    <row r="825" spans="16:21">
      <c r="P825" s="225"/>
      <c r="U825" s="205"/>
    </row>
    <row r="826" spans="16:21">
      <c r="P826" s="225"/>
      <c r="U826" s="205"/>
    </row>
    <row r="827" spans="16:21">
      <c r="P827" s="225"/>
      <c r="U827" s="205"/>
    </row>
    <row r="828" spans="16:21">
      <c r="P828" s="225"/>
      <c r="U828" s="205"/>
    </row>
    <row r="829" spans="16:21">
      <c r="P829" s="225"/>
      <c r="U829" s="205"/>
    </row>
    <row r="830" spans="16:21">
      <c r="P830" s="225"/>
      <c r="U830" s="205"/>
    </row>
    <row r="831" spans="16:21">
      <c r="P831" s="225"/>
      <c r="U831" s="205"/>
    </row>
    <row r="832" spans="16:21">
      <c r="P832" s="225"/>
      <c r="U832" s="205"/>
    </row>
    <row r="833" spans="16:21">
      <c r="P833" s="225"/>
      <c r="U833" s="205"/>
    </row>
    <row r="834" spans="16:21">
      <c r="P834" s="225"/>
      <c r="U834" s="205"/>
    </row>
    <row r="835" spans="16:21">
      <c r="P835" s="225"/>
      <c r="U835" s="205"/>
    </row>
    <row r="836" spans="16:21">
      <c r="P836" s="225"/>
      <c r="U836" s="205"/>
    </row>
    <row r="837" spans="16:21">
      <c r="P837" s="225"/>
      <c r="U837" s="205"/>
    </row>
    <row r="838" spans="16:21">
      <c r="P838" s="225"/>
      <c r="U838" s="205"/>
    </row>
    <row r="839" spans="16:21">
      <c r="P839" s="225"/>
      <c r="U839" s="205"/>
    </row>
    <row r="840" spans="16:21">
      <c r="P840" s="225"/>
      <c r="U840" s="205"/>
    </row>
    <row r="841" spans="16:21">
      <c r="P841" s="225"/>
      <c r="U841" s="205"/>
    </row>
    <row r="842" spans="16:21">
      <c r="P842" s="225"/>
      <c r="U842" s="205"/>
    </row>
    <row r="843" spans="16:21">
      <c r="P843" s="225"/>
      <c r="U843" s="205"/>
    </row>
    <row r="844" spans="16:21">
      <c r="P844" s="225"/>
      <c r="U844" s="205"/>
    </row>
    <row r="845" spans="16:21">
      <c r="P845" s="225"/>
      <c r="U845" s="205"/>
    </row>
    <row r="846" spans="16:21">
      <c r="P846" s="225"/>
      <c r="U846" s="205"/>
    </row>
    <row r="847" spans="16:21">
      <c r="P847" s="225"/>
      <c r="U847" s="205"/>
    </row>
    <row r="848" spans="16:21">
      <c r="P848" s="225"/>
      <c r="U848" s="205"/>
    </row>
    <row r="849" spans="16:21">
      <c r="P849" s="225"/>
      <c r="U849" s="205"/>
    </row>
    <row r="850" spans="16:21">
      <c r="P850" s="225"/>
      <c r="U850" s="205"/>
    </row>
    <row r="851" spans="16:21">
      <c r="P851" s="225"/>
      <c r="U851" s="205"/>
    </row>
    <row r="852" spans="16:21">
      <c r="P852" s="225"/>
      <c r="U852" s="205"/>
    </row>
    <row r="853" spans="16:21">
      <c r="P853" s="225"/>
      <c r="U853" s="205"/>
    </row>
    <row r="854" spans="16:21">
      <c r="P854" s="225"/>
      <c r="U854" s="205"/>
    </row>
    <row r="855" spans="16:21">
      <c r="P855" s="225"/>
      <c r="U855" s="205"/>
    </row>
    <row r="856" spans="16:21">
      <c r="P856" s="225"/>
      <c r="U856" s="205"/>
    </row>
    <row r="857" spans="16:21">
      <c r="P857" s="225"/>
      <c r="U857" s="205"/>
    </row>
    <row r="858" spans="16:21">
      <c r="P858" s="225"/>
      <c r="U858" s="205"/>
    </row>
    <row r="859" spans="16:21">
      <c r="P859" s="225"/>
      <c r="U859" s="205"/>
    </row>
    <row r="860" spans="16:21">
      <c r="P860" s="225"/>
      <c r="U860" s="205"/>
    </row>
    <row r="861" spans="16:21">
      <c r="P861" s="225"/>
      <c r="U861" s="205"/>
    </row>
    <row r="862" spans="16:21">
      <c r="P862" s="225"/>
      <c r="U862" s="205"/>
    </row>
    <row r="863" spans="16:21">
      <c r="P863" s="225"/>
      <c r="U863" s="205"/>
    </row>
    <row r="864" spans="16:21">
      <c r="P864" s="225"/>
      <c r="U864" s="205"/>
    </row>
    <row r="865" spans="16:21">
      <c r="P865" s="225"/>
      <c r="U865" s="205"/>
    </row>
    <row r="866" spans="16:21">
      <c r="P866" s="225"/>
      <c r="U866" s="205"/>
    </row>
    <row r="867" spans="16:21">
      <c r="P867" s="225"/>
      <c r="U867" s="205"/>
    </row>
    <row r="868" spans="16:21">
      <c r="P868" s="225"/>
      <c r="U868" s="205"/>
    </row>
    <row r="869" spans="16:21">
      <c r="P869" s="225"/>
      <c r="U869" s="205"/>
    </row>
    <row r="870" spans="16:21">
      <c r="P870" s="225"/>
      <c r="U870" s="205"/>
    </row>
    <row r="871" spans="16:21">
      <c r="P871" s="225"/>
      <c r="U871" s="205"/>
    </row>
    <row r="872" spans="16:21">
      <c r="P872" s="225"/>
      <c r="U872" s="205"/>
    </row>
    <row r="873" spans="16:21">
      <c r="P873" s="225"/>
      <c r="U873" s="205"/>
    </row>
    <row r="874" spans="16:21">
      <c r="P874" s="225"/>
      <c r="U874" s="205"/>
    </row>
    <row r="875" spans="16:21">
      <c r="P875" s="225"/>
      <c r="U875" s="205"/>
    </row>
    <row r="876" spans="16:21">
      <c r="P876" s="225"/>
      <c r="U876" s="205"/>
    </row>
    <row r="877" spans="16:21">
      <c r="P877" s="225"/>
      <c r="U877" s="205"/>
    </row>
    <row r="878" spans="16:21">
      <c r="P878" s="225"/>
      <c r="U878" s="205"/>
    </row>
    <row r="879" spans="16:21">
      <c r="P879" s="225"/>
      <c r="U879" s="205"/>
    </row>
    <row r="880" spans="16:21">
      <c r="P880" s="225"/>
      <c r="U880" s="205"/>
    </row>
    <row r="881" spans="16:21">
      <c r="P881" s="225"/>
      <c r="U881" s="205"/>
    </row>
    <row r="882" spans="16:21">
      <c r="P882" s="225"/>
      <c r="U882" s="205"/>
    </row>
    <row r="883" spans="16:21">
      <c r="P883" s="225"/>
      <c r="U883" s="205"/>
    </row>
    <row r="884" spans="16:21">
      <c r="P884" s="225"/>
      <c r="U884" s="205"/>
    </row>
    <row r="885" spans="16:21">
      <c r="P885" s="225"/>
      <c r="U885" s="205"/>
    </row>
    <row r="886" spans="16:21">
      <c r="P886" s="225"/>
      <c r="U886" s="205"/>
    </row>
    <row r="887" spans="16:21">
      <c r="P887" s="225"/>
      <c r="U887" s="205"/>
    </row>
    <row r="888" spans="16:21">
      <c r="P888" s="225"/>
      <c r="U888" s="205"/>
    </row>
    <row r="889" spans="16:21">
      <c r="P889" s="225"/>
      <c r="U889" s="205"/>
    </row>
    <row r="890" spans="16:21">
      <c r="P890" s="225"/>
      <c r="U890" s="205"/>
    </row>
    <row r="891" spans="16:21">
      <c r="P891" s="225"/>
      <c r="U891" s="205"/>
    </row>
    <row r="892" spans="16:21">
      <c r="P892" s="225"/>
      <c r="U892" s="205"/>
    </row>
    <row r="893" spans="16:21">
      <c r="P893" s="225"/>
      <c r="U893" s="205"/>
    </row>
    <row r="894" spans="16:21">
      <c r="P894" s="225"/>
      <c r="U894" s="205"/>
    </row>
    <row r="895" spans="16:21">
      <c r="P895" s="225"/>
      <c r="U895" s="205"/>
    </row>
    <row r="896" spans="16:21">
      <c r="P896" s="225"/>
      <c r="U896" s="205"/>
    </row>
    <row r="897" spans="16:21">
      <c r="P897" s="225"/>
      <c r="U897" s="205"/>
    </row>
    <row r="898" spans="16:21">
      <c r="P898" s="225"/>
      <c r="U898" s="205"/>
    </row>
    <row r="899" spans="16:21">
      <c r="P899" s="225"/>
      <c r="U899" s="205"/>
    </row>
    <row r="900" spans="16:21">
      <c r="P900" s="225"/>
      <c r="U900" s="205"/>
    </row>
    <row r="901" spans="16:21">
      <c r="P901" s="225"/>
      <c r="U901" s="205"/>
    </row>
    <row r="902" spans="16:21">
      <c r="P902" s="225"/>
      <c r="U902" s="205"/>
    </row>
    <row r="903" spans="16:21">
      <c r="P903" s="225"/>
      <c r="U903" s="205"/>
    </row>
    <row r="904" spans="16:21">
      <c r="P904" s="225"/>
      <c r="U904" s="205"/>
    </row>
    <row r="905" spans="16:21">
      <c r="P905" s="225"/>
      <c r="U905" s="205"/>
    </row>
    <row r="906" spans="16:21">
      <c r="P906" s="225"/>
      <c r="U906" s="205"/>
    </row>
    <row r="907" spans="16:21">
      <c r="P907" s="225"/>
      <c r="U907" s="205"/>
    </row>
    <row r="908" spans="16:21">
      <c r="P908" s="225"/>
      <c r="U908" s="205"/>
    </row>
    <row r="909" spans="16:21">
      <c r="P909" s="225"/>
      <c r="U909" s="205"/>
    </row>
    <row r="910" spans="16:21">
      <c r="P910" s="225"/>
      <c r="U910" s="205"/>
    </row>
    <row r="911" spans="16:21">
      <c r="P911" s="225"/>
      <c r="U911" s="205"/>
    </row>
    <row r="912" spans="16:21">
      <c r="P912" s="225"/>
      <c r="U912" s="205"/>
    </row>
    <row r="913" spans="16:21">
      <c r="P913" s="225"/>
      <c r="U913" s="205"/>
    </row>
    <row r="914" spans="16:21">
      <c r="P914" s="225"/>
      <c r="U914" s="205"/>
    </row>
    <row r="915" spans="16:21">
      <c r="P915" s="225"/>
      <c r="U915" s="205"/>
    </row>
    <row r="916" spans="16:21">
      <c r="P916" s="225"/>
      <c r="U916" s="205"/>
    </row>
    <row r="917" spans="16:21">
      <c r="P917" s="225"/>
      <c r="U917" s="205"/>
    </row>
    <row r="918" spans="16:21">
      <c r="P918" s="225"/>
      <c r="U918" s="205"/>
    </row>
    <row r="919" spans="16:21">
      <c r="P919" s="225"/>
      <c r="U919" s="205"/>
    </row>
    <row r="920" spans="16:21">
      <c r="P920" s="225"/>
      <c r="U920" s="205"/>
    </row>
    <row r="921" spans="16:21">
      <c r="P921" s="225"/>
      <c r="U921" s="205"/>
    </row>
    <row r="922" spans="16:21">
      <c r="P922" s="225"/>
      <c r="U922" s="205"/>
    </row>
    <row r="923" spans="16:21">
      <c r="P923" s="225"/>
      <c r="U923" s="205"/>
    </row>
    <row r="924" spans="16:21">
      <c r="P924" s="225"/>
      <c r="U924" s="205"/>
    </row>
    <row r="925" spans="16:21">
      <c r="P925" s="225"/>
      <c r="U925" s="205"/>
    </row>
    <row r="926" spans="16:21">
      <c r="P926" s="225"/>
      <c r="U926" s="205"/>
    </row>
    <row r="927" spans="16:21">
      <c r="P927" s="225"/>
      <c r="U927" s="205"/>
    </row>
    <row r="928" spans="16:21">
      <c r="P928" s="225"/>
      <c r="U928" s="205"/>
    </row>
    <row r="929" spans="16:21">
      <c r="P929" s="225"/>
      <c r="U929" s="205"/>
    </row>
    <row r="930" spans="16:21">
      <c r="P930" s="225"/>
      <c r="U930" s="205"/>
    </row>
    <row r="931" spans="16:21">
      <c r="P931" s="225"/>
      <c r="U931" s="205"/>
    </row>
    <row r="932" spans="16:21">
      <c r="P932" s="225"/>
      <c r="U932" s="205"/>
    </row>
    <row r="933" spans="16:21">
      <c r="P933" s="225"/>
      <c r="U933" s="205"/>
    </row>
    <row r="934" spans="16:21">
      <c r="P934" s="225"/>
      <c r="U934" s="205"/>
    </row>
    <row r="935" spans="16:21">
      <c r="P935" s="225"/>
      <c r="U935" s="205"/>
    </row>
    <row r="936" spans="16:21">
      <c r="P936" s="225"/>
      <c r="U936" s="205"/>
    </row>
    <row r="937" spans="16:21">
      <c r="P937" s="225"/>
      <c r="U937" s="205"/>
    </row>
    <row r="938" spans="16:21">
      <c r="P938" s="225"/>
      <c r="U938" s="205"/>
    </row>
    <row r="939" spans="16:21">
      <c r="P939" s="225"/>
      <c r="U939" s="205"/>
    </row>
    <row r="940" spans="16:21">
      <c r="P940" s="225"/>
      <c r="U940" s="205"/>
    </row>
    <row r="941" spans="16:21">
      <c r="P941" s="225"/>
      <c r="U941" s="205"/>
    </row>
    <row r="942" spans="16:21">
      <c r="P942" s="225"/>
      <c r="U942" s="205"/>
    </row>
    <row r="943" spans="16:21">
      <c r="P943" s="225"/>
      <c r="U943" s="205"/>
    </row>
    <row r="944" spans="16:21">
      <c r="P944" s="225"/>
      <c r="U944" s="205"/>
    </row>
    <row r="945" spans="16:21">
      <c r="P945" s="225"/>
      <c r="U945" s="205"/>
    </row>
    <row r="946" spans="16:21">
      <c r="P946" s="225"/>
      <c r="U946" s="205"/>
    </row>
    <row r="947" spans="16:21">
      <c r="P947" s="225"/>
      <c r="U947" s="205"/>
    </row>
    <row r="948" spans="16:21">
      <c r="P948" s="225"/>
      <c r="U948" s="205"/>
    </row>
    <row r="949" spans="16:21">
      <c r="P949" s="225"/>
      <c r="U949" s="205"/>
    </row>
    <row r="950" spans="16:21">
      <c r="P950" s="225"/>
      <c r="U950" s="205"/>
    </row>
    <row r="951" spans="16:21">
      <c r="P951" s="225"/>
      <c r="U951" s="205"/>
    </row>
    <row r="952" spans="16:21">
      <c r="P952" s="225"/>
      <c r="U952" s="205"/>
    </row>
    <row r="953" spans="16:21">
      <c r="P953" s="225"/>
      <c r="U953" s="205"/>
    </row>
    <row r="954" spans="16:21">
      <c r="P954" s="225"/>
      <c r="U954" s="205"/>
    </row>
    <row r="955" spans="16:21">
      <c r="P955" s="225"/>
      <c r="U955" s="205"/>
    </row>
    <row r="956" spans="16:21">
      <c r="P956" s="225"/>
      <c r="U956" s="205"/>
    </row>
    <row r="957" spans="16:21">
      <c r="P957" s="225"/>
      <c r="U957" s="205"/>
    </row>
    <row r="958" spans="16:21">
      <c r="P958" s="225"/>
      <c r="U958" s="205"/>
    </row>
    <row r="959" spans="16:21">
      <c r="P959" s="225"/>
      <c r="U959" s="205"/>
    </row>
    <row r="960" spans="16:21">
      <c r="P960" s="225"/>
      <c r="U960" s="205"/>
    </row>
    <row r="961" spans="16:21">
      <c r="P961" s="225"/>
      <c r="U961" s="205"/>
    </row>
    <row r="962" spans="16:21">
      <c r="P962" s="225"/>
      <c r="U962" s="205"/>
    </row>
    <row r="963" spans="16:21">
      <c r="P963" s="225"/>
      <c r="U963" s="205"/>
    </row>
    <row r="964" spans="16:21">
      <c r="P964" s="225"/>
      <c r="U964" s="205"/>
    </row>
    <row r="965" spans="16:21">
      <c r="P965" s="225"/>
      <c r="U965" s="205"/>
    </row>
    <row r="966" spans="16:21">
      <c r="P966" s="225"/>
      <c r="U966" s="205"/>
    </row>
    <row r="967" spans="16:21">
      <c r="P967" s="225"/>
      <c r="U967" s="205"/>
    </row>
    <row r="968" spans="16:21">
      <c r="P968" s="225"/>
      <c r="U968" s="205"/>
    </row>
    <row r="969" spans="16:21">
      <c r="P969" s="225"/>
      <c r="U969" s="205"/>
    </row>
    <row r="970" spans="16:21">
      <c r="P970" s="225"/>
      <c r="U970" s="205"/>
    </row>
    <row r="971" spans="16:21">
      <c r="P971" s="225"/>
      <c r="U971" s="205"/>
    </row>
    <row r="972" spans="16:21">
      <c r="P972" s="225"/>
      <c r="U972" s="205"/>
    </row>
    <row r="973" spans="16:21">
      <c r="P973" s="225"/>
      <c r="U973" s="205"/>
    </row>
    <row r="974" spans="16:21">
      <c r="P974" s="225"/>
      <c r="U974" s="205"/>
    </row>
    <row r="975" spans="16:21">
      <c r="P975" s="225"/>
      <c r="U975" s="205"/>
    </row>
    <row r="976" spans="16:21">
      <c r="P976" s="225"/>
      <c r="U976" s="205"/>
    </row>
    <row r="977" spans="16:21">
      <c r="P977" s="225"/>
      <c r="U977" s="205"/>
    </row>
    <row r="978" spans="16:21">
      <c r="P978" s="225"/>
      <c r="U978" s="205"/>
    </row>
    <row r="979" spans="16:21">
      <c r="P979" s="225"/>
      <c r="U979" s="205"/>
    </row>
    <row r="980" spans="16:21">
      <c r="P980" s="225"/>
      <c r="U980" s="205"/>
    </row>
    <row r="981" spans="16:21">
      <c r="P981" s="225"/>
      <c r="U981" s="205"/>
    </row>
    <row r="982" spans="16:21">
      <c r="P982" s="225"/>
      <c r="U982" s="205"/>
    </row>
    <row r="983" spans="16:21">
      <c r="P983" s="225"/>
      <c r="U983" s="205"/>
    </row>
    <row r="984" spans="16:21">
      <c r="P984" s="225"/>
      <c r="U984" s="205"/>
    </row>
    <row r="985" spans="16:21">
      <c r="P985" s="225"/>
      <c r="U985" s="205"/>
    </row>
    <row r="986" spans="16:21">
      <c r="P986" s="225"/>
      <c r="U986" s="205"/>
    </row>
    <row r="987" spans="16:21">
      <c r="P987" s="225"/>
      <c r="U987" s="205"/>
    </row>
    <row r="988" spans="16:21">
      <c r="P988" s="225"/>
      <c r="U988" s="205"/>
    </row>
    <row r="989" spans="16:21">
      <c r="P989" s="225"/>
      <c r="U989" s="205"/>
    </row>
    <row r="990" spans="16:21">
      <c r="P990" s="225"/>
      <c r="U990" s="205"/>
    </row>
    <row r="991" spans="16:21">
      <c r="P991" s="225"/>
      <c r="U991" s="205"/>
    </row>
    <row r="992" spans="16:21">
      <c r="P992" s="225"/>
      <c r="U992" s="205"/>
    </row>
    <row r="993" spans="16:21">
      <c r="P993" s="225"/>
      <c r="U993" s="205"/>
    </row>
    <row r="994" spans="16:21">
      <c r="P994" s="225"/>
      <c r="U994" s="205"/>
    </row>
    <row r="995" spans="16:21">
      <c r="P995" s="225"/>
      <c r="U995" s="205"/>
    </row>
    <row r="996" spans="16:21">
      <c r="P996" s="225"/>
      <c r="U996" s="205"/>
    </row>
    <row r="997" spans="16:21">
      <c r="P997" s="225"/>
      <c r="U997" s="205"/>
    </row>
    <row r="998" spans="16:21">
      <c r="P998" s="225"/>
      <c r="U998" s="205"/>
    </row>
    <row r="999" spans="16:21">
      <c r="P999" s="225"/>
      <c r="U999" s="205"/>
    </row>
    <row r="1000" spans="16:21">
      <c r="P1000" s="225"/>
      <c r="U1000" s="205"/>
    </row>
    <row r="1001" spans="16:21">
      <c r="P1001" s="225"/>
      <c r="U1001" s="205"/>
    </row>
    <row r="1002" spans="16:21">
      <c r="P1002" s="225"/>
      <c r="U1002" s="205"/>
    </row>
    <row r="1003" spans="16:21">
      <c r="P1003" s="225"/>
      <c r="U1003" s="205"/>
    </row>
  </sheetData>
  <mergeCells count="8">
    <mergeCell ref="V8:W8"/>
    <mergeCell ref="X8:Y8"/>
    <mergeCell ref="A1:U1"/>
    <mergeCell ref="C6:F6"/>
    <mergeCell ref="L8:M8"/>
    <mergeCell ref="N8:O8"/>
    <mergeCell ref="Q8:R8"/>
    <mergeCell ref="T8:U8"/>
  </mergeCells>
  <conditionalFormatting sqref="E2 E7:E8 B8:D8 F8 H8:I8 K8:X8">
    <cfRule type="notContainsBlanks" dxfId="13" priority="1">
      <formula>LEN(TRIM(E2))&gt;0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3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5" defaultRowHeight="15" customHeight="1"/>
  <cols>
    <col min="1" max="1" width="2" customWidth="1"/>
    <col min="2" max="2" width="15.5" customWidth="1"/>
    <col min="3" max="3" width="12.33203125" customWidth="1"/>
    <col min="4" max="4" width="15" customWidth="1"/>
    <col min="5" max="5" width="16.83203125" customWidth="1"/>
    <col min="6" max="6" width="63.6640625" customWidth="1"/>
    <col min="7" max="7" width="8.5" customWidth="1"/>
    <col min="8" max="8" width="5.5" customWidth="1"/>
    <col min="9" max="9" width="10.5" customWidth="1"/>
    <col min="10" max="10" width="11.6640625" customWidth="1"/>
    <col min="11" max="11" width="4.5" customWidth="1"/>
    <col min="12" max="12" width="12.5" customWidth="1"/>
    <col min="13" max="13" width="5.5" customWidth="1"/>
    <col min="14" max="14" width="4.5" customWidth="1"/>
    <col min="15" max="15" width="12.5" customWidth="1"/>
    <col min="16" max="16" width="4.83203125" customWidth="1"/>
    <col min="17" max="17" width="21.83203125" customWidth="1"/>
    <col min="18" max="18" width="20.5" customWidth="1"/>
    <col min="19" max="19" width="6.1640625" customWidth="1"/>
    <col min="20" max="20" width="23.33203125" customWidth="1"/>
  </cols>
  <sheetData>
    <row r="1" spans="1:26" ht="72.75" customHeight="1">
      <c r="A1" s="535"/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28"/>
      <c r="U1" s="1"/>
    </row>
    <row r="2" spans="1:26" ht="16">
      <c r="A2" s="1"/>
      <c r="B2" s="93" t="s">
        <v>1</v>
      </c>
      <c r="C2" s="14">
        <v>800000</v>
      </c>
      <c r="D2" s="6">
        <f>C3/C2</f>
        <v>0.99976312499999997</v>
      </c>
      <c r="E2" s="168">
        <v>45687</v>
      </c>
      <c r="F2" s="7">
        <v>45322</v>
      </c>
      <c r="G2" s="1"/>
      <c r="H2" s="1"/>
      <c r="I2" s="8"/>
      <c r="J2" s="8"/>
      <c r="K2" s="8"/>
      <c r="L2" s="8"/>
      <c r="M2" s="8"/>
      <c r="N2" s="8"/>
      <c r="O2" s="2"/>
      <c r="P2" s="8"/>
      <c r="Q2" s="126"/>
      <c r="R2" s="1"/>
      <c r="S2" s="1"/>
      <c r="T2" s="195"/>
      <c r="U2" s="1"/>
    </row>
    <row r="3" spans="1:26" ht="16">
      <c r="A3" s="1"/>
      <c r="B3" s="94" t="s">
        <v>2</v>
      </c>
      <c r="C3" s="14">
        <f>SUM(J9:J210)</f>
        <v>799810.5</v>
      </c>
      <c r="D3" s="14" t="s">
        <v>3</v>
      </c>
      <c r="E3" s="14" t="s">
        <v>3</v>
      </c>
      <c r="F3" s="248" t="s">
        <v>3</v>
      </c>
      <c r="G3" s="7"/>
      <c r="H3" s="7"/>
      <c r="I3" s="1"/>
      <c r="J3" s="8"/>
      <c r="K3" s="8"/>
      <c r="L3" s="8"/>
      <c r="M3" s="1"/>
      <c r="N3" s="1"/>
      <c r="O3" s="206"/>
      <c r="P3" s="9"/>
      <c r="Q3" s="10"/>
      <c r="R3" s="1"/>
      <c r="S3" s="126"/>
      <c r="T3" s="1"/>
      <c r="U3" s="1"/>
      <c r="V3" s="195"/>
      <c r="W3" s="1"/>
    </row>
    <row r="4" spans="1:26" ht="16">
      <c r="A4" s="1"/>
      <c r="B4" s="177" t="s">
        <v>2218</v>
      </c>
      <c r="C4" s="177">
        <f ca="1">(D5-TODAY())</f>
        <v>-338</v>
      </c>
      <c r="D4" s="178"/>
      <c r="E4" s="90"/>
      <c r="F4" s="1"/>
      <c r="G4" s="1"/>
      <c r="H4" s="1"/>
      <c r="I4" s="8"/>
      <c r="K4" s="1"/>
      <c r="L4" s="1"/>
      <c r="M4" s="9"/>
      <c r="N4" s="10"/>
      <c r="O4" s="207"/>
      <c r="P4" s="1"/>
      <c r="Q4" s="126"/>
      <c r="R4" s="1"/>
      <c r="S4" s="1"/>
      <c r="T4" s="195"/>
      <c r="U4" s="1"/>
    </row>
    <row r="5" spans="1:26" ht="16">
      <c r="A5" s="1"/>
      <c r="B5" s="208" t="s">
        <v>6</v>
      </c>
      <c r="C5" s="209">
        <f ca="1">TODAY()</f>
        <v>46026</v>
      </c>
      <c r="D5" s="210">
        <v>45688</v>
      </c>
      <c r="E5" s="90"/>
      <c r="F5" s="7"/>
      <c r="G5" s="1"/>
      <c r="H5" s="1"/>
      <c r="I5" s="8"/>
      <c r="J5" s="8"/>
      <c r="K5" s="1"/>
      <c r="L5" s="1"/>
      <c r="M5" s="9"/>
      <c r="N5" s="10"/>
      <c r="O5" s="207"/>
      <c r="P5" s="1"/>
      <c r="Q5" s="126"/>
      <c r="R5" s="1"/>
      <c r="S5" s="1"/>
      <c r="T5" s="195"/>
      <c r="U5" s="1"/>
    </row>
    <row r="6" spans="1:26" ht="22">
      <c r="A6" s="1"/>
      <c r="B6" s="536" t="s">
        <v>2734</v>
      </c>
      <c r="C6" s="537"/>
      <c r="D6" s="537"/>
      <c r="E6" s="537"/>
      <c r="F6" s="26"/>
      <c r="G6" s="23"/>
      <c r="H6" s="23"/>
      <c r="I6" s="23"/>
      <c r="J6" s="23"/>
      <c r="K6" s="23"/>
      <c r="L6" s="23"/>
      <c r="M6" s="23"/>
      <c r="N6" s="24"/>
      <c r="O6" s="211"/>
      <c r="P6" s="23"/>
      <c r="Q6" s="127"/>
      <c r="R6" s="26"/>
      <c r="S6" s="26"/>
      <c r="T6" s="196"/>
      <c r="U6" s="1"/>
    </row>
    <row r="7" spans="1:26">
      <c r="A7" s="1"/>
      <c r="B7" s="31"/>
      <c r="C7" s="33"/>
      <c r="D7" s="31" t="s">
        <v>9</v>
      </c>
      <c r="E7" s="31"/>
      <c r="F7" s="18"/>
      <c r="G7" s="31"/>
      <c r="H7" s="31"/>
      <c r="I7" s="34"/>
      <c r="J7" s="31"/>
      <c r="K7" s="531" t="s">
        <v>10</v>
      </c>
      <c r="L7" s="528"/>
      <c r="M7" s="532" t="s">
        <v>11</v>
      </c>
      <c r="N7" s="528"/>
      <c r="O7" s="212" t="s">
        <v>2219</v>
      </c>
      <c r="P7" s="533" t="s">
        <v>12</v>
      </c>
      <c r="Q7" s="528"/>
      <c r="R7" s="35" t="s">
        <v>13</v>
      </c>
      <c r="S7" s="527" t="s">
        <v>9</v>
      </c>
      <c r="T7" s="528"/>
      <c r="U7" s="527" t="s">
        <v>15</v>
      </c>
      <c r="V7" s="528"/>
      <c r="W7" s="527" t="s">
        <v>16</v>
      </c>
      <c r="X7" s="528"/>
    </row>
    <row r="8" spans="1:26" ht="14.25" customHeight="1">
      <c r="A8" s="98"/>
      <c r="B8" s="38" t="s">
        <v>18</v>
      </c>
      <c r="C8" s="38" t="s">
        <v>19</v>
      </c>
      <c r="D8" s="38" t="s">
        <v>20</v>
      </c>
      <c r="E8" s="38" t="s">
        <v>21</v>
      </c>
      <c r="F8" s="38" t="s">
        <v>2018</v>
      </c>
      <c r="G8" s="538" t="s">
        <v>22</v>
      </c>
      <c r="H8" s="528"/>
      <c r="I8" s="40"/>
      <c r="J8" s="41" t="s">
        <v>23</v>
      </c>
      <c r="K8" s="42"/>
      <c r="L8" s="43"/>
      <c r="M8" s="43"/>
      <c r="N8" s="44"/>
      <c r="O8" s="213"/>
      <c r="P8" s="45"/>
      <c r="Q8" s="128"/>
      <c r="R8" s="165"/>
      <c r="S8" s="47"/>
      <c r="T8" s="214"/>
      <c r="U8" s="100" t="s">
        <v>24</v>
      </c>
      <c r="V8" s="100" t="s">
        <v>25</v>
      </c>
      <c r="W8" s="49"/>
      <c r="X8" s="49"/>
    </row>
    <row r="9" spans="1:26">
      <c r="A9" s="1"/>
      <c r="B9" s="71" t="s">
        <v>2953</v>
      </c>
      <c r="C9" s="53" t="s">
        <v>418</v>
      </c>
      <c r="D9" s="53" t="s">
        <v>565</v>
      </c>
      <c r="E9" s="53" t="s">
        <v>43</v>
      </c>
      <c r="F9" s="131" t="s">
        <v>2931</v>
      </c>
      <c r="G9" s="131" t="s">
        <v>30</v>
      </c>
      <c r="H9" s="131">
        <v>5</v>
      </c>
      <c r="I9" s="188">
        <v>250</v>
      </c>
      <c r="J9" s="54">
        <f t="shared" ref="J9:J158" si="0">H9*I9</f>
        <v>1250</v>
      </c>
      <c r="K9" s="55" t="b">
        <v>1</v>
      </c>
      <c r="L9" s="56">
        <v>20120250925</v>
      </c>
      <c r="M9" s="57" t="b">
        <v>1</v>
      </c>
      <c r="N9" s="58" t="s">
        <v>39</v>
      </c>
      <c r="O9" s="226"/>
      <c r="P9" s="191" t="b">
        <v>1</v>
      </c>
      <c r="Q9" s="129"/>
      <c r="R9" s="165"/>
      <c r="S9" s="47" t="b">
        <v>1</v>
      </c>
      <c r="T9" s="249" t="s">
        <v>2954</v>
      </c>
      <c r="U9" s="54"/>
      <c r="V9" s="54"/>
      <c r="W9" s="192"/>
      <c r="X9" s="192"/>
    </row>
    <row r="10" spans="1:26" ht="16.5" customHeight="1">
      <c r="A10" s="1"/>
      <c r="B10" s="71" t="s">
        <v>2953</v>
      </c>
      <c r="C10" s="53" t="s">
        <v>212</v>
      </c>
      <c r="D10" s="53" t="s">
        <v>311</v>
      </c>
      <c r="E10" s="53" t="s">
        <v>312</v>
      </c>
      <c r="F10" s="131" t="s">
        <v>746</v>
      </c>
      <c r="G10" s="131" t="s">
        <v>30</v>
      </c>
      <c r="H10" s="131">
        <v>5</v>
      </c>
      <c r="I10" s="188">
        <v>875</v>
      </c>
      <c r="J10" s="54">
        <f t="shared" si="0"/>
        <v>4375</v>
      </c>
      <c r="K10" s="55" t="b">
        <v>1</v>
      </c>
      <c r="L10" s="56">
        <v>20120251005</v>
      </c>
      <c r="M10" s="57" t="b">
        <v>1</v>
      </c>
      <c r="N10" s="58" t="s">
        <v>529</v>
      </c>
      <c r="O10" s="226"/>
      <c r="P10" s="191" t="b">
        <v>1</v>
      </c>
      <c r="Q10" s="129"/>
      <c r="R10" s="165"/>
      <c r="S10" s="47" t="b">
        <v>1</v>
      </c>
      <c r="T10" s="249" t="s">
        <v>2955</v>
      </c>
      <c r="U10" s="54"/>
      <c r="V10" s="54"/>
      <c r="W10" s="192"/>
      <c r="X10" s="192"/>
    </row>
    <row r="11" spans="1:26" ht="16.5" customHeight="1">
      <c r="A11" s="1"/>
      <c r="B11" s="71" t="s">
        <v>2956</v>
      </c>
      <c r="C11" s="53" t="s">
        <v>26</v>
      </c>
      <c r="D11" s="53" t="s">
        <v>1976</v>
      </c>
      <c r="E11" s="53" t="s">
        <v>2124</v>
      </c>
      <c r="F11" s="131" t="s">
        <v>2957</v>
      </c>
      <c r="G11" s="131" t="s">
        <v>30</v>
      </c>
      <c r="H11" s="69">
        <v>1</v>
      </c>
      <c r="I11" s="70">
        <v>1250</v>
      </c>
      <c r="J11" s="54">
        <f t="shared" si="0"/>
        <v>1250</v>
      </c>
      <c r="K11" s="55" t="b">
        <v>1</v>
      </c>
      <c r="L11" s="56">
        <v>31220241600</v>
      </c>
      <c r="M11" s="57" t="b">
        <v>1</v>
      </c>
      <c r="N11" s="58"/>
      <c r="O11" s="226"/>
      <c r="P11" s="191" t="b">
        <v>1</v>
      </c>
      <c r="Q11" s="129"/>
      <c r="R11" s="165"/>
      <c r="S11" s="47" t="b">
        <v>1</v>
      </c>
      <c r="T11" s="249" t="s">
        <v>2958</v>
      </c>
      <c r="U11" s="54"/>
      <c r="V11" s="54"/>
      <c r="W11" s="192"/>
      <c r="X11" s="192"/>
    </row>
    <row r="12" spans="1:26" ht="16.5" customHeight="1">
      <c r="A12" s="18"/>
      <c r="B12" s="71" t="s">
        <v>2956</v>
      </c>
      <c r="C12" s="53" t="s">
        <v>26</v>
      </c>
      <c r="D12" s="53" t="s">
        <v>1976</v>
      </c>
      <c r="E12" s="53" t="s">
        <v>2124</v>
      </c>
      <c r="F12" s="53" t="s">
        <v>68</v>
      </c>
      <c r="G12" s="53" t="s">
        <v>30</v>
      </c>
      <c r="H12" s="53">
        <v>1</v>
      </c>
      <c r="I12" s="54">
        <v>2350</v>
      </c>
      <c r="J12" s="54">
        <f t="shared" si="0"/>
        <v>2350</v>
      </c>
      <c r="K12" s="55" t="b">
        <v>1</v>
      </c>
      <c r="L12" s="56">
        <v>31220241600</v>
      </c>
      <c r="M12" s="57" t="b">
        <v>1</v>
      </c>
      <c r="N12" s="58"/>
      <c r="O12" s="226"/>
      <c r="P12" s="191" t="b">
        <v>1</v>
      </c>
      <c r="Q12" s="129"/>
      <c r="R12" s="165"/>
      <c r="S12" s="47" t="b">
        <v>1</v>
      </c>
      <c r="T12" s="249" t="s">
        <v>2958</v>
      </c>
      <c r="U12" s="54"/>
      <c r="V12" s="54"/>
      <c r="W12" s="192"/>
      <c r="X12" s="192"/>
      <c r="Y12" s="167"/>
      <c r="Z12" s="167"/>
    </row>
    <row r="13" spans="1:26" ht="15.75" customHeight="1">
      <c r="A13" s="18"/>
      <c r="B13" s="71" t="s">
        <v>2956</v>
      </c>
      <c r="C13" s="53" t="s">
        <v>104</v>
      </c>
      <c r="D13" s="53" t="s">
        <v>486</v>
      </c>
      <c r="E13" s="53" t="s">
        <v>241</v>
      </c>
      <c r="F13" s="53" t="s">
        <v>68</v>
      </c>
      <c r="G13" s="53" t="s">
        <v>30</v>
      </c>
      <c r="H13" s="53">
        <v>1</v>
      </c>
      <c r="I13" s="54">
        <v>2350</v>
      </c>
      <c r="J13" s="54">
        <f t="shared" si="0"/>
        <v>2350</v>
      </c>
      <c r="K13" s="55" t="b">
        <v>1</v>
      </c>
      <c r="L13" s="56">
        <v>31220241600</v>
      </c>
      <c r="M13" s="57" t="b">
        <v>1</v>
      </c>
      <c r="N13" s="58"/>
      <c r="O13" s="226"/>
      <c r="P13" s="191" t="b">
        <v>1</v>
      </c>
      <c r="Q13" s="129"/>
      <c r="R13" s="165"/>
      <c r="S13" s="47" t="b">
        <v>1</v>
      </c>
      <c r="T13" s="249" t="s">
        <v>2959</v>
      </c>
      <c r="U13" s="54"/>
      <c r="V13" s="54"/>
      <c r="W13" s="192"/>
      <c r="X13" s="192"/>
      <c r="Y13" s="167"/>
      <c r="Z13" s="167"/>
    </row>
    <row r="14" spans="1:26">
      <c r="A14" s="162"/>
      <c r="B14" s="71" t="s">
        <v>2956</v>
      </c>
      <c r="C14" s="53" t="s">
        <v>104</v>
      </c>
      <c r="D14" s="53" t="s">
        <v>486</v>
      </c>
      <c r="E14" s="53" t="s">
        <v>241</v>
      </c>
      <c r="F14" s="53" t="s">
        <v>177</v>
      </c>
      <c r="G14" s="131" t="s">
        <v>30</v>
      </c>
      <c r="H14" s="53">
        <v>5</v>
      </c>
      <c r="I14" s="188">
        <v>975</v>
      </c>
      <c r="J14" s="54">
        <f t="shared" si="0"/>
        <v>4875</v>
      </c>
      <c r="K14" s="55" t="b">
        <v>1</v>
      </c>
      <c r="L14" s="56">
        <v>31220241600</v>
      </c>
      <c r="M14" s="57" t="b">
        <v>1</v>
      </c>
      <c r="N14" s="58" t="s">
        <v>529</v>
      </c>
      <c r="O14" s="226"/>
      <c r="P14" s="191" t="b">
        <v>1</v>
      </c>
      <c r="Q14" s="129"/>
      <c r="R14" s="165"/>
      <c r="S14" s="47" t="b">
        <v>1</v>
      </c>
      <c r="T14" s="249" t="s">
        <v>2959</v>
      </c>
      <c r="U14" s="54"/>
      <c r="V14" s="54"/>
      <c r="W14" s="192"/>
      <c r="X14" s="192"/>
      <c r="Y14" s="167"/>
      <c r="Z14" s="167"/>
    </row>
    <row r="15" spans="1:26">
      <c r="A15" s="162"/>
      <c r="B15" s="71" t="s">
        <v>2956</v>
      </c>
      <c r="C15" s="53" t="s">
        <v>104</v>
      </c>
      <c r="D15" s="53" t="s">
        <v>486</v>
      </c>
      <c r="E15" s="53" t="s">
        <v>241</v>
      </c>
      <c r="F15" s="53" t="s">
        <v>1952</v>
      </c>
      <c r="G15" s="131" t="s">
        <v>30</v>
      </c>
      <c r="H15" s="53">
        <v>10</v>
      </c>
      <c r="I15" s="188">
        <v>600</v>
      </c>
      <c r="J15" s="54">
        <f t="shared" si="0"/>
        <v>6000</v>
      </c>
      <c r="K15" s="55" t="b">
        <v>1</v>
      </c>
      <c r="L15" s="56">
        <v>31220241600</v>
      </c>
      <c r="M15" s="57" t="b">
        <v>1</v>
      </c>
      <c r="N15" s="58" t="s">
        <v>31</v>
      </c>
      <c r="O15" s="226">
        <v>45665</v>
      </c>
      <c r="P15" s="191" t="b">
        <v>1</v>
      </c>
      <c r="Q15" s="129"/>
      <c r="R15" s="165"/>
      <c r="S15" s="47" t="b">
        <v>1</v>
      </c>
      <c r="T15" s="249" t="s">
        <v>2960</v>
      </c>
      <c r="U15" s="54"/>
      <c r="V15" s="54"/>
      <c r="W15" s="192"/>
      <c r="X15" s="192"/>
      <c r="Y15" s="167"/>
      <c r="Z15" s="167"/>
    </row>
    <row r="16" spans="1:26">
      <c r="A16" s="162"/>
      <c r="B16" s="71" t="s">
        <v>2956</v>
      </c>
      <c r="C16" s="53" t="s">
        <v>418</v>
      </c>
      <c r="D16" s="53" t="s">
        <v>42</v>
      </c>
      <c r="E16" s="53" t="s">
        <v>209</v>
      </c>
      <c r="F16" s="53" t="s">
        <v>101</v>
      </c>
      <c r="G16" s="131" t="s">
        <v>30</v>
      </c>
      <c r="H16" s="53">
        <v>22</v>
      </c>
      <c r="I16" s="188">
        <v>900</v>
      </c>
      <c r="J16" s="54">
        <f t="shared" si="0"/>
        <v>19800</v>
      </c>
      <c r="K16" s="55" t="b">
        <v>1</v>
      </c>
      <c r="L16" s="56">
        <v>30120241613</v>
      </c>
      <c r="M16" s="57" t="b">
        <v>1</v>
      </c>
      <c r="N16" s="58" t="s">
        <v>529</v>
      </c>
      <c r="O16" s="226"/>
      <c r="P16" s="191" t="b">
        <v>1</v>
      </c>
      <c r="Q16" s="129"/>
      <c r="R16" s="165"/>
      <c r="S16" s="47" t="b">
        <v>1</v>
      </c>
      <c r="T16" s="249" t="s">
        <v>2961</v>
      </c>
      <c r="U16" s="54"/>
      <c r="V16" s="54"/>
      <c r="W16" s="192"/>
      <c r="X16" s="192"/>
      <c r="Y16" s="167"/>
      <c r="Z16" s="167"/>
    </row>
    <row r="17" spans="1:26">
      <c r="A17" s="162"/>
      <c r="B17" s="71" t="s">
        <v>2956</v>
      </c>
      <c r="C17" s="53" t="s">
        <v>418</v>
      </c>
      <c r="D17" s="53" t="s">
        <v>42</v>
      </c>
      <c r="E17" s="53" t="s">
        <v>209</v>
      </c>
      <c r="F17" s="53" t="s">
        <v>72</v>
      </c>
      <c r="G17" s="131" t="s">
        <v>30</v>
      </c>
      <c r="H17" s="53">
        <v>1</v>
      </c>
      <c r="I17" s="188">
        <v>1250</v>
      </c>
      <c r="J17" s="54">
        <f t="shared" si="0"/>
        <v>1250</v>
      </c>
      <c r="K17" s="55" t="b">
        <v>1</v>
      </c>
      <c r="L17" s="56">
        <v>30120241613</v>
      </c>
      <c r="M17" s="57" t="b">
        <v>1</v>
      </c>
      <c r="N17" s="58"/>
      <c r="O17" s="226"/>
      <c r="P17" s="191" t="b">
        <v>1</v>
      </c>
      <c r="Q17" s="129"/>
      <c r="R17" s="165"/>
      <c r="S17" s="47" t="b">
        <v>1</v>
      </c>
      <c r="T17" s="249" t="s">
        <v>2961</v>
      </c>
      <c r="U17" s="54"/>
      <c r="V17" s="54"/>
      <c r="W17" s="192"/>
      <c r="X17" s="192"/>
      <c r="Y17" s="167"/>
      <c r="Z17" s="167"/>
    </row>
    <row r="18" spans="1:26">
      <c r="A18" s="162"/>
      <c r="B18" s="71" t="s">
        <v>2962</v>
      </c>
      <c r="C18" s="53" t="s">
        <v>46</v>
      </c>
      <c r="D18" s="53" t="s">
        <v>47</v>
      </c>
      <c r="E18" s="53" t="s">
        <v>48</v>
      </c>
      <c r="F18" s="53" t="s">
        <v>1952</v>
      </c>
      <c r="G18" s="131" t="s">
        <v>30</v>
      </c>
      <c r="H18" s="53">
        <v>10</v>
      </c>
      <c r="I18" s="188">
        <v>600</v>
      </c>
      <c r="J18" s="54">
        <f t="shared" si="0"/>
        <v>6000</v>
      </c>
      <c r="K18" s="55" t="b">
        <v>1</v>
      </c>
      <c r="L18" s="56">
        <v>40120251536</v>
      </c>
      <c r="M18" s="57" t="b">
        <v>1</v>
      </c>
      <c r="N18" s="58" t="s">
        <v>31</v>
      </c>
      <c r="O18" s="226">
        <v>45665</v>
      </c>
      <c r="P18" s="191" t="b">
        <v>1</v>
      </c>
      <c r="Q18" s="129"/>
      <c r="R18" s="165"/>
      <c r="S18" s="47" t="b">
        <v>1</v>
      </c>
      <c r="T18" s="249" t="s">
        <v>2963</v>
      </c>
      <c r="U18" s="54"/>
      <c r="V18" s="54"/>
      <c r="W18" s="192"/>
      <c r="X18" s="192"/>
      <c r="Y18" s="167"/>
      <c r="Z18" s="167"/>
    </row>
    <row r="19" spans="1:26">
      <c r="A19" s="162"/>
      <c r="B19" s="71" t="s">
        <v>2962</v>
      </c>
      <c r="C19" s="53" t="s">
        <v>98</v>
      </c>
      <c r="D19" s="53" t="s">
        <v>2296</v>
      </c>
      <c r="E19" s="53" t="s">
        <v>1279</v>
      </c>
      <c r="F19" s="53" t="s">
        <v>103</v>
      </c>
      <c r="G19" s="131" t="s">
        <v>30</v>
      </c>
      <c r="H19" s="53">
        <v>15</v>
      </c>
      <c r="I19" s="188">
        <v>265</v>
      </c>
      <c r="J19" s="54">
        <f t="shared" si="0"/>
        <v>3975</v>
      </c>
      <c r="K19" s="55" t="b">
        <v>1</v>
      </c>
      <c r="L19" s="56">
        <v>40120251538</v>
      </c>
      <c r="M19" s="57" t="b">
        <v>1</v>
      </c>
      <c r="N19" s="58" t="s">
        <v>1581</v>
      </c>
      <c r="O19" s="226"/>
      <c r="P19" s="191" t="b">
        <v>1</v>
      </c>
      <c r="Q19" s="129"/>
      <c r="R19" s="165"/>
      <c r="S19" s="47" t="b">
        <v>1</v>
      </c>
      <c r="T19" s="249" t="s">
        <v>2964</v>
      </c>
      <c r="U19" s="54"/>
      <c r="V19" s="54"/>
      <c r="W19" s="192"/>
      <c r="X19" s="192"/>
      <c r="Y19" s="167"/>
      <c r="Z19" s="167"/>
    </row>
    <row r="20" spans="1:26">
      <c r="A20" s="162"/>
      <c r="B20" s="132" t="s">
        <v>2962</v>
      </c>
      <c r="C20" s="66" t="s">
        <v>98</v>
      </c>
      <c r="D20" s="66" t="s">
        <v>2296</v>
      </c>
      <c r="E20" s="66" t="s">
        <v>1279</v>
      </c>
      <c r="F20" s="66" t="s">
        <v>2965</v>
      </c>
      <c r="G20" s="69" t="s">
        <v>30</v>
      </c>
      <c r="H20" s="66">
        <v>6</v>
      </c>
      <c r="I20" s="70">
        <v>695</v>
      </c>
      <c r="J20" s="75">
        <f t="shared" si="0"/>
        <v>4170</v>
      </c>
      <c r="K20" s="55" t="b">
        <v>1</v>
      </c>
      <c r="L20" s="154">
        <v>60120250915</v>
      </c>
      <c r="M20" s="57" t="b">
        <v>1</v>
      </c>
      <c r="N20" s="58" t="s">
        <v>529</v>
      </c>
      <c r="O20" s="226"/>
      <c r="P20" s="59" t="b">
        <v>1</v>
      </c>
      <c r="Q20" s="164"/>
      <c r="R20" s="165"/>
      <c r="S20" s="47" t="b">
        <v>1</v>
      </c>
      <c r="T20" s="227" t="s">
        <v>2964</v>
      </c>
      <c r="U20" s="75"/>
      <c r="V20" s="75"/>
      <c r="W20" s="166"/>
      <c r="X20" s="166"/>
      <c r="Y20" s="167"/>
      <c r="Z20" s="167"/>
    </row>
    <row r="21" spans="1:26">
      <c r="A21" s="162"/>
      <c r="B21" s="71" t="s">
        <v>2966</v>
      </c>
      <c r="C21" s="53" t="s">
        <v>433</v>
      </c>
      <c r="D21" s="53" t="s">
        <v>706</v>
      </c>
      <c r="E21" s="53" t="s">
        <v>707</v>
      </c>
      <c r="F21" s="53" t="s">
        <v>2967</v>
      </c>
      <c r="G21" s="131" t="s">
        <v>30</v>
      </c>
      <c r="H21" s="53">
        <v>4</v>
      </c>
      <c r="I21" s="188">
        <v>390</v>
      </c>
      <c r="J21" s="54">
        <f t="shared" si="0"/>
        <v>1560</v>
      </c>
      <c r="K21" s="55" t="b">
        <v>1</v>
      </c>
      <c r="L21" s="56">
        <v>60120251138</v>
      </c>
      <c r="M21" s="57" t="b">
        <v>1</v>
      </c>
      <c r="N21" s="58" t="s">
        <v>2968</v>
      </c>
      <c r="O21" s="226"/>
      <c r="P21" s="191" t="b">
        <v>1</v>
      </c>
      <c r="Q21" s="129"/>
      <c r="R21" s="165"/>
      <c r="S21" s="47" t="b">
        <v>1</v>
      </c>
      <c r="T21" s="249" t="s">
        <v>2969</v>
      </c>
      <c r="U21" s="54"/>
      <c r="V21" s="54"/>
      <c r="W21" s="192"/>
      <c r="X21" s="192"/>
      <c r="Y21" s="167"/>
      <c r="Z21" s="167"/>
    </row>
    <row r="22" spans="1:26">
      <c r="A22" s="162"/>
      <c r="B22" s="71" t="s">
        <v>2966</v>
      </c>
      <c r="C22" s="53" t="s">
        <v>51</v>
      </c>
      <c r="D22" s="53" t="s">
        <v>2970</v>
      </c>
      <c r="E22" s="53" t="s">
        <v>595</v>
      </c>
      <c r="F22" s="53" t="s">
        <v>2971</v>
      </c>
      <c r="G22" s="131" t="s">
        <v>30</v>
      </c>
      <c r="H22" s="53">
        <v>5</v>
      </c>
      <c r="I22" s="188">
        <v>560</v>
      </c>
      <c r="J22" s="54">
        <f t="shared" si="0"/>
        <v>2800</v>
      </c>
      <c r="K22" s="55" t="b">
        <v>1</v>
      </c>
      <c r="L22" s="56">
        <v>60120251301</v>
      </c>
      <c r="M22" s="57" t="b">
        <v>1</v>
      </c>
      <c r="N22" s="58"/>
      <c r="O22" s="226"/>
      <c r="P22" s="191" t="b">
        <v>1</v>
      </c>
      <c r="Q22" s="129"/>
      <c r="R22" s="165"/>
      <c r="S22" s="47" t="b">
        <v>1</v>
      </c>
      <c r="T22" s="249" t="s">
        <v>2972</v>
      </c>
      <c r="U22" s="54"/>
      <c r="V22" s="54"/>
      <c r="W22" s="192"/>
      <c r="X22" s="192"/>
      <c r="Y22" s="167"/>
      <c r="Z22" s="167"/>
    </row>
    <row r="23" spans="1:26">
      <c r="A23" s="162"/>
      <c r="B23" s="71" t="s">
        <v>2973</v>
      </c>
      <c r="C23" s="53" t="s">
        <v>262</v>
      </c>
      <c r="D23" s="53" t="s">
        <v>263</v>
      </c>
      <c r="E23" s="53" t="s">
        <v>2855</v>
      </c>
      <c r="F23" s="53" t="s">
        <v>442</v>
      </c>
      <c r="G23" s="131" t="s">
        <v>30</v>
      </c>
      <c r="H23" s="53">
        <v>48</v>
      </c>
      <c r="I23" s="188">
        <v>57</v>
      </c>
      <c r="J23" s="54">
        <f t="shared" si="0"/>
        <v>2736</v>
      </c>
      <c r="K23" s="55" t="b">
        <v>1</v>
      </c>
      <c r="L23" s="56">
        <v>60120251301</v>
      </c>
      <c r="M23" s="57" t="b">
        <v>1</v>
      </c>
      <c r="N23" s="58" t="s">
        <v>31</v>
      </c>
      <c r="O23" s="226">
        <v>45665</v>
      </c>
      <c r="P23" s="191" t="b">
        <v>1</v>
      </c>
      <c r="Q23" s="129"/>
      <c r="R23" s="165"/>
      <c r="S23" s="47" t="b">
        <v>1</v>
      </c>
      <c r="T23" s="249" t="s">
        <v>2974</v>
      </c>
      <c r="U23" s="54"/>
      <c r="V23" s="54"/>
      <c r="W23" s="192"/>
      <c r="X23" s="192"/>
      <c r="Y23" s="167"/>
      <c r="Z23" s="167"/>
    </row>
    <row r="24" spans="1:26">
      <c r="A24" s="162"/>
      <c r="B24" s="132" t="s">
        <v>2966</v>
      </c>
      <c r="C24" s="66" t="s">
        <v>171</v>
      </c>
      <c r="D24" s="66" t="s">
        <v>137</v>
      </c>
      <c r="E24" s="66" t="s">
        <v>2975</v>
      </c>
      <c r="F24" s="66" t="s">
        <v>2704</v>
      </c>
      <c r="G24" s="69" t="s">
        <v>30</v>
      </c>
      <c r="H24" s="66">
        <v>100</v>
      </c>
      <c r="I24" s="70">
        <v>600</v>
      </c>
      <c r="J24" s="75">
        <f t="shared" si="0"/>
        <v>60000</v>
      </c>
      <c r="K24" s="55" t="b">
        <v>1</v>
      </c>
      <c r="L24" s="154">
        <v>60120251438</v>
      </c>
      <c r="M24" s="57" t="b">
        <v>1</v>
      </c>
      <c r="N24" s="58" t="s">
        <v>39</v>
      </c>
      <c r="O24" s="226"/>
      <c r="P24" s="59" t="b">
        <v>1</v>
      </c>
      <c r="Q24" s="164"/>
      <c r="R24" s="165"/>
      <c r="S24" s="47" t="b">
        <v>1</v>
      </c>
      <c r="T24" s="249" t="s">
        <v>2976</v>
      </c>
      <c r="U24" s="75"/>
      <c r="V24" s="75"/>
      <c r="W24" s="166"/>
      <c r="X24" s="166"/>
      <c r="Y24" s="167"/>
      <c r="Z24" s="167"/>
    </row>
    <row r="25" spans="1:26">
      <c r="A25" s="162"/>
      <c r="B25" s="132" t="s">
        <v>2966</v>
      </c>
      <c r="C25" s="66" t="s">
        <v>171</v>
      </c>
      <c r="D25" s="66" t="s">
        <v>137</v>
      </c>
      <c r="E25" s="66" t="s">
        <v>2812</v>
      </c>
      <c r="F25" s="66" t="s">
        <v>1024</v>
      </c>
      <c r="G25" s="69" t="s">
        <v>30</v>
      </c>
      <c r="H25" s="66">
        <v>25</v>
      </c>
      <c r="I25" s="70">
        <v>100</v>
      </c>
      <c r="J25" s="75">
        <f t="shared" si="0"/>
        <v>2500</v>
      </c>
      <c r="K25" s="55" t="b">
        <v>1</v>
      </c>
      <c r="L25" s="154">
        <v>60120251446</v>
      </c>
      <c r="M25" s="57" t="b">
        <v>1</v>
      </c>
      <c r="N25" s="58"/>
      <c r="O25" s="226"/>
      <c r="P25" s="59" t="b">
        <v>1</v>
      </c>
      <c r="Q25" s="164"/>
      <c r="R25" s="165"/>
      <c r="S25" s="47" t="b">
        <v>1</v>
      </c>
      <c r="T25" s="249" t="s">
        <v>2976</v>
      </c>
      <c r="U25" s="75"/>
      <c r="V25" s="75"/>
      <c r="W25" s="166"/>
      <c r="X25" s="166"/>
      <c r="Y25" s="167"/>
      <c r="Z25" s="167"/>
    </row>
    <row r="26" spans="1:26">
      <c r="A26" s="162"/>
      <c r="B26" s="71" t="s">
        <v>2977</v>
      </c>
      <c r="C26" s="53" t="s">
        <v>2978</v>
      </c>
      <c r="D26" s="53" t="s">
        <v>706</v>
      </c>
      <c r="E26" s="53" t="s">
        <v>707</v>
      </c>
      <c r="F26" s="53" t="s">
        <v>2979</v>
      </c>
      <c r="G26" s="131" t="s">
        <v>30</v>
      </c>
      <c r="H26" s="53">
        <v>1</v>
      </c>
      <c r="I26" s="188">
        <v>390</v>
      </c>
      <c r="J26" s="54">
        <f t="shared" si="0"/>
        <v>390</v>
      </c>
      <c r="K26" s="55" t="b">
        <v>1</v>
      </c>
      <c r="L26" s="56">
        <v>70120250945</v>
      </c>
      <c r="M26" s="57" t="b">
        <v>1</v>
      </c>
      <c r="N26" s="58" t="s">
        <v>39</v>
      </c>
      <c r="O26" s="226"/>
      <c r="P26" s="191" t="b">
        <v>1</v>
      </c>
      <c r="Q26" s="129"/>
      <c r="R26" s="165"/>
      <c r="S26" s="47" t="b">
        <v>1</v>
      </c>
      <c r="T26" s="249" t="s">
        <v>2969</v>
      </c>
      <c r="U26" s="54"/>
      <c r="V26" s="54"/>
      <c r="W26" s="192"/>
      <c r="X26" s="192"/>
      <c r="Y26" s="167"/>
      <c r="Z26" s="167"/>
    </row>
    <row r="27" spans="1:26">
      <c r="A27" s="162"/>
      <c r="B27" s="132" t="s">
        <v>2977</v>
      </c>
      <c r="C27" s="66" t="s">
        <v>171</v>
      </c>
      <c r="D27" s="66" t="s">
        <v>137</v>
      </c>
      <c r="E27" s="66" t="s">
        <v>2812</v>
      </c>
      <c r="F27" s="66" t="s">
        <v>2980</v>
      </c>
      <c r="G27" s="69" t="s">
        <v>30</v>
      </c>
      <c r="H27" s="66">
        <v>30</v>
      </c>
      <c r="I27" s="70">
        <v>300</v>
      </c>
      <c r="J27" s="75">
        <f t="shared" si="0"/>
        <v>9000</v>
      </c>
      <c r="K27" s="55" t="b">
        <v>1</v>
      </c>
      <c r="L27" s="154">
        <v>70120251753</v>
      </c>
      <c r="M27" s="57" t="b">
        <v>1</v>
      </c>
      <c r="N27" s="58" t="s">
        <v>31</v>
      </c>
      <c r="O27" s="226">
        <v>45665</v>
      </c>
      <c r="P27" s="59" t="b">
        <v>1</v>
      </c>
      <c r="Q27" s="164"/>
      <c r="R27" s="165"/>
      <c r="S27" s="47" t="b">
        <v>1</v>
      </c>
      <c r="T27" s="249" t="s">
        <v>2976</v>
      </c>
      <c r="U27" s="75"/>
      <c r="V27" s="75"/>
      <c r="W27" s="166"/>
      <c r="X27" s="166"/>
      <c r="Y27" s="167"/>
      <c r="Z27" s="167"/>
    </row>
    <row r="28" spans="1:26">
      <c r="A28" s="162"/>
      <c r="B28" s="132" t="s">
        <v>2977</v>
      </c>
      <c r="C28" s="66" t="s">
        <v>51</v>
      </c>
      <c r="D28" s="66" t="s">
        <v>61</v>
      </c>
      <c r="E28" s="66" t="s">
        <v>548</v>
      </c>
      <c r="F28" s="66" t="s">
        <v>1952</v>
      </c>
      <c r="G28" s="69" t="s">
        <v>30</v>
      </c>
      <c r="H28" s="66">
        <v>10</v>
      </c>
      <c r="I28" s="70">
        <v>600</v>
      </c>
      <c r="J28" s="75">
        <f t="shared" si="0"/>
        <v>6000</v>
      </c>
      <c r="K28" s="55" t="b">
        <v>1</v>
      </c>
      <c r="L28" s="154">
        <v>70120251755</v>
      </c>
      <c r="M28" s="57" t="b">
        <v>1</v>
      </c>
      <c r="N28" s="58" t="s">
        <v>39</v>
      </c>
      <c r="O28" s="226"/>
      <c r="P28" s="59" t="b">
        <v>1</v>
      </c>
      <c r="Q28" s="164"/>
      <c r="R28" s="165"/>
      <c r="S28" s="47" t="b">
        <v>1</v>
      </c>
      <c r="T28" s="249" t="s">
        <v>2981</v>
      </c>
      <c r="U28" s="75"/>
      <c r="V28" s="75"/>
      <c r="W28" s="166"/>
      <c r="X28" s="166"/>
      <c r="Y28" s="167"/>
      <c r="Z28" s="167"/>
    </row>
    <row r="29" spans="1:26">
      <c r="A29" s="162"/>
      <c r="B29" s="71" t="s">
        <v>2977</v>
      </c>
      <c r="C29" s="53" t="s">
        <v>51</v>
      </c>
      <c r="D29" s="53" t="s">
        <v>201</v>
      </c>
      <c r="E29" s="53" t="s">
        <v>202</v>
      </c>
      <c r="F29" s="53" t="s">
        <v>2982</v>
      </c>
      <c r="G29" s="131" t="s">
        <v>30</v>
      </c>
      <c r="H29" s="53">
        <v>1</v>
      </c>
      <c r="I29" s="188">
        <v>9000</v>
      </c>
      <c r="J29" s="54">
        <f t="shared" si="0"/>
        <v>9000</v>
      </c>
      <c r="K29" s="55" t="b">
        <v>1</v>
      </c>
      <c r="L29" s="56">
        <v>70120251801</v>
      </c>
      <c r="M29" s="57" t="b">
        <v>1</v>
      </c>
      <c r="N29" s="58"/>
      <c r="O29" s="226"/>
      <c r="P29" s="191" t="b">
        <v>1</v>
      </c>
      <c r="Q29" s="129"/>
      <c r="R29" s="165"/>
      <c r="S29" s="47" t="b">
        <v>1</v>
      </c>
      <c r="T29" s="249" t="s">
        <v>2983</v>
      </c>
      <c r="U29" s="54"/>
      <c r="V29" s="54"/>
      <c r="W29" s="192"/>
      <c r="X29" s="192"/>
      <c r="Y29" s="167"/>
      <c r="Z29" s="167"/>
    </row>
    <row r="30" spans="1:26">
      <c r="A30" s="162"/>
      <c r="B30" s="71" t="s">
        <v>2977</v>
      </c>
      <c r="C30" s="53" t="s">
        <v>51</v>
      </c>
      <c r="D30" s="53" t="s">
        <v>201</v>
      </c>
      <c r="E30" s="53" t="s">
        <v>202</v>
      </c>
      <c r="F30" s="53" t="s">
        <v>2984</v>
      </c>
      <c r="G30" s="69" t="s">
        <v>30</v>
      </c>
      <c r="H30" s="66">
        <v>1</v>
      </c>
      <c r="I30" s="70">
        <v>9750</v>
      </c>
      <c r="J30" s="54">
        <f t="shared" si="0"/>
        <v>9750</v>
      </c>
      <c r="K30" s="55" t="b">
        <v>1</v>
      </c>
      <c r="L30" s="56">
        <v>70120251801</v>
      </c>
      <c r="M30" s="57" t="b">
        <v>1</v>
      </c>
      <c r="N30" s="58"/>
      <c r="O30" s="226"/>
      <c r="P30" s="59" t="b">
        <v>1</v>
      </c>
      <c r="Q30" s="164"/>
      <c r="R30" s="165"/>
      <c r="S30" s="47" t="b">
        <v>1</v>
      </c>
      <c r="T30" s="249" t="s">
        <v>2985</v>
      </c>
      <c r="U30" s="75"/>
      <c r="V30" s="75"/>
      <c r="W30" s="166"/>
      <c r="X30" s="166"/>
      <c r="Y30" s="167"/>
      <c r="Z30" s="167"/>
    </row>
    <row r="31" spans="1:26">
      <c r="A31" s="162"/>
      <c r="B31" s="132" t="s">
        <v>2977</v>
      </c>
      <c r="C31" s="66" t="s">
        <v>51</v>
      </c>
      <c r="D31" s="66" t="s">
        <v>201</v>
      </c>
      <c r="E31" s="66" t="s">
        <v>202</v>
      </c>
      <c r="F31" s="66" t="s">
        <v>1952</v>
      </c>
      <c r="G31" s="69" t="s">
        <v>30</v>
      </c>
      <c r="H31" s="66">
        <v>10</v>
      </c>
      <c r="I31" s="70">
        <v>600</v>
      </c>
      <c r="J31" s="75">
        <f t="shared" si="0"/>
        <v>6000</v>
      </c>
      <c r="K31" s="55" t="b">
        <v>1</v>
      </c>
      <c r="L31" s="154">
        <v>70120251801</v>
      </c>
      <c r="M31" s="57" t="b">
        <v>1</v>
      </c>
      <c r="N31" s="58" t="s">
        <v>31</v>
      </c>
      <c r="O31" s="226">
        <v>45665</v>
      </c>
      <c r="P31" s="59" t="b">
        <v>1</v>
      </c>
      <c r="Q31" s="164"/>
      <c r="R31" s="165"/>
      <c r="S31" s="47" t="b">
        <v>1</v>
      </c>
      <c r="T31" s="249" t="s">
        <v>2986</v>
      </c>
      <c r="U31" s="75"/>
      <c r="V31" s="75"/>
      <c r="W31" s="166"/>
      <c r="X31" s="166"/>
      <c r="Y31" s="167"/>
      <c r="Z31" s="167"/>
    </row>
    <row r="32" spans="1:26">
      <c r="A32" s="162"/>
      <c r="B32" s="132" t="s">
        <v>2977</v>
      </c>
      <c r="C32" s="66" t="s">
        <v>51</v>
      </c>
      <c r="D32" s="66" t="s">
        <v>201</v>
      </c>
      <c r="E32" s="66" t="s">
        <v>202</v>
      </c>
      <c r="F32" s="66" t="s">
        <v>58</v>
      </c>
      <c r="G32" s="69" t="s">
        <v>30</v>
      </c>
      <c r="H32" s="66">
        <v>168</v>
      </c>
      <c r="I32" s="70">
        <v>41.5</v>
      </c>
      <c r="J32" s="75">
        <f t="shared" si="0"/>
        <v>6972</v>
      </c>
      <c r="K32" s="55" t="b">
        <v>1</v>
      </c>
      <c r="L32" s="154">
        <v>70120251801</v>
      </c>
      <c r="M32" s="57" t="b">
        <v>1</v>
      </c>
      <c r="N32" s="58"/>
      <c r="O32" s="226"/>
      <c r="P32" s="59" t="b">
        <v>1</v>
      </c>
      <c r="Q32" s="164"/>
      <c r="R32" s="165"/>
      <c r="S32" s="47" t="b">
        <v>1</v>
      </c>
      <c r="T32" s="249" t="s">
        <v>2986</v>
      </c>
      <c r="U32" s="75"/>
      <c r="V32" s="75"/>
      <c r="W32" s="166"/>
      <c r="X32" s="166"/>
      <c r="Y32" s="167"/>
      <c r="Z32" s="167"/>
    </row>
    <row r="33" spans="1:26">
      <c r="A33" s="162"/>
      <c r="B33" s="71" t="s">
        <v>2977</v>
      </c>
      <c r="C33" s="53" t="s">
        <v>104</v>
      </c>
      <c r="D33" s="53" t="s">
        <v>2336</v>
      </c>
      <c r="E33" s="53" t="s">
        <v>674</v>
      </c>
      <c r="F33" s="53" t="s">
        <v>300</v>
      </c>
      <c r="G33" s="131" t="s">
        <v>30</v>
      </c>
      <c r="H33" s="53">
        <v>50</v>
      </c>
      <c r="I33" s="188">
        <v>125</v>
      </c>
      <c r="J33" s="54">
        <f t="shared" si="0"/>
        <v>6250</v>
      </c>
      <c r="K33" s="55" t="b">
        <v>1</v>
      </c>
      <c r="L33" s="56">
        <v>70120251801</v>
      </c>
      <c r="M33" s="57" t="b">
        <v>1</v>
      </c>
      <c r="N33" s="58" t="s">
        <v>2968</v>
      </c>
      <c r="O33" s="226"/>
      <c r="P33" s="191" t="b">
        <v>1</v>
      </c>
      <c r="Q33" s="129"/>
      <c r="R33" s="165"/>
      <c r="S33" s="47" t="b">
        <v>1</v>
      </c>
      <c r="T33" s="249" t="s">
        <v>2987</v>
      </c>
      <c r="U33" s="54">
        <v>5600</v>
      </c>
      <c r="V33" s="54"/>
      <c r="W33" s="192"/>
      <c r="X33" s="192"/>
      <c r="Y33" s="167"/>
      <c r="Z33" s="167"/>
    </row>
    <row r="34" spans="1:26">
      <c r="A34" s="162"/>
      <c r="B34" s="71" t="s">
        <v>2977</v>
      </c>
      <c r="C34" s="53" t="s">
        <v>104</v>
      </c>
      <c r="D34" s="53" t="s">
        <v>2336</v>
      </c>
      <c r="E34" s="53" t="s">
        <v>674</v>
      </c>
      <c r="F34" s="53" t="s">
        <v>760</v>
      </c>
      <c r="G34" s="131" t="s">
        <v>30</v>
      </c>
      <c r="H34" s="53">
        <v>30</v>
      </c>
      <c r="I34" s="188">
        <v>135</v>
      </c>
      <c r="J34" s="54">
        <f t="shared" si="0"/>
        <v>4050</v>
      </c>
      <c r="K34" s="55" t="b">
        <v>1</v>
      </c>
      <c r="L34" s="56">
        <v>70120251801</v>
      </c>
      <c r="M34" s="57" t="b">
        <v>1</v>
      </c>
      <c r="N34" s="58" t="s">
        <v>31</v>
      </c>
      <c r="O34" s="226">
        <v>45665</v>
      </c>
      <c r="P34" s="191" t="b">
        <v>1</v>
      </c>
      <c r="Q34" s="129"/>
      <c r="R34" s="165"/>
      <c r="S34" s="47" t="b">
        <v>1</v>
      </c>
      <c r="T34" s="249" t="s">
        <v>2988</v>
      </c>
      <c r="U34" s="54"/>
      <c r="V34" s="54"/>
      <c r="W34" s="192"/>
      <c r="X34" s="192"/>
      <c r="Y34" s="167"/>
      <c r="Z34" s="167"/>
    </row>
    <row r="35" spans="1:26">
      <c r="A35" s="162"/>
      <c r="B35" s="71" t="s">
        <v>2977</v>
      </c>
      <c r="C35" s="53" t="s">
        <v>104</v>
      </c>
      <c r="D35" s="53" t="s">
        <v>2336</v>
      </c>
      <c r="E35" s="53" t="s">
        <v>674</v>
      </c>
      <c r="F35" s="53" t="s">
        <v>563</v>
      </c>
      <c r="G35" s="131" t="s">
        <v>30</v>
      </c>
      <c r="H35" s="53">
        <v>100</v>
      </c>
      <c r="I35" s="188">
        <v>29.5</v>
      </c>
      <c r="J35" s="54">
        <f t="shared" si="0"/>
        <v>2950</v>
      </c>
      <c r="K35" s="55" t="b">
        <v>1</v>
      </c>
      <c r="L35" s="56">
        <v>70120251801</v>
      </c>
      <c r="M35" s="57" t="b">
        <v>1</v>
      </c>
      <c r="N35" s="58" t="s">
        <v>2968</v>
      </c>
      <c r="O35" s="226">
        <v>45666</v>
      </c>
      <c r="P35" s="191" t="b">
        <v>1</v>
      </c>
      <c r="Q35" s="129"/>
      <c r="R35" s="165"/>
      <c r="S35" s="47" t="b">
        <v>1</v>
      </c>
      <c r="T35" s="249" t="s">
        <v>2988</v>
      </c>
      <c r="U35" s="54"/>
      <c r="V35" s="54"/>
      <c r="W35" s="192"/>
      <c r="X35" s="192"/>
      <c r="Y35" s="167"/>
      <c r="Z35" s="167"/>
    </row>
    <row r="36" spans="1:26">
      <c r="A36" s="162"/>
      <c r="B36" s="71" t="s">
        <v>2977</v>
      </c>
      <c r="C36" s="53" t="s">
        <v>104</v>
      </c>
      <c r="D36" s="53" t="s">
        <v>2336</v>
      </c>
      <c r="E36" s="53" t="s">
        <v>674</v>
      </c>
      <c r="F36" s="53" t="s">
        <v>2989</v>
      </c>
      <c r="G36" s="131" t="s">
        <v>30</v>
      </c>
      <c r="H36" s="53">
        <v>10</v>
      </c>
      <c r="I36" s="188">
        <v>175</v>
      </c>
      <c r="J36" s="54">
        <f t="shared" si="0"/>
        <v>1750</v>
      </c>
      <c r="K36" s="55" t="b">
        <v>1</v>
      </c>
      <c r="L36" s="56">
        <v>70120251801</v>
      </c>
      <c r="M36" s="57" t="b">
        <v>1</v>
      </c>
      <c r="N36" s="58" t="s">
        <v>31</v>
      </c>
      <c r="O36" s="226">
        <v>45666</v>
      </c>
      <c r="P36" s="191" t="b">
        <v>1</v>
      </c>
      <c r="Q36" s="129"/>
      <c r="R36" s="165"/>
      <c r="S36" s="47" t="b">
        <v>1</v>
      </c>
      <c r="T36" s="249" t="s">
        <v>2987</v>
      </c>
      <c r="U36" s="54"/>
      <c r="V36" s="54"/>
      <c r="W36" s="192"/>
      <c r="X36" s="192"/>
      <c r="Y36" s="167"/>
      <c r="Z36" s="167"/>
    </row>
    <row r="37" spans="1:26">
      <c r="A37" s="162"/>
      <c r="B37" s="71" t="s">
        <v>2977</v>
      </c>
      <c r="C37" s="53" t="s">
        <v>144</v>
      </c>
      <c r="D37" s="53" t="s">
        <v>145</v>
      </c>
      <c r="E37" s="53" t="s">
        <v>1919</v>
      </c>
      <c r="F37" s="53" t="s">
        <v>308</v>
      </c>
      <c r="G37" s="131" t="s">
        <v>30</v>
      </c>
      <c r="H37" s="53">
        <v>5</v>
      </c>
      <c r="I37" s="188">
        <v>895</v>
      </c>
      <c r="J37" s="54">
        <f t="shared" si="0"/>
        <v>4475</v>
      </c>
      <c r="K37" s="55" t="b">
        <v>1</v>
      </c>
      <c r="L37" s="56">
        <v>70120251840</v>
      </c>
      <c r="M37" s="57" t="b">
        <v>1</v>
      </c>
      <c r="N37" s="58"/>
      <c r="O37" s="226"/>
      <c r="P37" s="191" t="b">
        <v>1</v>
      </c>
      <c r="Q37" s="129"/>
      <c r="R37" s="165"/>
      <c r="S37" s="47" t="b">
        <v>1</v>
      </c>
      <c r="T37" s="249" t="s">
        <v>2990</v>
      </c>
      <c r="U37" s="54"/>
      <c r="V37" s="54"/>
      <c r="W37" s="192"/>
      <c r="X37" s="192"/>
      <c r="Y37" s="167"/>
      <c r="Z37" s="167"/>
    </row>
    <row r="38" spans="1:26">
      <c r="A38" s="162"/>
      <c r="B38" s="132" t="s">
        <v>2991</v>
      </c>
      <c r="C38" s="66" t="s">
        <v>51</v>
      </c>
      <c r="D38" s="66" t="s">
        <v>61</v>
      </c>
      <c r="E38" s="66" t="s">
        <v>2992</v>
      </c>
      <c r="F38" s="66" t="s">
        <v>574</v>
      </c>
      <c r="G38" s="69" t="s">
        <v>30</v>
      </c>
      <c r="H38" s="66">
        <v>10</v>
      </c>
      <c r="I38" s="70">
        <v>715</v>
      </c>
      <c r="J38" s="75">
        <f t="shared" si="0"/>
        <v>7150</v>
      </c>
      <c r="K38" s="55" t="b">
        <v>1</v>
      </c>
      <c r="L38" s="154">
        <v>70120251843</v>
      </c>
      <c r="M38" s="57" t="b">
        <v>1</v>
      </c>
      <c r="N38" s="58"/>
      <c r="O38" s="226"/>
      <c r="P38" s="59" t="b">
        <v>1</v>
      </c>
      <c r="Q38" s="164"/>
      <c r="R38" s="165"/>
      <c r="S38" s="47" t="b">
        <v>1</v>
      </c>
      <c r="T38" s="249" t="s">
        <v>2981</v>
      </c>
      <c r="U38" s="75"/>
      <c r="V38" s="75"/>
      <c r="W38" s="166"/>
      <c r="X38" s="166"/>
      <c r="Y38" s="167"/>
      <c r="Z38" s="167"/>
    </row>
    <row r="39" spans="1:26">
      <c r="A39" s="162"/>
      <c r="B39" s="71" t="s">
        <v>2993</v>
      </c>
      <c r="C39" s="53" t="s">
        <v>397</v>
      </c>
      <c r="D39" s="53" t="s">
        <v>213</v>
      </c>
      <c r="E39" s="53" t="s">
        <v>859</v>
      </c>
      <c r="F39" s="53" t="s">
        <v>1952</v>
      </c>
      <c r="G39" s="131" t="s">
        <v>30</v>
      </c>
      <c r="H39" s="53">
        <v>10</v>
      </c>
      <c r="I39" s="188">
        <v>600</v>
      </c>
      <c r="J39" s="54">
        <f t="shared" si="0"/>
        <v>6000</v>
      </c>
      <c r="K39" s="55" t="b">
        <v>1</v>
      </c>
      <c r="L39" s="56">
        <v>90120251028</v>
      </c>
      <c r="M39" s="57" t="b">
        <v>1</v>
      </c>
      <c r="N39" s="58" t="s">
        <v>31</v>
      </c>
      <c r="O39" s="226">
        <v>45666</v>
      </c>
      <c r="P39" s="191" t="b">
        <v>1</v>
      </c>
      <c r="Q39" s="129"/>
      <c r="R39" s="165"/>
      <c r="S39" s="47" t="b">
        <v>1</v>
      </c>
      <c r="T39" s="249" t="s">
        <v>2994</v>
      </c>
      <c r="U39" s="54"/>
      <c r="V39" s="54"/>
      <c r="W39" s="192"/>
      <c r="X39" s="192"/>
      <c r="Y39" s="167"/>
      <c r="Z39" s="167"/>
    </row>
    <row r="40" spans="1:26">
      <c r="A40" s="162"/>
      <c r="B40" s="71" t="s">
        <v>2993</v>
      </c>
      <c r="C40" s="53" t="s">
        <v>397</v>
      </c>
      <c r="D40" s="53" t="s">
        <v>646</v>
      </c>
      <c r="E40" s="53" t="s">
        <v>2260</v>
      </c>
      <c r="F40" s="53" t="s">
        <v>1952</v>
      </c>
      <c r="G40" s="131" t="s">
        <v>30</v>
      </c>
      <c r="H40" s="53">
        <v>20</v>
      </c>
      <c r="I40" s="188">
        <v>600</v>
      </c>
      <c r="J40" s="54">
        <f t="shared" si="0"/>
        <v>12000</v>
      </c>
      <c r="K40" s="55" t="b">
        <v>1</v>
      </c>
      <c r="L40" s="56">
        <v>90120251028</v>
      </c>
      <c r="M40" s="57" t="b">
        <v>1</v>
      </c>
      <c r="N40" s="58" t="s">
        <v>31</v>
      </c>
      <c r="O40" s="226">
        <v>45666</v>
      </c>
      <c r="P40" s="191" t="b">
        <v>1</v>
      </c>
      <c r="Q40" s="129"/>
      <c r="R40" s="165"/>
      <c r="S40" s="47" t="b">
        <v>1</v>
      </c>
      <c r="T40" s="249" t="s">
        <v>2995</v>
      </c>
      <c r="U40" s="54"/>
      <c r="V40" s="54"/>
      <c r="W40" s="192"/>
      <c r="X40" s="192"/>
      <c r="Y40" s="167"/>
      <c r="Z40" s="167"/>
    </row>
    <row r="41" spans="1:26">
      <c r="A41" s="162"/>
      <c r="B41" s="71" t="s">
        <v>2993</v>
      </c>
      <c r="C41" s="53" t="s">
        <v>418</v>
      </c>
      <c r="D41" s="53" t="s">
        <v>565</v>
      </c>
      <c r="E41" s="53" t="s">
        <v>43</v>
      </c>
      <c r="F41" s="53" t="s">
        <v>1952</v>
      </c>
      <c r="G41" s="131" t="s">
        <v>30</v>
      </c>
      <c r="H41" s="53">
        <v>10</v>
      </c>
      <c r="I41" s="188">
        <v>600</v>
      </c>
      <c r="J41" s="54">
        <f t="shared" si="0"/>
        <v>6000</v>
      </c>
      <c r="K41" s="55" t="b">
        <v>1</v>
      </c>
      <c r="L41" s="56">
        <v>90120251403</v>
      </c>
      <c r="M41" s="57" t="b">
        <v>1</v>
      </c>
      <c r="N41" s="58" t="s">
        <v>31</v>
      </c>
      <c r="O41" s="226">
        <v>45667</v>
      </c>
      <c r="P41" s="191" t="b">
        <v>1</v>
      </c>
      <c r="Q41" s="129"/>
      <c r="R41" s="165"/>
      <c r="S41" s="47" t="b">
        <v>1</v>
      </c>
      <c r="T41" s="249" t="s">
        <v>2996</v>
      </c>
      <c r="U41" s="54"/>
      <c r="V41" s="54"/>
      <c r="W41" s="192"/>
      <c r="X41" s="192"/>
      <c r="Y41" s="167"/>
      <c r="Z41" s="167"/>
    </row>
    <row r="42" spans="1:26">
      <c r="A42" s="162"/>
      <c r="B42" s="71" t="s">
        <v>2993</v>
      </c>
      <c r="C42" s="53" t="s">
        <v>26</v>
      </c>
      <c r="D42" s="53" t="s">
        <v>1976</v>
      </c>
      <c r="E42" s="53" t="s">
        <v>2124</v>
      </c>
      <c r="F42" s="53" t="s">
        <v>229</v>
      </c>
      <c r="G42" s="131" t="s">
        <v>30</v>
      </c>
      <c r="H42" s="53">
        <v>2</v>
      </c>
      <c r="I42" s="188">
        <v>585</v>
      </c>
      <c r="J42" s="54">
        <f t="shared" si="0"/>
        <v>1170</v>
      </c>
      <c r="K42" s="55" t="b">
        <v>1</v>
      </c>
      <c r="L42" s="56">
        <v>90120251518</v>
      </c>
      <c r="M42" s="57" t="b">
        <v>1</v>
      </c>
      <c r="N42" s="58"/>
      <c r="O42" s="226"/>
      <c r="P42" s="191" t="b">
        <v>1</v>
      </c>
      <c r="Q42" s="129"/>
      <c r="R42" s="165"/>
      <c r="S42" s="47" t="b">
        <v>1</v>
      </c>
      <c r="T42" s="249" t="s">
        <v>2997</v>
      </c>
      <c r="U42" s="54"/>
      <c r="V42" s="54"/>
      <c r="W42" s="192"/>
      <c r="X42" s="192"/>
      <c r="Y42" s="167"/>
      <c r="Z42" s="167"/>
    </row>
    <row r="43" spans="1:26">
      <c r="A43" s="162"/>
      <c r="B43" s="71" t="s">
        <v>2993</v>
      </c>
      <c r="C43" s="53" t="s">
        <v>26</v>
      </c>
      <c r="D43" s="53" t="s">
        <v>1976</v>
      </c>
      <c r="E43" s="53" t="s">
        <v>2124</v>
      </c>
      <c r="F43" s="53" t="s">
        <v>124</v>
      </c>
      <c r="G43" s="131" t="s">
        <v>30</v>
      </c>
      <c r="H43" s="53">
        <v>2</v>
      </c>
      <c r="I43" s="188">
        <v>625</v>
      </c>
      <c r="J43" s="54">
        <f t="shared" si="0"/>
        <v>1250</v>
      </c>
      <c r="K43" s="55" t="b">
        <v>1</v>
      </c>
      <c r="L43" s="56">
        <v>90120251518</v>
      </c>
      <c r="M43" s="57" t="b">
        <v>1</v>
      </c>
      <c r="N43" s="58"/>
      <c r="O43" s="226"/>
      <c r="P43" s="191" t="b">
        <v>1</v>
      </c>
      <c r="Q43" s="129"/>
      <c r="R43" s="165"/>
      <c r="S43" s="47" t="b">
        <v>1</v>
      </c>
      <c r="T43" s="249" t="s">
        <v>2997</v>
      </c>
      <c r="U43" s="54"/>
      <c r="V43" s="54"/>
      <c r="W43" s="192"/>
      <c r="X43" s="192"/>
      <c r="Y43" s="167"/>
      <c r="Z43" s="167"/>
    </row>
    <row r="44" spans="1:26" ht="15.75" customHeight="1">
      <c r="A44" s="162"/>
      <c r="B44" s="132" t="s">
        <v>2993</v>
      </c>
      <c r="C44" s="66" t="s">
        <v>51</v>
      </c>
      <c r="D44" s="66" t="s">
        <v>201</v>
      </c>
      <c r="E44" s="66" t="s">
        <v>202</v>
      </c>
      <c r="F44" s="66" t="s">
        <v>236</v>
      </c>
      <c r="G44" s="69" t="s">
        <v>30</v>
      </c>
      <c r="H44" s="66">
        <v>12</v>
      </c>
      <c r="I44" s="70">
        <v>160</v>
      </c>
      <c r="J44" s="75">
        <f t="shared" si="0"/>
        <v>1920</v>
      </c>
      <c r="K44" s="55" t="b">
        <v>1</v>
      </c>
      <c r="L44" s="154">
        <v>90120251658</v>
      </c>
      <c r="M44" s="57" t="b">
        <v>1</v>
      </c>
      <c r="N44" s="58" t="s">
        <v>31</v>
      </c>
      <c r="O44" s="226">
        <v>45667</v>
      </c>
      <c r="P44" s="59" t="b">
        <v>1</v>
      </c>
      <c r="Q44" s="164"/>
      <c r="R44" s="165"/>
      <c r="S44" s="47" t="b">
        <v>1</v>
      </c>
      <c r="T44" s="249" t="s">
        <v>2986</v>
      </c>
      <c r="U44" s="75"/>
      <c r="V44" s="75"/>
      <c r="W44" s="166"/>
      <c r="X44" s="166"/>
      <c r="Y44" s="167"/>
      <c r="Z44" s="167"/>
    </row>
    <row r="45" spans="1:26">
      <c r="A45" s="162"/>
      <c r="B45" s="132" t="s">
        <v>2993</v>
      </c>
      <c r="C45" s="66" t="s">
        <v>51</v>
      </c>
      <c r="D45" s="66" t="s">
        <v>201</v>
      </c>
      <c r="E45" s="66" t="s">
        <v>202</v>
      </c>
      <c r="F45" s="66" t="s">
        <v>512</v>
      </c>
      <c r="G45" s="69" t="s">
        <v>30</v>
      </c>
      <c r="H45" s="66">
        <v>15</v>
      </c>
      <c r="I45" s="70">
        <v>575</v>
      </c>
      <c r="J45" s="75">
        <f t="shared" si="0"/>
        <v>8625</v>
      </c>
      <c r="K45" s="55" t="b">
        <v>1</v>
      </c>
      <c r="L45" s="154">
        <v>90120251659</v>
      </c>
      <c r="M45" s="57" t="b">
        <v>1</v>
      </c>
      <c r="N45" s="58" t="s">
        <v>31</v>
      </c>
      <c r="O45" s="226">
        <v>45667</v>
      </c>
      <c r="P45" s="59" t="b">
        <v>1</v>
      </c>
      <c r="Q45" s="164"/>
      <c r="R45" s="165"/>
      <c r="S45" s="47" t="b">
        <v>1</v>
      </c>
      <c r="T45" s="249" t="s">
        <v>2986</v>
      </c>
      <c r="U45" s="75"/>
      <c r="V45" s="75"/>
      <c r="W45" s="166"/>
      <c r="X45" s="166"/>
      <c r="Y45" s="167"/>
      <c r="Z45" s="167"/>
    </row>
    <row r="46" spans="1:26">
      <c r="A46" s="162"/>
      <c r="B46" s="71" t="s">
        <v>2993</v>
      </c>
      <c r="C46" s="53" t="s">
        <v>26</v>
      </c>
      <c r="D46" s="53" t="s">
        <v>1976</v>
      </c>
      <c r="E46" s="53" t="s">
        <v>2124</v>
      </c>
      <c r="F46" s="53" t="s">
        <v>2998</v>
      </c>
      <c r="G46" s="131" t="s">
        <v>30</v>
      </c>
      <c r="H46" s="53">
        <v>2</v>
      </c>
      <c r="I46" s="188">
        <v>125</v>
      </c>
      <c r="J46" s="54">
        <f t="shared" si="0"/>
        <v>250</v>
      </c>
      <c r="K46" s="55" t="b">
        <v>1</v>
      </c>
      <c r="L46" s="56">
        <v>100120250906</v>
      </c>
      <c r="M46" s="57" t="b">
        <v>1</v>
      </c>
      <c r="N46" s="58" t="s">
        <v>2999</v>
      </c>
      <c r="O46" s="226"/>
      <c r="P46" s="191" t="b">
        <v>1</v>
      </c>
      <c r="Q46" s="129"/>
      <c r="R46" s="165"/>
      <c r="S46" s="47" t="b">
        <v>1</v>
      </c>
      <c r="T46" s="249" t="s">
        <v>3000</v>
      </c>
      <c r="U46" s="54"/>
      <c r="V46" s="54"/>
      <c r="W46" s="192"/>
      <c r="X46" s="192"/>
      <c r="Y46" s="167"/>
      <c r="Z46" s="167"/>
    </row>
    <row r="47" spans="1:26">
      <c r="A47" s="162"/>
      <c r="B47" s="71" t="s">
        <v>3001</v>
      </c>
      <c r="C47" s="53" t="s">
        <v>104</v>
      </c>
      <c r="D47" s="53" t="s">
        <v>2282</v>
      </c>
      <c r="E47" s="53" t="s">
        <v>3002</v>
      </c>
      <c r="F47" s="53" t="s">
        <v>1952</v>
      </c>
      <c r="G47" s="131" t="s">
        <v>30</v>
      </c>
      <c r="H47" s="53">
        <v>10</v>
      </c>
      <c r="I47" s="188">
        <v>600</v>
      </c>
      <c r="J47" s="54">
        <f t="shared" si="0"/>
        <v>6000</v>
      </c>
      <c r="K47" s="55" t="b">
        <v>1</v>
      </c>
      <c r="L47" s="56">
        <v>100120251627</v>
      </c>
      <c r="M47" s="57" t="b">
        <v>1</v>
      </c>
      <c r="N47" s="58" t="s">
        <v>31</v>
      </c>
      <c r="O47" s="226">
        <v>45667</v>
      </c>
      <c r="P47" s="191" t="b">
        <v>1</v>
      </c>
      <c r="Q47" s="129"/>
      <c r="R47" s="165"/>
      <c r="S47" s="47" t="b">
        <v>1</v>
      </c>
      <c r="T47" s="249" t="s">
        <v>3003</v>
      </c>
      <c r="U47" s="54"/>
      <c r="V47" s="54"/>
      <c r="W47" s="192"/>
      <c r="X47" s="192"/>
      <c r="Y47" s="167"/>
      <c r="Z47" s="167"/>
    </row>
    <row r="48" spans="1:26">
      <c r="A48" s="162"/>
      <c r="B48" s="71" t="s">
        <v>3001</v>
      </c>
      <c r="C48" s="53" t="s">
        <v>26</v>
      </c>
      <c r="D48" s="53" t="s">
        <v>1976</v>
      </c>
      <c r="E48" s="53" t="s">
        <v>2124</v>
      </c>
      <c r="F48" s="53" t="s">
        <v>3004</v>
      </c>
      <c r="G48" s="131" t="s">
        <v>30</v>
      </c>
      <c r="H48" s="53">
        <v>1</v>
      </c>
      <c r="I48" s="188">
        <v>550</v>
      </c>
      <c r="J48" s="54">
        <f t="shared" si="0"/>
        <v>550</v>
      </c>
      <c r="K48" s="55" t="b">
        <v>1</v>
      </c>
      <c r="L48" s="56">
        <v>100120251709</v>
      </c>
      <c r="M48" s="57" t="b">
        <v>1</v>
      </c>
      <c r="N48" s="58" t="s">
        <v>2968</v>
      </c>
      <c r="O48" s="226"/>
      <c r="P48" s="191" t="b">
        <v>1</v>
      </c>
      <c r="Q48" s="129"/>
      <c r="R48" s="165"/>
      <c r="S48" s="47" t="b">
        <v>1</v>
      </c>
      <c r="T48" s="249" t="s">
        <v>3000</v>
      </c>
      <c r="U48" s="54"/>
      <c r="V48" s="54"/>
      <c r="W48" s="192"/>
      <c r="X48" s="192"/>
      <c r="Y48" s="167"/>
      <c r="Z48" s="167"/>
    </row>
    <row r="49" spans="1:26">
      <c r="A49" s="162"/>
      <c r="B49" s="71" t="s">
        <v>3001</v>
      </c>
      <c r="C49" s="53" t="s">
        <v>26</v>
      </c>
      <c r="D49" s="53" t="s">
        <v>27</v>
      </c>
      <c r="E49" s="53" t="s">
        <v>28</v>
      </c>
      <c r="F49" s="53" t="s">
        <v>3005</v>
      </c>
      <c r="G49" s="131" t="s">
        <v>30</v>
      </c>
      <c r="H49" s="53">
        <v>168</v>
      </c>
      <c r="I49" s="188">
        <v>41.5</v>
      </c>
      <c r="J49" s="54">
        <f t="shared" si="0"/>
        <v>6972</v>
      </c>
      <c r="K49" s="55" t="b">
        <v>1</v>
      </c>
      <c r="L49" s="56">
        <v>100120251710</v>
      </c>
      <c r="M49" s="57" t="b">
        <v>1</v>
      </c>
      <c r="N49" s="58" t="s">
        <v>1581</v>
      </c>
      <c r="O49" s="226"/>
      <c r="P49" s="191" t="b">
        <v>1</v>
      </c>
      <c r="Q49" s="129"/>
      <c r="R49" s="165"/>
      <c r="S49" s="47" t="b">
        <v>1</v>
      </c>
      <c r="T49" s="249" t="s">
        <v>3006</v>
      </c>
      <c r="U49" s="54"/>
      <c r="V49" s="54"/>
      <c r="W49" s="192"/>
      <c r="X49" s="192"/>
      <c r="Y49" s="167"/>
      <c r="Z49" s="167"/>
    </row>
    <row r="50" spans="1:26">
      <c r="A50" s="162"/>
      <c r="B50" s="132" t="s">
        <v>3007</v>
      </c>
      <c r="C50" s="66" t="s">
        <v>1747</v>
      </c>
      <c r="D50" s="66" t="s">
        <v>137</v>
      </c>
      <c r="E50" s="66" t="s">
        <v>3008</v>
      </c>
      <c r="F50" s="66" t="s">
        <v>2980</v>
      </c>
      <c r="G50" s="69" t="s">
        <v>30</v>
      </c>
      <c r="H50" s="66">
        <v>10</v>
      </c>
      <c r="I50" s="70">
        <v>300</v>
      </c>
      <c r="J50" s="75">
        <f t="shared" si="0"/>
        <v>3000</v>
      </c>
      <c r="K50" s="55" t="b">
        <v>1</v>
      </c>
      <c r="L50" s="154">
        <v>100120251732</v>
      </c>
      <c r="M50" s="57" t="b">
        <v>1</v>
      </c>
      <c r="N50" s="58"/>
      <c r="O50" s="226">
        <v>45674</v>
      </c>
      <c r="P50" s="59" t="b">
        <v>1</v>
      </c>
      <c r="Q50" s="164"/>
      <c r="R50" s="165"/>
      <c r="S50" s="47" t="b">
        <v>1</v>
      </c>
      <c r="T50" s="249" t="s">
        <v>3009</v>
      </c>
      <c r="U50" s="75"/>
      <c r="V50" s="75"/>
      <c r="W50" s="166"/>
      <c r="X50" s="166"/>
      <c r="Y50" s="167"/>
      <c r="Z50" s="167"/>
    </row>
    <row r="51" spans="1:26">
      <c r="A51" s="162"/>
      <c r="B51" s="132" t="s">
        <v>3007</v>
      </c>
      <c r="C51" s="66" t="s">
        <v>1747</v>
      </c>
      <c r="D51" s="66" t="s">
        <v>137</v>
      </c>
      <c r="E51" s="66" t="s">
        <v>3008</v>
      </c>
      <c r="F51" s="66" t="s">
        <v>760</v>
      </c>
      <c r="G51" s="69" t="s">
        <v>30</v>
      </c>
      <c r="H51" s="66">
        <v>10</v>
      </c>
      <c r="I51" s="70">
        <v>135</v>
      </c>
      <c r="J51" s="75">
        <f t="shared" si="0"/>
        <v>1350</v>
      </c>
      <c r="K51" s="55" t="b">
        <v>1</v>
      </c>
      <c r="L51" s="154">
        <v>100120251732</v>
      </c>
      <c r="M51" s="57" t="b">
        <v>1</v>
      </c>
      <c r="N51" s="58"/>
      <c r="O51" s="226">
        <v>45674</v>
      </c>
      <c r="P51" s="59" t="b">
        <v>1</v>
      </c>
      <c r="Q51" s="164"/>
      <c r="R51" s="165"/>
      <c r="S51" s="47" t="b">
        <v>1</v>
      </c>
      <c r="T51" s="249" t="s">
        <v>3009</v>
      </c>
      <c r="U51" s="75"/>
      <c r="V51" s="75"/>
      <c r="W51" s="166"/>
      <c r="X51" s="166"/>
      <c r="Y51" s="167"/>
      <c r="Z51" s="167"/>
    </row>
    <row r="52" spans="1:26">
      <c r="A52" s="162"/>
      <c r="B52" s="132" t="s">
        <v>3010</v>
      </c>
      <c r="C52" s="66" t="s">
        <v>1133</v>
      </c>
      <c r="D52" s="66" t="s">
        <v>1234</v>
      </c>
      <c r="E52" s="66" t="s">
        <v>3011</v>
      </c>
      <c r="F52" s="66" t="s">
        <v>760</v>
      </c>
      <c r="G52" s="69" t="s">
        <v>30</v>
      </c>
      <c r="H52" s="66">
        <v>25</v>
      </c>
      <c r="I52" s="70">
        <v>135</v>
      </c>
      <c r="J52" s="75">
        <f t="shared" si="0"/>
        <v>3375</v>
      </c>
      <c r="K52" s="55" t="b">
        <v>1</v>
      </c>
      <c r="L52" s="154">
        <v>110120251857</v>
      </c>
      <c r="M52" s="57" t="b">
        <v>1</v>
      </c>
      <c r="N52" s="58" t="s">
        <v>31</v>
      </c>
      <c r="O52" s="226">
        <v>45670</v>
      </c>
      <c r="P52" s="59" t="b">
        <v>1</v>
      </c>
      <c r="Q52" s="164"/>
      <c r="R52" s="165"/>
      <c r="S52" s="47" t="b">
        <v>1</v>
      </c>
      <c r="T52" s="249" t="s">
        <v>3012</v>
      </c>
      <c r="U52" s="75"/>
      <c r="V52" s="75"/>
      <c r="W52" s="166"/>
      <c r="X52" s="166"/>
      <c r="Y52" s="167"/>
      <c r="Z52" s="167"/>
    </row>
    <row r="53" spans="1:26">
      <c r="A53" s="162"/>
      <c r="B53" s="71" t="s">
        <v>3010</v>
      </c>
      <c r="C53" s="53" t="s">
        <v>171</v>
      </c>
      <c r="D53" s="53" t="s">
        <v>137</v>
      </c>
      <c r="E53" s="53" t="s">
        <v>3013</v>
      </c>
      <c r="F53" s="53" t="s">
        <v>760</v>
      </c>
      <c r="G53" s="131" t="s">
        <v>30</v>
      </c>
      <c r="H53" s="53">
        <v>50</v>
      </c>
      <c r="I53" s="188">
        <v>135</v>
      </c>
      <c r="J53" s="54">
        <f t="shared" si="0"/>
        <v>6750</v>
      </c>
      <c r="K53" s="55" t="b">
        <v>1</v>
      </c>
      <c r="L53" s="56">
        <v>110120251858</v>
      </c>
      <c r="M53" s="57" t="b">
        <v>1</v>
      </c>
      <c r="N53" s="58" t="s">
        <v>31</v>
      </c>
      <c r="O53" s="226">
        <v>45670</v>
      </c>
      <c r="P53" s="191" t="b">
        <v>1</v>
      </c>
      <c r="Q53" s="129"/>
      <c r="R53" s="165"/>
      <c r="S53" s="47" t="b">
        <v>1</v>
      </c>
      <c r="T53" s="249" t="s">
        <v>3014</v>
      </c>
      <c r="U53" s="54"/>
      <c r="V53" s="54"/>
      <c r="W53" s="192"/>
      <c r="X53" s="192"/>
      <c r="Y53" s="167"/>
      <c r="Z53" s="167"/>
    </row>
    <row r="54" spans="1:26">
      <c r="A54" s="162"/>
      <c r="B54" s="71" t="s">
        <v>3010</v>
      </c>
      <c r="C54" s="53" t="s">
        <v>171</v>
      </c>
      <c r="D54" s="53" t="s">
        <v>137</v>
      </c>
      <c r="E54" s="53" t="s">
        <v>3013</v>
      </c>
      <c r="F54" s="53" t="s">
        <v>2980</v>
      </c>
      <c r="G54" s="131" t="s">
        <v>30</v>
      </c>
      <c r="H54" s="53">
        <v>50</v>
      </c>
      <c r="I54" s="188">
        <v>300</v>
      </c>
      <c r="J54" s="54">
        <f t="shared" si="0"/>
        <v>15000</v>
      </c>
      <c r="K54" s="55" t="b">
        <v>1</v>
      </c>
      <c r="L54" s="56">
        <v>110120251859</v>
      </c>
      <c r="M54" s="57" t="b">
        <v>1</v>
      </c>
      <c r="N54" s="58" t="s">
        <v>31</v>
      </c>
      <c r="O54" s="226">
        <v>45670</v>
      </c>
      <c r="P54" s="191" t="b">
        <v>1</v>
      </c>
      <c r="Q54" s="129"/>
      <c r="R54" s="165"/>
      <c r="S54" s="47" t="b">
        <v>1</v>
      </c>
      <c r="T54" s="249" t="s">
        <v>3014</v>
      </c>
      <c r="U54" s="54"/>
      <c r="V54" s="54"/>
      <c r="W54" s="192"/>
      <c r="X54" s="192"/>
      <c r="Y54" s="167"/>
      <c r="Z54" s="167"/>
    </row>
    <row r="55" spans="1:26">
      <c r="A55" s="162"/>
      <c r="B55" s="71" t="s">
        <v>3015</v>
      </c>
      <c r="C55" s="53" t="s">
        <v>1133</v>
      </c>
      <c r="D55" s="53" t="s">
        <v>1234</v>
      </c>
      <c r="E55" s="53" t="s">
        <v>3011</v>
      </c>
      <c r="F55" s="53" t="s">
        <v>639</v>
      </c>
      <c r="G55" s="131" t="s">
        <v>30</v>
      </c>
      <c r="H55" s="53">
        <v>24</v>
      </c>
      <c r="I55" s="188">
        <v>218</v>
      </c>
      <c r="J55" s="54">
        <f t="shared" si="0"/>
        <v>5232</v>
      </c>
      <c r="K55" s="55" t="b">
        <v>1</v>
      </c>
      <c r="L55" s="56">
        <v>130120250959</v>
      </c>
      <c r="M55" s="57" t="b">
        <v>1</v>
      </c>
      <c r="N55" s="58" t="s">
        <v>31</v>
      </c>
      <c r="O55" s="226">
        <v>45670</v>
      </c>
      <c r="P55" s="191" t="b">
        <v>1</v>
      </c>
      <c r="Q55" s="129"/>
      <c r="R55" s="165"/>
      <c r="S55" s="47" t="b">
        <v>1</v>
      </c>
      <c r="T55" s="249" t="s">
        <v>3016</v>
      </c>
      <c r="U55" s="54"/>
      <c r="V55" s="54"/>
      <c r="W55" s="192"/>
      <c r="X55" s="192"/>
      <c r="Y55" s="167"/>
      <c r="Z55" s="167"/>
    </row>
    <row r="56" spans="1:26">
      <c r="A56" s="162"/>
      <c r="B56" s="71" t="s">
        <v>3015</v>
      </c>
      <c r="C56" s="53" t="s">
        <v>55</v>
      </c>
      <c r="D56" s="53">
        <v>41</v>
      </c>
      <c r="E56" s="53" t="s">
        <v>1552</v>
      </c>
      <c r="F56" s="53" t="s">
        <v>236</v>
      </c>
      <c r="G56" s="131" t="s">
        <v>30</v>
      </c>
      <c r="H56" s="53">
        <v>24</v>
      </c>
      <c r="I56" s="188">
        <v>155</v>
      </c>
      <c r="J56" s="54">
        <f t="shared" si="0"/>
        <v>3720</v>
      </c>
      <c r="K56" s="55" t="b">
        <v>1</v>
      </c>
      <c r="L56" s="56">
        <v>130120251021</v>
      </c>
      <c r="M56" s="57" t="b">
        <v>1</v>
      </c>
      <c r="N56" s="58" t="s">
        <v>31</v>
      </c>
      <c r="O56" s="226">
        <v>45670</v>
      </c>
      <c r="P56" s="191" t="b">
        <v>1</v>
      </c>
      <c r="Q56" s="129"/>
      <c r="R56" s="165"/>
      <c r="S56" s="47" t="b">
        <v>1</v>
      </c>
      <c r="T56" s="249" t="s">
        <v>3017</v>
      </c>
      <c r="U56" s="54"/>
      <c r="V56" s="54"/>
      <c r="W56" s="192"/>
      <c r="X56" s="192"/>
      <c r="Y56" s="167"/>
      <c r="Z56" s="167"/>
    </row>
    <row r="57" spans="1:26">
      <c r="A57" s="162"/>
      <c r="B57" s="71" t="s">
        <v>3015</v>
      </c>
      <c r="C57" s="53" t="s">
        <v>55</v>
      </c>
      <c r="D57" s="53">
        <v>41</v>
      </c>
      <c r="E57" s="53" t="s">
        <v>1552</v>
      </c>
      <c r="F57" s="53" t="s">
        <v>1700</v>
      </c>
      <c r="G57" s="131" t="s">
        <v>30</v>
      </c>
      <c r="H57" s="53">
        <v>200</v>
      </c>
      <c r="I57" s="188">
        <v>15</v>
      </c>
      <c r="J57" s="54">
        <f t="shared" si="0"/>
        <v>3000</v>
      </c>
      <c r="K57" s="55" t="b">
        <v>1</v>
      </c>
      <c r="L57" s="56">
        <v>130120251021</v>
      </c>
      <c r="M57" s="57" t="b">
        <v>1</v>
      </c>
      <c r="N57" s="58" t="s">
        <v>1581</v>
      </c>
      <c r="O57" s="226"/>
      <c r="P57" s="191" t="b">
        <v>1</v>
      </c>
      <c r="Q57" s="129"/>
      <c r="R57" s="165"/>
      <c r="S57" s="47" t="b">
        <v>1</v>
      </c>
      <c r="T57" s="249" t="s">
        <v>3017</v>
      </c>
      <c r="U57" s="54"/>
      <c r="V57" s="54"/>
      <c r="W57" s="192"/>
      <c r="X57" s="192"/>
      <c r="Y57" s="167"/>
      <c r="Z57" s="167"/>
    </row>
    <row r="58" spans="1:26">
      <c r="A58" s="162"/>
      <c r="B58" s="71" t="s">
        <v>3015</v>
      </c>
      <c r="C58" s="53" t="s">
        <v>55</v>
      </c>
      <c r="D58" s="53">
        <v>41</v>
      </c>
      <c r="E58" s="53" t="s">
        <v>1552</v>
      </c>
      <c r="F58" s="53" t="s">
        <v>3018</v>
      </c>
      <c r="G58" s="131" t="s">
        <v>30</v>
      </c>
      <c r="H58" s="53">
        <v>10</v>
      </c>
      <c r="I58" s="188">
        <v>300</v>
      </c>
      <c r="J58" s="54">
        <f t="shared" si="0"/>
        <v>3000</v>
      </c>
      <c r="K58" s="55" t="b">
        <v>1</v>
      </c>
      <c r="L58" s="56">
        <v>130120251021</v>
      </c>
      <c r="M58" s="57" t="b">
        <v>1</v>
      </c>
      <c r="N58" s="58" t="s">
        <v>31</v>
      </c>
      <c r="O58" s="226">
        <v>45670</v>
      </c>
      <c r="P58" s="191" t="b">
        <v>1</v>
      </c>
      <c r="Q58" s="129"/>
      <c r="R58" s="165"/>
      <c r="S58" s="47" t="b">
        <v>1</v>
      </c>
      <c r="T58" s="249" t="s">
        <v>3017</v>
      </c>
      <c r="U58" s="54"/>
      <c r="V58" s="54"/>
      <c r="W58" s="192"/>
      <c r="X58" s="192"/>
      <c r="Y58" s="167"/>
      <c r="Z58" s="167"/>
    </row>
    <row r="59" spans="1:26">
      <c r="A59" s="162"/>
      <c r="B59" s="71" t="s">
        <v>3015</v>
      </c>
      <c r="C59" s="53" t="s">
        <v>55</v>
      </c>
      <c r="D59" s="53">
        <v>41</v>
      </c>
      <c r="E59" s="53" t="s">
        <v>1552</v>
      </c>
      <c r="F59" s="53" t="s">
        <v>1181</v>
      </c>
      <c r="G59" s="131" t="s">
        <v>30</v>
      </c>
      <c r="H59" s="53">
        <v>10</v>
      </c>
      <c r="I59" s="188">
        <v>135</v>
      </c>
      <c r="J59" s="54">
        <f t="shared" si="0"/>
        <v>1350</v>
      </c>
      <c r="K59" s="55" t="b">
        <v>1</v>
      </c>
      <c r="L59" s="56">
        <v>130120251021</v>
      </c>
      <c r="M59" s="57" t="b">
        <v>1</v>
      </c>
      <c r="N59" s="58" t="s">
        <v>31</v>
      </c>
      <c r="O59" s="226">
        <v>45670</v>
      </c>
      <c r="P59" s="191" t="b">
        <v>1</v>
      </c>
      <c r="Q59" s="129"/>
      <c r="R59" s="165"/>
      <c r="S59" s="47" t="b">
        <v>1</v>
      </c>
      <c r="T59" s="249" t="s">
        <v>3019</v>
      </c>
      <c r="U59" s="54"/>
      <c r="V59" s="54"/>
      <c r="W59" s="192"/>
      <c r="X59" s="192"/>
      <c r="Y59" s="167"/>
      <c r="Z59" s="167"/>
    </row>
    <row r="60" spans="1:26">
      <c r="A60" s="162"/>
      <c r="B60" s="132" t="s">
        <v>3015</v>
      </c>
      <c r="C60" s="66" t="s">
        <v>55</v>
      </c>
      <c r="D60" s="66">
        <v>41</v>
      </c>
      <c r="E60" s="66" t="s">
        <v>1552</v>
      </c>
      <c r="F60" s="66" t="s">
        <v>436</v>
      </c>
      <c r="G60" s="69" t="s">
        <v>30</v>
      </c>
      <c r="H60" s="66">
        <v>100</v>
      </c>
      <c r="I60" s="70">
        <v>210</v>
      </c>
      <c r="J60" s="75">
        <f t="shared" si="0"/>
        <v>21000</v>
      </c>
      <c r="K60" s="55" t="b">
        <v>1</v>
      </c>
      <c r="L60" s="154">
        <v>130120251024</v>
      </c>
      <c r="M60" s="57" t="b">
        <v>1</v>
      </c>
      <c r="N60" s="58" t="s">
        <v>529</v>
      </c>
      <c r="O60" s="226"/>
      <c r="P60" s="59" t="b">
        <v>1</v>
      </c>
      <c r="Q60" s="164"/>
      <c r="R60" s="165"/>
      <c r="S60" s="47" t="b">
        <v>1</v>
      </c>
      <c r="T60" s="249" t="s">
        <v>3020</v>
      </c>
      <c r="U60" s="75"/>
      <c r="V60" s="75"/>
      <c r="W60" s="166"/>
      <c r="X60" s="166"/>
      <c r="Y60" s="167"/>
      <c r="Z60" s="167"/>
    </row>
    <row r="61" spans="1:26">
      <c r="A61" s="162"/>
      <c r="B61" s="71" t="s">
        <v>3015</v>
      </c>
      <c r="C61" s="53" t="s">
        <v>51</v>
      </c>
      <c r="D61" s="53" t="s">
        <v>594</v>
      </c>
      <c r="E61" s="53" t="s">
        <v>595</v>
      </c>
      <c r="F61" s="53" t="s">
        <v>255</v>
      </c>
      <c r="G61" s="131" t="s">
        <v>30</v>
      </c>
      <c r="H61" s="53">
        <v>10</v>
      </c>
      <c r="I61" s="188">
        <v>130</v>
      </c>
      <c r="J61" s="54">
        <f t="shared" si="0"/>
        <v>1300</v>
      </c>
      <c r="K61" s="55" t="b">
        <v>1</v>
      </c>
      <c r="L61" s="56">
        <v>130120251028</v>
      </c>
      <c r="M61" s="57" t="b">
        <v>1</v>
      </c>
      <c r="N61" s="58" t="s">
        <v>1581</v>
      </c>
      <c r="O61" s="226"/>
      <c r="P61" s="191" t="b">
        <v>1</v>
      </c>
      <c r="Q61" s="129"/>
      <c r="R61" s="165"/>
      <c r="S61" s="47" t="b">
        <v>1</v>
      </c>
      <c r="T61" s="249" t="s">
        <v>3021</v>
      </c>
      <c r="U61" s="54"/>
      <c r="V61" s="54"/>
      <c r="W61" s="192"/>
      <c r="X61" s="192"/>
      <c r="Y61" s="167"/>
      <c r="Z61" s="167"/>
    </row>
    <row r="62" spans="1:26">
      <c r="A62" s="162"/>
      <c r="B62" s="71" t="s">
        <v>3015</v>
      </c>
      <c r="C62" s="53" t="s">
        <v>51</v>
      </c>
      <c r="D62" s="53" t="s">
        <v>594</v>
      </c>
      <c r="E62" s="53" t="s">
        <v>595</v>
      </c>
      <c r="F62" s="53" t="s">
        <v>574</v>
      </c>
      <c r="G62" s="131" t="s">
        <v>30</v>
      </c>
      <c r="H62" s="53">
        <v>5</v>
      </c>
      <c r="I62" s="188">
        <v>695</v>
      </c>
      <c r="J62" s="54">
        <f t="shared" si="0"/>
        <v>3475</v>
      </c>
      <c r="K62" s="55" t="b">
        <v>1</v>
      </c>
      <c r="L62" s="56">
        <v>130120251109</v>
      </c>
      <c r="M62" s="57" t="b">
        <v>1</v>
      </c>
      <c r="N62" s="58" t="s">
        <v>1581</v>
      </c>
      <c r="O62" s="226"/>
      <c r="P62" s="191" t="b">
        <v>1</v>
      </c>
      <c r="Q62" s="129"/>
      <c r="R62" s="165"/>
      <c r="S62" s="47" t="b">
        <v>1</v>
      </c>
      <c r="T62" s="249" t="s">
        <v>3021</v>
      </c>
      <c r="U62" s="54"/>
      <c r="V62" s="54"/>
      <c r="W62" s="192"/>
      <c r="X62" s="192"/>
      <c r="Y62" s="167"/>
      <c r="Z62" s="167"/>
    </row>
    <row r="63" spans="1:26">
      <c r="A63" s="162"/>
      <c r="B63" s="71" t="s">
        <v>3015</v>
      </c>
      <c r="C63" s="53" t="s">
        <v>51</v>
      </c>
      <c r="D63" s="53" t="s">
        <v>594</v>
      </c>
      <c r="E63" s="53" t="s">
        <v>595</v>
      </c>
      <c r="F63" s="53" t="s">
        <v>467</v>
      </c>
      <c r="G63" s="131" t="s">
        <v>30</v>
      </c>
      <c r="H63" s="53">
        <v>5</v>
      </c>
      <c r="I63" s="188">
        <v>695</v>
      </c>
      <c r="J63" s="54">
        <f t="shared" si="0"/>
        <v>3475</v>
      </c>
      <c r="K63" s="55" t="b">
        <v>1</v>
      </c>
      <c r="L63" s="56">
        <v>130120251109</v>
      </c>
      <c r="M63" s="57" t="b">
        <v>1</v>
      </c>
      <c r="N63" s="58" t="s">
        <v>529</v>
      </c>
      <c r="O63" s="226"/>
      <c r="P63" s="191" t="b">
        <v>1</v>
      </c>
      <c r="Q63" s="129"/>
      <c r="R63" s="165"/>
      <c r="S63" s="47" t="b">
        <v>1</v>
      </c>
      <c r="T63" s="249" t="s">
        <v>3022</v>
      </c>
      <c r="U63" s="54"/>
      <c r="V63" s="54"/>
      <c r="W63" s="192"/>
      <c r="X63" s="192"/>
      <c r="Y63" s="167"/>
      <c r="Z63" s="167"/>
    </row>
    <row r="64" spans="1:26">
      <c r="A64" s="162"/>
      <c r="B64" s="132" t="s">
        <v>3015</v>
      </c>
      <c r="C64" s="66" t="s">
        <v>1133</v>
      </c>
      <c r="D64" s="66" t="s">
        <v>1725</v>
      </c>
      <c r="E64" s="66" t="s">
        <v>3011</v>
      </c>
      <c r="F64" s="66" t="s">
        <v>80</v>
      </c>
      <c r="G64" s="69" t="s">
        <v>30</v>
      </c>
      <c r="H64" s="66">
        <v>20</v>
      </c>
      <c r="I64" s="70">
        <v>300</v>
      </c>
      <c r="J64" s="75">
        <f t="shared" si="0"/>
        <v>6000</v>
      </c>
      <c r="K64" s="55" t="b">
        <v>1</v>
      </c>
      <c r="L64" s="154">
        <v>130120251733</v>
      </c>
      <c r="M64" s="57" t="b">
        <v>1</v>
      </c>
      <c r="N64" s="58" t="s">
        <v>31</v>
      </c>
      <c r="O64" s="226">
        <v>45670</v>
      </c>
      <c r="P64" s="59" t="b">
        <v>1</v>
      </c>
      <c r="Q64" s="164"/>
      <c r="R64" s="165"/>
      <c r="S64" s="47" t="b">
        <v>1</v>
      </c>
      <c r="T64" s="249" t="s">
        <v>3012</v>
      </c>
      <c r="U64" s="75"/>
      <c r="V64" s="75"/>
      <c r="W64" s="166"/>
      <c r="X64" s="166"/>
      <c r="Y64" s="167"/>
      <c r="Z64" s="167"/>
    </row>
    <row r="65" spans="1:26">
      <c r="A65" s="162"/>
      <c r="B65" s="132" t="s">
        <v>3015</v>
      </c>
      <c r="C65" s="66" t="s">
        <v>55</v>
      </c>
      <c r="D65" s="66" t="s">
        <v>56</v>
      </c>
      <c r="E65" s="66" t="s">
        <v>57</v>
      </c>
      <c r="F65" s="53" t="s">
        <v>1197</v>
      </c>
      <c r="G65" s="131" t="s">
        <v>30</v>
      </c>
      <c r="H65" s="53">
        <v>2</v>
      </c>
      <c r="I65" s="188">
        <v>850</v>
      </c>
      <c r="J65" s="54">
        <f t="shared" si="0"/>
        <v>1700</v>
      </c>
      <c r="K65" s="55" t="b">
        <v>1</v>
      </c>
      <c r="L65" s="56">
        <v>130120251740</v>
      </c>
      <c r="M65" s="57" t="b">
        <v>1</v>
      </c>
      <c r="N65" s="58"/>
      <c r="O65" s="226"/>
      <c r="P65" s="191" t="b">
        <v>1</v>
      </c>
      <c r="Q65" s="129"/>
      <c r="R65" s="165"/>
      <c r="S65" s="47" t="b">
        <v>1</v>
      </c>
      <c r="T65" s="249" t="s">
        <v>3023</v>
      </c>
      <c r="U65" s="54"/>
      <c r="V65" s="54"/>
      <c r="W65" s="192"/>
      <c r="X65" s="192"/>
      <c r="Y65" s="167"/>
      <c r="Z65" s="167"/>
    </row>
    <row r="66" spans="1:26">
      <c r="A66" s="250"/>
      <c r="B66" s="251" t="s">
        <v>3015</v>
      </c>
      <c r="C66" s="252" t="s">
        <v>55</v>
      </c>
      <c r="D66" s="252" t="s">
        <v>56</v>
      </c>
      <c r="E66" s="252" t="s">
        <v>57</v>
      </c>
      <c r="F66" s="252" t="s">
        <v>3024</v>
      </c>
      <c r="G66" s="253" t="s">
        <v>30</v>
      </c>
      <c r="H66" s="252">
        <v>5</v>
      </c>
      <c r="I66" s="254">
        <v>675</v>
      </c>
      <c r="J66" s="255">
        <f t="shared" si="0"/>
        <v>3375</v>
      </c>
      <c r="K66" s="256" t="b">
        <v>1</v>
      </c>
      <c r="L66" s="257">
        <v>130120251740</v>
      </c>
      <c r="M66" s="258" t="b">
        <v>1</v>
      </c>
      <c r="N66" s="259" t="s">
        <v>529</v>
      </c>
      <c r="O66" s="260"/>
      <c r="P66" s="261" t="b">
        <v>0</v>
      </c>
      <c r="Q66" s="262"/>
      <c r="R66" s="263"/>
      <c r="S66" s="264" t="b">
        <v>0</v>
      </c>
      <c r="T66" s="265"/>
      <c r="U66" s="255"/>
      <c r="V66" s="255"/>
      <c r="W66" s="266"/>
      <c r="X66" s="266"/>
      <c r="Y66" s="267"/>
      <c r="Z66" s="267"/>
    </row>
    <row r="67" spans="1:26">
      <c r="A67" s="162"/>
      <c r="B67" s="132" t="s">
        <v>3015</v>
      </c>
      <c r="C67" s="66" t="s">
        <v>55</v>
      </c>
      <c r="D67" s="66" t="s">
        <v>56</v>
      </c>
      <c r="E67" s="66" t="s">
        <v>57</v>
      </c>
      <c r="F67" s="66" t="s">
        <v>3025</v>
      </c>
      <c r="G67" s="69" t="s">
        <v>30</v>
      </c>
      <c r="H67" s="66">
        <v>20</v>
      </c>
      <c r="I67" s="70">
        <v>140</v>
      </c>
      <c r="J67" s="75">
        <f t="shared" si="0"/>
        <v>2800</v>
      </c>
      <c r="K67" s="55" t="b">
        <v>1</v>
      </c>
      <c r="L67" s="154">
        <v>130120251740</v>
      </c>
      <c r="M67" s="57" t="b">
        <v>1</v>
      </c>
      <c r="N67" s="58"/>
      <c r="O67" s="226"/>
      <c r="P67" s="59" t="b">
        <v>1</v>
      </c>
      <c r="Q67" s="164"/>
      <c r="R67" s="165"/>
      <c r="S67" s="47" t="b">
        <v>1</v>
      </c>
      <c r="T67" s="249" t="s">
        <v>3023</v>
      </c>
      <c r="U67" s="75"/>
      <c r="V67" s="75"/>
      <c r="W67" s="166"/>
      <c r="X67" s="166"/>
      <c r="Y67" s="167"/>
      <c r="Z67" s="167"/>
    </row>
    <row r="68" spans="1:26">
      <c r="A68" s="162"/>
      <c r="B68" s="132" t="s">
        <v>3015</v>
      </c>
      <c r="C68" s="66" t="s">
        <v>55</v>
      </c>
      <c r="D68" s="66" t="s">
        <v>56</v>
      </c>
      <c r="E68" s="66" t="s">
        <v>57</v>
      </c>
      <c r="F68" s="53" t="s">
        <v>3026</v>
      </c>
      <c r="G68" s="131" t="s">
        <v>30</v>
      </c>
      <c r="H68" s="53">
        <v>20</v>
      </c>
      <c r="I68" s="188">
        <v>30</v>
      </c>
      <c r="J68" s="54">
        <f t="shared" si="0"/>
        <v>600</v>
      </c>
      <c r="K68" s="55" t="b">
        <v>1</v>
      </c>
      <c r="L68" s="56">
        <v>130120251740</v>
      </c>
      <c r="M68" s="57" t="b">
        <v>1</v>
      </c>
      <c r="N68" s="58"/>
      <c r="O68" s="226"/>
      <c r="P68" s="191" t="b">
        <v>1</v>
      </c>
      <c r="Q68" s="129"/>
      <c r="R68" s="165"/>
      <c r="S68" s="47" t="b">
        <v>1</v>
      </c>
      <c r="T68" s="249" t="s">
        <v>3023</v>
      </c>
      <c r="U68" s="54"/>
      <c r="V68" s="54"/>
      <c r="W68" s="192"/>
      <c r="X68" s="192"/>
      <c r="Y68" s="167"/>
      <c r="Z68" s="167"/>
    </row>
    <row r="69" spans="1:26">
      <c r="A69" s="162"/>
      <c r="B69" s="132" t="s">
        <v>3015</v>
      </c>
      <c r="C69" s="66" t="s">
        <v>55</v>
      </c>
      <c r="D69" s="66" t="s">
        <v>56</v>
      </c>
      <c r="E69" s="66" t="s">
        <v>57</v>
      </c>
      <c r="F69" s="53" t="s">
        <v>3027</v>
      </c>
      <c r="G69" s="131" t="s">
        <v>30</v>
      </c>
      <c r="H69" s="53">
        <v>2</v>
      </c>
      <c r="I69" s="188">
        <v>7250</v>
      </c>
      <c r="J69" s="54">
        <f t="shared" si="0"/>
        <v>14500</v>
      </c>
      <c r="K69" s="55" t="b">
        <v>1</v>
      </c>
      <c r="L69" s="56">
        <v>130120251740</v>
      </c>
      <c r="M69" s="57" t="b">
        <v>1</v>
      </c>
      <c r="N69" s="58"/>
      <c r="O69" s="226"/>
      <c r="P69" s="191" t="b">
        <v>1</v>
      </c>
      <c r="Q69" s="129"/>
      <c r="R69" s="165"/>
      <c r="S69" s="47" t="b">
        <v>1</v>
      </c>
      <c r="T69" s="249" t="s">
        <v>3023</v>
      </c>
      <c r="U69" s="54"/>
      <c r="V69" s="54"/>
      <c r="W69" s="192"/>
      <c r="X69" s="192"/>
      <c r="Y69" s="167"/>
      <c r="Z69" s="167"/>
    </row>
    <row r="70" spans="1:26">
      <c r="A70" s="162"/>
      <c r="B70" s="132" t="s">
        <v>3015</v>
      </c>
      <c r="C70" s="66" t="s">
        <v>55</v>
      </c>
      <c r="D70" s="66" t="s">
        <v>56</v>
      </c>
      <c r="E70" s="66" t="s">
        <v>57</v>
      </c>
      <c r="F70" s="53" t="s">
        <v>72</v>
      </c>
      <c r="G70" s="131" t="s">
        <v>30</v>
      </c>
      <c r="H70" s="53">
        <v>1</v>
      </c>
      <c r="I70" s="188">
        <v>2250</v>
      </c>
      <c r="J70" s="54">
        <f t="shared" si="0"/>
        <v>2250</v>
      </c>
      <c r="K70" s="55" t="b">
        <v>1</v>
      </c>
      <c r="L70" s="56">
        <v>130120251740</v>
      </c>
      <c r="M70" s="57" t="b">
        <v>1</v>
      </c>
      <c r="N70" s="58"/>
      <c r="O70" s="226"/>
      <c r="P70" s="191" t="b">
        <v>1</v>
      </c>
      <c r="Q70" s="129"/>
      <c r="R70" s="165"/>
      <c r="S70" s="47" t="b">
        <v>1</v>
      </c>
      <c r="T70" s="249" t="s">
        <v>3023</v>
      </c>
      <c r="U70" s="54"/>
      <c r="V70" s="54"/>
      <c r="W70" s="192"/>
      <c r="X70" s="192"/>
      <c r="Y70" s="167"/>
      <c r="Z70" s="167"/>
    </row>
    <row r="71" spans="1:26">
      <c r="A71" s="162"/>
      <c r="B71" s="71" t="s">
        <v>3028</v>
      </c>
      <c r="C71" s="53" t="s">
        <v>345</v>
      </c>
      <c r="D71" s="53" t="s">
        <v>342</v>
      </c>
      <c r="E71" s="53" t="s">
        <v>2228</v>
      </c>
      <c r="F71" s="53" t="s">
        <v>58</v>
      </c>
      <c r="G71" s="131" t="s">
        <v>30</v>
      </c>
      <c r="H71" s="53">
        <v>84</v>
      </c>
      <c r="I71" s="188">
        <v>41.5</v>
      </c>
      <c r="J71" s="54">
        <f t="shared" si="0"/>
        <v>3486</v>
      </c>
      <c r="K71" s="55" t="b">
        <v>1</v>
      </c>
      <c r="L71" s="56">
        <v>140120251555</v>
      </c>
      <c r="M71" s="57" t="b">
        <v>1</v>
      </c>
      <c r="N71" s="58"/>
      <c r="O71" s="226"/>
      <c r="P71" s="191" t="b">
        <v>1</v>
      </c>
      <c r="Q71" s="129"/>
      <c r="R71" s="165"/>
      <c r="S71" s="47" t="b">
        <v>1</v>
      </c>
      <c r="T71" s="249" t="s">
        <v>3029</v>
      </c>
      <c r="U71" s="54"/>
      <c r="V71" s="54"/>
      <c r="W71" s="192"/>
      <c r="X71" s="192"/>
      <c r="Y71" s="167"/>
      <c r="Z71" s="167"/>
    </row>
    <row r="72" spans="1:26">
      <c r="A72" s="162"/>
      <c r="B72" s="71" t="s">
        <v>3028</v>
      </c>
      <c r="C72" s="53" t="s">
        <v>46</v>
      </c>
      <c r="D72" s="53" t="s">
        <v>47</v>
      </c>
      <c r="E72" s="53" t="s">
        <v>48</v>
      </c>
      <c r="F72" s="53" t="s">
        <v>399</v>
      </c>
      <c r="G72" s="131" t="s">
        <v>30</v>
      </c>
      <c r="H72" s="53">
        <v>10</v>
      </c>
      <c r="I72" s="188">
        <v>975</v>
      </c>
      <c r="J72" s="54">
        <f t="shared" si="0"/>
        <v>9750</v>
      </c>
      <c r="K72" s="55" t="b">
        <v>1</v>
      </c>
      <c r="L72" s="56">
        <v>140120251557</v>
      </c>
      <c r="M72" s="57" t="b">
        <v>1</v>
      </c>
      <c r="N72" s="58"/>
      <c r="O72" s="226"/>
      <c r="P72" s="191" t="b">
        <v>1</v>
      </c>
      <c r="Q72" s="129"/>
      <c r="R72" s="165"/>
      <c r="S72" s="47" t="b">
        <v>1</v>
      </c>
      <c r="T72" s="249" t="s">
        <v>3030</v>
      </c>
      <c r="U72" s="54"/>
      <c r="V72" s="54"/>
      <c r="W72" s="192"/>
      <c r="X72" s="192"/>
      <c r="Y72" s="167"/>
      <c r="Z72" s="167"/>
    </row>
    <row r="73" spans="1:26">
      <c r="A73" s="162"/>
      <c r="B73" s="71" t="s">
        <v>3028</v>
      </c>
      <c r="C73" s="53" t="s">
        <v>46</v>
      </c>
      <c r="D73" s="53" t="s">
        <v>47</v>
      </c>
      <c r="E73" s="53" t="s">
        <v>2676</v>
      </c>
      <c r="F73" s="53" t="s">
        <v>103</v>
      </c>
      <c r="G73" s="131" t="s">
        <v>30</v>
      </c>
      <c r="H73" s="53">
        <v>15</v>
      </c>
      <c r="I73" s="188">
        <v>265</v>
      </c>
      <c r="J73" s="54">
        <f t="shared" si="0"/>
        <v>3975</v>
      </c>
      <c r="K73" s="55" t="b">
        <v>1</v>
      </c>
      <c r="L73" s="56">
        <v>140120251607</v>
      </c>
      <c r="M73" s="57" t="b">
        <v>1</v>
      </c>
      <c r="N73" s="58" t="s">
        <v>1581</v>
      </c>
      <c r="O73" s="226"/>
      <c r="P73" s="191" t="b">
        <v>1</v>
      </c>
      <c r="Q73" s="129"/>
      <c r="R73" s="165"/>
      <c r="S73" s="47" t="b">
        <v>1</v>
      </c>
      <c r="T73" s="249" t="s">
        <v>3030</v>
      </c>
      <c r="U73" s="54"/>
      <c r="V73" s="54"/>
      <c r="W73" s="192"/>
      <c r="X73" s="192"/>
      <c r="Y73" s="167"/>
      <c r="Z73" s="167"/>
    </row>
    <row r="74" spans="1:26">
      <c r="A74" s="162"/>
      <c r="B74" s="71" t="s">
        <v>3028</v>
      </c>
      <c r="C74" s="53" t="s">
        <v>104</v>
      </c>
      <c r="D74" s="53" t="s">
        <v>2445</v>
      </c>
      <c r="E74" s="53" t="s">
        <v>2446</v>
      </c>
      <c r="F74" s="53" t="s">
        <v>1952</v>
      </c>
      <c r="G74" s="131" t="s">
        <v>30</v>
      </c>
      <c r="H74" s="53">
        <v>10</v>
      </c>
      <c r="I74" s="188">
        <v>600</v>
      </c>
      <c r="J74" s="54">
        <f t="shared" si="0"/>
        <v>6000</v>
      </c>
      <c r="K74" s="55" t="b">
        <v>1</v>
      </c>
      <c r="L74" s="56">
        <v>140120251710</v>
      </c>
      <c r="M74" s="57" t="b">
        <v>1</v>
      </c>
      <c r="N74" s="58" t="s">
        <v>31</v>
      </c>
      <c r="O74" s="226">
        <v>45672</v>
      </c>
      <c r="P74" s="191" t="b">
        <v>1</v>
      </c>
      <c r="Q74" s="129"/>
      <c r="R74" s="165"/>
      <c r="S74" s="47" t="b">
        <v>1</v>
      </c>
      <c r="T74" s="249" t="s">
        <v>3031</v>
      </c>
      <c r="U74" s="54"/>
      <c r="V74" s="54"/>
      <c r="W74" s="192"/>
      <c r="X74" s="192"/>
      <c r="Y74" s="167"/>
      <c r="Z74" s="167"/>
    </row>
    <row r="75" spans="1:26">
      <c r="A75" s="162"/>
      <c r="B75" s="71" t="s">
        <v>3032</v>
      </c>
      <c r="C75" s="53" t="s">
        <v>51</v>
      </c>
      <c r="D75" s="53" t="s">
        <v>52</v>
      </c>
      <c r="E75" s="53" t="s">
        <v>3033</v>
      </c>
      <c r="F75" s="53" t="s">
        <v>3034</v>
      </c>
      <c r="G75" s="131" t="s">
        <v>30</v>
      </c>
      <c r="H75" s="53">
        <v>10</v>
      </c>
      <c r="I75" s="188">
        <v>125</v>
      </c>
      <c r="J75" s="54">
        <f t="shared" si="0"/>
        <v>1250</v>
      </c>
      <c r="K75" s="55" t="b">
        <v>1</v>
      </c>
      <c r="L75" s="56">
        <v>150120251127</v>
      </c>
      <c r="M75" s="57" t="b">
        <v>1</v>
      </c>
      <c r="N75" s="58" t="s">
        <v>529</v>
      </c>
      <c r="O75" s="226"/>
      <c r="P75" s="191" t="b">
        <v>1</v>
      </c>
      <c r="Q75" s="129"/>
      <c r="R75" s="165"/>
      <c r="S75" s="47" t="b">
        <v>1</v>
      </c>
      <c r="T75" s="249" t="s">
        <v>3035</v>
      </c>
      <c r="U75" s="54"/>
      <c r="V75" s="54"/>
      <c r="W75" s="192"/>
      <c r="X75" s="192"/>
      <c r="Y75" s="167"/>
      <c r="Z75" s="167"/>
    </row>
    <row r="76" spans="1:26">
      <c r="A76" s="162"/>
      <c r="B76" s="71" t="s">
        <v>3032</v>
      </c>
      <c r="C76" s="53" t="s">
        <v>51</v>
      </c>
      <c r="D76" s="53" t="s">
        <v>89</v>
      </c>
      <c r="E76" s="53" t="s">
        <v>2090</v>
      </c>
      <c r="F76" s="53" t="s">
        <v>68</v>
      </c>
      <c r="G76" s="131" t="s">
        <v>30</v>
      </c>
      <c r="H76" s="53">
        <v>1</v>
      </c>
      <c r="I76" s="188">
        <v>2350</v>
      </c>
      <c r="J76" s="54">
        <f t="shared" si="0"/>
        <v>2350</v>
      </c>
      <c r="K76" s="55" t="b">
        <v>1</v>
      </c>
      <c r="L76" s="56">
        <v>150120251244</v>
      </c>
      <c r="M76" s="57" t="b">
        <v>1</v>
      </c>
      <c r="N76" s="58" t="s">
        <v>1581</v>
      </c>
      <c r="O76" s="226"/>
      <c r="P76" s="191" t="b">
        <v>1</v>
      </c>
      <c r="Q76" s="129"/>
      <c r="R76" s="165"/>
      <c r="S76" s="47" t="b">
        <v>1</v>
      </c>
      <c r="T76" s="249" t="s">
        <v>3036</v>
      </c>
      <c r="U76" s="54"/>
      <c r="V76" s="54"/>
      <c r="W76" s="192"/>
      <c r="X76" s="192"/>
      <c r="Y76" s="167"/>
      <c r="Z76" s="167"/>
    </row>
    <row r="77" spans="1:26">
      <c r="A77" s="162"/>
      <c r="B77" s="71" t="s">
        <v>3032</v>
      </c>
      <c r="C77" s="53" t="s">
        <v>51</v>
      </c>
      <c r="D77" s="53" t="s">
        <v>89</v>
      </c>
      <c r="E77" s="53" t="s">
        <v>2090</v>
      </c>
      <c r="F77" s="53" t="s">
        <v>1952</v>
      </c>
      <c r="G77" s="131" t="s">
        <v>30</v>
      </c>
      <c r="H77" s="53">
        <v>10</v>
      </c>
      <c r="I77" s="188">
        <v>600</v>
      </c>
      <c r="J77" s="54">
        <f t="shared" si="0"/>
        <v>6000</v>
      </c>
      <c r="K77" s="55" t="b">
        <v>1</v>
      </c>
      <c r="L77" s="56">
        <v>150120251244</v>
      </c>
      <c r="M77" s="57" t="b">
        <v>1</v>
      </c>
      <c r="N77" s="58" t="s">
        <v>31</v>
      </c>
      <c r="O77" s="226">
        <v>45672</v>
      </c>
      <c r="P77" s="191" t="b">
        <v>1</v>
      </c>
      <c r="Q77" s="129"/>
      <c r="R77" s="165"/>
      <c r="S77" s="47" t="b">
        <v>1</v>
      </c>
      <c r="T77" s="249" t="s">
        <v>3036</v>
      </c>
      <c r="U77" s="54"/>
      <c r="V77" s="54"/>
      <c r="W77" s="192"/>
      <c r="X77" s="192"/>
      <c r="Y77" s="167"/>
      <c r="Z77" s="167"/>
    </row>
    <row r="78" spans="1:26">
      <c r="A78" s="162"/>
      <c r="B78" s="71" t="s">
        <v>3032</v>
      </c>
      <c r="C78" s="53" t="s">
        <v>51</v>
      </c>
      <c r="D78" s="53" t="s">
        <v>89</v>
      </c>
      <c r="E78" s="53" t="s">
        <v>2090</v>
      </c>
      <c r="F78" s="53" t="s">
        <v>147</v>
      </c>
      <c r="G78" s="131" t="s">
        <v>30</v>
      </c>
      <c r="H78" s="53">
        <v>3</v>
      </c>
      <c r="I78" s="188">
        <v>800</v>
      </c>
      <c r="J78" s="54">
        <f t="shared" si="0"/>
        <v>2400</v>
      </c>
      <c r="K78" s="55" t="b">
        <v>1</v>
      </c>
      <c r="L78" s="56">
        <v>150120251244</v>
      </c>
      <c r="M78" s="57" t="b">
        <v>1</v>
      </c>
      <c r="N78" s="58" t="s">
        <v>64</v>
      </c>
      <c r="O78" s="226"/>
      <c r="P78" s="191" t="b">
        <v>1</v>
      </c>
      <c r="Q78" s="129"/>
      <c r="R78" s="165"/>
      <c r="S78" s="47" t="b">
        <v>1</v>
      </c>
      <c r="T78" s="249" t="s">
        <v>3036</v>
      </c>
      <c r="U78" s="54"/>
      <c r="V78" s="54"/>
      <c r="W78" s="192"/>
      <c r="X78" s="192"/>
      <c r="Y78" s="167"/>
      <c r="Z78" s="167"/>
    </row>
    <row r="79" spans="1:26">
      <c r="A79" s="162"/>
      <c r="B79" s="71" t="s">
        <v>3032</v>
      </c>
      <c r="C79" s="53" t="s">
        <v>51</v>
      </c>
      <c r="D79" s="53" t="s">
        <v>89</v>
      </c>
      <c r="E79" s="53" t="s">
        <v>2090</v>
      </c>
      <c r="F79" s="53" t="s">
        <v>877</v>
      </c>
      <c r="G79" s="131" t="s">
        <v>30</v>
      </c>
      <c r="H79" s="53">
        <v>3</v>
      </c>
      <c r="I79" s="188">
        <v>875</v>
      </c>
      <c r="J79" s="54">
        <f t="shared" si="0"/>
        <v>2625</v>
      </c>
      <c r="K79" s="55" t="b">
        <v>1</v>
      </c>
      <c r="L79" s="56">
        <v>150120251244</v>
      </c>
      <c r="M79" s="57" t="b">
        <v>1</v>
      </c>
      <c r="N79" s="58" t="s">
        <v>64</v>
      </c>
      <c r="O79" s="226"/>
      <c r="P79" s="191" t="b">
        <v>1</v>
      </c>
      <c r="Q79" s="129"/>
      <c r="R79" s="165"/>
      <c r="S79" s="47" t="b">
        <v>1</v>
      </c>
      <c r="T79" s="249" t="s">
        <v>3036</v>
      </c>
      <c r="U79" s="54"/>
      <c r="V79" s="54"/>
      <c r="W79" s="192"/>
      <c r="X79" s="192"/>
      <c r="Y79" s="167"/>
      <c r="Z79" s="167"/>
    </row>
    <row r="80" spans="1:26">
      <c r="A80" s="162"/>
      <c r="B80" s="71" t="s">
        <v>3032</v>
      </c>
      <c r="C80" s="53" t="s">
        <v>51</v>
      </c>
      <c r="D80" s="53" t="s">
        <v>89</v>
      </c>
      <c r="E80" s="53" t="s">
        <v>2090</v>
      </c>
      <c r="F80" s="53" t="s">
        <v>300</v>
      </c>
      <c r="G80" s="131" t="s">
        <v>30</v>
      </c>
      <c r="H80" s="53">
        <v>30</v>
      </c>
      <c r="I80" s="188">
        <v>125</v>
      </c>
      <c r="J80" s="54">
        <f t="shared" si="0"/>
        <v>3750</v>
      </c>
      <c r="K80" s="55" t="b">
        <v>1</v>
      </c>
      <c r="L80" s="56">
        <v>150120251244</v>
      </c>
      <c r="M80" s="57" t="b">
        <v>1</v>
      </c>
      <c r="N80" s="58"/>
      <c r="O80" s="226"/>
      <c r="P80" s="191" t="b">
        <v>1</v>
      </c>
      <c r="Q80" s="129"/>
      <c r="R80" s="165"/>
      <c r="S80" s="47" t="b">
        <v>1</v>
      </c>
      <c r="T80" s="249" t="s">
        <v>3036</v>
      </c>
      <c r="U80" s="54"/>
      <c r="V80" s="54"/>
      <c r="W80" s="192"/>
      <c r="X80" s="192"/>
      <c r="Y80" s="167"/>
      <c r="Z80" s="167"/>
    </row>
    <row r="81" spans="1:26">
      <c r="A81" s="162"/>
      <c r="B81" s="71" t="s">
        <v>3032</v>
      </c>
      <c r="C81" s="53" t="s">
        <v>51</v>
      </c>
      <c r="D81" s="53" t="s">
        <v>89</v>
      </c>
      <c r="E81" s="53" t="s">
        <v>2090</v>
      </c>
      <c r="F81" s="53" t="s">
        <v>3037</v>
      </c>
      <c r="G81" s="131" t="s">
        <v>30</v>
      </c>
      <c r="H81" s="53">
        <v>3</v>
      </c>
      <c r="I81" s="188">
        <v>165</v>
      </c>
      <c r="J81" s="54">
        <f t="shared" si="0"/>
        <v>495</v>
      </c>
      <c r="K81" s="55" t="b">
        <v>1</v>
      </c>
      <c r="L81" s="56">
        <v>150120251244</v>
      </c>
      <c r="M81" s="57" t="b">
        <v>1</v>
      </c>
      <c r="N81" s="58" t="s">
        <v>64</v>
      </c>
      <c r="O81" s="226"/>
      <c r="P81" s="191" t="b">
        <v>1</v>
      </c>
      <c r="Q81" s="129"/>
      <c r="R81" s="165"/>
      <c r="S81" s="47" t="b">
        <v>1</v>
      </c>
      <c r="T81" s="249" t="s">
        <v>3036</v>
      </c>
      <c r="U81" s="54"/>
      <c r="V81" s="54"/>
      <c r="W81" s="192"/>
      <c r="X81" s="192"/>
      <c r="Y81" s="167"/>
      <c r="Z81" s="167"/>
    </row>
    <row r="82" spans="1:26">
      <c r="A82" s="162"/>
      <c r="B82" s="71" t="s">
        <v>3032</v>
      </c>
      <c r="C82" s="53" t="s">
        <v>397</v>
      </c>
      <c r="D82" s="53" t="s">
        <v>213</v>
      </c>
      <c r="E82" s="53" t="s">
        <v>859</v>
      </c>
      <c r="F82" s="53" t="s">
        <v>83</v>
      </c>
      <c r="G82" s="131" t="s">
        <v>30</v>
      </c>
      <c r="H82" s="53">
        <v>5</v>
      </c>
      <c r="I82" s="188">
        <v>1500</v>
      </c>
      <c r="J82" s="54">
        <f t="shared" si="0"/>
        <v>7500</v>
      </c>
      <c r="K82" s="55" t="b">
        <v>1</v>
      </c>
      <c r="L82" s="56">
        <v>150120251403</v>
      </c>
      <c r="M82" s="57" t="b">
        <v>1</v>
      </c>
      <c r="N82" s="58"/>
      <c r="O82" s="226"/>
      <c r="P82" s="191" t="b">
        <v>1</v>
      </c>
      <c r="Q82" s="129"/>
      <c r="R82" s="165"/>
      <c r="S82" s="47" t="b">
        <v>1</v>
      </c>
      <c r="T82" s="249" t="s">
        <v>3038</v>
      </c>
      <c r="U82" s="54"/>
      <c r="V82" s="54"/>
      <c r="W82" s="192"/>
      <c r="X82" s="192"/>
      <c r="Y82" s="167"/>
      <c r="Z82" s="167"/>
    </row>
    <row r="83" spans="1:26">
      <c r="A83" s="162"/>
      <c r="B83" s="71" t="s">
        <v>3032</v>
      </c>
      <c r="C83" s="53" t="s">
        <v>397</v>
      </c>
      <c r="D83" s="53" t="s">
        <v>213</v>
      </c>
      <c r="E83" s="53" t="s">
        <v>859</v>
      </c>
      <c r="F83" s="53" t="s">
        <v>58</v>
      </c>
      <c r="G83" s="131" t="s">
        <v>30</v>
      </c>
      <c r="H83" s="53">
        <v>84</v>
      </c>
      <c r="I83" s="188">
        <v>41.5</v>
      </c>
      <c r="J83" s="54">
        <f t="shared" si="0"/>
        <v>3486</v>
      </c>
      <c r="K83" s="55" t="b">
        <v>1</v>
      </c>
      <c r="L83" s="56">
        <v>150120251404</v>
      </c>
      <c r="M83" s="57" t="b">
        <v>1</v>
      </c>
      <c r="N83" s="58" t="s">
        <v>64</v>
      </c>
      <c r="O83" s="226"/>
      <c r="P83" s="191" t="b">
        <v>1</v>
      </c>
      <c r="Q83" s="129"/>
      <c r="R83" s="165"/>
      <c r="S83" s="47" t="b">
        <v>1</v>
      </c>
      <c r="T83" s="249" t="s">
        <v>3038</v>
      </c>
      <c r="U83" s="54"/>
      <c r="V83" s="54"/>
      <c r="W83" s="192"/>
      <c r="X83" s="192"/>
      <c r="Y83" s="167"/>
      <c r="Z83" s="167"/>
    </row>
    <row r="84" spans="1:26">
      <c r="A84" s="162"/>
      <c r="B84" s="71" t="s">
        <v>3032</v>
      </c>
      <c r="C84" s="53" t="s">
        <v>418</v>
      </c>
      <c r="D84" s="53" t="s">
        <v>42</v>
      </c>
      <c r="E84" s="53" t="s">
        <v>209</v>
      </c>
      <c r="F84" s="53" t="s">
        <v>3039</v>
      </c>
      <c r="G84" s="131" t="s">
        <v>30</v>
      </c>
      <c r="H84" s="53">
        <v>10</v>
      </c>
      <c r="I84" s="188">
        <v>125</v>
      </c>
      <c r="J84" s="54">
        <f t="shared" si="0"/>
        <v>1250</v>
      </c>
      <c r="K84" s="55" t="b">
        <v>1</v>
      </c>
      <c r="L84" s="56">
        <v>150120251453</v>
      </c>
      <c r="M84" s="57" t="b">
        <v>1</v>
      </c>
      <c r="N84" s="58" t="s">
        <v>64</v>
      </c>
      <c r="O84" s="226"/>
      <c r="P84" s="191" t="b">
        <v>1</v>
      </c>
      <c r="Q84" s="129"/>
      <c r="R84" s="165"/>
      <c r="S84" s="47" t="b">
        <v>1</v>
      </c>
      <c r="T84" s="249" t="s">
        <v>3040</v>
      </c>
      <c r="U84" s="54"/>
      <c r="V84" s="54"/>
      <c r="W84" s="192"/>
      <c r="X84" s="192"/>
      <c r="Y84" s="167"/>
      <c r="Z84" s="167"/>
    </row>
    <row r="85" spans="1:26">
      <c r="A85" s="162"/>
      <c r="B85" s="71" t="s">
        <v>3032</v>
      </c>
      <c r="C85" s="53" t="s">
        <v>418</v>
      </c>
      <c r="D85" s="53" t="s">
        <v>42</v>
      </c>
      <c r="E85" s="53" t="s">
        <v>209</v>
      </c>
      <c r="F85" s="53" t="s">
        <v>3041</v>
      </c>
      <c r="G85" s="131" t="s">
        <v>30</v>
      </c>
      <c r="H85" s="53">
        <v>10</v>
      </c>
      <c r="I85" s="188">
        <v>90</v>
      </c>
      <c r="J85" s="54">
        <f t="shared" si="0"/>
        <v>900</v>
      </c>
      <c r="K85" s="55" t="b">
        <v>1</v>
      </c>
      <c r="L85" s="56">
        <v>150120251453</v>
      </c>
      <c r="M85" s="57" t="b">
        <v>1</v>
      </c>
      <c r="N85" s="58" t="s">
        <v>31</v>
      </c>
      <c r="O85" s="226">
        <v>45672</v>
      </c>
      <c r="P85" s="191" t="b">
        <v>1</v>
      </c>
      <c r="Q85" s="129"/>
      <c r="R85" s="165"/>
      <c r="S85" s="47" t="b">
        <v>1</v>
      </c>
      <c r="T85" s="249" t="s">
        <v>3040</v>
      </c>
      <c r="U85" s="54"/>
      <c r="V85" s="54"/>
      <c r="W85" s="192"/>
      <c r="X85" s="192"/>
      <c r="Y85" s="167"/>
      <c r="Z85" s="167"/>
    </row>
    <row r="86" spans="1:26">
      <c r="A86" s="162"/>
      <c r="B86" s="71" t="s">
        <v>3032</v>
      </c>
      <c r="C86" s="53" t="s">
        <v>523</v>
      </c>
      <c r="D86" s="53" t="s">
        <v>524</v>
      </c>
      <c r="E86" s="53" t="s">
        <v>525</v>
      </c>
      <c r="F86" s="53" t="s">
        <v>1952</v>
      </c>
      <c r="G86" s="131" t="s">
        <v>30</v>
      </c>
      <c r="H86" s="53">
        <v>10</v>
      </c>
      <c r="I86" s="188">
        <v>600</v>
      </c>
      <c r="J86" s="54">
        <f t="shared" si="0"/>
        <v>6000</v>
      </c>
      <c r="K86" s="55" t="b">
        <v>1</v>
      </c>
      <c r="L86" s="56">
        <v>150120251502</v>
      </c>
      <c r="M86" s="57" t="b">
        <v>1</v>
      </c>
      <c r="N86" s="58" t="s">
        <v>31</v>
      </c>
      <c r="O86" s="226">
        <v>45672</v>
      </c>
      <c r="P86" s="191" t="b">
        <v>1</v>
      </c>
      <c r="Q86" s="129"/>
      <c r="R86" s="165"/>
      <c r="S86" s="47" t="b">
        <v>1</v>
      </c>
      <c r="T86" s="249" t="s">
        <v>3042</v>
      </c>
      <c r="U86" s="54"/>
      <c r="V86" s="54"/>
      <c r="W86" s="192"/>
      <c r="X86" s="192"/>
      <c r="Y86" s="167"/>
      <c r="Z86" s="167"/>
    </row>
    <row r="87" spans="1:26">
      <c r="A87" s="162"/>
      <c r="B87" s="71" t="s">
        <v>3032</v>
      </c>
      <c r="C87" s="53" t="s">
        <v>523</v>
      </c>
      <c r="D87" s="53" t="s">
        <v>524</v>
      </c>
      <c r="E87" s="53" t="s">
        <v>525</v>
      </c>
      <c r="F87" s="53" t="s">
        <v>3043</v>
      </c>
      <c r="G87" s="131" t="s">
        <v>30</v>
      </c>
      <c r="H87" s="53">
        <v>15</v>
      </c>
      <c r="I87" s="188">
        <v>13.5</v>
      </c>
      <c r="J87" s="54">
        <f t="shared" si="0"/>
        <v>202.5</v>
      </c>
      <c r="K87" s="55" t="b">
        <v>1</v>
      </c>
      <c r="L87" s="56">
        <v>150120251502</v>
      </c>
      <c r="M87" s="57" t="b">
        <v>1</v>
      </c>
      <c r="N87" s="58"/>
      <c r="O87" s="226"/>
      <c r="P87" s="191" t="b">
        <v>1</v>
      </c>
      <c r="Q87" s="129"/>
      <c r="R87" s="165"/>
      <c r="S87" s="47" t="b">
        <v>1</v>
      </c>
      <c r="T87" s="249" t="s">
        <v>3042</v>
      </c>
      <c r="U87" s="54"/>
      <c r="V87" s="54"/>
      <c r="W87" s="192"/>
      <c r="X87" s="192"/>
      <c r="Y87" s="167"/>
      <c r="Z87" s="167"/>
    </row>
    <row r="88" spans="1:26">
      <c r="A88" s="162" t="s">
        <v>3044</v>
      </c>
      <c r="B88" s="71" t="s">
        <v>3032</v>
      </c>
      <c r="C88" s="53" t="s">
        <v>108</v>
      </c>
      <c r="D88" s="53" t="s">
        <v>109</v>
      </c>
      <c r="E88" s="53" t="s">
        <v>110</v>
      </c>
      <c r="F88" s="53" t="s">
        <v>3045</v>
      </c>
      <c r="G88" s="131" t="s">
        <v>30</v>
      </c>
      <c r="H88" s="53">
        <v>200</v>
      </c>
      <c r="I88" s="188">
        <v>29</v>
      </c>
      <c r="J88" s="54">
        <f t="shared" si="0"/>
        <v>5800</v>
      </c>
      <c r="K88" s="55" t="b">
        <v>1</v>
      </c>
      <c r="L88" s="56">
        <v>150120251505</v>
      </c>
      <c r="M88" s="57" t="b">
        <v>1</v>
      </c>
      <c r="N88" s="58" t="s">
        <v>64</v>
      </c>
      <c r="O88" s="226"/>
      <c r="P88" s="191" t="b">
        <v>1</v>
      </c>
      <c r="Q88" s="129"/>
      <c r="R88" s="165"/>
      <c r="S88" s="47" t="b">
        <v>1</v>
      </c>
      <c r="T88" s="249" t="s">
        <v>3046</v>
      </c>
      <c r="U88" s="54"/>
      <c r="V88" s="54"/>
      <c r="W88" s="192"/>
      <c r="X88" s="192"/>
      <c r="Y88" s="167"/>
      <c r="Z88" s="167"/>
    </row>
    <row r="89" spans="1:26">
      <c r="A89" s="162"/>
      <c r="B89" s="71" t="s">
        <v>3032</v>
      </c>
      <c r="C89" s="53" t="s">
        <v>46</v>
      </c>
      <c r="D89" s="53" t="s">
        <v>47</v>
      </c>
      <c r="E89" s="53" t="s">
        <v>48</v>
      </c>
      <c r="F89" s="53" t="s">
        <v>1952</v>
      </c>
      <c r="G89" s="131" t="s">
        <v>30</v>
      </c>
      <c r="H89" s="53">
        <v>10</v>
      </c>
      <c r="I89" s="188">
        <v>600</v>
      </c>
      <c r="J89" s="54">
        <f t="shared" si="0"/>
        <v>6000</v>
      </c>
      <c r="K89" s="55" t="b">
        <v>1</v>
      </c>
      <c r="L89" s="56">
        <v>150120251856</v>
      </c>
      <c r="M89" s="57" t="b">
        <v>1</v>
      </c>
      <c r="N89" s="58" t="s">
        <v>31</v>
      </c>
      <c r="O89" s="226">
        <v>45673</v>
      </c>
      <c r="P89" s="191" t="b">
        <v>1</v>
      </c>
      <c r="Q89" s="129"/>
      <c r="R89" s="165"/>
      <c r="S89" s="47" t="b">
        <v>1</v>
      </c>
      <c r="T89" s="249" t="s">
        <v>3047</v>
      </c>
      <c r="U89" s="54"/>
      <c r="V89" s="54"/>
      <c r="W89" s="192"/>
      <c r="X89" s="192"/>
      <c r="Y89" s="167"/>
      <c r="Z89" s="167"/>
    </row>
    <row r="90" spans="1:26">
      <c r="A90" s="162"/>
      <c r="B90" s="71" t="s">
        <v>3048</v>
      </c>
      <c r="C90" s="53" t="s">
        <v>438</v>
      </c>
      <c r="D90" s="53" t="s">
        <v>883</v>
      </c>
      <c r="E90" s="53" t="s">
        <v>2590</v>
      </c>
      <c r="F90" s="53" t="s">
        <v>1952</v>
      </c>
      <c r="G90" s="131" t="s">
        <v>30</v>
      </c>
      <c r="H90" s="53">
        <v>10</v>
      </c>
      <c r="I90" s="188">
        <v>600</v>
      </c>
      <c r="J90" s="54">
        <f t="shared" si="0"/>
        <v>6000</v>
      </c>
      <c r="K90" s="55" t="b">
        <v>1</v>
      </c>
      <c r="L90" s="56">
        <v>160120251340</v>
      </c>
      <c r="M90" s="57" t="b">
        <v>1</v>
      </c>
      <c r="N90" s="58" t="s">
        <v>31</v>
      </c>
      <c r="O90" s="226">
        <v>45673</v>
      </c>
      <c r="P90" s="191" t="b">
        <v>1</v>
      </c>
      <c r="Q90" s="129"/>
      <c r="R90" s="165"/>
      <c r="S90" s="47" t="b">
        <v>1</v>
      </c>
      <c r="T90" s="249" t="s">
        <v>3049</v>
      </c>
      <c r="U90" s="54"/>
      <c r="V90" s="54"/>
      <c r="W90" s="192"/>
      <c r="X90" s="192"/>
      <c r="Y90" s="167"/>
      <c r="Z90" s="167"/>
    </row>
    <row r="91" spans="1:26">
      <c r="A91" s="162"/>
      <c r="B91" s="71" t="s">
        <v>3048</v>
      </c>
      <c r="C91" s="53" t="s">
        <v>438</v>
      </c>
      <c r="D91" s="53" t="s">
        <v>883</v>
      </c>
      <c r="E91" s="53" t="s">
        <v>2590</v>
      </c>
      <c r="F91" s="53" t="s">
        <v>58</v>
      </c>
      <c r="G91" s="131" t="s">
        <v>30</v>
      </c>
      <c r="H91" s="53">
        <v>84</v>
      </c>
      <c r="I91" s="188">
        <v>41.5</v>
      </c>
      <c r="J91" s="54">
        <f t="shared" si="0"/>
        <v>3486</v>
      </c>
      <c r="K91" s="55" t="b">
        <v>1</v>
      </c>
      <c r="L91" s="56">
        <v>160120251340</v>
      </c>
      <c r="M91" s="57" t="b">
        <v>1</v>
      </c>
      <c r="N91" s="58"/>
      <c r="O91" s="226"/>
      <c r="P91" s="191" t="b">
        <v>1</v>
      </c>
      <c r="Q91" s="129"/>
      <c r="R91" s="165"/>
      <c r="S91" s="47" t="b">
        <v>1</v>
      </c>
      <c r="T91" s="249" t="s">
        <v>3049</v>
      </c>
      <c r="U91" s="54"/>
      <c r="V91" s="54"/>
      <c r="W91" s="192"/>
      <c r="X91" s="192"/>
      <c r="Y91" s="167"/>
      <c r="Z91" s="167"/>
    </row>
    <row r="92" spans="1:26">
      <c r="A92" s="162"/>
      <c r="B92" s="71" t="s">
        <v>3048</v>
      </c>
      <c r="C92" s="53" t="s">
        <v>438</v>
      </c>
      <c r="D92" s="53" t="s">
        <v>883</v>
      </c>
      <c r="E92" s="53" t="s">
        <v>2590</v>
      </c>
      <c r="F92" s="53" t="s">
        <v>877</v>
      </c>
      <c r="G92" s="131" t="s">
        <v>30</v>
      </c>
      <c r="H92" s="53">
        <v>1</v>
      </c>
      <c r="I92" s="188">
        <v>875</v>
      </c>
      <c r="J92" s="54">
        <f t="shared" si="0"/>
        <v>875</v>
      </c>
      <c r="K92" s="55" t="b">
        <v>1</v>
      </c>
      <c r="L92" s="56">
        <v>160120251340</v>
      </c>
      <c r="M92" s="57" t="b">
        <v>1</v>
      </c>
      <c r="N92" s="58"/>
      <c r="O92" s="226"/>
      <c r="P92" s="191" t="b">
        <v>1</v>
      </c>
      <c r="Q92" s="129"/>
      <c r="R92" s="165"/>
      <c r="S92" s="47" t="b">
        <v>1</v>
      </c>
      <c r="T92" s="249" t="s">
        <v>3049</v>
      </c>
      <c r="U92" s="54"/>
      <c r="V92" s="54"/>
      <c r="W92" s="192"/>
      <c r="X92" s="192"/>
      <c r="Y92" s="167"/>
      <c r="Z92" s="167"/>
    </row>
    <row r="93" spans="1:26">
      <c r="A93" s="162"/>
      <c r="B93" s="71" t="s">
        <v>3048</v>
      </c>
      <c r="C93" s="53" t="s">
        <v>3050</v>
      </c>
      <c r="D93" s="53" t="s">
        <v>833</v>
      </c>
      <c r="E93" s="53" t="s">
        <v>834</v>
      </c>
      <c r="F93" s="53" t="s">
        <v>399</v>
      </c>
      <c r="G93" s="131" t="s">
        <v>30</v>
      </c>
      <c r="H93" s="53">
        <v>10</v>
      </c>
      <c r="I93" s="188">
        <v>975</v>
      </c>
      <c r="J93" s="54">
        <f t="shared" si="0"/>
        <v>9750</v>
      </c>
      <c r="K93" s="55" t="b">
        <v>1</v>
      </c>
      <c r="L93" s="56">
        <v>160120251340</v>
      </c>
      <c r="M93" s="57" t="b">
        <v>1</v>
      </c>
      <c r="N93" s="58"/>
      <c r="O93" s="226"/>
      <c r="P93" s="191" t="b">
        <v>1</v>
      </c>
      <c r="Q93" s="129"/>
      <c r="R93" s="165"/>
      <c r="S93" s="47" t="b">
        <v>1</v>
      </c>
      <c r="T93" s="249" t="s">
        <v>3051</v>
      </c>
      <c r="U93" s="54"/>
      <c r="V93" s="54"/>
      <c r="W93" s="192"/>
      <c r="X93" s="192"/>
      <c r="Y93" s="167"/>
      <c r="Z93" s="167"/>
    </row>
    <row r="94" spans="1:26">
      <c r="A94" s="162"/>
      <c r="B94" s="71" t="s">
        <v>3048</v>
      </c>
      <c r="C94" s="53" t="s">
        <v>832</v>
      </c>
      <c r="D94" s="53" t="s">
        <v>833</v>
      </c>
      <c r="E94" s="53" t="s">
        <v>834</v>
      </c>
      <c r="F94" s="53" t="s">
        <v>103</v>
      </c>
      <c r="G94" s="131" t="s">
        <v>30</v>
      </c>
      <c r="H94" s="53">
        <v>50</v>
      </c>
      <c r="I94" s="188">
        <v>265</v>
      </c>
      <c r="J94" s="54">
        <f t="shared" si="0"/>
        <v>13250</v>
      </c>
      <c r="K94" s="55" t="b">
        <v>1</v>
      </c>
      <c r="L94" s="56">
        <v>160120251340</v>
      </c>
      <c r="M94" s="57" t="b">
        <v>1</v>
      </c>
      <c r="N94" s="58"/>
      <c r="O94" s="226"/>
      <c r="P94" s="191" t="b">
        <v>1</v>
      </c>
      <c r="Q94" s="129"/>
      <c r="R94" s="165"/>
      <c r="S94" s="47" t="b">
        <v>1</v>
      </c>
      <c r="T94" s="249" t="s">
        <v>3051</v>
      </c>
      <c r="U94" s="54"/>
      <c r="V94" s="54"/>
      <c r="W94" s="192"/>
      <c r="X94" s="192"/>
      <c r="Y94" s="167"/>
      <c r="Z94" s="167"/>
    </row>
    <row r="95" spans="1:26">
      <c r="A95" s="162"/>
      <c r="B95" s="71" t="s">
        <v>3048</v>
      </c>
      <c r="C95" s="66" t="s">
        <v>832</v>
      </c>
      <c r="D95" s="66" t="s">
        <v>833</v>
      </c>
      <c r="E95" s="66" t="s">
        <v>834</v>
      </c>
      <c r="F95" s="66" t="s">
        <v>177</v>
      </c>
      <c r="G95" s="69" t="s">
        <v>30</v>
      </c>
      <c r="H95" s="66">
        <v>4</v>
      </c>
      <c r="I95" s="70">
        <v>975</v>
      </c>
      <c r="J95" s="75">
        <f t="shared" si="0"/>
        <v>3900</v>
      </c>
      <c r="K95" s="55" t="b">
        <v>1</v>
      </c>
      <c r="L95" s="154">
        <v>160120251340</v>
      </c>
      <c r="M95" s="57" t="b">
        <v>1</v>
      </c>
      <c r="N95" s="58"/>
      <c r="O95" s="226"/>
      <c r="P95" s="59" t="b">
        <v>1</v>
      </c>
      <c r="Q95" s="164"/>
      <c r="R95" s="165"/>
      <c r="S95" s="47" t="b">
        <v>1</v>
      </c>
      <c r="T95" s="249" t="s">
        <v>3052</v>
      </c>
      <c r="U95" s="54"/>
      <c r="V95" s="54"/>
      <c r="W95" s="192"/>
      <c r="X95" s="192"/>
      <c r="Y95" s="167"/>
      <c r="Z95" s="167"/>
    </row>
    <row r="96" spans="1:26">
      <c r="A96" s="162"/>
      <c r="B96" s="71" t="s">
        <v>3048</v>
      </c>
      <c r="C96" s="66" t="s">
        <v>832</v>
      </c>
      <c r="D96" s="66" t="s">
        <v>833</v>
      </c>
      <c r="E96" s="66" t="s">
        <v>834</v>
      </c>
      <c r="F96" s="66" t="s">
        <v>177</v>
      </c>
      <c r="G96" s="69" t="s">
        <v>30</v>
      </c>
      <c r="H96" s="66">
        <v>16</v>
      </c>
      <c r="I96" s="70">
        <v>975</v>
      </c>
      <c r="J96" s="75">
        <f t="shared" si="0"/>
        <v>15600</v>
      </c>
      <c r="K96" s="55" t="b">
        <v>1</v>
      </c>
      <c r="L96" s="154">
        <v>160120251340</v>
      </c>
      <c r="M96" s="57" t="b">
        <v>1</v>
      </c>
      <c r="N96" s="58"/>
      <c r="O96" s="226"/>
      <c r="P96" s="59" t="b">
        <v>1</v>
      </c>
      <c r="Q96" s="164"/>
      <c r="R96" s="165"/>
      <c r="S96" s="47" t="b">
        <v>1</v>
      </c>
      <c r="T96" s="249" t="s">
        <v>3052</v>
      </c>
      <c r="U96" s="54"/>
      <c r="V96" s="54"/>
      <c r="W96" s="192"/>
      <c r="X96" s="192"/>
      <c r="Y96" s="167"/>
      <c r="Z96" s="167"/>
    </row>
    <row r="97" spans="1:26">
      <c r="A97" s="162"/>
      <c r="B97" s="71" t="s">
        <v>3048</v>
      </c>
      <c r="C97" s="53" t="s">
        <v>832</v>
      </c>
      <c r="D97" s="53" t="s">
        <v>833</v>
      </c>
      <c r="E97" s="53" t="s">
        <v>834</v>
      </c>
      <c r="F97" s="53" t="s">
        <v>3053</v>
      </c>
      <c r="G97" s="131" t="s">
        <v>30</v>
      </c>
      <c r="H97" s="53">
        <v>8</v>
      </c>
      <c r="I97" s="188">
        <v>3500</v>
      </c>
      <c r="J97" s="54">
        <f t="shared" si="0"/>
        <v>28000</v>
      </c>
      <c r="K97" s="55" t="b">
        <v>1</v>
      </c>
      <c r="L97" s="56">
        <v>160120251340</v>
      </c>
      <c r="M97" s="57" t="b">
        <v>1</v>
      </c>
      <c r="N97" s="58"/>
      <c r="O97" s="226"/>
      <c r="P97" s="191" t="b">
        <v>1</v>
      </c>
      <c r="Q97" s="129"/>
      <c r="R97" s="165"/>
      <c r="S97" s="47" t="b">
        <v>1</v>
      </c>
      <c r="T97" s="249" t="s">
        <v>3051</v>
      </c>
      <c r="U97" s="54"/>
      <c r="V97" s="54"/>
      <c r="W97" s="192"/>
      <c r="X97" s="192"/>
      <c r="Y97" s="167"/>
      <c r="Z97" s="167"/>
    </row>
    <row r="98" spans="1:26">
      <c r="A98" s="162"/>
      <c r="B98" s="71" t="s">
        <v>3048</v>
      </c>
      <c r="C98" s="53" t="s">
        <v>832</v>
      </c>
      <c r="D98" s="53" t="s">
        <v>833</v>
      </c>
      <c r="E98" s="53" t="s">
        <v>834</v>
      </c>
      <c r="F98" s="53" t="s">
        <v>229</v>
      </c>
      <c r="G98" s="131" t="s">
        <v>30</v>
      </c>
      <c r="H98" s="53">
        <v>2</v>
      </c>
      <c r="I98" s="188">
        <v>600</v>
      </c>
      <c r="J98" s="54">
        <f t="shared" si="0"/>
        <v>1200</v>
      </c>
      <c r="K98" s="55" t="b">
        <v>1</v>
      </c>
      <c r="L98" s="56">
        <v>160120251340</v>
      </c>
      <c r="M98" s="57" t="b">
        <v>1</v>
      </c>
      <c r="N98" s="58"/>
      <c r="O98" s="226"/>
      <c r="P98" s="191" t="b">
        <v>1</v>
      </c>
      <c r="Q98" s="129"/>
      <c r="R98" s="165"/>
      <c r="S98" s="47" t="b">
        <v>1</v>
      </c>
      <c r="T98" s="249" t="s">
        <v>3051</v>
      </c>
      <c r="U98" s="54"/>
      <c r="V98" s="54"/>
      <c r="W98" s="192"/>
      <c r="X98" s="192"/>
      <c r="Y98" s="167"/>
      <c r="Z98" s="167"/>
    </row>
    <row r="99" spans="1:26">
      <c r="A99" s="162"/>
      <c r="B99" s="71" t="s">
        <v>3048</v>
      </c>
      <c r="C99" s="53" t="s">
        <v>832</v>
      </c>
      <c r="D99" s="53" t="s">
        <v>833</v>
      </c>
      <c r="E99" s="53" t="s">
        <v>834</v>
      </c>
      <c r="F99" s="53" t="s">
        <v>124</v>
      </c>
      <c r="G99" s="131" t="s">
        <v>30</v>
      </c>
      <c r="H99" s="53">
        <v>2</v>
      </c>
      <c r="I99" s="188">
        <v>625</v>
      </c>
      <c r="J99" s="54">
        <f t="shared" si="0"/>
        <v>1250</v>
      </c>
      <c r="K99" s="55" t="b">
        <v>1</v>
      </c>
      <c r="L99" s="56">
        <v>160120251340</v>
      </c>
      <c r="M99" s="57" t="b">
        <v>1</v>
      </c>
      <c r="N99" s="58"/>
      <c r="O99" s="226"/>
      <c r="P99" s="191" t="b">
        <v>1</v>
      </c>
      <c r="Q99" s="129"/>
      <c r="R99" s="165"/>
      <c r="S99" s="47" t="b">
        <v>1</v>
      </c>
      <c r="T99" s="249" t="s">
        <v>3051</v>
      </c>
      <c r="U99" s="54"/>
      <c r="V99" s="54"/>
      <c r="W99" s="192"/>
      <c r="X99" s="192"/>
      <c r="Y99" s="167"/>
      <c r="Z99" s="167"/>
    </row>
    <row r="100" spans="1:26">
      <c r="A100" s="162"/>
      <c r="B100" s="71" t="s">
        <v>3048</v>
      </c>
      <c r="C100" s="53" t="s">
        <v>194</v>
      </c>
      <c r="D100" s="53" t="s">
        <v>137</v>
      </c>
      <c r="E100" s="53" t="s">
        <v>3054</v>
      </c>
      <c r="F100" s="53" t="s">
        <v>1952</v>
      </c>
      <c r="G100" s="131" t="s">
        <v>30</v>
      </c>
      <c r="H100" s="53">
        <v>10</v>
      </c>
      <c r="I100" s="188">
        <v>600</v>
      </c>
      <c r="J100" s="54">
        <f t="shared" si="0"/>
        <v>6000</v>
      </c>
      <c r="K100" s="55" t="b">
        <v>1</v>
      </c>
      <c r="L100" s="56">
        <v>160120251722</v>
      </c>
      <c r="M100" s="57" t="b">
        <v>1</v>
      </c>
      <c r="N100" s="58" t="s">
        <v>31</v>
      </c>
      <c r="O100" s="215" t="s">
        <v>3055</v>
      </c>
      <c r="P100" s="191" t="b">
        <v>1</v>
      </c>
      <c r="Q100" s="129"/>
      <c r="R100" s="165"/>
      <c r="S100" s="47" t="b">
        <v>1</v>
      </c>
      <c r="T100" s="249" t="s">
        <v>3056</v>
      </c>
      <c r="U100" s="54"/>
      <c r="V100" s="54"/>
      <c r="W100" s="192"/>
      <c r="X100" s="192"/>
      <c r="Y100" s="167"/>
      <c r="Z100" s="167"/>
    </row>
    <row r="101" spans="1:26">
      <c r="A101" s="162"/>
      <c r="B101" s="71" t="s">
        <v>3048</v>
      </c>
      <c r="C101" s="53" t="s">
        <v>194</v>
      </c>
      <c r="D101" s="53" t="s">
        <v>137</v>
      </c>
      <c r="E101" s="53" t="s">
        <v>3054</v>
      </c>
      <c r="F101" s="53" t="s">
        <v>3057</v>
      </c>
      <c r="G101" s="131" t="s">
        <v>30</v>
      </c>
      <c r="H101" s="53">
        <v>420</v>
      </c>
      <c r="I101" s="188">
        <v>12</v>
      </c>
      <c r="J101" s="54">
        <f t="shared" si="0"/>
        <v>5040</v>
      </c>
      <c r="K101" s="55" t="b">
        <v>1</v>
      </c>
      <c r="L101" s="56">
        <v>160120251900</v>
      </c>
      <c r="M101" s="57" t="b">
        <v>1</v>
      </c>
      <c r="N101" s="58"/>
      <c r="O101" s="226"/>
      <c r="P101" s="191" t="b">
        <v>1</v>
      </c>
      <c r="Q101" s="129"/>
      <c r="R101" s="165"/>
      <c r="S101" s="47" t="b">
        <v>1</v>
      </c>
      <c r="T101" s="249" t="s">
        <v>3056</v>
      </c>
      <c r="U101" s="54"/>
      <c r="V101" s="54"/>
      <c r="W101" s="192"/>
      <c r="X101" s="192"/>
      <c r="Y101" s="167"/>
      <c r="Z101" s="167"/>
    </row>
    <row r="102" spans="1:26">
      <c r="A102" s="162"/>
      <c r="B102" s="71" t="s">
        <v>3048</v>
      </c>
      <c r="C102" s="53" t="s">
        <v>194</v>
      </c>
      <c r="D102" s="53" t="s">
        <v>137</v>
      </c>
      <c r="E102" s="53" t="s">
        <v>3054</v>
      </c>
      <c r="F102" s="53" t="s">
        <v>3058</v>
      </c>
      <c r="G102" s="131" t="s">
        <v>30</v>
      </c>
      <c r="H102" s="53">
        <v>200</v>
      </c>
      <c r="I102" s="188">
        <v>38.5</v>
      </c>
      <c r="J102" s="54">
        <f t="shared" si="0"/>
        <v>7700</v>
      </c>
      <c r="K102" s="55" t="b">
        <v>1</v>
      </c>
      <c r="L102" s="56">
        <v>160120251900</v>
      </c>
      <c r="M102" s="57" t="b">
        <v>1</v>
      </c>
      <c r="N102" s="58" t="s">
        <v>529</v>
      </c>
      <c r="O102" s="226"/>
      <c r="P102" s="191" t="b">
        <v>1</v>
      </c>
      <c r="Q102" s="129"/>
      <c r="R102" s="165"/>
      <c r="S102" s="47" t="b">
        <v>1</v>
      </c>
      <c r="T102" s="227" t="s">
        <v>3059</v>
      </c>
      <c r="U102" s="54"/>
      <c r="V102" s="54"/>
      <c r="W102" s="192"/>
      <c r="X102" s="192"/>
      <c r="Y102" s="167"/>
      <c r="Z102" s="167"/>
    </row>
    <row r="103" spans="1:26">
      <c r="A103" s="162"/>
      <c r="B103" s="71" t="s">
        <v>3048</v>
      </c>
      <c r="C103" s="53" t="s">
        <v>194</v>
      </c>
      <c r="D103" s="53" t="s">
        <v>137</v>
      </c>
      <c r="E103" s="53" t="s">
        <v>3054</v>
      </c>
      <c r="F103" s="53" t="s">
        <v>3060</v>
      </c>
      <c r="G103" s="131" t="s">
        <v>30</v>
      </c>
      <c r="H103" s="53">
        <v>200</v>
      </c>
      <c r="I103" s="188">
        <v>28</v>
      </c>
      <c r="J103" s="54">
        <f t="shared" si="0"/>
        <v>5600</v>
      </c>
      <c r="K103" s="55" t="b">
        <v>1</v>
      </c>
      <c r="L103" s="56">
        <v>160120251900</v>
      </c>
      <c r="M103" s="57" t="b">
        <v>1</v>
      </c>
      <c r="N103" s="58" t="s">
        <v>529</v>
      </c>
      <c r="O103" s="226"/>
      <c r="P103" s="191" t="b">
        <v>1</v>
      </c>
      <c r="Q103" s="129"/>
      <c r="R103" s="165"/>
      <c r="S103" s="47" t="b">
        <v>1</v>
      </c>
      <c r="T103" s="227" t="s">
        <v>3059</v>
      </c>
      <c r="U103" s="54"/>
      <c r="V103" s="54"/>
      <c r="W103" s="192"/>
      <c r="X103" s="192"/>
      <c r="Y103" s="167"/>
      <c r="Z103" s="167"/>
    </row>
    <row r="104" spans="1:26">
      <c r="A104" s="162"/>
      <c r="B104" s="71" t="s">
        <v>3061</v>
      </c>
      <c r="C104" s="53" t="s">
        <v>171</v>
      </c>
      <c r="D104" s="53" t="s">
        <v>137</v>
      </c>
      <c r="E104" s="53" t="s">
        <v>2812</v>
      </c>
      <c r="F104" s="53" t="s">
        <v>442</v>
      </c>
      <c r="G104" s="131" t="s">
        <v>30</v>
      </c>
      <c r="H104" s="53">
        <v>48</v>
      </c>
      <c r="I104" s="188">
        <v>58</v>
      </c>
      <c r="J104" s="54">
        <f t="shared" si="0"/>
        <v>2784</v>
      </c>
      <c r="K104" s="55" t="b">
        <v>1</v>
      </c>
      <c r="L104" s="56">
        <v>170120251013</v>
      </c>
      <c r="M104" s="57" t="b">
        <v>1</v>
      </c>
      <c r="N104" s="58" t="s">
        <v>2968</v>
      </c>
      <c r="O104" s="226">
        <v>45679</v>
      </c>
      <c r="P104" s="191" t="b">
        <v>1</v>
      </c>
      <c r="Q104" s="129"/>
      <c r="R104" s="165"/>
      <c r="S104" s="47" t="b">
        <v>1</v>
      </c>
      <c r="T104" s="249" t="s">
        <v>3062</v>
      </c>
      <c r="U104" s="54"/>
      <c r="V104" s="54"/>
      <c r="W104" s="192"/>
      <c r="X104" s="192"/>
      <c r="Y104" s="167"/>
      <c r="Z104" s="167"/>
    </row>
    <row r="105" spans="1:26">
      <c r="A105" s="162"/>
      <c r="B105" s="71" t="s">
        <v>3061</v>
      </c>
      <c r="C105" s="53" t="s">
        <v>171</v>
      </c>
      <c r="D105" s="53" t="s">
        <v>137</v>
      </c>
      <c r="E105" s="53" t="s">
        <v>2812</v>
      </c>
      <c r="F105" s="53" t="s">
        <v>1181</v>
      </c>
      <c r="G105" s="131" t="s">
        <v>30</v>
      </c>
      <c r="H105" s="53">
        <v>50</v>
      </c>
      <c r="I105" s="188">
        <v>135</v>
      </c>
      <c r="J105" s="54">
        <f t="shared" si="0"/>
        <v>6750</v>
      </c>
      <c r="K105" s="55" t="b">
        <v>1</v>
      </c>
      <c r="L105" s="56">
        <v>170120251013</v>
      </c>
      <c r="M105" s="57" t="b">
        <v>1</v>
      </c>
      <c r="N105" s="58"/>
      <c r="O105" s="226"/>
      <c r="P105" s="191" t="b">
        <v>1</v>
      </c>
      <c r="Q105" s="129"/>
      <c r="R105" s="165"/>
      <c r="S105" s="47" t="b">
        <v>1</v>
      </c>
      <c r="T105" s="249" t="s">
        <v>3062</v>
      </c>
      <c r="U105" s="54"/>
      <c r="V105" s="54"/>
      <c r="W105" s="192"/>
      <c r="X105" s="192"/>
      <c r="Y105" s="167"/>
      <c r="Z105" s="167"/>
    </row>
    <row r="106" spans="1:26">
      <c r="A106" s="162"/>
      <c r="B106" s="71" t="s">
        <v>3061</v>
      </c>
      <c r="C106" s="53" t="s">
        <v>171</v>
      </c>
      <c r="D106" s="53" t="s">
        <v>137</v>
      </c>
      <c r="E106" s="53" t="s">
        <v>2812</v>
      </c>
      <c r="F106" s="53" t="s">
        <v>447</v>
      </c>
      <c r="G106" s="131" t="s">
        <v>30</v>
      </c>
      <c r="H106" s="53">
        <v>500</v>
      </c>
      <c r="I106" s="188">
        <v>9.5</v>
      </c>
      <c r="J106" s="54">
        <f t="shared" si="0"/>
        <v>4750</v>
      </c>
      <c r="K106" s="55" t="b">
        <v>1</v>
      </c>
      <c r="L106" s="56">
        <v>170120251013</v>
      </c>
      <c r="M106" s="57" t="b">
        <v>1</v>
      </c>
      <c r="N106" s="58" t="s">
        <v>39</v>
      </c>
      <c r="O106" s="226">
        <v>45674</v>
      </c>
      <c r="P106" s="191" t="b">
        <v>1</v>
      </c>
      <c r="Q106" s="129" t="s">
        <v>3063</v>
      </c>
      <c r="R106" s="165"/>
      <c r="S106" s="47" t="b">
        <v>1</v>
      </c>
      <c r="T106" s="249" t="s">
        <v>3062</v>
      </c>
      <c r="U106" s="54"/>
      <c r="V106" s="54"/>
      <c r="W106" s="192"/>
      <c r="X106" s="192"/>
      <c r="Y106" s="167"/>
      <c r="Z106" s="167"/>
    </row>
    <row r="107" spans="1:26">
      <c r="A107" s="162"/>
      <c r="B107" s="71" t="s">
        <v>3055</v>
      </c>
      <c r="C107" s="53" t="s">
        <v>55</v>
      </c>
      <c r="D107" s="53" t="s">
        <v>56</v>
      </c>
      <c r="E107" s="53" t="s">
        <v>57</v>
      </c>
      <c r="F107" s="53" t="s">
        <v>229</v>
      </c>
      <c r="G107" s="131" t="s">
        <v>30</v>
      </c>
      <c r="H107" s="53">
        <v>2</v>
      </c>
      <c r="I107" s="188">
        <v>600</v>
      </c>
      <c r="J107" s="54">
        <f t="shared" si="0"/>
        <v>1200</v>
      </c>
      <c r="K107" s="55" t="b">
        <v>1</v>
      </c>
      <c r="L107" s="56">
        <v>170120251242</v>
      </c>
      <c r="M107" s="57" t="b">
        <v>1</v>
      </c>
      <c r="N107" s="58" t="s">
        <v>529</v>
      </c>
      <c r="O107" s="226"/>
      <c r="P107" s="191" t="b">
        <v>1</v>
      </c>
      <c r="Q107" s="129" t="s">
        <v>2835</v>
      </c>
      <c r="R107" s="165"/>
      <c r="S107" s="47" t="b">
        <v>1</v>
      </c>
      <c r="T107" s="249" t="s">
        <v>3064</v>
      </c>
      <c r="U107" s="54"/>
      <c r="V107" s="54"/>
      <c r="W107" s="192"/>
      <c r="X107" s="192"/>
      <c r="Y107" s="167"/>
      <c r="Z107" s="167"/>
    </row>
    <row r="108" spans="1:26">
      <c r="A108" s="162"/>
      <c r="B108" s="71" t="s">
        <v>3055</v>
      </c>
      <c r="C108" s="53" t="s">
        <v>55</v>
      </c>
      <c r="D108" s="53" t="s">
        <v>56</v>
      </c>
      <c r="E108" s="53" t="s">
        <v>57</v>
      </c>
      <c r="F108" s="53" t="s">
        <v>124</v>
      </c>
      <c r="G108" s="131" t="s">
        <v>30</v>
      </c>
      <c r="H108" s="53">
        <v>3</v>
      </c>
      <c r="I108" s="188">
        <v>650</v>
      </c>
      <c r="J108" s="54">
        <f t="shared" si="0"/>
        <v>1950</v>
      </c>
      <c r="K108" s="55" t="b">
        <v>1</v>
      </c>
      <c r="L108" s="56">
        <v>170120251242</v>
      </c>
      <c r="M108" s="57" t="b">
        <v>1</v>
      </c>
      <c r="N108" s="58" t="s">
        <v>529</v>
      </c>
      <c r="O108" s="226"/>
      <c r="P108" s="191" t="b">
        <v>1</v>
      </c>
      <c r="Q108" s="129" t="s">
        <v>2835</v>
      </c>
      <c r="R108" s="165"/>
      <c r="S108" s="47" t="b">
        <v>1</v>
      </c>
      <c r="T108" s="249" t="s">
        <v>3064</v>
      </c>
      <c r="U108" s="54"/>
      <c r="V108" s="54"/>
      <c r="W108" s="192"/>
      <c r="X108" s="192"/>
      <c r="Y108" s="167"/>
      <c r="Z108" s="167"/>
    </row>
    <row r="109" spans="1:26">
      <c r="A109" s="162"/>
      <c r="B109" s="132" t="s">
        <v>3055</v>
      </c>
      <c r="C109" s="66" t="s">
        <v>438</v>
      </c>
      <c r="D109" s="66" t="s">
        <v>439</v>
      </c>
      <c r="E109" s="66" t="s">
        <v>2590</v>
      </c>
      <c r="F109" s="66" t="s">
        <v>236</v>
      </c>
      <c r="G109" s="69" t="s">
        <v>30</v>
      </c>
      <c r="H109" s="66">
        <v>12</v>
      </c>
      <c r="I109" s="70">
        <v>155</v>
      </c>
      <c r="J109" s="75">
        <f t="shared" si="0"/>
        <v>1860</v>
      </c>
      <c r="K109" s="55" t="b">
        <v>1</v>
      </c>
      <c r="L109" s="154">
        <v>170120251800</v>
      </c>
      <c r="M109" s="57" t="b">
        <v>1</v>
      </c>
      <c r="N109" s="58" t="s">
        <v>31</v>
      </c>
      <c r="O109" s="226">
        <v>45677</v>
      </c>
      <c r="P109" s="59" t="b">
        <v>1</v>
      </c>
      <c r="Q109" s="164"/>
      <c r="R109" s="165"/>
      <c r="S109" s="47" t="b">
        <v>1</v>
      </c>
      <c r="T109" s="249" t="s">
        <v>3065</v>
      </c>
      <c r="U109" s="75"/>
      <c r="V109" s="75"/>
      <c r="W109" s="166"/>
      <c r="X109" s="166"/>
      <c r="Y109" s="167"/>
      <c r="Z109" s="167"/>
    </row>
    <row r="110" spans="1:26">
      <c r="A110" s="162"/>
      <c r="B110" s="71" t="s">
        <v>3055</v>
      </c>
      <c r="C110" s="53" t="s">
        <v>51</v>
      </c>
      <c r="D110" s="53" t="s">
        <v>335</v>
      </c>
      <c r="E110" s="53" t="s">
        <v>457</v>
      </c>
      <c r="F110" s="66" t="s">
        <v>2479</v>
      </c>
      <c r="G110" s="131" t="s">
        <v>30</v>
      </c>
      <c r="H110" s="53">
        <v>1</v>
      </c>
      <c r="I110" s="188">
        <v>2750</v>
      </c>
      <c r="J110" s="54">
        <f t="shared" si="0"/>
        <v>2750</v>
      </c>
      <c r="K110" s="55" t="b">
        <v>1</v>
      </c>
      <c r="L110" s="56">
        <v>170120251816</v>
      </c>
      <c r="M110" s="57" t="b">
        <v>1</v>
      </c>
      <c r="N110" s="58" t="s">
        <v>2968</v>
      </c>
      <c r="O110" s="226"/>
      <c r="P110" s="191" t="b">
        <v>1</v>
      </c>
      <c r="Q110" s="129"/>
      <c r="R110" s="165"/>
      <c r="S110" s="47" t="b">
        <v>1</v>
      </c>
      <c r="T110" s="249" t="s">
        <v>3066</v>
      </c>
      <c r="U110" s="54"/>
      <c r="V110" s="54"/>
      <c r="W110" s="192"/>
      <c r="X110" s="192"/>
      <c r="Y110" s="167"/>
      <c r="Z110" s="167"/>
    </row>
    <row r="111" spans="1:26">
      <c r="A111" s="162"/>
      <c r="B111" s="71" t="s">
        <v>3067</v>
      </c>
      <c r="C111" s="53" t="s">
        <v>51</v>
      </c>
      <c r="D111" s="53" t="s">
        <v>61</v>
      </c>
      <c r="E111" s="53" t="s">
        <v>476</v>
      </c>
      <c r="F111" s="53" t="s">
        <v>58</v>
      </c>
      <c r="G111" s="131" t="s">
        <v>30</v>
      </c>
      <c r="H111" s="53">
        <v>420</v>
      </c>
      <c r="I111" s="70">
        <v>41.5</v>
      </c>
      <c r="J111" s="54">
        <f t="shared" si="0"/>
        <v>17430</v>
      </c>
      <c r="K111" s="55" t="b">
        <v>1</v>
      </c>
      <c r="L111" s="56">
        <v>170120251816</v>
      </c>
      <c r="M111" s="57" t="b">
        <v>1</v>
      </c>
      <c r="N111" s="58" t="s">
        <v>1581</v>
      </c>
      <c r="O111" s="226"/>
      <c r="P111" s="191" t="b">
        <v>1</v>
      </c>
      <c r="Q111" s="129"/>
      <c r="R111" s="165"/>
      <c r="S111" s="47" t="b">
        <v>1</v>
      </c>
      <c r="T111" s="249" t="s">
        <v>3068</v>
      </c>
      <c r="U111" s="54"/>
      <c r="V111" s="54"/>
      <c r="W111" s="192"/>
      <c r="X111" s="192"/>
      <c r="Y111" s="167"/>
      <c r="Z111" s="167"/>
    </row>
    <row r="112" spans="1:26">
      <c r="A112" s="162"/>
      <c r="B112" s="71" t="s">
        <v>3067</v>
      </c>
      <c r="C112" s="53" t="s">
        <v>418</v>
      </c>
      <c r="D112" s="53" t="s">
        <v>84</v>
      </c>
      <c r="E112" s="53" t="s">
        <v>3069</v>
      </c>
      <c r="F112" s="80" t="s">
        <v>3070</v>
      </c>
      <c r="G112" s="131" t="s">
        <v>30</v>
      </c>
      <c r="H112" s="53">
        <v>20</v>
      </c>
      <c r="I112" s="188">
        <v>125</v>
      </c>
      <c r="J112" s="54">
        <f t="shared" si="0"/>
        <v>2500</v>
      </c>
      <c r="K112" s="55" t="b">
        <v>1</v>
      </c>
      <c r="L112" s="56">
        <v>180120252254</v>
      </c>
      <c r="M112" s="57" t="b">
        <v>1</v>
      </c>
      <c r="N112" s="58" t="s">
        <v>1581</v>
      </c>
      <c r="O112" s="226"/>
      <c r="P112" s="191" t="b">
        <v>1</v>
      </c>
      <c r="Q112" s="129"/>
      <c r="R112" s="165"/>
      <c r="S112" s="47" t="b">
        <v>1</v>
      </c>
      <c r="T112" s="249" t="s">
        <v>3071</v>
      </c>
      <c r="U112" s="54"/>
      <c r="V112" s="54"/>
      <c r="W112" s="192"/>
      <c r="X112" s="192"/>
      <c r="Y112" s="167"/>
      <c r="Z112" s="167"/>
    </row>
    <row r="113" spans="1:26">
      <c r="A113" s="162"/>
      <c r="B113" s="71" t="s">
        <v>3067</v>
      </c>
      <c r="C113" s="53" t="s">
        <v>418</v>
      </c>
      <c r="D113" s="53" t="s">
        <v>84</v>
      </c>
      <c r="E113" s="53" t="s">
        <v>3069</v>
      </c>
      <c r="F113" s="80" t="s">
        <v>3072</v>
      </c>
      <c r="G113" s="131" t="s">
        <v>30</v>
      </c>
      <c r="H113" s="53">
        <v>5</v>
      </c>
      <c r="I113" s="188">
        <v>125</v>
      </c>
      <c r="J113" s="54">
        <f t="shared" si="0"/>
        <v>625</v>
      </c>
      <c r="K113" s="55" t="b">
        <v>1</v>
      </c>
      <c r="L113" s="56">
        <v>180120252254</v>
      </c>
      <c r="M113" s="57" t="b">
        <v>1</v>
      </c>
      <c r="N113" s="58" t="s">
        <v>31</v>
      </c>
      <c r="O113" s="226">
        <v>45677</v>
      </c>
      <c r="P113" s="191" t="b">
        <v>1</v>
      </c>
      <c r="Q113" s="129"/>
      <c r="R113" s="165"/>
      <c r="S113" s="47" t="b">
        <v>1</v>
      </c>
      <c r="T113" s="249" t="s">
        <v>3071</v>
      </c>
      <c r="U113" s="54"/>
      <c r="V113" s="54"/>
      <c r="W113" s="192"/>
      <c r="X113" s="192"/>
      <c r="Y113" s="167"/>
      <c r="Z113" s="167"/>
    </row>
    <row r="114" spans="1:26">
      <c r="A114" s="162"/>
      <c r="B114" s="71" t="s">
        <v>3067</v>
      </c>
      <c r="C114" s="53" t="s">
        <v>194</v>
      </c>
      <c r="D114" s="53" t="s">
        <v>137</v>
      </c>
      <c r="E114" s="53" t="s">
        <v>3054</v>
      </c>
      <c r="F114" s="80" t="s">
        <v>3073</v>
      </c>
      <c r="G114" s="131" t="s">
        <v>30</v>
      </c>
      <c r="H114" s="53">
        <v>3</v>
      </c>
      <c r="I114" s="188">
        <v>150</v>
      </c>
      <c r="J114" s="54">
        <f t="shared" si="0"/>
        <v>450</v>
      </c>
      <c r="K114" s="55" t="b">
        <v>1</v>
      </c>
      <c r="L114" s="56">
        <v>180120252254</v>
      </c>
      <c r="M114" s="57" t="b">
        <v>1</v>
      </c>
      <c r="N114" s="58" t="s">
        <v>2968</v>
      </c>
      <c r="O114" s="226"/>
      <c r="P114" s="191" t="b">
        <v>1</v>
      </c>
      <c r="Q114" s="129"/>
      <c r="R114" s="165"/>
      <c r="S114" s="47" t="b">
        <v>1</v>
      </c>
      <c r="T114" s="249" t="s">
        <v>3074</v>
      </c>
      <c r="U114" s="54"/>
      <c r="V114" s="54"/>
      <c r="W114" s="192"/>
      <c r="X114" s="192"/>
      <c r="Y114" s="167"/>
      <c r="Z114" s="167"/>
    </row>
    <row r="115" spans="1:26">
      <c r="A115" s="162"/>
      <c r="B115" s="71" t="s">
        <v>3075</v>
      </c>
      <c r="C115" s="53" t="s">
        <v>51</v>
      </c>
      <c r="D115" s="53" t="s">
        <v>61</v>
      </c>
      <c r="E115" s="53" t="s">
        <v>548</v>
      </c>
      <c r="F115" s="53" t="s">
        <v>101</v>
      </c>
      <c r="G115" s="131" t="s">
        <v>30</v>
      </c>
      <c r="H115" s="53">
        <v>5</v>
      </c>
      <c r="I115" s="188">
        <v>975</v>
      </c>
      <c r="J115" s="54">
        <f t="shared" si="0"/>
        <v>4875</v>
      </c>
      <c r="K115" s="55" t="b">
        <v>1</v>
      </c>
      <c r="L115" s="56">
        <v>190120251215</v>
      </c>
      <c r="M115" s="57" t="b">
        <v>1</v>
      </c>
      <c r="N115" s="58" t="s">
        <v>529</v>
      </c>
      <c r="O115" s="226">
        <v>45691</v>
      </c>
      <c r="P115" s="191" t="b">
        <v>1</v>
      </c>
      <c r="Q115" s="129"/>
      <c r="R115" s="165"/>
      <c r="S115" s="47" t="b">
        <v>1</v>
      </c>
      <c r="T115" s="249" t="s">
        <v>3068</v>
      </c>
      <c r="U115" s="54"/>
      <c r="V115" s="54"/>
      <c r="W115" s="192"/>
      <c r="X115" s="192"/>
      <c r="Y115" s="167"/>
      <c r="Z115" s="167"/>
    </row>
    <row r="116" spans="1:26">
      <c r="A116" s="162"/>
      <c r="B116" s="71" t="s">
        <v>3075</v>
      </c>
      <c r="C116" s="53" t="s">
        <v>51</v>
      </c>
      <c r="D116" s="53" t="s">
        <v>61</v>
      </c>
      <c r="E116" s="53" t="s">
        <v>548</v>
      </c>
      <c r="F116" s="53" t="s">
        <v>399</v>
      </c>
      <c r="G116" s="131" t="s">
        <v>30</v>
      </c>
      <c r="H116" s="53">
        <v>5</v>
      </c>
      <c r="I116" s="188">
        <v>975</v>
      </c>
      <c r="J116" s="54">
        <f t="shared" si="0"/>
        <v>4875</v>
      </c>
      <c r="K116" s="55" t="b">
        <v>1</v>
      </c>
      <c r="L116" s="56">
        <v>190120251215</v>
      </c>
      <c r="M116" s="57" t="b">
        <v>1</v>
      </c>
      <c r="N116" s="58" t="s">
        <v>529</v>
      </c>
      <c r="O116" s="226">
        <v>45691</v>
      </c>
      <c r="P116" s="191" t="b">
        <v>1</v>
      </c>
      <c r="Q116" s="129"/>
      <c r="R116" s="165"/>
      <c r="S116" s="47" t="b">
        <v>1</v>
      </c>
      <c r="T116" s="249" t="s">
        <v>3076</v>
      </c>
      <c r="U116" s="54"/>
      <c r="V116" s="54"/>
      <c r="W116" s="192"/>
      <c r="X116" s="192"/>
      <c r="Y116" s="167"/>
      <c r="Z116" s="167"/>
    </row>
    <row r="117" spans="1:26">
      <c r="A117" s="162"/>
      <c r="B117" s="71" t="s">
        <v>3075</v>
      </c>
      <c r="C117" s="53" t="s">
        <v>2152</v>
      </c>
      <c r="D117" s="53" t="s">
        <v>137</v>
      </c>
      <c r="E117" s="53" t="s">
        <v>3077</v>
      </c>
      <c r="F117" s="53" t="s">
        <v>1952</v>
      </c>
      <c r="G117" s="131" t="s">
        <v>30</v>
      </c>
      <c r="H117" s="53">
        <v>10</v>
      </c>
      <c r="I117" s="188">
        <v>600</v>
      </c>
      <c r="J117" s="54">
        <f t="shared" si="0"/>
        <v>6000</v>
      </c>
      <c r="K117" s="55" t="b">
        <v>1</v>
      </c>
      <c r="L117" s="56">
        <v>190120251739</v>
      </c>
      <c r="M117" s="57" t="b">
        <v>1</v>
      </c>
      <c r="N117" s="58"/>
      <c r="O117" s="226">
        <v>45677</v>
      </c>
      <c r="P117" s="191" t="b">
        <v>1</v>
      </c>
      <c r="Q117" s="129"/>
      <c r="R117" s="165"/>
      <c r="S117" s="47" t="b">
        <v>1</v>
      </c>
      <c r="T117" s="249" t="s">
        <v>3078</v>
      </c>
      <c r="U117" s="54"/>
      <c r="V117" s="54"/>
      <c r="W117" s="192"/>
      <c r="X117" s="192"/>
      <c r="Y117" s="167"/>
      <c r="Z117" s="167"/>
    </row>
    <row r="118" spans="1:26">
      <c r="A118" s="162"/>
      <c r="B118" s="71" t="s">
        <v>3075</v>
      </c>
      <c r="C118" s="53" t="s">
        <v>2152</v>
      </c>
      <c r="D118" s="53" t="s">
        <v>137</v>
      </c>
      <c r="E118" s="53" t="s">
        <v>3077</v>
      </c>
      <c r="F118" s="53" t="s">
        <v>68</v>
      </c>
      <c r="G118" s="131" t="s">
        <v>30</v>
      </c>
      <c r="H118" s="53">
        <v>1</v>
      </c>
      <c r="I118" s="188">
        <v>2350</v>
      </c>
      <c r="J118" s="54">
        <f t="shared" si="0"/>
        <v>2350</v>
      </c>
      <c r="K118" s="55" t="b">
        <v>1</v>
      </c>
      <c r="L118" s="56">
        <v>190120251740</v>
      </c>
      <c r="M118" s="57" t="b">
        <v>1</v>
      </c>
      <c r="N118" s="58" t="s">
        <v>1581</v>
      </c>
      <c r="O118" s="226"/>
      <c r="P118" s="191" t="b">
        <v>1</v>
      </c>
      <c r="Q118" s="129"/>
      <c r="R118" s="165"/>
      <c r="S118" s="47" t="b">
        <v>1</v>
      </c>
      <c r="T118" s="249" t="s">
        <v>3078</v>
      </c>
      <c r="U118" s="54"/>
      <c r="V118" s="54"/>
      <c r="W118" s="192"/>
      <c r="X118" s="192"/>
      <c r="Y118" s="167"/>
      <c r="Z118" s="167"/>
    </row>
    <row r="119" spans="1:26">
      <c r="A119" s="268"/>
      <c r="B119" s="132" t="s">
        <v>3075</v>
      </c>
      <c r="C119" s="66" t="s">
        <v>2152</v>
      </c>
      <c r="D119" s="66" t="s">
        <v>137</v>
      </c>
      <c r="E119" s="66" t="s">
        <v>3077</v>
      </c>
      <c r="F119" s="66" t="s">
        <v>436</v>
      </c>
      <c r="G119" s="69" t="s">
        <v>30</v>
      </c>
      <c r="H119" s="66">
        <v>100</v>
      </c>
      <c r="I119" s="70">
        <v>240</v>
      </c>
      <c r="J119" s="75">
        <f t="shared" si="0"/>
        <v>24000</v>
      </c>
      <c r="K119" s="55" t="b">
        <v>1</v>
      </c>
      <c r="L119" s="154">
        <v>190120251742</v>
      </c>
      <c r="M119" s="57" t="b">
        <v>1</v>
      </c>
      <c r="N119" s="58" t="s">
        <v>529</v>
      </c>
      <c r="O119" s="226"/>
      <c r="P119" s="59" t="b">
        <v>1</v>
      </c>
      <c r="Q119" s="164"/>
      <c r="R119" s="165"/>
      <c r="S119" s="47" t="b">
        <v>1</v>
      </c>
      <c r="T119" s="249" t="s">
        <v>3079</v>
      </c>
      <c r="U119" s="269"/>
      <c r="V119" s="269"/>
      <c r="W119" s="270"/>
      <c r="X119" s="270"/>
      <c r="Y119" s="271"/>
      <c r="Z119" s="271"/>
    </row>
    <row r="120" spans="1:26">
      <c r="A120" s="268"/>
      <c r="B120" s="132" t="s">
        <v>3075</v>
      </c>
      <c r="C120" s="66" t="s">
        <v>2152</v>
      </c>
      <c r="D120" s="66" t="s">
        <v>137</v>
      </c>
      <c r="E120" s="66" t="s">
        <v>3077</v>
      </c>
      <c r="F120" s="66" t="s">
        <v>72</v>
      </c>
      <c r="G120" s="69" t="s">
        <v>30</v>
      </c>
      <c r="H120" s="66">
        <v>1</v>
      </c>
      <c r="I120" s="70">
        <v>1000</v>
      </c>
      <c r="J120" s="75">
        <f t="shared" si="0"/>
        <v>1000</v>
      </c>
      <c r="K120" s="55" t="b">
        <v>1</v>
      </c>
      <c r="L120" s="154">
        <v>190120251742</v>
      </c>
      <c r="M120" s="57" t="b">
        <v>1</v>
      </c>
      <c r="N120" s="58"/>
      <c r="O120" s="226"/>
      <c r="P120" s="59" t="b">
        <v>1</v>
      </c>
      <c r="Q120" s="164"/>
      <c r="R120" s="165"/>
      <c r="S120" s="47" t="b">
        <v>1</v>
      </c>
      <c r="T120" s="249" t="s">
        <v>3079</v>
      </c>
      <c r="U120" s="269"/>
      <c r="V120" s="269"/>
      <c r="W120" s="270"/>
      <c r="X120" s="270"/>
      <c r="Y120" s="271"/>
      <c r="Z120" s="271"/>
    </row>
    <row r="121" spans="1:26">
      <c r="A121" s="162"/>
      <c r="B121" s="71" t="s">
        <v>3075</v>
      </c>
      <c r="C121" s="53" t="s">
        <v>2152</v>
      </c>
      <c r="D121" s="53" t="s">
        <v>137</v>
      </c>
      <c r="E121" s="53" t="s">
        <v>3077</v>
      </c>
      <c r="F121" s="53" t="s">
        <v>255</v>
      </c>
      <c r="G121" s="131" t="s">
        <v>30</v>
      </c>
      <c r="H121" s="53">
        <v>10</v>
      </c>
      <c r="I121" s="188">
        <v>145</v>
      </c>
      <c r="J121" s="54">
        <f t="shared" si="0"/>
        <v>1450</v>
      </c>
      <c r="K121" s="55" t="b">
        <v>1</v>
      </c>
      <c r="L121" s="56">
        <v>190120251744</v>
      </c>
      <c r="M121" s="57" t="b">
        <v>1</v>
      </c>
      <c r="N121" s="58" t="s">
        <v>1581</v>
      </c>
      <c r="O121" s="226"/>
      <c r="P121" s="191" t="b">
        <v>1</v>
      </c>
      <c r="Q121" s="129"/>
      <c r="R121" s="165"/>
      <c r="S121" s="47" t="b">
        <v>1</v>
      </c>
      <c r="T121" s="249" t="s">
        <v>3080</v>
      </c>
      <c r="U121" s="54"/>
      <c r="V121" s="54"/>
      <c r="W121" s="192"/>
      <c r="X121" s="192"/>
      <c r="Y121" s="167"/>
      <c r="Z121" s="167"/>
    </row>
    <row r="122" spans="1:26">
      <c r="A122" s="162"/>
      <c r="B122" s="71" t="s">
        <v>3075</v>
      </c>
      <c r="C122" s="53" t="s">
        <v>418</v>
      </c>
      <c r="D122" s="53" t="s">
        <v>84</v>
      </c>
      <c r="E122" s="53" t="s">
        <v>3069</v>
      </c>
      <c r="F122" s="53" t="s">
        <v>147</v>
      </c>
      <c r="G122" s="131" t="s">
        <v>30</v>
      </c>
      <c r="H122" s="53">
        <v>5</v>
      </c>
      <c r="I122" s="188">
        <v>800</v>
      </c>
      <c r="J122" s="54">
        <f t="shared" si="0"/>
        <v>4000</v>
      </c>
      <c r="K122" s="55" t="b">
        <v>1</v>
      </c>
      <c r="L122" s="56">
        <v>190120251747</v>
      </c>
      <c r="M122" s="57" t="b">
        <v>1</v>
      </c>
      <c r="N122" s="58" t="s">
        <v>1581</v>
      </c>
      <c r="O122" s="226"/>
      <c r="P122" s="191" t="b">
        <v>1</v>
      </c>
      <c r="Q122" s="129"/>
      <c r="R122" s="165"/>
      <c r="S122" s="47" t="b">
        <v>1</v>
      </c>
      <c r="T122" s="249" t="s">
        <v>3081</v>
      </c>
      <c r="U122" s="54"/>
      <c r="V122" s="54"/>
      <c r="W122" s="192"/>
      <c r="X122" s="192"/>
      <c r="Y122" s="167"/>
      <c r="Z122" s="167"/>
    </row>
    <row r="123" spans="1:26">
      <c r="A123" s="162"/>
      <c r="B123" s="71" t="s">
        <v>3075</v>
      </c>
      <c r="C123" s="53" t="s">
        <v>418</v>
      </c>
      <c r="D123" s="53" t="s">
        <v>84</v>
      </c>
      <c r="E123" s="53" t="s">
        <v>3069</v>
      </c>
      <c r="F123" s="53" t="s">
        <v>877</v>
      </c>
      <c r="G123" s="131" t="s">
        <v>30</v>
      </c>
      <c r="H123" s="53">
        <v>5</v>
      </c>
      <c r="I123" s="188">
        <v>875</v>
      </c>
      <c r="J123" s="54">
        <f t="shared" si="0"/>
        <v>4375</v>
      </c>
      <c r="K123" s="55" t="b">
        <v>1</v>
      </c>
      <c r="L123" s="56">
        <v>190120251747</v>
      </c>
      <c r="M123" s="57" t="b">
        <v>1</v>
      </c>
      <c r="N123" s="58" t="s">
        <v>1581</v>
      </c>
      <c r="O123" s="226"/>
      <c r="P123" s="191" t="b">
        <v>1</v>
      </c>
      <c r="Q123" s="129"/>
      <c r="R123" s="165"/>
      <c r="S123" s="47" t="b">
        <v>1</v>
      </c>
      <c r="T123" s="249" t="s">
        <v>3081</v>
      </c>
      <c r="U123" s="54"/>
      <c r="V123" s="54"/>
      <c r="W123" s="192"/>
      <c r="X123" s="192"/>
      <c r="Y123" s="167"/>
      <c r="Z123" s="167"/>
    </row>
    <row r="124" spans="1:26">
      <c r="A124" s="162"/>
      <c r="B124" s="71" t="s">
        <v>3082</v>
      </c>
      <c r="C124" s="53" t="s">
        <v>149</v>
      </c>
      <c r="D124" s="53" t="s">
        <v>130</v>
      </c>
      <c r="E124" s="53" t="s">
        <v>1344</v>
      </c>
      <c r="F124" s="53" t="s">
        <v>3083</v>
      </c>
      <c r="G124" s="131" t="s">
        <v>30</v>
      </c>
      <c r="H124" s="53">
        <v>31</v>
      </c>
      <c r="I124" s="188">
        <v>15</v>
      </c>
      <c r="J124" s="54">
        <f t="shared" si="0"/>
        <v>465</v>
      </c>
      <c r="K124" s="55" t="b">
        <v>1</v>
      </c>
      <c r="L124" s="56">
        <v>210120251038</v>
      </c>
      <c r="M124" s="57" t="b">
        <v>1</v>
      </c>
      <c r="N124" s="58"/>
      <c r="O124" s="226"/>
      <c r="P124" s="191" t="b">
        <v>1</v>
      </c>
      <c r="Q124" s="129"/>
      <c r="R124" s="165"/>
      <c r="S124" s="47" t="b">
        <v>1</v>
      </c>
      <c r="T124" s="249" t="s">
        <v>3084</v>
      </c>
      <c r="U124" s="54"/>
      <c r="V124" s="54"/>
      <c r="W124" s="192"/>
      <c r="X124" s="192"/>
      <c r="Y124" s="167"/>
      <c r="Z124" s="167"/>
    </row>
    <row r="125" spans="1:26">
      <c r="A125" s="162"/>
      <c r="B125" s="71" t="s">
        <v>3082</v>
      </c>
      <c r="C125" s="53" t="s">
        <v>523</v>
      </c>
      <c r="D125" s="53" t="s">
        <v>524</v>
      </c>
      <c r="E125" s="53" t="s">
        <v>525</v>
      </c>
      <c r="F125" s="53" t="s">
        <v>1024</v>
      </c>
      <c r="G125" s="131" t="s">
        <v>30</v>
      </c>
      <c r="H125" s="53">
        <v>5</v>
      </c>
      <c r="I125" s="188">
        <v>100</v>
      </c>
      <c r="J125" s="54">
        <f t="shared" si="0"/>
        <v>500</v>
      </c>
      <c r="K125" s="55" t="b">
        <v>1</v>
      </c>
      <c r="L125" s="56">
        <v>210120251825</v>
      </c>
      <c r="M125" s="57" t="b">
        <v>1</v>
      </c>
      <c r="N125" s="58" t="s">
        <v>2356</v>
      </c>
      <c r="O125" s="226">
        <v>45679</v>
      </c>
      <c r="P125" s="191" t="b">
        <v>1</v>
      </c>
      <c r="Q125" s="129"/>
      <c r="R125" s="165"/>
      <c r="S125" s="47" t="b">
        <v>1</v>
      </c>
      <c r="T125" s="249" t="s">
        <v>3085</v>
      </c>
      <c r="U125" s="54"/>
      <c r="V125" s="54"/>
      <c r="W125" s="192"/>
      <c r="X125" s="192"/>
      <c r="Y125" s="167"/>
      <c r="Z125" s="167"/>
    </row>
    <row r="126" spans="1:26">
      <c r="A126" s="162"/>
      <c r="B126" s="71" t="s">
        <v>3086</v>
      </c>
      <c r="C126" s="53" t="s">
        <v>171</v>
      </c>
      <c r="D126" s="53" t="s">
        <v>137</v>
      </c>
      <c r="E126" s="53" t="s">
        <v>2812</v>
      </c>
      <c r="F126" s="69" t="s">
        <v>2309</v>
      </c>
      <c r="G126" s="131" t="s">
        <v>30</v>
      </c>
      <c r="H126" s="53">
        <v>100</v>
      </c>
      <c r="I126" s="188">
        <v>9.5</v>
      </c>
      <c r="J126" s="54">
        <f t="shared" si="0"/>
        <v>950</v>
      </c>
      <c r="K126" s="55" t="b">
        <v>1</v>
      </c>
      <c r="L126" s="56">
        <v>220120251313</v>
      </c>
      <c r="M126" s="57" t="b">
        <v>1</v>
      </c>
      <c r="N126" s="58"/>
      <c r="O126" s="226"/>
      <c r="P126" s="191" t="b">
        <v>1</v>
      </c>
      <c r="Q126" s="129"/>
      <c r="R126" s="165"/>
      <c r="S126" s="47" t="b">
        <v>1</v>
      </c>
      <c r="T126" s="249" t="s">
        <v>3087</v>
      </c>
      <c r="U126" s="54"/>
      <c r="V126" s="54"/>
      <c r="W126" s="192"/>
      <c r="X126" s="192"/>
      <c r="Y126" s="167"/>
      <c r="Z126" s="167"/>
    </row>
    <row r="127" spans="1:26">
      <c r="A127" s="162"/>
      <c r="B127" s="71" t="s">
        <v>3086</v>
      </c>
      <c r="C127" s="53" t="s">
        <v>345</v>
      </c>
      <c r="D127" s="53" t="s">
        <v>342</v>
      </c>
      <c r="E127" s="53" t="s">
        <v>2228</v>
      </c>
      <c r="F127" s="53" t="s">
        <v>1952</v>
      </c>
      <c r="G127" s="131" t="s">
        <v>30</v>
      </c>
      <c r="H127" s="53">
        <v>10</v>
      </c>
      <c r="I127" s="188">
        <v>600</v>
      </c>
      <c r="J127" s="54">
        <f t="shared" si="0"/>
        <v>6000</v>
      </c>
      <c r="K127" s="55" t="b">
        <v>1</v>
      </c>
      <c r="L127" s="56">
        <v>220120251501</v>
      </c>
      <c r="M127" s="57" t="b">
        <v>1</v>
      </c>
      <c r="N127" s="58" t="s">
        <v>2356</v>
      </c>
      <c r="O127" s="226">
        <v>45681</v>
      </c>
      <c r="P127" s="191" t="b">
        <v>1</v>
      </c>
      <c r="Q127" s="129"/>
      <c r="R127" s="165"/>
      <c r="S127" s="47" t="b">
        <v>1</v>
      </c>
      <c r="T127" s="249" t="s">
        <v>3088</v>
      </c>
      <c r="U127" s="54"/>
      <c r="V127" s="54"/>
      <c r="W127" s="192"/>
      <c r="X127" s="192"/>
      <c r="Y127" s="167"/>
      <c r="Z127" s="167"/>
    </row>
    <row r="128" spans="1:26">
      <c r="A128" s="162"/>
      <c r="B128" s="71" t="s">
        <v>3086</v>
      </c>
      <c r="C128" s="53" t="s">
        <v>418</v>
      </c>
      <c r="D128" s="53" t="s">
        <v>565</v>
      </c>
      <c r="E128" s="53" t="s">
        <v>43</v>
      </c>
      <c r="F128" s="53" t="s">
        <v>300</v>
      </c>
      <c r="G128" s="131" t="s">
        <v>30</v>
      </c>
      <c r="H128" s="53">
        <v>20</v>
      </c>
      <c r="I128" s="188">
        <v>125</v>
      </c>
      <c r="J128" s="54">
        <f t="shared" si="0"/>
        <v>2500</v>
      </c>
      <c r="K128" s="55" t="b">
        <v>1</v>
      </c>
      <c r="L128" s="56">
        <v>220120251501</v>
      </c>
      <c r="M128" s="57" t="b">
        <v>1</v>
      </c>
      <c r="N128" s="58"/>
      <c r="O128" s="226"/>
      <c r="P128" s="191" t="b">
        <v>1</v>
      </c>
      <c r="Q128" s="129"/>
      <c r="R128" s="165"/>
      <c r="S128" s="47" t="b">
        <v>1</v>
      </c>
      <c r="T128" s="249" t="s">
        <v>3089</v>
      </c>
      <c r="U128" s="54"/>
      <c r="V128" s="54"/>
      <c r="W128" s="192"/>
      <c r="X128" s="192"/>
      <c r="Y128" s="167"/>
      <c r="Z128" s="167"/>
    </row>
    <row r="129" spans="1:26">
      <c r="A129" s="162"/>
      <c r="B129" s="71" t="s">
        <v>3086</v>
      </c>
      <c r="C129" s="53" t="s">
        <v>26</v>
      </c>
      <c r="D129" s="53" t="s">
        <v>386</v>
      </c>
      <c r="E129" s="53" t="s">
        <v>2935</v>
      </c>
      <c r="F129" s="53" t="s">
        <v>229</v>
      </c>
      <c r="G129" s="131" t="s">
        <v>30</v>
      </c>
      <c r="H129" s="53">
        <v>1</v>
      </c>
      <c r="I129" s="188">
        <v>650</v>
      </c>
      <c r="J129" s="54">
        <f t="shared" si="0"/>
        <v>650</v>
      </c>
      <c r="K129" s="55" t="b">
        <v>1</v>
      </c>
      <c r="L129" s="56">
        <v>220120251501</v>
      </c>
      <c r="M129" s="57" t="b">
        <v>1</v>
      </c>
      <c r="N129" s="58"/>
      <c r="O129" s="226"/>
      <c r="P129" s="191" t="b">
        <v>1</v>
      </c>
      <c r="Q129" s="129"/>
      <c r="R129" s="165"/>
      <c r="S129" s="47" t="b">
        <v>1</v>
      </c>
      <c r="T129" s="249" t="s">
        <v>3090</v>
      </c>
      <c r="U129" s="54"/>
      <c r="V129" s="54"/>
      <c r="W129" s="192"/>
      <c r="X129" s="192"/>
      <c r="Y129" s="167"/>
      <c r="Z129" s="167"/>
    </row>
    <row r="130" spans="1:26">
      <c r="A130" s="162"/>
      <c r="B130" s="71" t="s">
        <v>3086</v>
      </c>
      <c r="C130" s="53" t="s">
        <v>26</v>
      </c>
      <c r="D130" s="53" t="s">
        <v>386</v>
      </c>
      <c r="E130" s="53" t="s">
        <v>2935</v>
      </c>
      <c r="F130" s="53" t="s">
        <v>3091</v>
      </c>
      <c r="G130" s="131" t="s">
        <v>30</v>
      </c>
      <c r="H130" s="53">
        <v>1</v>
      </c>
      <c r="I130" s="188">
        <v>675</v>
      </c>
      <c r="J130" s="54">
        <f t="shared" si="0"/>
        <v>675</v>
      </c>
      <c r="K130" s="55" t="b">
        <v>1</v>
      </c>
      <c r="L130" s="56">
        <v>220120251501</v>
      </c>
      <c r="M130" s="57" t="b">
        <v>1</v>
      </c>
      <c r="N130" s="58"/>
      <c r="O130" s="226"/>
      <c r="P130" s="191" t="b">
        <v>1</v>
      </c>
      <c r="Q130" s="129"/>
      <c r="R130" s="165"/>
      <c r="S130" s="47" t="b">
        <v>1</v>
      </c>
      <c r="T130" s="249" t="s">
        <v>3090</v>
      </c>
      <c r="U130" s="54"/>
      <c r="V130" s="54"/>
      <c r="W130" s="192"/>
      <c r="X130" s="192"/>
      <c r="Y130" s="167"/>
      <c r="Z130" s="167"/>
    </row>
    <row r="131" spans="1:26">
      <c r="A131" s="162"/>
      <c r="B131" s="71" t="s">
        <v>3086</v>
      </c>
      <c r="C131" s="53" t="s">
        <v>26</v>
      </c>
      <c r="D131" s="53" t="s">
        <v>3092</v>
      </c>
      <c r="E131" s="53" t="s">
        <v>28</v>
      </c>
      <c r="F131" s="53" t="s">
        <v>3093</v>
      </c>
      <c r="G131" s="131" t="s">
        <v>30</v>
      </c>
      <c r="H131" s="53">
        <v>5</v>
      </c>
      <c r="I131" s="188">
        <v>1950</v>
      </c>
      <c r="J131" s="54">
        <f t="shared" si="0"/>
        <v>9750</v>
      </c>
      <c r="K131" s="55" t="b">
        <v>1</v>
      </c>
      <c r="L131" s="56">
        <v>220120251501</v>
      </c>
      <c r="M131" s="57" t="b">
        <v>1</v>
      </c>
      <c r="N131" s="58"/>
      <c r="O131" s="226"/>
      <c r="P131" s="191" t="b">
        <v>1</v>
      </c>
      <c r="Q131" s="129"/>
      <c r="R131" s="165"/>
      <c r="S131" s="47" t="b">
        <v>1</v>
      </c>
      <c r="T131" s="249" t="s">
        <v>3094</v>
      </c>
      <c r="U131" s="54"/>
      <c r="V131" s="54"/>
      <c r="W131" s="192"/>
      <c r="X131" s="192"/>
      <c r="Y131" s="167"/>
      <c r="Z131" s="167"/>
    </row>
    <row r="132" spans="1:26">
      <c r="A132" s="162"/>
      <c r="B132" s="71" t="s">
        <v>3086</v>
      </c>
      <c r="C132" s="53" t="s">
        <v>418</v>
      </c>
      <c r="D132" s="53" t="s">
        <v>84</v>
      </c>
      <c r="E132" s="53" t="s">
        <v>3069</v>
      </c>
      <c r="F132" s="53" t="s">
        <v>300</v>
      </c>
      <c r="G132" s="131" t="s">
        <v>30</v>
      </c>
      <c r="H132" s="53">
        <v>25</v>
      </c>
      <c r="I132" s="188">
        <v>130</v>
      </c>
      <c r="J132" s="54">
        <f t="shared" si="0"/>
        <v>3250</v>
      </c>
      <c r="K132" s="55" t="b">
        <v>1</v>
      </c>
      <c r="L132" s="56">
        <v>220120251501</v>
      </c>
      <c r="M132" s="57" t="b">
        <v>1</v>
      </c>
      <c r="N132" s="58"/>
      <c r="O132" s="226"/>
      <c r="P132" s="191" t="b">
        <v>1</v>
      </c>
      <c r="Q132" s="129"/>
      <c r="R132" s="165"/>
      <c r="S132" s="47" t="b">
        <v>1</v>
      </c>
      <c r="T132" s="249" t="s">
        <v>3095</v>
      </c>
      <c r="U132" s="54"/>
      <c r="V132" s="54"/>
      <c r="W132" s="192"/>
      <c r="X132" s="192"/>
      <c r="Y132" s="167"/>
      <c r="Z132" s="167"/>
    </row>
    <row r="133" spans="1:26">
      <c r="A133" s="162"/>
      <c r="B133" s="71" t="s">
        <v>3086</v>
      </c>
      <c r="C133" s="53" t="s">
        <v>418</v>
      </c>
      <c r="D133" s="53" t="s">
        <v>84</v>
      </c>
      <c r="E133" s="53" t="s">
        <v>3069</v>
      </c>
      <c r="F133" s="53" t="s">
        <v>3045</v>
      </c>
      <c r="G133" s="131" t="s">
        <v>30</v>
      </c>
      <c r="H133" s="53">
        <v>150</v>
      </c>
      <c r="I133" s="188">
        <v>32</v>
      </c>
      <c r="J133" s="54">
        <f t="shared" si="0"/>
        <v>4800</v>
      </c>
      <c r="K133" s="55" t="b">
        <v>1</v>
      </c>
      <c r="L133" s="56">
        <v>220120251501</v>
      </c>
      <c r="M133" s="57" t="b">
        <v>1</v>
      </c>
      <c r="N133" s="58"/>
      <c r="O133" s="226"/>
      <c r="P133" s="191" t="b">
        <v>1</v>
      </c>
      <c r="Q133" s="129"/>
      <c r="R133" s="165"/>
      <c r="S133" s="47" t="b">
        <v>1</v>
      </c>
      <c r="T133" s="249" t="s">
        <v>3095</v>
      </c>
      <c r="U133" s="54"/>
      <c r="V133" s="54"/>
      <c r="W133" s="192"/>
      <c r="X133" s="192"/>
      <c r="Y133" s="167"/>
      <c r="Z133" s="167"/>
    </row>
    <row r="134" spans="1:26">
      <c r="A134" s="162"/>
      <c r="B134" s="71" t="s">
        <v>3086</v>
      </c>
      <c r="C134" s="53" t="s">
        <v>26</v>
      </c>
      <c r="D134" s="53" t="s">
        <v>386</v>
      </c>
      <c r="E134" s="53" t="s">
        <v>2935</v>
      </c>
      <c r="F134" s="53" t="s">
        <v>2859</v>
      </c>
      <c r="G134" s="131" t="s">
        <v>30</v>
      </c>
      <c r="H134" s="53">
        <v>5</v>
      </c>
      <c r="I134" s="188">
        <v>55</v>
      </c>
      <c r="J134" s="54">
        <f t="shared" si="0"/>
        <v>275</v>
      </c>
      <c r="K134" s="55" t="b">
        <v>1</v>
      </c>
      <c r="L134" s="56">
        <v>220120251830</v>
      </c>
      <c r="M134" s="57" t="b">
        <v>1</v>
      </c>
      <c r="N134" s="58"/>
      <c r="O134" s="226"/>
      <c r="P134" s="191" t="b">
        <v>1</v>
      </c>
      <c r="Q134" s="129"/>
      <c r="R134" s="165"/>
      <c r="S134" s="47" t="b">
        <v>1</v>
      </c>
      <c r="T134" s="249" t="s">
        <v>3096</v>
      </c>
      <c r="U134" s="54"/>
      <c r="V134" s="54"/>
      <c r="W134" s="192"/>
      <c r="X134" s="192"/>
      <c r="Y134" s="167"/>
      <c r="Z134" s="167"/>
    </row>
    <row r="135" spans="1:26">
      <c r="A135" s="162"/>
      <c r="B135" s="71" t="s">
        <v>3097</v>
      </c>
      <c r="C135" s="53" t="s">
        <v>104</v>
      </c>
      <c r="D135" s="53" t="s">
        <v>292</v>
      </c>
      <c r="E135" s="53" t="s">
        <v>1707</v>
      </c>
      <c r="F135" s="53" t="s">
        <v>1952</v>
      </c>
      <c r="G135" s="131" t="s">
        <v>30</v>
      </c>
      <c r="H135" s="53">
        <v>30</v>
      </c>
      <c r="I135" s="188">
        <v>600</v>
      </c>
      <c r="J135" s="54">
        <f t="shared" si="0"/>
        <v>18000</v>
      </c>
      <c r="K135" s="55" t="b">
        <v>1</v>
      </c>
      <c r="L135" s="56">
        <v>230120252105</v>
      </c>
      <c r="M135" s="57" t="b">
        <v>1</v>
      </c>
      <c r="N135" s="58" t="s">
        <v>2356</v>
      </c>
      <c r="O135" s="226">
        <v>45681</v>
      </c>
      <c r="P135" s="191" t="b">
        <v>1</v>
      </c>
      <c r="Q135" s="129"/>
      <c r="R135" s="165"/>
      <c r="S135" s="47" t="b">
        <v>1</v>
      </c>
      <c r="T135" s="249" t="s">
        <v>3098</v>
      </c>
      <c r="U135" s="54"/>
      <c r="V135" s="54"/>
      <c r="W135" s="192"/>
      <c r="X135" s="192"/>
      <c r="Y135" s="167"/>
      <c r="Z135" s="167"/>
    </row>
    <row r="136" spans="1:26">
      <c r="A136" s="162"/>
      <c r="B136" s="71" t="s">
        <v>3099</v>
      </c>
      <c r="C136" s="53" t="s">
        <v>55</v>
      </c>
      <c r="D136" s="53" t="s">
        <v>56</v>
      </c>
      <c r="E136" s="53" t="s">
        <v>303</v>
      </c>
      <c r="F136" s="131" t="s">
        <v>236</v>
      </c>
      <c r="G136" s="131" t="s">
        <v>30</v>
      </c>
      <c r="H136" s="53">
        <v>6</v>
      </c>
      <c r="I136" s="188">
        <v>160</v>
      </c>
      <c r="J136" s="54">
        <f t="shared" si="0"/>
        <v>960</v>
      </c>
      <c r="K136" s="55" t="b">
        <v>1</v>
      </c>
      <c r="L136" s="56">
        <v>240120251538</v>
      </c>
      <c r="M136" s="57" t="b">
        <v>1</v>
      </c>
      <c r="N136" s="58" t="s">
        <v>2356</v>
      </c>
      <c r="O136" s="226">
        <v>45685</v>
      </c>
      <c r="P136" s="191" t="b">
        <v>1</v>
      </c>
      <c r="Q136" s="129"/>
      <c r="R136" s="165"/>
      <c r="S136" s="47" t="b">
        <v>1</v>
      </c>
      <c r="T136" s="249" t="s">
        <v>3100</v>
      </c>
      <c r="U136" s="54"/>
      <c r="V136" s="54"/>
      <c r="W136" s="192"/>
      <c r="X136" s="192"/>
      <c r="Y136" s="167"/>
      <c r="Z136" s="167"/>
    </row>
    <row r="137" spans="1:26">
      <c r="A137" s="162"/>
      <c r="B137" s="71" t="s">
        <v>3099</v>
      </c>
      <c r="C137" s="53" t="s">
        <v>104</v>
      </c>
      <c r="D137" s="53" t="s">
        <v>516</v>
      </c>
      <c r="E137" s="53" t="s">
        <v>517</v>
      </c>
      <c r="F137" s="53" t="s">
        <v>1952</v>
      </c>
      <c r="G137" s="131" t="s">
        <v>30</v>
      </c>
      <c r="H137" s="53">
        <v>10</v>
      </c>
      <c r="I137" s="188">
        <v>600</v>
      </c>
      <c r="J137" s="54">
        <f t="shared" si="0"/>
        <v>6000</v>
      </c>
      <c r="K137" s="55" t="b">
        <v>1</v>
      </c>
      <c r="L137" s="56">
        <v>240120251538</v>
      </c>
      <c r="M137" s="57" t="b">
        <v>1</v>
      </c>
      <c r="N137" s="58" t="s">
        <v>2356</v>
      </c>
      <c r="O137" s="226">
        <v>45681</v>
      </c>
      <c r="P137" s="191" t="b">
        <v>1</v>
      </c>
      <c r="Q137" s="129"/>
      <c r="R137" s="165"/>
      <c r="S137" s="47" t="b">
        <v>1</v>
      </c>
      <c r="T137" s="249" t="s">
        <v>3101</v>
      </c>
      <c r="U137" s="54"/>
      <c r="V137" s="54"/>
      <c r="W137" s="192"/>
      <c r="X137" s="192"/>
      <c r="Y137" s="167"/>
      <c r="Z137" s="167"/>
    </row>
    <row r="138" spans="1:26">
      <c r="A138" s="162"/>
      <c r="B138" s="71" t="s">
        <v>3099</v>
      </c>
      <c r="C138" s="53" t="s">
        <v>433</v>
      </c>
      <c r="D138" s="53" t="s">
        <v>706</v>
      </c>
      <c r="E138" s="53" t="s">
        <v>707</v>
      </c>
      <c r="F138" s="53" t="s">
        <v>1700</v>
      </c>
      <c r="G138" s="131" t="s">
        <v>30</v>
      </c>
      <c r="H138" s="53">
        <v>200</v>
      </c>
      <c r="I138" s="188">
        <v>16</v>
      </c>
      <c r="J138" s="54">
        <f t="shared" si="0"/>
        <v>3200</v>
      </c>
      <c r="K138" s="55" t="b">
        <v>1</v>
      </c>
      <c r="L138" s="56">
        <v>240120251538</v>
      </c>
      <c r="M138" s="57" t="b">
        <v>1</v>
      </c>
      <c r="N138" s="58" t="s">
        <v>1581</v>
      </c>
      <c r="O138" s="226"/>
      <c r="P138" s="191" t="b">
        <v>1</v>
      </c>
      <c r="Q138" s="129"/>
      <c r="R138" s="165"/>
      <c r="S138" s="47" t="b">
        <v>1</v>
      </c>
      <c r="T138" s="249" t="s">
        <v>3102</v>
      </c>
      <c r="U138" s="54"/>
      <c r="V138" s="54"/>
      <c r="W138" s="192"/>
      <c r="X138" s="192"/>
      <c r="Y138" s="167"/>
      <c r="Z138" s="167"/>
    </row>
    <row r="139" spans="1:26">
      <c r="A139" s="162"/>
      <c r="B139" s="71" t="s">
        <v>3103</v>
      </c>
      <c r="C139" s="53" t="s">
        <v>433</v>
      </c>
      <c r="D139" s="53" t="s">
        <v>434</v>
      </c>
      <c r="E139" s="53" t="s">
        <v>2240</v>
      </c>
      <c r="F139" s="53" t="s">
        <v>83</v>
      </c>
      <c r="G139" s="131" t="s">
        <v>30</v>
      </c>
      <c r="H139" s="53">
        <v>1</v>
      </c>
      <c r="I139" s="188">
        <v>1500</v>
      </c>
      <c r="J139" s="54">
        <f t="shared" si="0"/>
        <v>1500</v>
      </c>
      <c r="K139" s="55" t="b">
        <v>1</v>
      </c>
      <c r="L139" s="56">
        <v>260120251726</v>
      </c>
      <c r="M139" s="57" t="b">
        <v>1</v>
      </c>
      <c r="N139" s="58" t="s">
        <v>2356</v>
      </c>
      <c r="O139" s="226">
        <v>45684</v>
      </c>
      <c r="P139" s="191" t="b">
        <v>1</v>
      </c>
      <c r="Q139" s="129"/>
      <c r="R139" s="165"/>
      <c r="S139" s="47" t="b">
        <v>1</v>
      </c>
      <c r="T139" s="249" t="s">
        <v>3104</v>
      </c>
      <c r="U139" s="54"/>
      <c r="V139" s="54"/>
      <c r="W139" s="192"/>
      <c r="X139" s="192"/>
      <c r="Y139" s="167"/>
      <c r="Z139" s="167"/>
    </row>
    <row r="140" spans="1:26">
      <c r="A140" s="162"/>
      <c r="B140" s="71" t="s">
        <v>3103</v>
      </c>
      <c r="C140" s="53" t="s">
        <v>26</v>
      </c>
      <c r="D140" s="53" t="s">
        <v>1976</v>
      </c>
      <c r="E140" s="53" t="s">
        <v>2124</v>
      </c>
      <c r="F140" s="53" t="s">
        <v>3105</v>
      </c>
      <c r="G140" s="131" t="s">
        <v>30</v>
      </c>
      <c r="H140" s="53">
        <v>20</v>
      </c>
      <c r="I140" s="188">
        <v>95</v>
      </c>
      <c r="J140" s="54">
        <f t="shared" si="0"/>
        <v>1900</v>
      </c>
      <c r="K140" s="55" t="b">
        <v>1</v>
      </c>
      <c r="L140" s="56">
        <v>260120251727</v>
      </c>
      <c r="M140" s="57" t="b">
        <v>1</v>
      </c>
      <c r="N140" s="58" t="s">
        <v>2968</v>
      </c>
      <c r="O140" s="226"/>
      <c r="P140" s="191" t="b">
        <v>1</v>
      </c>
      <c r="Q140" s="129"/>
      <c r="R140" s="165"/>
      <c r="S140" s="47" t="b">
        <v>1</v>
      </c>
      <c r="T140" s="249" t="s">
        <v>3106</v>
      </c>
      <c r="U140" s="54"/>
      <c r="V140" s="54"/>
      <c r="W140" s="192"/>
      <c r="X140" s="192"/>
      <c r="Y140" s="167"/>
      <c r="Z140" s="167"/>
    </row>
    <row r="141" spans="1:26">
      <c r="A141" s="162"/>
      <c r="B141" s="71" t="s">
        <v>3107</v>
      </c>
      <c r="C141" s="53" t="s">
        <v>26</v>
      </c>
      <c r="D141" s="53" t="s">
        <v>27</v>
      </c>
      <c r="E141" s="53" t="s">
        <v>1590</v>
      </c>
      <c r="F141" s="69" t="s">
        <v>2362</v>
      </c>
      <c r="G141" s="131" t="s">
        <v>30</v>
      </c>
      <c r="H141" s="53">
        <v>10</v>
      </c>
      <c r="I141" s="188">
        <v>1300</v>
      </c>
      <c r="J141" s="54">
        <f t="shared" si="0"/>
        <v>13000</v>
      </c>
      <c r="K141" s="55" t="b">
        <v>1</v>
      </c>
      <c r="L141" s="56">
        <v>270120250902</v>
      </c>
      <c r="M141" s="57" t="b">
        <v>1</v>
      </c>
      <c r="N141" s="58" t="s">
        <v>529</v>
      </c>
      <c r="O141" s="226"/>
      <c r="P141" s="191" t="b">
        <v>1</v>
      </c>
      <c r="Q141" s="129"/>
      <c r="R141" s="165"/>
      <c r="S141" s="47" t="b">
        <v>1</v>
      </c>
      <c r="T141" s="249" t="s">
        <v>3094</v>
      </c>
      <c r="U141" s="54"/>
      <c r="V141" s="54"/>
      <c r="W141" s="192"/>
      <c r="X141" s="192"/>
      <c r="Y141" s="167"/>
      <c r="Z141" s="167"/>
    </row>
    <row r="142" spans="1:26">
      <c r="A142" s="162"/>
      <c r="B142" s="71" t="s">
        <v>3107</v>
      </c>
      <c r="C142" s="53" t="s">
        <v>55</v>
      </c>
      <c r="D142" s="53">
        <v>41</v>
      </c>
      <c r="E142" s="53" t="s">
        <v>1552</v>
      </c>
      <c r="F142" s="53" t="s">
        <v>58</v>
      </c>
      <c r="G142" s="69" t="s">
        <v>30</v>
      </c>
      <c r="H142" s="53">
        <v>84</v>
      </c>
      <c r="I142" s="188">
        <v>42</v>
      </c>
      <c r="J142" s="54">
        <f t="shared" si="0"/>
        <v>3528</v>
      </c>
      <c r="K142" s="55" t="b">
        <v>1</v>
      </c>
      <c r="L142" s="56">
        <v>270120251526</v>
      </c>
      <c r="M142" s="57" t="b">
        <v>1</v>
      </c>
      <c r="N142" s="58" t="s">
        <v>1581</v>
      </c>
      <c r="O142" s="226"/>
      <c r="P142" s="191" t="b">
        <v>1</v>
      </c>
      <c r="Q142" s="129"/>
      <c r="R142" s="165"/>
      <c r="S142" s="47" t="b">
        <v>1</v>
      </c>
      <c r="T142" s="249" t="s">
        <v>3108</v>
      </c>
      <c r="U142" s="54"/>
      <c r="V142" s="54"/>
      <c r="W142" s="192"/>
      <c r="X142" s="192"/>
      <c r="Y142" s="167"/>
      <c r="Z142" s="167"/>
    </row>
    <row r="143" spans="1:26">
      <c r="A143" s="162"/>
      <c r="B143" s="71" t="s">
        <v>3107</v>
      </c>
      <c r="C143" s="53" t="s">
        <v>263</v>
      </c>
      <c r="D143" s="53" t="s">
        <v>248</v>
      </c>
      <c r="E143" s="53" t="s">
        <v>2855</v>
      </c>
      <c r="F143" s="53" t="s">
        <v>68</v>
      </c>
      <c r="G143" s="131" t="s">
        <v>30</v>
      </c>
      <c r="H143" s="53">
        <v>1</v>
      </c>
      <c r="I143" s="188">
        <v>2350</v>
      </c>
      <c r="J143" s="54">
        <f t="shared" si="0"/>
        <v>2350</v>
      </c>
      <c r="K143" s="55" t="b">
        <v>1</v>
      </c>
      <c r="L143" s="56">
        <v>270120251526</v>
      </c>
      <c r="M143" s="57" t="b">
        <v>1</v>
      </c>
      <c r="N143" s="58" t="s">
        <v>1581</v>
      </c>
      <c r="O143" s="226"/>
      <c r="P143" s="191" t="b">
        <v>1</v>
      </c>
      <c r="Q143" s="129"/>
      <c r="R143" s="165"/>
      <c r="S143" s="47" t="b">
        <v>1</v>
      </c>
      <c r="T143" s="249" t="s">
        <v>3109</v>
      </c>
      <c r="U143" s="54"/>
      <c r="V143" s="54"/>
      <c r="W143" s="192"/>
      <c r="X143" s="192"/>
      <c r="Y143" s="167"/>
      <c r="Z143" s="167"/>
    </row>
    <row r="144" spans="1:26">
      <c r="A144" s="162"/>
      <c r="B144" s="71" t="s">
        <v>3107</v>
      </c>
      <c r="C144" s="53" t="s">
        <v>98</v>
      </c>
      <c r="D144" s="53" t="s">
        <v>2296</v>
      </c>
      <c r="E144" s="53" t="s">
        <v>3110</v>
      </c>
      <c r="F144" s="53" t="s">
        <v>3111</v>
      </c>
      <c r="G144" s="131" t="s">
        <v>30</v>
      </c>
      <c r="H144" s="53">
        <v>1</v>
      </c>
      <c r="I144" s="188">
        <v>850</v>
      </c>
      <c r="J144" s="54">
        <f t="shared" si="0"/>
        <v>850</v>
      </c>
      <c r="K144" s="55" t="b">
        <v>1</v>
      </c>
      <c r="L144" s="56">
        <v>270120251536</v>
      </c>
      <c r="M144" s="57" t="b">
        <v>1</v>
      </c>
      <c r="N144" s="58" t="s">
        <v>39</v>
      </c>
      <c r="O144" s="226"/>
      <c r="P144" s="191" t="b">
        <v>1</v>
      </c>
      <c r="Q144" s="129"/>
      <c r="R144" s="165"/>
      <c r="S144" s="47" t="b">
        <v>1</v>
      </c>
      <c r="T144" s="249" t="s">
        <v>3112</v>
      </c>
      <c r="U144" s="54"/>
      <c r="V144" s="54"/>
      <c r="W144" s="192"/>
      <c r="X144" s="192"/>
      <c r="Y144" s="167"/>
      <c r="Z144" s="167"/>
    </row>
    <row r="145" spans="1:26">
      <c r="A145" s="162"/>
      <c r="B145" s="71" t="s">
        <v>3113</v>
      </c>
      <c r="C145" s="53" t="s">
        <v>51</v>
      </c>
      <c r="D145" s="53" t="s">
        <v>66</v>
      </c>
      <c r="E145" s="53" t="s">
        <v>67</v>
      </c>
      <c r="F145" s="53" t="s">
        <v>68</v>
      </c>
      <c r="G145" s="131" t="s">
        <v>30</v>
      </c>
      <c r="H145" s="53">
        <v>3</v>
      </c>
      <c r="I145" s="188">
        <v>2350</v>
      </c>
      <c r="J145" s="54">
        <f t="shared" si="0"/>
        <v>7050</v>
      </c>
      <c r="K145" s="55" t="b">
        <v>1</v>
      </c>
      <c r="L145" s="56">
        <v>280120251253</v>
      </c>
      <c r="M145" s="57" t="b">
        <v>1</v>
      </c>
      <c r="N145" s="58"/>
      <c r="O145" s="226"/>
      <c r="P145" s="191" t="b">
        <v>1</v>
      </c>
      <c r="Q145" s="129"/>
      <c r="R145" s="61"/>
      <c r="S145" s="47" t="b">
        <v>1</v>
      </c>
      <c r="T145" s="249" t="s">
        <v>3114</v>
      </c>
      <c r="U145" s="54"/>
      <c r="V145" s="54"/>
      <c r="W145" s="192"/>
      <c r="X145" s="192"/>
      <c r="Y145" s="167"/>
      <c r="Z145" s="167"/>
    </row>
    <row r="146" spans="1:26">
      <c r="A146" s="162"/>
      <c r="B146" s="71" t="s">
        <v>3113</v>
      </c>
      <c r="C146" s="53" t="s">
        <v>171</v>
      </c>
      <c r="D146" s="53" t="s">
        <v>137</v>
      </c>
      <c r="E146" s="53" t="s">
        <v>2812</v>
      </c>
      <c r="F146" s="53" t="s">
        <v>3115</v>
      </c>
      <c r="G146" s="131" t="s">
        <v>30</v>
      </c>
      <c r="H146" s="53">
        <v>5</v>
      </c>
      <c r="I146" s="188">
        <v>550</v>
      </c>
      <c r="J146" s="54">
        <f t="shared" si="0"/>
        <v>2750</v>
      </c>
      <c r="K146" s="55" t="b">
        <v>1</v>
      </c>
      <c r="L146" s="56">
        <v>280120251253</v>
      </c>
      <c r="M146" s="57" t="b">
        <v>1</v>
      </c>
      <c r="N146" s="58"/>
      <c r="O146" s="226"/>
      <c r="P146" s="191" t="b">
        <v>1</v>
      </c>
      <c r="Q146" s="129"/>
      <c r="R146" s="61"/>
      <c r="S146" s="47" t="b">
        <v>1</v>
      </c>
      <c r="T146" s="249" t="s">
        <v>3116</v>
      </c>
      <c r="U146" s="54"/>
      <c r="V146" s="54"/>
      <c r="W146" s="192"/>
      <c r="X146" s="192"/>
      <c r="Y146" s="167"/>
      <c r="Z146" s="167"/>
    </row>
    <row r="147" spans="1:26">
      <c r="A147" s="162"/>
      <c r="B147" s="71" t="s">
        <v>3113</v>
      </c>
      <c r="C147" s="53" t="s">
        <v>1503</v>
      </c>
      <c r="D147" s="53" t="s">
        <v>1503</v>
      </c>
      <c r="E147" s="53" t="s">
        <v>3117</v>
      </c>
      <c r="F147" s="53" t="s">
        <v>3118</v>
      </c>
      <c r="G147" s="131" t="s">
        <v>30</v>
      </c>
      <c r="H147" s="53">
        <v>5</v>
      </c>
      <c r="I147" s="188">
        <v>875</v>
      </c>
      <c r="J147" s="54">
        <f t="shared" si="0"/>
        <v>4375</v>
      </c>
      <c r="K147" s="55" t="b">
        <v>1</v>
      </c>
      <c r="L147" s="56">
        <v>280120251519</v>
      </c>
      <c r="M147" s="57" t="b">
        <v>1</v>
      </c>
      <c r="N147" s="58"/>
      <c r="O147" s="215" t="s">
        <v>3119</v>
      </c>
      <c r="P147" s="191" t="b">
        <v>1</v>
      </c>
      <c r="Q147" s="129"/>
      <c r="R147" s="61"/>
      <c r="S147" s="47" t="b">
        <v>1</v>
      </c>
      <c r="T147" s="249" t="s">
        <v>3120</v>
      </c>
      <c r="U147" s="54"/>
      <c r="V147" s="54"/>
      <c r="W147" s="192"/>
      <c r="X147" s="192"/>
      <c r="Y147" s="167"/>
      <c r="Z147" s="167"/>
    </row>
    <row r="148" spans="1:26">
      <c r="A148" s="162"/>
      <c r="B148" s="71" t="s">
        <v>3121</v>
      </c>
      <c r="C148" s="53" t="s">
        <v>104</v>
      </c>
      <c r="D148" s="53" t="s">
        <v>122</v>
      </c>
      <c r="E148" s="53" t="s">
        <v>123</v>
      </c>
      <c r="F148" s="53" t="s">
        <v>574</v>
      </c>
      <c r="G148" s="131" t="s">
        <v>30</v>
      </c>
      <c r="H148" s="53">
        <v>6</v>
      </c>
      <c r="I148" s="188">
        <v>725</v>
      </c>
      <c r="J148" s="54">
        <f t="shared" si="0"/>
        <v>4350</v>
      </c>
      <c r="K148" s="55" t="b">
        <v>1</v>
      </c>
      <c r="L148" s="56">
        <v>290120251556</v>
      </c>
      <c r="M148" s="57" t="b">
        <v>1</v>
      </c>
      <c r="N148" s="58"/>
      <c r="O148" s="226"/>
      <c r="P148" s="191" t="b">
        <v>1</v>
      </c>
      <c r="Q148" s="129"/>
      <c r="R148" s="61"/>
      <c r="S148" s="47" t="b">
        <v>1</v>
      </c>
      <c r="T148" s="249" t="s">
        <v>3122</v>
      </c>
      <c r="U148" s="54"/>
      <c r="V148" s="54"/>
      <c r="W148" s="192"/>
      <c r="X148" s="192"/>
      <c r="Y148" s="167"/>
      <c r="Z148" s="167"/>
    </row>
    <row r="149" spans="1:26">
      <c r="A149" s="272"/>
      <c r="B149" s="273" t="s">
        <v>3123</v>
      </c>
      <c r="C149" s="274" t="s">
        <v>55</v>
      </c>
      <c r="D149" s="274" t="s">
        <v>56</v>
      </c>
      <c r="E149" s="274" t="s">
        <v>57</v>
      </c>
      <c r="F149" s="274" t="s">
        <v>1197</v>
      </c>
      <c r="G149" s="275" t="s">
        <v>30</v>
      </c>
      <c r="H149" s="274">
        <v>5</v>
      </c>
      <c r="I149" s="276">
        <v>750</v>
      </c>
      <c r="J149" s="277">
        <f t="shared" si="0"/>
        <v>3750</v>
      </c>
      <c r="K149" s="278" t="b">
        <v>1</v>
      </c>
      <c r="L149" s="279">
        <v>300120251615</v>
      </c>
      <c r="M149" s="280" t="b">
        <v>1</v>
      </c>
      <c r="N149" s="281" t="s">
        <v>2968</v>
      </c>
      <c r="O149" s="282">
        <v>45688</v>
      </c>
      <c r="P149" s="283" t="b">
        <v>1</v>
      </c>
      <c r="Q149" s="284"/>
      <c r="R149" s="285"/>
      <c r="S149" s="286" t="b">
        <v>1</v>
      </c>
      <c r="T149" s="249" t="s">
        <v>3124</v>
      </c>
      <c r="U149" s="277"/>
      <c r="V149" s="277"/>
      <c r="W149" s="287"/>
      <c r="X149" s="287"/>
      <c r="Y149" s="288"/>
      <c r="Z149" s="288"/>
    </row>
    <row r="150" spans="1:26">
      <c r="A150" s="162"/>
      <c r="B150" s="71" t="s">
        <v>3125</v>
      </c>
      <c r="C150" s="53" t="s">
        <v>51</v>
      </c>
      <c r="D150" s="53" t="s">
        <v>475</v>
      </c>
      <c r="E150" s="53" t="s">
        <v>2105</v>
      </c>
      <c r="F150" s="53" t="s">
        <v>2984</v>
      </c>
      <c r="G150" s="131" t="s">
        <v>30</v>
      </c>
      <c r="H150" s="53">
        <v>1</v>
      </c>
      <c r="I150" s="188">
        <v>35000</v>
      </c>
      <c r="J150" s="54">
        <f t="shared" si="0"/>
        <v>35000</v>
      </c>
      <c r="K150" s="55" t="b">
        <v>1</v>
      </c>
      <c r="L150" s="56">
        <v>310120250947</v>
      </c>
      <c r="M150" s="57" t="b">
        <v>1</v>
      </c>
      <c r="N150" s="190"/>
      <c r="O150" s="289"/>
      <c r="P150" s="191" t="b">
        <v>1</v>
      </c>
      <c r="Q150" s="129"/>
      <c r="R150" s="61"/>
      <c r="S150" s="47" t="b">
        <v>1</v>
      </c>
      <c r="T150" s="249" t="s">
        <v>3126</v>
      </c>
      <c r="U150" s="54"/>
      <c r="V150" s="54"/>
      <c r="W150" s="192"/>
      <c r="X150" s="192"/>
      <c r="Y150" s="167"/>
      <c r="Z150" s="167"/>
    </row>
    <row r="151" spans="1:26">
      <c r="A151" s="162"/>
      <c r="B151" s="71" t="s">
        <v>3125</v>
      </c>
      <c r="C151" s="53" t="s">
        <v>2152</v>
      </c>
      <c r="D151" s="53" t="s">
        <v>137</v>
      </c>
      <c r="E151" s="53" t="s">
        <v>3077</v>
      </c>
      <c r="F151" s="53" t="s">
        <v>3127</v>
      </c>
      <c r="G151" s="131" t="s">
        <v>30</v>
      </c>
      <c r="H151" s="53">
        <v>19</v>
      </c>
      <c r="I151" s="188">
        <v>125</v>
      </c>
      <c r="J151" s="54">
        <f t="shared" si="0"/>
        <v>2375</v>
      </c>
      <c r="K151" s="55" t="b">
        <v>1</v>
      </c>
      <c r="L151" s="56">
        <v>310120251423</v>
      </c>
      <c r="M151" s="57" t="b">
        <v>1</v>
      </c>
      <c r="N151" s="190"/>
      <c r="O151" s="289"/>
      <c r="P151" s="191" t="b">
        <v>1</v>
      </c>
      <c r="Q151" s="129"/>
      <c r="R151" s="61"/>
      <c r="S151" s="47" t="b">
        <v>1</v>
      </c>
      <c r="T151" s="249" t="s">
        <v>3128</v>
      </c>
      <c r="U151" s="54"/>
      <c r="V151" s="54"/>
      <c r="W151" s="192"/>
      <c r="X151" s="192"/>
      <c r="Y151" s="167"/>
      <c r="Z151" s="167"/>
    </row>
    <row r="152" spans="1:26">
      <c r="A152" s="162"/>
      <c r="B152" s="71" t="s">
        <v>3125</v>
      </c>
      <c r="C152" s="53" t="s">
        <v>51</v>
      </c>
      <c r="D152" s="53" t="s">
        <v>201</v>
      </c>
      <c r="E152" s="53" t="s">
        <v>395</v>
      </c>
      <c r="F152" s="53" t="s">
        <v>3129</v>
      </c>
      <c r="G152" s="131" t="s">
        <v>30</v>
      </c>
      <c r="H152" s="53">
        <v>3</v>
      </c>
      <c r="I152" s="188">
        <v>750</v>
      </c>
      <c r="J152" s="54">
        <f t="shared" si="0"/>
        <v>2250</v>
      </c>
      <c r="K152" s="55" t="b">
        <v>1</v>
      </c>
      <c r="L152" s="56">
        <v>310120251423</v>
      </c>
      <c r="M152" s="57" t="b">
        <v>1</v>
      </c>
      <c r="N152" s="190"/>
      <c r="O152" s="289"/>
      <c r="P152" s="191" t="b">
        <v>1</v>
      </c>
      <c r="Q152" s="129"/>
      <c r="R152" s="61"/>
      <c r="S152" s="47" t="b">
        <v>1</v>
      </c>
      <c r="T152" s="249" t="s">
        <v>3130</v>
      </c>
      <c r="U152" s="54"/>
      <c r="V152" s="54"/>
      <c r="W152" s="192"/>
      <c r="X152" s="192"/>
      <c r="Y152" s="290"/>
      <c r="Z152" s="290"/>
    </row>
    <row r="153" spans="1:26">
      <c r="A153" s="162"/>
      <c r="B153" s="71" t="s">
        <v>3125</v>
      </c>
      <c r="C153" s="53" t="s">
        <v>418</v>
      </c>
      <c r="D153" s="53" t="s">
        <v>84</v>
      </c>
      <c r="E153" s="53" t="s">
        <v>3069</v>
      </c>
      <c r="F153" s="53" t="s">
        <v>58</v>
      </c>
      <c r="G153" s="131" t="s">
        <v>30</v>
      </c>
      <c r="H153" s="53">
        <v>84</v>
      </c>
      <c r="I153" s="188">
        <v>42</v>
      </c>
      <c r="J153" s="54">
        <f t="shared" si="0"/>
        <v>3528</v>
      </c>
      <c r="K153" s="55" t="b">
        <v>1</v>
      </c>
      <c r="L153" s="56">
        <v>310120251423</v>
      </c>
      <c r="M153" s="57" t="b">
        <v>1</v>
      </c>
      <c r="N153" s="190"/>
      <c r="O153" s="289"/>
      <c r="P153" s="191" t="b">
        <v>1</v>
      </c>
      <c r="Q153" s="129"/>
      <c r="R153" s="61"/>
      <c r="S153" s="47" t="b">
        <v>1</v>
      </c>
      <c r="T153" s="249" t="s">
        <v>3131</v>
      </c>
      <c r="U153" s="54"/>
      <c r="V153" s="54"/>
      <c r="W153" s="192"/>
      <c r="X153" s="192"/>
      <c r="Y153" s="167"/>
      <c r="Z153" s="167"/>
    </row>
    <row r="154" spans="1:26" ht="14.25" customHeight="1">
      <c r="A154" s="162"/>
      <c r="B154" s="71" t="s">
        <v>3132</v>
      </c>
      <c r="C154" s="53" t="s">
        <v>418</v>
      </c>
      <c r="D154" s="53" t="s">
        <v>137</v>
      </c>
      <c r="E154" s="53" t="s">
        <v>43</v>
      </c>
      <c r="F154" s="53" t="s">
        <v>1952</v>
      </c>
      <c r="G154" s="131" t="s">
        <v>30</v>
      </c>
      <c r="H154" s="53">
        <v>10</v>
      </c>
      <c r="I154" s="188">
        <v>600</v>
      </c>
      <c r="J154" s="54">
        <f t="shared" si="0"/>
        <v>6000</v>
      </c>
      <c r="K154" s="55" t="b">
        <v>1</v>
      </c>
      <c r="L154" s="56">
        <v>310120251716</v>
      </c>
      <c r="M154" s="57" t="b">
        <v>1</v>
      </c>
      <c r="N154" s="190"/>
      <c r="O154" s="291"/>
      <c r="P154" s="191" t="b">
        <v>1</v>
      </c>
      <c r="Q154" s="129"/>
      <c r="R154" s="61"/>
      <c r="S154" s="47" t="b">
        <v>1</v>
      </c>
      <c r="T154" s="249" t="s">
        <v>3133</v>
      </c>
      <c r="U154" s="54"/>
      <c r="V154" s="54"/>
      <c r="W154" s="192"/>
      <c r="X154" s="192"/>
      <c r="Y154" s="167"/>
      <c r="Z154" s="167"/>
    </row>
    <row r="155" spans="1:26">
      <c r="A155" s="162"/>
      <c r="B155" s="71" t="s">
        <v>3134</v>
      </c>
      <c r="C155" s="53" t="s">
        <v>26</v>
      </c>
      <c r="D155" s="53" t="s">
        <v>1976</v>
      </c>
      <c r="E155" s="53" t="s">
        <v>2124</v>
      </c>
      <c r="F155" s="53" t="s">
        <v>3005</v>
      </c>
      <c r="G155" s="131" t="s">
        <v>30</v>
      </c>
      <c r="H155" s="53">
        <v>84</v>
      </c>
      <c r="I155" s="188">
        <v>42</v>
      </c>
      <c r="J155" s="54">
        <f t="shared" si="0"/>
        <v>3528</v>
      </c>
      <c r="K155" s="55" t="b">
        <v>1</v>
      </c>
      <c r="L155" s="56">
        <v>310120251718</v>
      </c>
      <c r="M155" s="57" t="b">
        <v>1</v>
      </c>
      <c r="N155" s="190"/>
      <c r="O155" s="289"/>
      <c r="P155" s="191" t="b">
        <v>1</v>
      </c>
      <c r="Q155" s="129"/>
      <c r="R155" s="61"/>
      <c r="S155" s="47" t="b">
        <v>1</v>
      </c>
      <c r="T155" s="249" t="s">
        <v>3135</v>
      </c>
      <c r="U155" s="54"/>
      <c r="V155" s="54"/>
      <c r="W155" s="192"/>
      <c r="X155" s="192"/>
      <c r="Y155" s="292"/>
      <c r="Z155" s="292"/>
    </row>
    <row r="156" spans="1:26">
      <c r="A156" s="162"/>
      <c r="B156" s="71" t="s">
        <v>3132</v>
      </c>
      <c r="C156" s="53" t="s">
        <v>26</v>
      </c>
      <c r="D156" s="53" t="s">
        <v>1976</v>
      </c>
      <c r="E156" s="53" t="s">
        <v>2124</v>
      </c>
      <c r="F156" s="53" t="s">
        <v>68</v>
      </c>
      <c r="G156" s="131" t="s">
        <v>30</v>
      </c>
      <c r="H156" s="53">
        <v>1</v>
      </c>
      <c r="I156" s="188">
        <v>2350</v>
      </c>
      <c r="J156" s="54">
        <f t="shared" si="0"/>
        <v>2350</v>
      </c>
      <c r="K156" s="55" t="b">
        <v>1</v>
      </c>
      <c r="L156" s="56">
        <v>310120251718</v>
      </c>
      <c r="M156" s="57" t="b">
        <v>1</v>
      </c>
      <c r="N156" s="190"/>
      <c r="O156" s="289"/>
      <c r="P156" s="191" t="b">
        <v>1</v>
      </c>
      <c r="Q156" s="129"/>
      <c r="R156" s="61"/>
      <c r="S156" s="47" t="b">
        <v>1</v>
      </c>
      <c r="T156" s="249" t="s">
        <v>3136</v>
      </c>
      <c r="U156" s="54"/>
      <c r="V156" s="54"/>
      <c r="W156" s="192"/>
      <c r="X156" s="192"/>
      <c r="Y156" s="292"/>
      <c r="Z156" s="292"/>
    </row>
    <row r="157" spans="1:26">
      <c r="A157" s="162"/>
      <c r="B157" s="71" t="s">
        <v>3125</v>
      </c>
      <c r="C157" s="53" t="s">
        <v>1747</v>
      </c>
      <c r="D157" s="53" t="s">
        <v>2608</v>
      </c>
      <c r="E157" s="53" t="s">
        <v>3137</v>
      </c>
      <c r="F157" s="53" t="s">
        <v>1952</v>
      </c>
      <c r="G157" s="131" t="s">
        <v>30</v>
      </c>
      <c r="H157" s="53">
        <v>10</v>
      </c>
      <c r="I157" s="188">
        <v>600</v>
      </c>
      <c r="J157" s="54">
        <f t="shared" si="0"/>
        <v>6000</v>
      </c>
      <c r="K157" s="55" t="b">
        <v>1</v>
      </c>
      <c r="L157" s="56">
        <v>310220251734</v>
      </c>
      <c r="M157" s="57" t="b">
        <v>1</v>
      </c>
      <c r="N157" s="190"/>
      <c r="O157" s="291" t="s">
        <v>3138</v>
      </c>
      <c r="P157" s="191" t="b">
        <v>1</v>
      </c>
      <c r="Q157" s="129"/>
      <c r="R157" s="61"/>
      <c r="S157" s="47" t="b">
        <v>1</v>
      </c>
      <c r="T157" s="249" t="s">
        <v>3139</v>
      </c>
      <c r="U157" s="54"/>
      <c r="V157" s="54"/>
      <c r="W157" s="192"/>
      <c r="X157" s="192"/>
      <c r="Y157" s="167"/>
      <c r="Z157" s="167"/>
    </row>
    <row r="158" spans="1:26">
      <c r="A158" s="162"/>
      <c r="B158" s="71" t="s">
        <v>3125</v>
      </c>
      <c r="C158" s="53" t="s">
        <v>51</v>
      </c>
      <c r="D158" s="53" t="s">
        <v>52</v>
      </c>
      <c r="E158" s="53" t="s">
        <v>2653</v>
      </c>
      <c r="F158" s="293" t="s">
        <v>3140</v>
      </c>
      <c r="G158" s="131" t="s">
        <v>30</v>
      </c>
      <c r="H158" s="53">
        <v>2</v>
      </c>
      <c r="I158" s="188">
        <v>295</v>
      </c>
      <c r="J158" s="54">
        <f t="shared" si="0"/>
        <v>590</v>
      </c>
      <c r="K158" s="55" t="b">
        <v>1</v>
      </c>
      <c r="L158" s="56">
        <v>310120251913</v>
      </c>
      <c r="M158" s="57" t="b">
        <v>1</v>
      </c>
      <c r="N158" s="190" t="s">
        <v>2968</v>
      </c>
      <c r="O158" s="289"/>
      <c r="P158" s="191" t="b">
        <v>1</v>
      </c>
      <c r="Q158" s="129"/>
      <c r="R158" s="61"/>
      <c r="S158" s="47" t="b">
        <v>1</v>
      </c>
      <c r="T158" s="249" t="s">
        <v>3141</v>
      </c>
      <c r="U158" s="54"/>
      <c r="V158" s="54"/>
      <c r="W158" s="192"/>
      <c r="X158" s="192"/>
      <c r="Y158" s="167"/>
      <c r="Z158" s="167"/>
    </row>
    <row r="159" spans="1:26">
      <c r="A159" s="162"/>
      <c r="B159" s="71"/>
      <c r="C159" s="49"/>
      <c r="D159" s="49"/>
      <c r="E159" s="49"/>
      <c r="F159" s="49"/>
      <c r="G159" s="49"/>
      <c r="H159" s="49"/>
      <c r="I159" s="49"/>
      <c r="J159" s="49"/>
      <c r="K159" s="55" t="b">
        <v>0</v>
      </c>
      <c r="L159" s="56"/>
      <c r="M159" s="57" t="b">
        <v>0</v>
      </c>
      <c r="N159" s="294"/>
      <c r="O159" s="289"/>
      <c r="P159" s="191" t="b">
        <v>0</v>
      </c>
      <c r="Q159" s="129"/>
      <c r="R159" s="61"/>
      <c r="S159" s="47" t="b">
        <v>0</v>
      </c>
      <c r="T159" s="249"/>
      <c r="U159" s="54"/>
      <c r="V159" s="54"/>
      <c r="W159" s="192"/>
      <c r="X159" s="192"/>
      <c r="Y159" s="167"/>
      <c r="Z159" s="167"/>
    </row>
    <row r="160" spans="1:26">
      <c r="A160" s="162"/>
      <c r="B160" s="71"/>
      <c r="C160" s="53"/>
      <c r="D160" s="53"/>
      <c r="E160" s="53"/>
      <c r="F160" s="53"/>
      <c r="G160" s="53"/>
      <c r="H160" s="53"/>
      <c r="I160" s="54"/>
      <c r="J160" s="54">
        <f t="shared" ref="J160:J224" si="1">H160*I160</f>
        <v>0</v>
      </c>
      <c r="K160" s="55" t="b">
        <v>0</v>
      </c>
      <c r="L160" s="56"/>
      <c r="M160" s="57" t="b">
        <v>0</v>
      </c>
      <c r="N160" s="294"/>
      <c r="O160" s="289"/>
      <c r="P160" s="191" t="b">
        <v>0</v>
      </c>
      <c r="Q160" s="129"/>
      <c r="R160" s="61"/>
      <c r="S160" s="47" t="b">
        <v>0</v>
      </c>
      <c r="T160" s="249"/>
      <c r="U160" s="54"/>
      <c r="V160" s="54"/>
      <c r="W160" s="192"/>
      <c r="X160" s="192"/>
      <c r="Y160" s="295"/>
      <c r="Z160" s="295"/>
    </row>
    <row r="161" spans="1:26">
      <c r="A161" s="162"/>
      <c r="B161" s="71"/>
      <c r="C161" s="53"/>
      <c r="D161" s="53"/>
      <c r="E161" s="53"/>
      <c r="F161" s="53"/>
      <c r="G161" s="53"/>
      <c r="H161" s="53"/>
      <c r="I161" s="54"/>
      <c r="J161" s="54">
        <f t="shared" si="1"/>
        <v>0</v>
      </c>
      <c r="K161" s="55" t="b">
        <v>0</v>
      </c>
      <c r="L161" s="56"/>
      <c r="M161" s="57" t="b">
        <v>0</v>
      </c>
      <c r="N161" s="296"/>
      <c r="O161" s="226"/>
      <c r="P161" s="59" t="b">
        <v>0</v>
      </c>
      <c r="Q161" s="129"/>
      <c r="R161" s="165"/>
      <c r="S161" s="47" t="b">
        <v>0</v>
      </c>
      <c r="T161" s="249"/>
      <c r="U161" s="54"/>
      <c r="V161" s="54"/>
      <c r="W161" s="192"/>
      <c r="X161" s="192"/>
      <c r="Y161" s="167"/>
      <c r="Z161" s="167"/>
    </row>
    <row r="162" spans="1:26">
      <c r="A162" s="162"/>
      <c r="B162" s="71"/>
      <c r="C162" s="53"/>
      <c r="D162" s="53"/>
      <c r="E162" s="53"/>
      <c r="F162" s="53"/>
      <c r="G162" s="53"/>
      <c r="H162" s="53"/>
      <c r="I162" s="54"/>
      <c r="J162" s="54">
        <f t="shared" si="1"/>
        <v>0</v>
      </c>
      <c r="K162" s="55" t="b">
        <v>0</v>
      </c>
      <c r="L162" s="56"/>
      <c r="M162" s="57" t="b">
        <v>0</v>
      </c>
      <c r="N162" s="296"/>
      <c r="O162" s="226"/>
      <c r="P162" s="59" t="b">
        <v>0</v>
      </c>
      <c r="Q162" s="129"/>
      <c r="R162" s="165"/>
      <c r="S162" s="47" t="b">
        <v>0</v>
      </c>
      <c r="T162" s="249"/>
      <c r="U162" s="54"/>
      <c r="V162" s="54"/>
      <c r="W162" s="192"/>
      <c r="X162" s="192"/>
      <c r="Y162" s="167"/>
      <c r="Z162" s="167"/>
    </row>
    <row r="163" spans="1:26">
      <c r="A163" s="162"/>
      <c r="B163" s="71"/>
      <c r="C163" s="53"/>
      <c r="D163" s="53"/>
      <c r="E163" s="53"/>
      <c r="F163" s="53"/>
      <c r="G163" s="53"/>
      <c r="H163" s="53"/>
      <c r="I163" s="54"/>
      <c r="J163" s="54">
        <f t="shared" si="1"/>
        <v>0</v>
      </c>
      <c r="K163" s="55" t="b">
        <v>0</v>
      </c>
      <c r="L163" s="56"/>
      <c r="M163" s="57" t="b">
        <v>0</v>
      </c>
      <c r="N163" s="296"/>
      <c r="O163" s="226"/>
      <c r="P163" s="59" t="b">
        <v>0</v>
      </c>
      <c r="Q163" s="129"/>
      <c r="R163" s="165"/>
      <c r="S163" s="47" t="b">
        <v>0</v>
      </c>
      <c r="T163" s="249"/>
      <c r="U163" s="54"/>
      <c r="V163" s="54"/>
      <c r="W163" s="192"/>
      <c r="X163" s="192"/>
      <c r="Y163" s="167"/>
      <c r="Z163" s="167"/>
    </row>
    <row r="164" spans="1:26">
      <c r="A164" s="162"/>
      <c r="B164" s="71"/>
      <c r="C164" s="53"/>
      <c r="D164" s="53"/>
      <c r="E164" s="53"/>
      <c r="F164" s="53"/>
      <c r="G164" s="53"/>
      <c r="H164" s="53"/>
      <c r="I164" s="54"/>
      <c r="J164" s="54">
        <f t="shared" si="1"/>
        <v>0</v>
      </c>
      <c r="K164" s="55" t="b">
        <v>0</v>
      </c>
      <c r="L164" s="56"/>
      <c r="M164" s="57" t="b">
        <v>0</v>
      </c>
      <c r="N164" s="296"/>
      <c r="O164" s="226"/>
      <c r="P164" s="59" t="b">
        <v>0</v>
      </c>
      <c r="Q164" s="129"/>
      <c r="R164" s="165"/>
      <c r="S164" s="47" t="b">
        <v>0</v>
      </c>
      <c r="T164" s="249"/>
      <c r="U164" s="54"/>
      <c r="V164" s="54"/>
      <c r="W164" s="192"/>
      <c r="X164" s="192"/>
      <c r="Y164" s="167"/>
      <c r="Z164" s="167"/>
    </row>
    <row r="165" spans="1:26">
      <c r="A165" s="162"/>
      <c r="B165" s="132"/>
      <c r="C165" s="66"/>
      <c r="D165" s="66"/>
      <c r="E165" s="66"/>
      <c r="F165" s="66"/>
      <c r="G165" s="66"/>
      <c r="H165" s="53"/>
      <c r="I165" s="75"/>
      <c r="J165" s="54">
        <f t="shared" si="1"/>
        <v>0</v>
      </c>
      <c r="K165" s="55" t="b">
        <v>0</v>
      </c>
      <c r="L165" s="56"/>
      <c r="M165" s="57" t="b">
        <v>0</v>
      </c>
      <c r="N165" s="296"/>
      <c r="O165" s="226"/>
      <c r="P165" s="59" t="b">
        <v>0</v>
      </c>
      <c r="Q165" s="129"/>
      <c r="R165" s="165"/>
      <c r="S165" s="47" t="b">
        <v>0</v>
      </c>
      <c r="T165" s="249"/>
      <c r="U165" s="54"/>
      <c r="V165" s="54"/>
      <c r="W165" s="192"/>
      <c r="X165" s="192"/>
      <c r="Y165" s="167"/>
      <c r="Z165" s="167"/>
    </row>
    <row r="166" spans="1:26">
      <c r="A166" s="162"/>
      <c r="B166" s="132"/>
      <c r="C166" s="66"/>
      <c r="D166" s="66"/>
      <c r="E166" s="66"/>
      <c r="F166" s="66"/>
      <c r="G166" s="69"/>
      <c r="H166" s="53"/>
      <c r="I166" s="70"/>
      <c r="J166" s="54">
        <f t="shared" si="1"/>
        <v>0</v>
      </c>
      <c r="K166" s="55" t="b">
        <v>0</v>
      </c>
      <c r="L166" s="56"/>
      <c r="M166" s="57" t="b">
        <v>0</v>
      </c>
      <c r="N166" s="58"/>
      <c r="O166" s="226"/>
      <c r="P166" s="59" t="b">
        <v>0</v>
      </c>
      <c r="Q166" s="129"/>
      <c r="R166" s="165"/>
      <c r="S166" s="47" t="b">
        <v>0</v>
      </c>
      <c r="T166" s="249"/>
      <c r="U166" s="54"/>
      <c r="V166" s="54"/>
      <c r="W166" s="192"/>
      <c r="X166" s="192"/>
      <c r="Y166" s="167"/>
      <c r="Z166" s="167"/>
    </row>
    <row r="167" spans="1:26">
      <c r="A167" s="162"/>
      <c r="B167" s="132"/>
      <c r="C167" s="66"/>
      <c r="D167" s="66"/>
      <c r="E167" s="66"/>
      <c r="F167" s="66"/>
      <c r="G167" s="69"/>
      <c r="H167" s="53"/>
      <c r="I167" s="70"/>
      <c r="J167" s="54">
        <f t="shared" si="1"/>
        <v>0</v>
      </c>
      <c r="K167" s="55" t="b">
        <v>0</v>
      </c>
      <c r="L167" s="56"/>
      <c r="M167" s="57" t="b">
        <v>0</v>
      </c>
      <c r="N167" s="58"/>
      <c r="O167" s="226"/>
      <c r="P167" s="59" t="b">
        <v>0</v>
      </c>
      <c r="Q167" s="129"/>
      <c r="R167" s="165"/>
      <c r="S167" s="47" t="b">
        <v>0</v>
      </c>
      <c r="T167" s="249"/>
      <c r="U167" s="54"/>
      <c r="V167" s="54"/>
      <c r="W167" s="192"/>
      <c r="X167" s="192"/>
      <c r="Y167" s="167"/>
      <c r="Z167" s="167"/>
    </row>
    <row r="168" spans="1:26">
      <c r="A168" s="162"/>
      <c r="B168" s="132"/>
      <c r="C168" s="66"/>
      <c r="D168" s="66"/>
      <c r="E168" s="66"/>
      <c r="F168" s="66"/>
      <c r="G168" s="69"/>
      <c r="H168" s="53"/>
      <c r="I168" s="70"/>
      <c r="J168" s="54">
        <f t="shared" si="1"/>
        <v>0</v>
      </c>
      <c r="K168" s="55" t="b">
        <v>0</v>
      </c>
      <c r="L168" s="56"/>
      <c r="M168" s="57" t="b">
        <v>0</v>
      </c>
      <c r="N168" s="58"/>
      <c r="O168" s="226"/>
      <c r="P168" s="59" t="b">
        <v>0</v>
      </c>
      <c r="Q168" s="129"/>
      <c r="R168" s="165"/>
      <c r="S168" s="47" t="b">
        <v>0</v>
      </c>
      <c r="T168" s="249"/>
      <c r="U168" s="54"/>
      <c r="V168" s="54"/>
      <c r="W168" s="192"/>
      <c r="X168" s="192"/>
      <c r="Y168" s="167"/>
      <c r="Z168" s="167"/>
    </row>
    <row r="169" spans="1:26">
      <c r="A169" s="162"/>
      <c r="B169" s="132"/>
      <c r="C169" s="66"/>
      <c r="D169" s="66"/>
      <c r="E169" s="66"/>
      <c r="F169" s="66"/>
      <c r="G169" s="69"/>
      <c r="H169" s="66"/>
      <c r="I169" s="70"/>
      <c r="J169" s="54">
        <f t="shared" si="1"/>
        <v>0</v>
      </c>
      <c r="K169" s="55" t="b">
        <v>0</v>
      </c>
      <c r="L169" s="56"/>
      <c r="M169" s="57" t="b">
        <v>0</v>
      </c>
      <c r="N169" s="58"/>
      <c r="O169" s="226"/>
      <c r="P169" s="59" t="b">
        <v>0</v>
      </c>
      <c r="Q169" s="129"/>
      <c r="R169" s="165"/>
      <c r="S169" s="47" t="b">
        <v>0</v>
      </c>
      <c r="T169" s="249"/>
      <c r="U169" s="54"/>
      <c r="V169" s="54"/>
      <c r="W169" s="192"/>
      <c r="X169" s="192"/>
      <c r="Y169" s="167"/>
      <c r="Z169" s="167"/>
    </row>
    <row r="170" spans="1:26">
      <c r="A170" s="162"/>
      <c r="B170" s="132"/>
      <c r="C170" s="66"/>
      <c r="D170" s="66"/>
      <c r="E170" s="66"/>
      <c r="F170" s="66"/>
      <c r="G170" s="69"/>
      <c r="H170" s="66"/>
      <c r="I170" s="70"/>
      <c r="J170" s="54">
        <f t="shared" si="1"/>
        <v>0</v>
      </c>
      <c r="K170" s="55" t="b">
        <v>0</v>
      </c>
      <c r="L170" s="56"/>
      <c r="M170" s="57" t="b">
        <v>0</v>
      </c>
      <c r="N170" s="58"/>
      <c r="O170" s="226"/>
      <c r="P170" s="59" t="b">
        <v>0</v>
      </c>
      <c r="Q170" s="129"/>
      <c r="R170" s="165"/>
      <c r="S170" s="47" t="b">
        <v>0</v>
      </c>
      <c r="T170" s="249"/>
      <c r="U170" s="54"/>
      <c r="V170" s="54"/>
      <c r="W170" s="192"/>
      <c r="X170" s="192"/>
      <c r="Y170" s="167"/>
      <c r="Z170" s="167"/>
    </row>
    <row r="171" spans="1:26">
      <c r="A171" s="162"/>
      <c r="B171" s="132"/>
      <c r="C171" s="66"/>
      <c r="D171" s="66"/>
      <c r="E171" s="66"/>
      <c r="F171" s="69"/>
      <c r="G171" s="69"/>
      <c r="H171" s="66"/>
      <c r="I171" s="70"/>
      <c r="J171" s="54">
        <f t="shared" si="1"/>
        <v>0</v>
      </c>
      <c r="K171" s="55" t="b">
        <v>0</v>
      </c>
      <c r="L171" s="56"/>
      <c r="M171" s="57" t="b">
        <v>0</v>
      </c>
      <c r="N171" s="58"/>
      <c r="O171" s="226"/>
      <c r="P171" s="59" t="b">
        <v>0</v>
      </c>
      <c r="Q171" s="129"/>
      <c r="R171" s="165"/>
      <c r="S171" s="47" t="b">
        <v>0</v>
      </c>
      <c r="T171" s="249"/>
      <c r="U171" s="54"/>
      <c r="V171" s="54"/>
      <c r="W171" s="192"/>
      <c r="X171" s="192"/>
      <c r="Y171" s="167"/>
      <c r="Z171" s="167"/>
    </row>
    <row r="172" spans="1:26">
      <c r="A172" s="162"/>
      <c r="B172" s="132"/>
      <c r="C172" s="66"/>
      <c r="D172" s="66"/>
      <c r="E172" s="66"/>
      <c r="F172" s="66"/>
      <c r="G172" s="69"/>
      <c r="H172" s="53"/>
      <c r="I172" s="70"/>
      <c r="J172" s="54">
        <f t="shared" si="1"/>
        <v>0</v>
      </c>
      <c r="K172" s="55" t="b">
        <v>0</v>
      </c>
      <c r="L172" s="56"/>
      <c r="M172" s="57" t="b">
        <v>0</v>
      </c>
      <c r="N172" s="58"/>
      <c r="O172" s="226"/>
      <c r="P172" s="59" t="b">
        <v>0</v>
      </c>
      <c r="Q172" s="129"/>
      <c r="R172" s="165"/>
      <c r="S172" s="47" t="b">
        <v>0</v>
      </c>
      <c r="T172" s="249"/>
      <c r="U172" s="54"/>
      <c r="V172" s="54"/>
      <c r="W172" s="192"/>
      <c r="X172" s="192"/>
      <c r="Y172" s="167"/>
      <c r="Z172" s="167"/>
    </row>
    <row r="173" spans="1:26">
      <c r="A173" s="162"/>
      <c r="B173" s="132"/>
      <c r="C173" s="66"/>
      <c r="D173" s="66"/>
      <c r="E173" s="66"/>
      <c r="F173" s="66"/>
      <c r="G173" s="69"/>
      <c r="H173" s="53"/>
      <c r="I173" s="70"/>
      <c r="J173" s="54">
        <f t="shared" si="1"/>
        <v>0</v>
      </c>
      <c r="K173" s="55" t="b">
        <v>0</v>
      </c>
      <c r="L173" s="56"/>
      <c r="M173" s="57" t="b">
        <v>0</v>
      </c>
      <c r="N173" s="58"/>
      <c r="O173" s="226"/>
      <c r="P173" s="59" t="b">
        <v>0</v>
      </c>
      <c r="Q173" s="129"/>
      <c r="R173" s="165"/>
      <c r="S173" s="47" t="b">
        <v>0</v>
      </c>
      <c r="T173" s="249"/>
      <c r="U173" s="54"/>
      <c r="V173" s="54"/>
      <c r="W173" s="192"/>
      <c r="X173" s="192"/>
      <c r="Y173" s="167"/>
      <c r="Z173" s="167"/>
    </row>
    <row r="174" spans="1:26">
      <c r="A174" s="162"/>
      <c r="B174" s="132"/>
      <c r="C174" s="66"/>
      <c r="D174" s="66"/>
      <c r="E174" s="66"/>
      <c r="F174" s="66"/>
      <c r="G174" s="69"/>
      <c r="H174" s="53"/>
      <c r="I174" s="70"/>
      <c r="J174" s="54">
        <f t="shared" si="1"/>
        <v>0</v>
      </c>
      <c r="K174" s="55" t="b">
        <v>0</v>
      </c>
      <c r="L174" s="56"/>
      <c r="M174" s="57" t="b">
        <v>0</v>
      </c>
      <c r="N174" s="58"/>
      <c r="O174" s="226"/>
      <c r="P174" s="59" t="b">
        <v>0</v>
      </c>
      <c r="Q174" s="129"/>
      <c r="R174" s="165"/>
      <c r="S174" s="47" t="b">
        <v>0</v>
      </c>
      <c r="T174" s="249"/>
      <c r="U174" s="54"/>
      <c r="V174" s="54"/>
      <c r="W174" s="192"/>
      <c r="X174" s="192"/>
      <c r="Y174" s="167"/>
      <c r="Z174" s="167"/>
    </row>
    <row r="175" spans="1:26">
      <c r="A175" s="162"/>
      <c r="B175" s="132"/>
      <c r="C175" s="66"/>
      <c r="D175" s="66"/>
      <c r="E175" s="66"/>
      <c r="F175" s="66"/>
      <c r="G175" s="69"/>
      <c r="H175" s="53"/>
      <c r="I175" s="70"/>
      <c r="J175" s="54">
        <f t="shared" si="1"/>
        <v>0</v>
      </c>
      <c r="K175" s="55" t="b">
        <v>0</v>
      </c>
      <c r="L175" s="56"/>
      <c r="M175" s="57" t="b">
        <v>0</v>
      </c>
      <c r="N175" s="58"/>
      <c r="O175" s="226"/>
      <c r="P175" s="59" t="b">
        <v>0</v>
      </c>
      <c r="Q175" s="129"/>
      <c r="R175" s="165"/>
      <c r="S175" s="47" t="b">
        <v>0</v>
      </c>
      <c r="T175" s="249"/>
      <c r="U175" s="54"/>
      <c r="V175" s="54"/>
      <c r="W175" s="192"/>
      <c r="X175" s="192"/>
      <c r="Y175" s="167"/>
      <c r="Z175" s="167"/>
    </row>
    <row r="176" spans="1:26">
      <c r="A176" s="162"/>
      <c r="B176" s="132"/>
      <c r="C176" s="66"/>
      <c r="D176" s="66"/>
      <c r="E176" s="66"/>
      <c r="F176" s="66"/>
      <c r="G176" s="69"/>
      <c r="H176" s="53"/>
      <c r="I176" s="70"/>
      <c r="J176" s="54">
        <f t="shared" si="1"/>
        <v>0</v>
      </c>
      <c r="K176" s="55" t="b">
        <v>0</v>
      </c>
      <c r="L176" s="56"/>
      <c r="M176" s="57" t="b">
        <v>0</v>
      </c>
      <c r="N176" s="58"/>
      <c r="O176" s="226"/>
      <c r="P176" s="59" t="b">
        <v>0</v>
      </c>
      <c r="Q176" s="129"/>
      <c r="R176" s="165"/>
      <c r="S176" s="47" t="b">
        <v>0</v>
      </c>
      <c r="T176" s="249"/>
      <c r="U176" s="54"/>
      <c r="V176" s="54"/>
      <c r="W176" s="192"/>
      <c r="X176" s="192"/>
      <c r="Y176" s="167"/>
      <c r="Z176" s="167"/>
    </row>
    <row r="177" spans="1:26">
      <c r="A177" s="162"/>
      <c r="B177" s="132"/>
      <c r="C177" s="66"/>
      <c r="D177" s="66"/>
      <c r="E177" s="66"/>
      <c r="F177" s="66"/>
      <c r="G177" s="69"/>
      <c r="H177" s="53"/>
      <c r="I177" s="70"/>
      <c r="J177" s="54">
        <f t="shared" si="1"/>
        <v>0</v>
      </c>
      <c r="K177" s="55" t="b">
        <v>0</v>
      </c>
      <c r="L177" s="56"/>
      <c r="M177" s="57" t="b">
        <v>0</v>
      </c>
      <c r="N177" s="58"/>
      <c r="O177" s="226"/>
      <c r="P177" s="59" t="b">
        <v>0</v>
      </c>
      <c r="Q177" s="129"/>
      <c r="R177" s="165"/>
      <c r="S177" s="47" t="b">
        <v>0</v>
      </c>
      <c r="T177" s="249"/>
      <c r="U177" s="54"/>
      <c r="V177" s="54"/>
      <c r="W177" s="192"/>
      <c r="X177" s="192"/>
      <c r="Y177" s="167"/>
      <c r="Z177" s="167"/>
    </row>
    <row r="178" spans="1:26">
      <c r="A178" s="162"/>
      <c r="B178" s="132"/>
      <c r="C178" s="66"/>
      <c r="D178" s="66"/>
      <c r="E178" s="66"/>
      <c r="F178" s="66"/>
      <c r="G178" s="69"/>
      <c r="H178" s="53"/>
      <c r="I178" s="70"/>
      <c r="J178" s="54">
        <f t="shared" si="1"/>
        <v>0</v>
      </c>
      <c r="K178" s="55" t="b">
        <v>0</v>
      </c>
      <c r="L178" s="56"/>
      <c r="M178" s="57" t="b">
        <v>0</v>
      </c>
      <c r="N178" s="58"/>
      <c r="O178" s="226"/>
      <c r="P178" s="59" t="b">
        <v>0</v>
      </c>
      <c r="Q178" s="129"/>
      <c r="R178" s="165"/>
      <c r="S178" s="47" t="b">
        <v>0</v>
      </c>
      <c r="T178" s="249"/>
      <c r="U178" s="54"/>
      <c r="V178" s="54"/>
      <c r="W178" s="192"/>
      <c r="X178" s="192"/>
      <c r="Y178" s="167"/>
      <c r="Z178" s="167"/>
    </row>
    <row r="179" spans="1:26">
      <c r="A179" s="162"/>
      <c r="B179" s="132"/>
      <c r="C179" s="66"/>
      <c r="D179" s="66"/>
      <c r="E179" s="66"/>
      <c r="F179" s="66"/>
      <c r="G179" s="69"/>
      <c r="H179" s="53"/>
      <c r="I179" s="70"/>
      <c r="J179" s="54">
        <f t="shared" si="1"/>
        <v>0</v>
      </c>
      <c r="K179" s="55" t="b">
        <v>0</v>
      </c>
      <c r="L179" s="56"/>
      <c r="M179" s="57" t="b">
        <v>0</v>
      </c>
      <c r="N179" s="58"/>
      <c r="O179" s="226"/>
      <c r="P179" s="59" t="b">
        <v>0</v>
      </c>
      <c r="Q179" s="129"/>
      <c r="R179" s="165"/>
      <c r="S179" s="47" t="b">
        <v>0</v>
      </c>
      <c r="T179" s="249"/>
      <c r="U179" s="54"/>
      <c r="V179" s="54"/>
      <c r="W179" s="192"/>
      <c r="X179" s="192"/>
      <c r="Y179" s="167"/>
      <c r="Z179" s="167"/>
    </row>
    <row r="180" spans="1:26">
      <c r="A180" s="162"/>
      <c r="B180" s="132"/>
      <c r="C180" s="66"/>
      <c r="D180" s="66"/>
      <c r="E180" s="66"/>
      <c r="F180" s="66"/>
      <c r="G180" s="69"/>
      <c r="H180" s="53"/>
      <c r="I180" s="70"/>
      <c r="J180" s="54">
        <f t="shared" si="1"/>
        <v>0</v>
      </c>
      <c r="K180" s="55" t="b">
        <v>0</v>
      </c>
      <c r="L180" s="56"/>
      <c r="M180" s="57" t="b">
        <v>0</v>
      </c>
      <c r="N180" s="58"/>
      <c r="O180" s="226"/>
      <c r="P180" s="59" t="b">
        <v>0</v>
      </c>
      <c r="Q180" s="129"/>
      <c r="R180" s="165"/>
      <c r="S180" s="47" t="b">
        <v>0</v>
      </c>
      <c r="T180" s="227"/>
      <c r="U180" s="75"/>
      <c r="V180" s="75"/>
      <c r="W180" s="166"/>
      <c r="X180" s="166"/>
      <c r="Y180" s="167"/>
      <c r="Z180" s="167"/>
    </row>
    <row r="181" spans="1:26">
      <c r="A181" s="162"/>
      <c r="B181" s="132"/>
      <c r="C181" s="66"/>
      <c r="D181" s="66"/>
      <c r="E181" s="66"/>
      <c r="F181" s="66"/>
      <c r="G181" s="69"/>
      <c r="H181" s="53"/>
      <c r="I181" s="70"/>
      <c r="J181" s="54">
        <f t="shared" si="1"/>
        <v>0</v>
      </c>
      <c r="K181" s="55" t="b">
        <v>0</v>
      </c>
      <c r="L181" s="56"/>
      <c r="M181" s="57" t="b">
        <v>0</v>
      </c>
      <c r="N181" s="58"/>
      <c r="O181" s="226"/>
      <c r="P181" s="59" t="b">
        <v>0</v>
      </c>
      <c r="Q181" s="129"/>
      <c r="R181" s="165"/>
      <c r="S181" s="47" t="b">
        <v>0</v>
      </c>
      <c r="T181" s="227"/>
      <c r="U181" s="75"/>
      <c r="V181" s="75"/>
      <c r="W181" s="166"/>
      <c r="X181" s="166"/>
      <c r="Y181" s="167"/>
      <c r="Z181" s="167"/>
    </row>
    <row r="182" spans="1:26">
      <c r="A182" s="162"/>
      <c r="B182" s="132"/>
      <c r="C182" s="66"/>
      <c r="D182" s="66"/>
      <c r="E182" s="66"/>
      <c r="F182" s="66"/>
      <c r="G182" s="69"/>
      <c r="H182" s="53"/>
      <c r="I182" s="70"/>
      <c r="J182" s="54">
        <f t="shared" si="1"/>
        <v>0</v>
      </c>
      <c r="K182" s="55" t="b">
        <v>0</v>
      </c>
      <c r="L182" s="56"/>
      <c r="M182" s="57" t="b">
        <v>0</v>
      </c>
      <c r="N182" s="58"/>
      <c r="O182" s="226"/>
      <c r="P182" s="59" t="b">
        <v>0</v>
      </c>
      <c r="Q182" s="129"/>
      <c r="R182" s="165"/>
      <c r="S182" s="47" t="b">
        <v>0</v>
      </c>
      <c r="T182" s="227"/>
      <c r="U182" s="75"/>
      <c r="V182" s="75"/>
      <c r="W182" s="166"/>
      <c r="X182" s="166"/>
      <c r="Y182" s="167"/>
      <c r="Z182" s="167"/>
    </row>
    <row r="183" spans="1:26">
      <c r="A183" s="162"/>
      <c r="B183" s="132"/>
      <c r="C183" s="66"/>
      <c r="D183" s="66"/>
      <c r="E183" s="66"/>
      <c r="F183" s="66"/>
      <c r="G183" s="69"/>
      <c r="H183" s="53"/>
      <c r="I183" s="70"/>
      <c r="J183" s="54">
        <f t="shared" si="1"/>
        <v>0</v>
      </c>
      <c r="K183" s="55" t="b">
        <v>0</v>
      </c>
      <c r="L183" s="56"/>
      <c r="M183" s="57" t="b">
        <v>0</v>
      </c>
      <c r="N183" s="58"/>
      <c r="O183" s="226"/>
      <c r="P183" s="59" t="b">
        <v>0</v>
      </c>
      <c r="Q183" s="129"/>
      <c r="R183" s="165"/>
      <c r="S183" s="47" t="b">
        <v>0</v>
      </c>
      <c r="T183" s="227"/>
      <c r="U183" s="75"/>
      <c r="V183" s="75"/>
      <c r="W183" s="166"/>
      <c r="X183" s="166"/>
      <c r="Y183" s="167"/>
      <c r="Z183" s="167"/>
    </row>
    <row r="184" spans="1:26">
      <c r="A184" s="162"/>
      <c r="B184" s="132"/>
      <c r="C184" s="66"/>
      <c r="D184" s="66"/>
      <c r="E184" s="66"/>
      <c r="F184" s="66"/>
      <c r="G184" s="69"/>
      <c r="H184" s="53"/>
      <c r="I184" s="70"/>
      <c r="J184" s="54">
        <f t="shared" si="1"/>
        <v>0</v>
      </c>
      <c r="K184" s="55" t="b">
        <v>0</v>
      </c>
      <c r="L184" s="56"/>
      <c r="M184" s="57" t="b">
        <v>0</v>
      </c>
      <c r="N184" s="58"/>
      <c r="O184" s="226"/>
      <c r="P184" s="59" t="b">
        <v>0</v>
      </c>
      <c r="Q184" s="129"/>
      <c r="R184" s="165"/>
      <c r="S184" s="47" t="b">
        <v>0</v>
      </c>
      <c r="T184" s="227"/>
      <c r="U184" s="75"/>
      <c r="V184" s="75"/>
      <c r="W184" s="166"/>
      <c r="X184" s="166"/>
      <c r="Y184" s="167"/>
      <c r="Z184" s="167"/>
    </row>
    <row r="185" spans="1:26">
      <c r="A185" s="162"/>
      <c r="B185" s="132"/>
      <c r="C185" s="66"/>
      <c r="D185" s="66"/>
      <c r="E185" s="66"/>
      <c r="F185" s="66"/>
      <c r="G185" s="69"/>
      <c r="H185" s="53"/>
      <c r="I185" s="70"/>
      <c r="J185" s="54">
        <f t="shared" si="1"/>
        <v>0</v>
      </c>
      <c r="K185" s="55" t="b">
        <v>0</v>
      </c>
      <c r="L185" s="56"/>
      <c r="M185" s="57" t="b">
        <v>0</v>
      </c>
      <c r="N185" s="58"/>
      <c r="O185" s="226"/>
      <c r="P185" s="59" t="b">
        <v>0</v>
      </c>
      <c r="Q185" s="129"/>
      <c r="R185" s="165"/>
      <c r="S185" s="47" t="b">
        <v>0</v>
      </c>
      <c r="T185" s="227"/>
      <c r="U185" s="75"/>
      <c r="V185" s="75"/>
      <c r="W185" s="166"/>
      <c r="X185" s="166"/>
      <c r="Y185" s="167"/>
      <c r="Z185" s="167"/>
    </row>
    <row r="186" spans="1:26">
      <c r="A186" s="162"/>
      <c r="B186" s="132"/>
      <c r="C186" s="66"/>
      <c r="D186" s="66"/>
      <c r="E186" s="66"/>
      <c r="F186" s="66"/>
      <c r="G186" s="69"/>
      <c r="H186" s="53"/>
      <c r="I186" s="70"/>
      <c r="J186" s="54">
        <f t="shared" si="1"/>
        <v>0</v>
      </c>
      <c r="K186" s="55" t="b">
        <v>0</v>
      </c>
      <c r="L186" s="56"/>
      <c r="M186" s="57" t="b">
        <v>0</v>
      </c>
      <c r="N186" s="58"/>
      <c r="O186" s="226"/>
      <c r="P186" s="59" t="b">
        <v>0</v>
      </c>
      <c r="Q186" s="129"/>
      <c r="R186" s="165"/>
      <c r="S186" s="47" t="b">
        <v>0</v>
      </c>
      <c r="T186" s="227"/>
      <c r="U186" s="75"/>
      <c r="V186" s="75"/>
      <c r="W186" s="166"/>
      <c r="X186" s="166"/>
      <c r="Y186" s="167"/>
      <c r="Z186" s="167"/>
    </row>
    <row r="187" spans="1:26">
      <c r="A187" s="162"/>
      <c r="B187" s="132"/>
      <c r="C187" s="66"/>
      <c r="D187" s="66"/>
      <c r="E187" s="66"/>
      <c r="F187" s="66"/>
      <c r="G187" s="69"/>
      <c r="H187" s="53"/>
      <c r="I187" s="70"/>
      <c r="J187" s="54">
        <f t="shared" si="1"/>
        <v>0</v>
      </c>
      <c r="K187" s="55" t="b">
        <v>0</v>
      </c>
      <c r="L187" s="56"/>
      <c r="M187" s="57" t="b">
        <v>0</v>
      </c>
      <c r="N187" s="58"/>
      <c r="O187" s="226"/>
      <c r="P187" s="59" t="b">
        <v>0</v>
      </c>
      <c r="Q187" s="129"/>
      <c r="R187" s="165"/>
      <c r="S187" s="47" t="b">
        <v>0</v>
      </c>
      <c r="T187" s="227"/>
      <c r="U187" s="75"/>
      <c r="V187" s="75"/>
      <c r="W187" s="166"/>
      <c r="X187" s="166"/>
      <c r="Y187" s="167"/>
      <c r="Z187" s="167"/>
    </row>
    <row r="188" spans="1:26">
      <c r="A188" s="162"/>
      <c r="B188" s="132"/>
      <c r="C188" s="66"/>
      <c r="D188" s="66"/>
      <c r="E188" s="66"/>
      <c r="F188" s="66"/>
      <c r="G188" s="69"/>
      <c r="H188" s="53"/>
      <c r="I188" s="70"/>
      <c r="J188" s="54">
        <f t="shared" si="1"/>
        <v>0</v>
      </c>
      <c r="K188" s="55" t="b">
        <v>0</v>
      </c>
      <c r="L188" s="56"/>
      <c r="M188" s="57" t="b">
        <v>0</v>
      </c>
      <c r="N188" s="58"/>
      <c r="O188" s="226"/>
      <c r="P188" s="59" t="b">
        <v>0</v>
      </c>
      <c r="Q188" s="129"/>
      <c r="R188" s="165"/>
      <c r="S188" s="47" t="b">
        <v>0</v>
      </c>
      <c r="T188" s="227"/>
      <c r="U188" s="75"/>
      <c r="V188" s="75"/>
      <c r="W188" s="166"/>
      <c r="X188" s="166"/>
      <c r="Y188" s="167"/>
      <c r="Z188" s="167"/>
    </row>
    <row r="189" spans="1:26">
      <c r="A189" s="162"/>
      <c r="B189" s="132"/>
      <c r="C189" s="66"/>
      <c r="D189" s="66"/>
      <c r="E189" s="66"/>
      <c r="F189" s="66"/>
      <c r="G189" s="69"/>
      <c r="H189" s="53"/>
      <c r="I189" s="70"/>
      <c r="J189" s="54">
        <f t="shared" si="1"/>
        <v>0</v>
      </c>
      <c r="K189" s="55" t="b">
        <v>0</v>
      </c>
      <c r="L189" s="56"/>
      <c r="M189" s="57" t="b">
        <v>0</v>
      </c>
      <c r="N189" s="58"/>
      <c r="O189" s="226"/>
      <c r="P189" s="59" t="b">
        <v>0</v>
      </c>
      <c r="Q189" s="129"/>
      <c r="R189" s="165"/>
      <c r="S189" s="47" t="b">
        <v>0</v>
      </c>
      <c r="T189" s="227"/>
      <c r="U189" s="75"/>
      <c r="V189" s="75"/>
      <c r="W189" s="166"/>
      <c r="X189" s="166"/>
      <c r="Y189" s="167"/>
      <c r="Z189" s="167"/>
    </row>
    <row r="190" spans="1:26">
      <c r="A190" s="162"/>
      <c r="B190" s="132"/>
      <c r="C190" s="66"/>
      <c r="D190" s="66"/>
      <c r="E190" s="66"/>
      <c r="F190" s="66"/>
      <c r="G190" s="69"/>
      <c r="H190" s="53"/>
      <c r="I190" s="70"/>
      <c r="J190" s="54">
        <f t="shared" si="1"/>
        <v>0</v>
      </c>
      <c r="K190" s="55" t="b">
        <v>0</v>
      </c>
      <c r="L190" s="56"/>
      <c r="M190" s="57" t="b">
        <v>0</v>
      </c>
      <c r="N190" s="58"/>
      <c r="O190" s="226"/>
      <c r="P190" s="59" t="b">
        <v>0</v>
      </c>
      <c r="Q190" s="129"/>
      <c r="R190" s="165"/>
      <c r="S190" s="47" t="b">
        <v>0</v>
      </c>
      <c r="T190" s="227"/>
      <c r="U190" s="75"/>
      <c r="V190" s="75"/>
      <c r="W190" s="166"/>
      <c r="X190" s="166"/>
      <c r="Y190" s="167"/>
      <c r="Z190" s="167"/>
    </row>
    <row r="191" spans="1:26">
      <c r="A191" s="162"/>
      <c r="B191" s="132"/>
      <c r="C191" s="66"/>
      <c r="D191" s="66"/>
      <c r="E191" s="66"/>
      <c r="F191" s="66"/>
      <c r="G191" s="69"/>
      <c r="H191" s="53"/>
      <c r="I191" s="70"/>
      <c r="J191" s="54">
        <f t="shared" si="1"/>
        <v>0</v>
      </c>
      <c r="K191" s="55" t="b">
        <v>0</v>
      </c>
      <c r="L191" s="56"/>
      <c r="M191" s="57" t="b">
        <v>0</v>
      </c>
      <c r="N191" s="58"/>
      <c r="O191" s="226"/>
      <c r="P191" s="59" t="b">
        <v>0</v>
      </c>
      <c r="Q191" s="129"/>
      <c r="R191" s="165"/>
      <c r="S191" s="47" t="b">
        <v>0</v>
      </c>
      <c r="T191" s="227"/>
      <c r="U191" s="75"/>
      <c r="V191" s="75"/>
      <c r="W191" s="166"/>
      <c r="X191" s="166"/>
      <c r="Y191" s="167"/>
      <c r="Z191" s="167"/>
    </row>
    <row r="192" spans="1:26">
      <c r="A192" s="162"/>
      <c r="B192" s="132"/>
      <c r="C192" s="66"/>
      <c r="D192" s="66"/>
      <c r="E192" s="66"/>
      <c r="F192" s="66"/>
      <c r="G192" s="69"/>
      <c r="H192" s="53"/>
      <c r="I192" s="70"/>
      <c r="J192" s="54">
        <f t="shared" si="1"/>
        <v>0</v>
      </c>
      <c r="K192" s="55" t="b">
        <v>0</v>
      </c>
      <c r="L192" s="56"/>
      <c r="M192" s="57" t="b">
        <v>0</v>
      </c>
      <c r="N192" s="58"/>
      <c r="O192" s="226"/>
      <c r="P192" s="59" t="b">
        <v>0</v>
      </c>
      <c r="Q192" s="129"/>
      <c r="R192" s="165"/>
      <c r="S192" s="47" t="b">
        <v>0</v>
      </c>
      <c r="T192" s="227"/>
      <c r="U192" s="75"/>
      <c r="V192" s="75"/>
      <c r="W192" s="166"/>
      <c r="X192" s="166"/>
      <c r="Y192" s="167"/>
      <c r="Z192" s="167"/>
    </row>
    <row r="193" spans="1:26">
      <c r="A193" s="162"/>
      <c r="B193" s="132"/>
      <c r="C193" s="66"/>
      <c r="D193" s="66"/>
      <c r="E193" s="66"/>
      <c r="F193" s="66"/>
      <c r="G193" s="69"/>
      <c r="H193" s="53"/>
      <c r="I193" s="70"/>
      <c r="J193" s="54">
        <f t="shared" si="1"/>
        <v>0</v>
      </c>
      <c r="K193" s="55" t="b">
        <v>0</v>
      </c>
      <c r="L193" s="56"/>
      <c r="M193" s="57" t="b">
        <v>0</v>
      </c>
      <c r="N193" s="58"/>
      <c r="O193" s="226"/>
      <c r="P193" s="59" t="b">
        <v>0</v>
      </c>
      <c r="Q193" s="129"/>
      <c r="R193" s="165"/>
      <c r="S193" s="47" t="b">
        <v>0</v>
      </c>
      <c r="T193" s="227"/>
      <c r="U193" s="75"/>
      <c r="V193" s="75"/>
      <c r="W193" s="166"/>
      <c r="X193" s="166"/>
      <c r="Y193" s="167"/>
      <c r="Z193" s="167"/>
    </row>
    <row r="194" spans="1:26">
      <c r="A194" s="162"/>
      <c r="B194" s="132"/>
      <c r="C194" s="66"/>
      <c r="D194" s="66"/>
      <c r="E194" s="66"/>
      <c r="F194" s="66"/>
      <c r="G194" s="69"/>
      <c r="H194" s="53"/>
      <c r="I194" s="70"/>
      <c r="J194" s="54">
        <f t="shared" si="1"/>
        <v>0</v>
      </c>
      <c r="K194" s="55" t="b">
        <v>0</v>
      </c>
      <c r="L194" s="56"/>
      <c r="M194" s="57" t="b">
        <v>0</v>
      </c>
      <c r="N194" s="58"/>
      <c r="O194" s="226"/>
      <c r="P194" s="59" t="b">
        <v>0</v>
      </c>
      <c r="Q194" s="129"/>
      <c r="R194" s="165"/>
      <c r="S194" s="47" t="b">
        <v>0</v>
      </c>
      <c r="T194" s="227"/>
      <c r="U194" s="75"/>
      <c r="V194" s="75"/>
      <c r="W194" s="166"/>
      <c r="X194" s="166"/>
      <c r="Y194" s="167"/>
      <c r="Z194" s="167"/>
    </row>
    <row r="195" spans="1:26">
      <c r="A195" s="162"/>
      <c r="B195" s="132"/>
      <c r="C195" s="66"/>
      <c r="D195" s="66"/>
      <c r="E195" s="66"/>
      <c r="F195" s="66"/>
      <c r="G195" s="69"/>
      <c r="H195" s="53"/>
      <c r="I195" s="70"/>
      <c r="J195" s="54">
        <f t="shared" si="1"/>
        <v>0</v>
      </c>
      <c r="K195" s="55" t="b">
        <v>0</v>
      </c>
      <c r="L195" s="56"/>
      <c r="M195" s="57" t="b">
        <v>0</v>
      </c>
      <c r="N195" s="58"/>
      <c r="O195" s="226"/>
      <c r="P195" s="59" t="b">
        <v>0</v>
      </c>
      <c r="Q195" s="129"/>
      <c r="R195" s="165"/>
      <c r="S195" s="47" t="b">
        <v>0</v>
      </c>
      <c r="T195" s="227"/>
      <c r="U195" s="75"/>
      <c r="V195" s="75"/>
      <c r="W195" s="166"/>
      <c r="X195" s="166"/>
      <c r="Y195" s="167"/>
      <c r="Z195" s="167"/>
    </row>
    <row r="196" spans="1:26">
      <c r="A196" s="162"/>
      <c r="B196" s="132"/>
      <c r="C196" s="66"/>
      <c r="D196" s="66"/>
      <c r="E196" s="66"/>
      <c r="F196" s="66"/>
      <c r="G196" s="69"/>
      <c r="H196" s="53"/>
      <c r="I196" s="70"/>
      <c r="J196" s="54">
        <f t="shared" si="1"/>
        <v>0</v>
      </c>
      <c r="K196" s="55" t="b">
        <v>0</v>
      </c>
      <c r="L196" s="56"/>
      <c r="M196" s="57" t="b">
        <v>0</v>
      </c>
      <c r="N196" s="58"/>
      <c r="O196" s="226"/>
      <c r="P196" s="59" t="b">
        <v>0</v>
      </c>
      <c r="Q196" s="129"/>
      <c r="R196" s="165"/>
      <c r="S196" s="47" t="b">
        <v>0</v>
      </c>
      <c r="T196" s="227"/>
      <c r="U196" s="75"/>
      <c r="V196" s="75"/>
      <c r="W196" s="166"/>
      <c r="X196" s="166"/>
      <c r="Y196" s="167"/>
      <c r="Z196" s="167"/>
    </row>
    <row r="197" spans="1:26">
      <c r="A197" s="162"/>
      <c r="B197" s="132"/>
      <c r="C197" s="66"/>
      <c r="D197" s="66"/>
      <c r="E197" s="66"/>
      <c r="F197" s="66"/>
      <c r="G197" s="69"/>
      <c r="H197" s="53"/>
      <c r="I197" s="70"/>
      <c r="J197" s="54">
        <f t="shared" si="1"/>
        <v>0</v>
      </c>
      <c r="K197" s="55" t="b">
        <v>0</v>
      </c>
      <c r="L197" s="56"/>
      <c r="M197" s="57" t="b">
        <v>0</v>
      </c>
      <c r="N197" s="58"/>
      <c r="O197" s="226"/>
      <c r="P197" s="59" t="b">
        <v>0</v>
      </c>
      <c r="Q197" s="129"/>
      <c r="R197" s="165"/>
      <c r="S197" s="47" t="b">
        <v>0</v>
      </c>
      <c r="T197" s="227"/>
      <c r="U197" s="75"/>
      <c r="V197" s="75"/>
      <c r="W197" s="166"/>
      <c r="X197" s="166"/>
      <c r="Y197" s="167"/>
      <c r="Z197" s="167"/>
    </row>
    <row r="198" spans="1:26">
      <c r="A198" s="162"/>
      <c r="B198" s="132"/>
      <c r="C198" s="66"/>
      <c r="D198" s="66"/>
      <c r="E198" s="66"/>
      <c r="F198" s="66"/>
      <c r="G198" s="69"/>
      <c r="H198" s="53"/>
      <c r="I198" s="70"/>
      <c r="J198" s="54">
        <f t="shared" si="1"/>
        <v>0</v>
      </c>
      <c r="K198" s="55" t="b">
        <v>0</v>
      </c>
      <c r="L198" s="56"/>
      <c r="M198" s="57" t="b">
        <v>0</v>
      </c>
      <c r="N198" s="58"/>
      <c r="O198" s="226"/>
      <c r="P198" s="59" t="b">
        <v>0</v>
      </c>
      <c r="Q198" s="129"/>
      <c r="R198" s="165"/>
      <c r="S198" s="47" t="b">
        <v>0</v>
      </c>
      <c r="T198" s="227"/>
      <c r="U198" s="75"/>
      <c r="V198" s="75"/>
      <c r="W198" s="166"/>
      <c r="X198" s="166"/>
      <c r="Y198" s="167"/>
      <c r="Z198" s="167"/>
    </row>
    <row r="199" spans="1:26">
      <c r="A199" s="162"/>
      <c r="B199" s="132"/>
      <c r="C199" s="66"/>
      <c r="D199" s="66"/>
      <c r="E199" s="66"/>
      <c r="F199" s="66"/>
      <c r="G199" s="69"/>
      <c r="H199" s="53"/>
      <c r="I199" s="70"/>
      <c r="J199" s="54">
        <f t="shared" si="1"/>
        <v>0</v>
      </c>
      <c r="K199" s="55" t="b">
        <v>0</v>
      </c>
      <c r="L199" s="56"/>
      <c r="M199" s="57" t="b">
        <v>0</v>
      </c>
      <c r="N199" s="58"/>
      <c r="O199" s="226"/>
      <c r="P199" s="59" t="b">
        <v>0</v>
      </c>
      <c r="Q199" s="129"/>
      <c r="R199" s="165"/>
      <c r="S199" s="47" t="b">
        <v>0</v>
      </c>
      <c r="T199" s="227"/>
      <c r="U199" s="75"/>
      <c r="V199" s="75"/>
      <c r="W199" s="166"/>
      <c r="X199" s="166"/>
      <c r="Y199" s="167"/>
      <c r="Z199" s="167"/>
    </row>
    <row r="200" spans="1:26">
      <c r="A200" s="162"/>
      <c r="B200" s="132"/>
      <c r="C200" s="66"/>
      <c r="D200" s="66"/>
      <c r="E200" s="66"/>
      <c r="F200" s="66"/>
      <c r="G200" s="69"/>
      <c r="H200" s="53"/>
      <c r="I200" s="70"/>
      <c r="J200" s="54">
        <f t="shared" si="1"/>
        <v>0</v>
      </c>
      <c r="K200" s="55" t="b">
        <v>0</v>
      </c>
      <c r="L200" s="56"/>
      <c r="M200" s="57" t="b">
        <v>0</v>
      </c>
      <c r="N200" s="58"/>
      <c r="O200" s="226"/>
      <c r="P200" s="59" t="b">
        <v>0</v>
      </c>
      <c r="Q200" s="129"/>
      <c r="R200" s="165"/>
      <c r="S200" s="47" t="b">
        <v>0</v>
      </c>
      <c r="T200" s="227"/>
      <c r="U200" s="75"/>
      <c r="V200" s="75"/>
      <c r="W200" s="166"/>
      <c r="X200" s="166"/>
      <c r="Y200" s="167"/>
      <c r="Z200" s="167"/>
    </row>
    <row r="201" spans="1:26">
      <c r="A201" s="162"/>
      <c r="B201" s="132"/>
      <c r="C201" s="66"/>
      <c r="D201" s="66"/>
      <c r="E201" s="66"/>
      <c r="F201" s="66"/>
      <c r="G201" s="69"/>
      <c r="H201" s="53"/>
      <c r="I201" s="70"/>
      <c r="J201" s="54">
        <f t="shared" si="1"/>
        <v>0</v>
      </c>
      <c r="K201" s="55" t="b">
        <v>0</v>
      </c>
      <c r="L201" s="56"/>
      <c r="M201" s="57" t="b">
        <v>0</v>
      </c>
      <c r="N201" s="58"/>
      <c r="O201" s="226"/>
      <c r="P201" s="59" t="b">
        <v>0</v>
      </c>
      <c r="Q201" s="129"/>
      <c r="R201" s="165"/>
      <c r="S201" s="47" t="b">
        <v>0</v>
      </c>
      <c r="T201" s="227"/>
      <c r="U201" s="75"/>
      <c r="V201" s="75"/>
      <c r="W201" s="166"/>
      <c r="X201" s="166"/>
      <c r="Y201" s="167"/>
      <c r="Z201" s="167"/>
    </row>
    <row r="202" spans="1:26">
      <c r="A202" s="162"/>
      <c r="B202" s="132"/>
      <c r="C202" s="66"/>
      <c r="D202" s="66"/>
      <c r="E202" s="66"/>
      <c r="F202" s="66"/>
      <c r="G202" s="69"/>
      <c r="H202" s="53"/>
      <c r="I202" s="70"/>
      <c r="J202" s="54">
        <f t="shared" si="1"/>
        <v>0</v>
      </c>
      <c r="K202" s="55" t="b">
        <v>0</v>
      </c>
      <c r="L202" s="56"/>
      <c r="M202" s="57" t="b">
        <v>0</v>
      </c>
      <c r="N202" s="58"/>
      <c r="O202" s="226"/>
      <c r="P202" s="59" t="b">
        <v>0</v>
      </c>
      <c r="Q202" s="129"/>
      <c r="R202" s="165"/>
      <c r="S202" s="47" t="b">
        <v>0</v>
      </c>
      <c r="T202" s="227"/>
      <c r="U202" s="75"/>
      <c r="V202" s="75"/>
      <c r="W202" s="166"/>
      <c r="X202" s="166"/>
      <c r="Y202" s="167"/>
      <c r="Z202" s="167"/>
    </row>
    <row r="203" spans="1:26">
      <c r="A203" s="162"/>
      <c r="B203" s="132"/>
      <c r="C203" s="66"/>
      <c r="D203" s="66"/>
      <c r="E203" s="66"/>
      <c r="F203" s="66"/>
      <c r="G203" s="69"/>
      <c r="H203" s="53"/>
      <c r="I203" s="70"/>
      <c r="J203" s="54">
        <f t="shared" si="1"/>
        <v>0</v>
      </c>
      <c r="K203" s="55" t="b">
        <v>0</v>
      </c>
      <c r="L203" s="56"/>
      <c r="M203" s="57" t="b">
        <v>0</v>
      </c>
      <c r="N203" s="58"/>
      <c r="O203" s="226"/>
      <c r="P203" s="59" t="b">
        <v>0</v>
      </c>
      <c r="Q203" s="129"/>
      <c r="R203" s="165"/>
      <c r="S203" s="47" t="b">
        <v>0</v>
      </c>
      <c r="T203" s="227"/>
      <c r="U203" s="75"/>
      <c r="V203" s="75"/>
      <c r="W203" s="166"/>
      <c r="X203" s="166"/>
      <c r="Y203" s="167"/>
      <c r="Z203" s="167"/>
    </row>
    <row r="204" spans="1:26">
      <c r="A204" s="162"/>
      <c r="B204" s="132"/>
      <c r="C204" s="66"/>
      <c r="D204" s="66"/>
      <c r="E204" s="66"/>
      <c r="F204" s="66"/>
      <c r="G204" s="69"/>
      <c r="H204" s="53"/>
      <c r="I204" s="70"/>
      <c r="J204" s="54">
        <f t="shared" si="1"/>
        <v>0</v>
      </c>
      <c r="K204" s="55" t="b">
        <v>0</v>
      </c>
      <c r="L204" s="56"/>
      <c r="M204" s="57" t="b">
        <v>0</v>
      </c>
      <c r="N204" s="58"/>
      <c r="O204" s="226"/>
      <c r="P204" s="59" t="b">
        <v>0</v>
      </c>
      <c r="Q204" s="129"/>
      <c r="R204" s="165"/>
      <c r="S204" s="47" t="b">
        <v>0</v>
      </c>
      <c r="T204" s="227"/>
      <c r="U204" s="75"/>
      <c r="V204" s="75"/>
      <c r="W204" s="166"/>
      <c r="X204" s="166"/>
      <c r="Y204" s="167"/>
      <c r="Z204" s="167"/>
    </row>
    <row r="205" spans="1:26">
      <c r="A205" s="162"/>
      <c r="B205" s="132"/>
      <c r="C205" s="66"/>
      <c r="D205" s="66"/>
      <c r="E205" s="66"/>
      <c r="F205" s="66"/>
      <c r="G205" s="69"/>
      <c r="H205" s="53"/>
      <c r="I205" s="70"/>
      <c r="J205" s="54">
        <f t="shared" si="1"/>
        <v>0</v>
      </c>
      <c r="K205" s="55" t="b">
        <v>0</v>
      </c>
      <c r="L205" s="56"/>
      <c r="M205" s="57" t="b">
        <v>0</v>
      </c>
      <c r="N205" s="58"/>
      <c r="O205" s="226"/>
      <c r="P205" s="59" t="b">
        <v>0</v>
      </c>
      <c r="Q205" s="129"/>
      <c r="R205" s="165"/>
      <c r="S205" s="47" t="b">
        <v>0</v>
      </c>
      <c r="T205" s="227"/>
      <c r="U205" s="75"/>
      <c r="V205" s="75"/>
      <c r="W205" s="166"/>
      <c r="X205" s="166"/>
      <c r="Y205" s="167"/>
      <c r="Z205" s="167"/>
    </row>
    <row r="206" spans="1:26">
      <c r="A206" s="162"/>
      <c r="B206" s="132"/>
      <c r="C206" s="66"/>
      <c r="D206" s="66"/>
      <c r="E206" s="66"/>
      <c r="F206" s="66"/>
      <c r="G206" s="69"/>
      <c r="H206" s="53"/>
      <c r="I206" s="70"/>
      <c r="J206" s="54">
        <f t="shared" si="1"/>
        <v>0</v>
      </c>
      <c r="K206" s="55" t="b">
        <v>0</v>
      </c>
      <c r="L206" s="56"/>
      <c r="M206" s="57" t="b">
        <v>0</v>
      </c>
      <c r="N206" s="58"/>
      <c r="O206" s="226"/>
      <c r="P206" s="59" t="b">
        <v>0</v>
      </c>
      <c r="Q206" s="129"/>
      <c r="R206" s="165"/>
      <c r="S206" s="47" t="b">
        <v>0</v>
      </c>
      <c r="T206" s="227"/>
      <c r="U206" s="75"/>
      <c r="V206" s="75"/>
      <c r="W206" s="166"/>
      <c r="X206" s="166"/>
      <c r="Y206" s="167"/>
      <c r="Z206" s="167"/>
    </row>
    <row r="207" spans="1:26">
      <c r="A207" s="162"/>
      <c r="B207" s="132"/>
      <c r="C207" s="66"/>
      <c r="D207" s="66"/>
      <c r="E207" s="66"/>
      <c r="F207" s="66"/>
      <c r="G207" s="69"/>
      <c r="H207" s="53"/>
      <c r="I207" s="70"/>
      <c r="J207" s="54">
        <f t="shared" si="1"/>
        <v>0</v>
      </c>
      <c r="K207" s="55" t="b">
        <v>0</v>
      </c>
      <c r="L207" s="56"/>
      <c r="M207" s="57" t="b">
        <v>0</v>
      </c>
      <c r="N207" s="58"/>
      <c r="O207" s="226"/>
      <c r="P207" s="59" t="b">
        <v>0</v>
      </c>
      <c r="Q207" s="129"/>
      <c r="R207" s="165"/>
      <c r="S207" s="47" t="b">
        <v>0</v>
      </c>
      <c r="T207" s="227"/>
      <c r="U207" s="75"/>
      <c r="V207" s="75"/>
      <c r="W207" s="166"/>
      <c r="X207" s="166"/>
      <c r="Y207" s="167"/>
      <c r="Z207" s="167"/>
    </row>
    <row r="208" spans="1:26">
      <c r="A208" s="162"/>
      <c r="B208" s="132"/>
      <c r="C208" s="66"/>
      <c r="D208" s="66"/>
      <c r="E208" s="66"/>
      <c r="F208" s="66"/>
      <c r="G208" s="69"/>
      <c r="H208" s="53"/>
      <c r="I208" s="70"/>
      <c r="J208" s="54">
        <f t="shared" si="1"/>
        <v>0</v>
      </c>
      <c r="K208" s="55" t="b">
        <v>0</v>
      </c>
      <c r="L208" s="56"/>
      <c r="M208" s="57" t="b">
        <v>0</v>
      </c>
      <c r="N208" s="58"/>
      <c r="O208" s="226"/>
      <c r="P208" s="59" t="b">
        <v>0</v>
      </c>
      <c r="Q208" s="129"/>
      <c r="R208" s="165"/>
      <c r="S208" s="47" t="b">
        <v>0</v>
      </c>
      <c r="T208" s="227"/>
      <c r="U208" s="75"/>
      <c r="V208" s="75"/>
      <c r="W208" s="166"/>
      <c r="X208" s="166"/>
      <c r="Y208" s="167"/>
      <c r="Z208" s="167"/>
    </row>
    <row r="209" spans="1:26">
      <c r="A209" s="162"/>
      <c r="B209" s="132"/>
      <c r="C209" s="66"/>
      <c r="D209" s="66"/>
      <c r="E209" s="66"/>
      <c r="F209" s="66"/>
      <c r="G209" s="69"/>
      <c r="H209" s="53"/>
      <c r="I209" s="70"/>
      <c r="J209" s="54">
        <f t="shared" si="1"/>
        <v>0</v>
      </c>
      <c r="K209" s="55" t="b">
        <v>0</v>
      </c>
      <c r="L209" s="56"/>
      <c r="M209" s="57" t="b">
        <v>0</v>
      </c>
      <c r="N209" s="58"/>
      <c r="O209" s="226"/>
      <c r="P209" s="59" t="b">
        <v>0</v>
      </c>
      <c r="Q209" s="129"/>
      <c r="R209" s="165"/>
      <c r="S209" s="47" t="b">
        <v>0</v>
      </c>
      <c r="T209" s="227"/>
      <c r="U209" s="75"/>
      <c r="V209" s="75"/>
      <c r="W209" s="166"/>
      <c r="X209" s="166"/>
      <c r="Y209" s="167"/>
      <c r="Z209" s="167"/>
    </row>
    <row r="210" spans="1:26">
      <c r="A210" s="162"/>
      <c r="B210" s="132"/>
      <c r="C210" s="66"/>
      <c r="D210" s="66"/>
      <c r="E210" s="66"/>
      <c r="F210" s="66"/>
      <c r="G210" s="69"/>
      <c r="H210" s="53"/>
      <c r="I210" s="70"/>
      <c r="J210" s="54">
        <f t="shared" si="1"/>
        <v>0</v>
      </c>
      <c r="K210" s="55" t="b">
        <v>0</v>
      </c>
      <c r="L210" s="56"/>
      <c r="M210" s="57" t="b">
        <v>0</v>
      </c>
      <c r="N210" s="58"/>
      <c r="O210" s="226"/>
      <c r="P210" s="59" t="b">
        <v>0</v>
      </c>
      <c r="Q210" s="129"/>
      <c r="R210" s="165"/>
      <c r="S210" s="47" t="b">
        <v>0</v>
      </c>
      <c r="T210" s="227"/>
      <c r="U210" s="75"/>
      <c r="V210" s="75"/>
      <c r="W210" s="166"/>
      <c r="X210" s="166"/>
      <c r="Y210" s="167"/>
      <c r="Z210" s="167"/>
    </row>
    <row r="211" spans="1:26">
      <c r="A211" s="162"/>
      <c r="B211" s="132"/>
      <c r="C211" s="66"/>
      <c r="D211" s="66"/>
      <c r="E211" s="66"/>
      <c r="F211" s="66"/>
      <c r="G211" s="69"/>
      <c r="H211" s="53"/>
      <c r="I211" s="70"/>
      <c r="J211" s="54">
        <f t="shared" si="1"/>
        <v>0</v>
      </c>
      <c r="K211" s="55" t="b">
        <v>0</v>
      </c>
      <c r="L211" s="56"/>
      <c r="M211" s="57" t="b">
        <v>0</v>
      </c>
      <c r="N211" s="58"/>
      <c r="O211" s="226"/>
      <c r="P211" s="59" t="b">
        <v>0</v>
      </c>
      <c r="Q211" s="129"/>
      <c r="R211" s="165"/>
      <c r="S211" s="47" t="b">
        <v>0</v>
      </c>
      <c r="T211" s="227"/>
      <c r="U211" s="75"/>
      <c r="V211" s="75"/>
      <c r="W211" s="166"/>
      <c r="X211" s="166"/>
      <c r="Y211" s="167"/>
      <c r="Z211" s="167"/>
    </row>
    <row r="212" spans="1:26">
      <c r="A212" s="162"/>
      <c r="B212" s="132"/>
      <c r="C212" s="66"/>
      <c r="D212" s="66"/>
      <c r="E212" s="66"/>
      <c r="F212" s="66"/>
      <c r="G212" s="69"/>
      <c r="H212" s="53"/>
      <c r="I212" s="70"/>
      <c r="J212" s="54">
        <f t="shared" si="1"/>
        <v>0</v>
      </c>
      <c r="K212" s="55" t="b">
        <v>0</v>
      </c>
      <c r="L212" s="56"/>
      <c r="M212" s="57" t="b">
        <v>0</v>
      </c>
      <c r="N212" s="58"/>
      <c r="O212" s="226"/>
      <c r="P212" s="59" t="b">
        <v>0</v>
      </c>
      <c r="Q212" s="129"/>
      <c r="R212" s="165"/>
      <c r="S212" s="47" t="b">
        <v>0</v>
      </c>
      <c r="T212" s="227"/>
      <c r="U212" s="75"/>
      <c r="V212" s="75"/>
      <c r="W212" s="166"/>
      <c r="X212" s="166"/>
      <c r="Y212" s="167"/>
      <c r="Z212" s="167"/>
    </row>
    <row r="213" spans="1:26">
      <c r="A213" s="162"/>
      <c r="B213" s="132"/>
      <c r="C213" s="66"/>
      <c r="D213" s="66"/>
      <c r="E213" s="66"/>
      <c r="F213" s="66"/>
      <c r="G213" s="69"/>
      <c r="H213" s="53"/>
      <c r="I213" s="70"/>
      <c r="J213" s="54">
        <f t="shared" si="1"/>
        <v>0</v>
      </c>
      <c r="K213" s="55" t="b">
        <v>0</v>
      </c>
      <c r="L213" s="56"/>
      <c r="M213" s="57" t="b">
        <v>0</v>
      </c>
      <c r="N213" s="58"/>
      <c r="O213" s="226"/>
      <c r="P213" s="59" t="b">
        <v>0</v>
      </c>
      <c r="Q213" s="129"/>
      <c r="R213" s="165"/>
      <c r="S213" s="47" t="b">
        <v>0</v>
      </c>
      <c r="T213" s="227"/>
      <c r="U213" s="75"/>
      <c r="V213" s="75"/>
      <c r="W213" s="166"/>
      <c r="X213" s="166"/>
      <c r="Y213" s="167"/>
      <c r="Z213" s="167"/>
    </row>
    <row r="214" spans="1:26">
      <c r="A214" s="162"/>
      <c r="B214" s="132"/>
      <c r="C214" s="66"/>
      <c r="D214" s="66"/>
      <c r="E214" s="66"/>
      <c r="F214" s="66"/>
      <c r="G214" s="69"/>
      <c r="H214" s="53"/>
      <c r="I214" s="70"/>
      <c r="J214" s="54">
        <f t="shared" si="1"/>
        <v>0</v>
      </c>
      <c r="K214" s="55" t="b">
        <v>0</v>
      </c>
      <c r="L214" s="56"/>
      <c r="M214" s="57" t="b">
        <v>0</v>
      </c>
      <c r="N214" s="58"/>
      <c r="O214" s="226"/>
      <c r="P214" s="59" t="b">
        <v>0</v>
      </c>
      <c r="Q214" s="129"/>
      <c r="R214" s="165"/>
      <c r="S214" s="47" t="b">
        <v>0</v>
      </c>
      <c r="T214" s="227"/>
      <c r="U214" s="75"/>
      <c r="V214" s="75"/>
      <c r="W214" s="166"/>
      <c r="X214" s="166"/>
      <c r="Y214" s="167"/>
      <c r="Z214" s="167"/>
    </row>
    <row r="215" spans="1:26">
      <c r="A215" s="162"/>
      <c r="B215" s="132"/>
      <c r="C215" s="66"/>
      <c r="D215" s="66"/>
      <c r="E215" s="66"/>
      <c r="F215" s="66"/>
      <c r="G215" s="69"/>
      <c r="H215" s="53"/>
      <c r="I215" s="70"/>
      <c r="J215" s="54">
        <f t="shared" si="1"/>
        <v>0</v>
      </c>
      <c r="K215" s="55" t="b">
        <v>0</v>
      </c>
      <c r="L215" s="56"/>
      <c r="M215" s="57" t="b">
        <v>0</v>
      </c>
      <c r="N215" s="58"/>
      <c r="O215" s="226"/>
      <c r="P215" s="59" t="b">
        <v>0</v>
      </c>
      <c r="Q215" s="129"/>
      <c r="R215" s="165"/>
      <c r="S215" s="47" t="b">
        <v>0</v>
      </c>
      <c r="T215" s="227"/>
      <c r="U215" s="75"/>
      <c r="V215" s="75"/>
      <c r="W215" s="166"/>
      <c r="X215" s="166"/>
      <c r="Y215" s="167"/>
      <c r="Z215" s="167"/>
    </row>
    <row r="216" spans="1:26">
      <c r="A216" s="162"/>
      <c r="B216" s="132"/>
      <c r="C216" s="66"/>
      <c r="D216" s="66"/>
      <c r="E216" s="66"/>
      <c r="F216" s="66"/>
      <c r="G216" s="69"/>
      <c r="H216" s="53"/>
      <c r="I216" s="70"/>
      <c r="J216" s="54">
        <f t="shared" si="1"/>
        <v>0</v>
      </c>
      <c r="K216" s="55" t="b">
        <v>0</v>
      </c>
      <c r="L216" s="56"/>
      <c r="M216" s="57" t="b">
        <v>0</v>
      </c>
      <c r="N216" s="58"/>
      <c r="O216" s="226"/>
      <c r="P216" s="59" t="b">
        <v>0</v>
      </c>
      <c r="Q216" s="129"/>
      <c r="R216" s="165"/>
      <c r="S216" s="47" t="b">
        <v>0</v>
      </c>
      <c r="T216" s="227"/>
      <c r="U216" s="75"/>
      <c r="V216" s="75"/>
      <c r="W216" s="166"/>
      <c r="X216" s="166"/>
      <c r="Y216" s="167"/>
      <c r="Z216" s="167"/>
    </row>
    <row r="217" spans="1:26">
      <c r="A217" s="162"/>
      <c r="B217" s="132"/>
      <c r="C217" s="66"/>
      <c r="D217" s="66"/>
      <c r="E217" s="66"/>
      <c r="F217" s="66"/>
      <c r="G217" s="69"/>
      <c r="H217" s="53"/>
      <c r="I217" s="70"/>
      <c r="J217" s="54">
        <f t="shared" si="1"/>
        <v>0</v>
      </c>
      <c r="K217" s="55" t="b">
        <v>0</v>
      </c>
      <c r="L217" s="56"/>
      <c r="M217" s="57" t="b">
        <v>0</v>
      </c>
      <c r="N217" s="58"/>
      <c r="O217" s="226"/>
      <c r="P217" s="59" t="b">
        <v>0</v>
      </c>
      <c r="Q217" s="129"/>
      <c r="R217" s="165"/>
      <c r="S217" s="47" t="b">
        <v>0</v>
      </c>
      <c r="T217" s="227"/>
      <c r="U217" s="75"/>
      <c r="V217" s="75"/>
      <c r="W217" s="166"/>
      <c r="X217" s="166"/>
      <c r="Y217" s="167"/>
      <c r="Z217" s="167"/>
    </row>
    <row r="218" spans="1:26">
      <c r="A218" s="162"/>
      <c r="B218" s="132"/>
      <c r="C218" s="66"/>
      <c r="D218" s="66"/>
      <c r="E218" s="66"/>
      <c r="F218" s="66"/>
      <c r="G218" s="69"/>
      <c r="H218" s="53"/>
      <c r="I218" s="70"/>
      <c r="J218" s="54">
        <f t="shared" si="1"/>
        <v>0</v>
      </c>
      <c r="K218" s="55" t="b">
        <v>0</v>
      </c>
      <c r="L218" s="56"/>
      <c r="M218" s="57" t="b">
        <v>0</v>
      </c>
      <c r="N218" s="58"/>
      <c r="O218" s="226"/>
      <c r="P218" s="59" t="b">
        <v>0</v>
      </c>
      <c r="Q218" s="129"/>
      <c r="R218" s="165"/>
      <c r="S218" s="47" t="b">
        <v>0</v>
      </c>
      <c r="T218" s="227"/>
      <c r="U218" s="75"/>
      <c r="V218" s="75"/>
      <c r="W218" s="166"/>
      <c r="X218" s="166"/>
      <c r="Y218" s="167"/>
      <c r="Z218" s="167"/>
    </row>
    <row r="219" spans="1:26">
      <c r="A219" s="162"/>
      <c r="B219" s="132"/>
      <c r="C219" s="66"/>
      <c r="D219" s="66"/>
      <c r="E219" s="66"/>
      <c r="F219" s="66"/>
      <c r="G219" s="69"/>
      <c r="H219" s="53"/>
      <c r="I219" s="70"/>
      <c r="J219" s="54">
        <f t="shared" si="1"/>
        <v>0</v>
      </c>
      <c r="K219" s="55" t="b">
        <v>0</v>
      </c>
      <c r="L219" s="56"/>
      <c r="M219" s="57" t="b">
        <v>0</v>
      </c>
      <c r="N219" s="58"/>
      <c r="O219" s="226"/>
      <c r="P219" s="59" t="b">
        <v>0</v>
      </c>
      <c r="Q219" s="129"/>
      <c r="R219" s="165"/>
      <c r="S219" s="47" t="b">
        <v>0</v>
      </c>
      <c r="T219" s="227"/>
      <c r="U219" s="75"/>
      <c r="V219" s="75"/>
      <c r="W219" s="166"/>
      <c r="X219" s="166"/>
      <c r="Y219" s="167"/>
      <c r="Z219" s="167"/>
    </row>
    <row r="220" spans="1:26">
      <c r="A220" s="162"/>
      <c r="B220" s="132"/>
      <c r="C220" s="66"/>
      <c r="D220" s="66"/>
      <c r="E220" s="66"/>
      <c r="F220" s="66"/>
      <c r="G220" s="69"/>
      <c r="H220" s="53"/>
      <c r="I220" s="70"/>
      <c r="J220" s="54">
        <f t="shared" si="1"/>
        <v>0</v>
      </c>
      <c r="K220" s="55" t="b">
        <v>0</v>
      </c>
      <c r="L220" s="56"/>
      <c r="M220" s="57" t="b">
        <v>0</v>
      </c>
      <c r="N220" s="58"/>
      <c r="O220" s="226"/>
      <c r="P220" s="59" t="b">
        <v>0</v>
      </c>
      <c r="Q220" s="129"/>
      <c r="R220" s="165"/>
      <c r="S220" s="47" t="b">
        <v>0</v>
      </c>
      <c r="T220" s="227"/>
      <c r="U220" s="75"/>
      <c r="V220" s="75"/>
      <c r="W220" s="166"/>
      <c r="X220" s="166"/>
      <c r="Y220" s="167"/>
      <c r="Z220" s="167"/>
    </row>
    <row r="221" spans="1:26">
      <c r="A221" s="162"/>
      <c r="B221" s="132"/>
      <c r="C221" s="66"/>
      <c r="D221" s="66"/>
      <c r="E221" s="66"/>
      <c r="F221" s="66"/>
      <c r="G221" s="69"/>
      <c r="H221" s="53"/>
      <c r="I221" s="70"/>
      <c r="J221" s="54">
        <f t="shared" si="1"/>
        <v>0</v>
      </c>
      <c r="K221" s="55" t="b">
        <v>0</v>
      </c>
      <c r="L221" s="56"/>
      <c r="M221" s="57" t="b">
        <v>0</v>
      </c>
      <c r="N221" s="58"/>
      <c r="O221" s="226"/>
      <c r="P221" s="59" t="b">
        <v>0</v>
      </c>
      <c r="Q221" s="129"/>
      <c r="R221" s="165"/>
      <c r="S221" s="47" t="b">
        <v>0</v>
      </c>
      <c r="T221" s="227"/>
      <c r="U221" s="75"/>
      <c r="V221" s="75"/>
      <c r="W221" s="166"/>
      <c r="X221" s="166"/>
      <c r="Y221" s="167"/>
      <c r="Z221" s="167"/>
    </row>
    <row r="222" spans="1:26">
      <c r="A222" s="162"/>
      <c r="B222" s="132"/>
      <c r="C222" s="66"/>
      <c r="D222" s="66"/>
      <c r="E222" s="66"/>
      <c r="F222" s="66"/>
      <c r="G222" s="69"/>
      <c r="H222" s="53"/>
      <c r="I222" s="70"/>
      <c r="J222" s="54">
        <f t="shared" si="1"/>
        <v>0</v>
      </c>
      <c r="K222" s="55" t="b">
        <v>0</v>
      </c>
      <c r="L222" s="56"/>
      <c r="M222" s="57" t="b">
        <v>0</v>
      </c>
      <c r="N222" s="58"/>
      <c r="O222" s="226"/>
      <c r="P222" s="59" t="b">
        <v>0</v>
      </c>
      <c r="Q222" s="129"/>
      <c r="R222" s="165"/>
      <c r="S222" s="47" t="b">
        <v>0</v>
      </c>
      <c r="T222" s="227"/>
      <c r="U222" s="75"/>
      <c r="V222" s="75"/>
      <c r="W222" s="166"/>
      <c r="X222" s="166"/>
      <c r="Y222" s="167"/>
      <c r="Z222" s="167"/>
    </row>
    <row r="223" spans="1:26">
      <c r="A223" s="162"/>
      <c r="B223" s="132"/>
      <c r="C223" s="66"/>
      <c r="D223" s="66"/>
      <c r="E223" s="66"/>
      <c r="F223" s="66"/>
      <c r="G223" s="69"/>
      <c r="H223" s="53"/>
      <c r="I223" s="70"/>
      <c r="J223" s="54">
        <f t="shared" si="1"/>
        <v>0</v>
      </c>
      <c r="K223" s="55" t="b">
        <v>0</v>
      </c>
      <c r="L223" s="56"/>
      <c r="M223" s="57" t="b">
        <v>0</v>
      </c>
      <c r="N223" s="58"/>
      <c r="O223" s="226"/>
      <c r="P223" s="59" t="b">
        <v>0</v>
      </c>
      <c r="Q223" s="129"/>
      <c r="R223" s="165"/>
      <c r="S223" s="47" t="b">
        <v>0</v>
      </c>
      <c r="T223" s="227"/>
      <c r="U223" s="75"/>
      <c r="V223" s="75"/>
      <c r="W223" s="166"/>
      <c r="X223" s="166"/>
      <c r="Y223" s="167"/>
      <c r="Z223" s="167"/>
    </row>
    <row r="224" spans="1:26">
      <c r="A224" s="162"/>
      <c r="B224" s="132"/>
      <c r="C224" s="66"/>
      <c r="D224" s="66"/>
      <c r="E224" s="66"/>
      <c r="F224" s="66"/>
      <c r="G224" s="69"/>
      <c r="H224" s="53"/>
      <c r="I224" s="70"/>
      <c r="J224" s="54">
        <f t="shared" si="1"/>
        <v>0</v>
      </c>
      <c r="K224" s="55" t="b">
        <v>0</v>
      </c>
      <c r="L224" s="56"/>
      <c r="M224" s="57" t="b">
        <v>0</v>
      </c>
      <c r="N224" s="58"/>
      <c r="O224" s="226"/>
      <c r="P224" s="59" t="b">
        <v>0</v>
      </c>
      <c r="Q224" s="129"/>
      <c r="R224" s="165"/>
      <c r="S224" s="47" t="b">
        <v>0</v>
      </c>
      <c r="T224" s="227"/>
      <c r="U224" s="75"/>
      <c r="V224" s="75"/>
      <c r="W224" s="166"/>
      <c r="X224" s="166"/>
      <c r="Y224" s="167"/>
      <c r="Z224" s="167"/>
    </row>
    <row r="225" spans="1:26">
      <c r="A225" s="162"/>
      <c r="B225" s="132"/>
      <c r="C225" s="66"/>
      <c r="D225" s="66"/>
      <c r="E225" s="66"/>
      <c r="F225" s="66"/>
      <c r="G225" s="69"/>
      <c r="H225" s="53"/>
      <c r="I225" s="70"/>
      <c r="J225" s="54"/>
      <c r="K225" s="55" t="b">
        <v>0</v>
      </c>
      <c r="L225" s="56"/>
      <c r="M225" s="57" t="b">
        <v>0</v>
      </c>
      <c r="N225" s="58"/>
      <c r="O225" s="226"/>
      <c r="P225" s="59" t="b">
        <v>0</v>
      </c>
      <c r="Q225" s="129"/>
      <c r="R225" s="165"/>
      <c r="S225" s="47" t="b">
        <v>0</v>
      </c>
      <c r="T225" s="227"/>
      <c r="U225" s="75"/>
      <c r="V225" s="75"/>
      <c r="W225" s="166"/>
      <c r="X225" s="166"/>
      <c r="Y225" s="167"/>
      <c r="Z225" s="167"/>
    </row>
    <row r="226" spans="1:26">
      <c r="A226" s="162"/>
      <c r="B226" s="132"/>
      <c r="C226" s="66"/>
      <c r="D226" s="66"/>
      <c r="E226" s="66"/>
      <c r="F226" s="66"/>
      <c r="G226" s="69"/>
      <c r="H226" s="53"/>
      <c r="I226" s="70"/>
      <c r="J226" s="54"/>
      <c r="K226" s="55" t="b">
        <v>0</v>
      </c>
      <c r="L226" s="56"/>
      <c r="M226" s="57" t="b">
        <v>0</v>
      </c>
      <c r="N226" s="58"/>
      <c r="O226" s="226"/>
      <c r="P226" s="59" t="b">
        <v>0</v>
      </c>
      <c r="Q226" s="129"/>
      <c r="R226" s="165"/>
      <c r="S226" s="47" t="b">
        <v>0</v>
      </c>
      <c r="T226" s="227"/>
      <c r="U226" s="75"/>
      <c r="V226" s="75"/>
      <c r="W226" s="166"/>
      <c r="X226" s="166"/>
      <c r="Y226" s="167"/>
      <c r="Z226" s="167"/>
    </row>
    <row r="227" spans="1:26">
      <c r="A227" s="162"/>
      <c r="B227" s="132"/>
      <c r="C227" s="66"/>
      <c r="D227" s="66"/>
      <c r="E227" s="66"/>
      <c r="F227" s="66"/>
      <c r="G227" s="69"/>
      <c r="H227" s="53"/>
      <c r="I227" s="70"/>
      <c r="J227" s="54"/>
      <c r="K227" s="55" t="b">
        <v>0</v>
      </c>
      <c r="L227" s="56"/>
      <c r="M227" s="57" t="b">
        <v>0</v>
      </c>
      <c r="N227" s="58"/>
      <c r="O227" s="226"/>
      <c r="P227" s="59" t="b">
        <v>0</v>
      </c>
      <c r="Q227" s="129"/>
      <c r="R227" s="165"/>
      <c r="S227" s="47" t="b">
        <v>0</v>
      </c>
      <c r="T227" s="227"/>
      <c r="U227" s="75"/>
      <c r="V227" s="75"/>
      <c r="W227" s="166"/>
      <c r="X227" s="166"/>
      <c r="Y227" s="167"/>
      <c r="Z227" s="167"/>
    </row>
    <row r="228" spans="1:26">
      <c r="A228" s="162"/>
      <c r="B228" s="132"/>
      <c r="C228" s="66"/>
      <c r="D228" s="66"/>
      <c r="E228" s="66"/>
      <c r="F228" s="66"/>
      <c r="G228" s="69"/>
      <c r="H228" s="53"/>
      <c r="I228" s="70"/>
      <c r="J228" s="54"/>
      <c r="K228" s="55" t="b">
        <v>0</v>
      </c>
      <c r="L228" s="56"/>
      <c r="M228" s="57" t="b">
        <v>0</v>
      </c>
      <c r="N228" s="58"/>
      <c r="O228" s="226"/>
      <c r="P228" s="59" t="b">
        <v>0</v>
      </c>
      <c r="Q228" s="129"/>
      <c r="R228" s="165"/>
      <c r="S228" s="47" t="b">
        <v>0</v>
      </c>
      <c r="T228" s="227"/>
      <c r="U228" s="75"/>
      <c r="V228" s="75"/>
      <c r="W228" s="166"/>
      <c r="X228" s="166"/>
      <c r="Y228" s="167"/>
      <c r="Z228" s="167"/>
    </row>
    <row r="229" spans="1:26">
      <c r="A229" s="162"/>
      <c r="B229" s="132"/>
      <c r="C229" s="66"/>
      <c r="D229" s="66"/>
      <c r="E229" s="66"/>
      <c r="F229" s="66"/>
      <c r="G229" s="69"/>
      <c r="H229" s="53"/>
      <c r="I229" s="70"/>
      <c r="J229" s="54"/>
      <c r="K229" s="55" t="b">
        <v>0</v>
      </c>
      <c r="L229" s="56"/>
      <c r="M229" s="57" t="b">
        <v>0</v>
      </c>
      <c r="N229" s="58"/>
      <c r="O229" s="226"/>
      <c r="P229" s="59" t="b">
        <v>0</v>
      </c>
      <c r="Q229" s="129"/>
      <c r="R229" s="165"/>
      <c r="S229" s="47" t="b">
        <v>0</v>
      </c>
      <c r="T229" s="227"/>
      <c r="U229" s="75"/>
      <c r="V229" s="75"/>
      <c r="W229" s="166"/>
      <c r="X229" s="166"/>
      <c r="Y229" s="167"/>
      <c r="Z229" s="167"/>
    </row>
    <row r="230" spans="1:26">
      <c r="A230" s="162"/>
      <c r="B230" s="132"/>
      <c r="C230" s="66"/>
      <c r="D230" s="66"/>
      <c r="E230" s="66"/>
      <c r="F230" s="66"/>
      <c r="G230" s="69"/>
      <c r="H230" s="53"/>
      <c r="I230" s="70"/>
      <c r="J230" s="54"/>
      <c r="K230" s="55" t="b">
        <v>0</v>
      </c>
      <c r="L230" s="56"/>
      <c r="M230" s="57" t="b">
        <v>0</v>
      </c>
      <c r="N230" s="58"/>
      <c r="O230" s="226"/>
      <c r="P230" s="59" t="b">
        <v>0</v>
      </c>
      <c r="Q230" s="129"/>
      <c r="R230" s="165"/>
      <c r="S230" s="47" t="b">
        <v>0</v>
      </c>
      <c r="T230" s="227"/>
      <c r="U230" s="75"/>
      <c r="V230" s="75"/>
      <c r="W230" s="166"/>
      <c r="X230" s="166"/>
      <c r="Y230" s="167"/>
      <c r="Z230" s="167"/>
    </row>
    <row r="231" spans="1:26">
      <c r="A231" s="162"/>
      <c r="B231" s="132"/>
      <c r="C231" s="66"/>
      <c r="D231" s="66"/>
      <c r="E231" s="66"/>
      <c r="F231" s="66"/>
      <c r="G231" s="69"/>
      <c r="H231" s="53"/>
      <c r="I231" s="70"/>
      <c r="J231" s="54"/>
      <c r="K231" s="55" t="b">
        <v>0</v>
      </c>
      <c r="L231" s="56"/>
      <c r="M231" s="57" t="b">
        <v>0</v>
      </c>
      <c r="N231" s="58"/>
      <c r="O231" s="226"/>
      <c r="P231" s="59" t="b">
        <v>0</v>
      </c>
      <c r="Q231" s="129"/>
      <c r="R231" s="165"/>
      <c r="S231" s="47" t="b">
        <v>0</v>
      </c>
      <c r="T231" s="227"/>
      <c r="U231" s="75"/>
      <c r="V231" s="75"/>
      <c r="W231" s="166"/>
      <c r="X231" s="166"/>
      <c r="Y231" s="167"/>
      <c r="Z231" s="167"/>
    </row>
    <row r="232" spans="1:26">
      <c r="C232" s="297" t="s">
        <v>60</v>
      </c>
      <c r="D232" s="297" t="s">
        <v>1654</v>
      </c>
      <c r="E232" s="297" t="s">
        <v>3142</v>
      </c>
      <c r="O232" s="225"/>
      <c r="T232" s="205"/>
    </row>
    <row r="233" spans="1:26">
      <c r="O233" s="225"/>
      <c r="T233" s="205"/>
    </row>
    <row r="234" spans="1:26">
      <c r="O234" s="225"/>
      <c r="T234" s="205"/>
    </row>
    <row r="235" spans="1:26">
      <c r="O235" s="225"/>
      <c r="T235" s="205"/>
    </row>
    <row r="236" spans="1:26">
      <c r="O236" s="225"/>
      <c r="T236" s="205"/>
    </row>
    <row r="237" spans="1:26">
      <c r="O237" s="225"/>
      <c r="T237" s="205"/>
    </row>
    <row r="238" spans="1:26">
      <c r="O238" s="225"/>
      <c r="T238" s="205"/>
    </row>
    <row r="239" spans="1:26">
      <c r="O239" s="225"/>
      <c r="T239" s="205"/>
    </row>
    <row r="240" spans="1:26">
      <c r="O240" s="225"/>
      <c r="T240" s="205"/>
    </row>
    <row r="241" spans="15:20">
      <c r="O241" s="225"/>
      <c r="T241" s="205"/>
    </row>
    <row r="242" spans="15:20">
      <c r="O242" s="225"/>
      <c r="T242" s="205"/>
    </row>
    <row r="243" spans="15:20">
      <c r="O243" s="225"/>
      <c r="T243" s="205"/>
    </row>
    <row r="244" spans="15:20">
      <c r="O244" s="225"/>
      <c r="T244" s="205"/>
    </row>
    <row r="245" spans="15:20">
      <c r="O245" s="225"/>
      <c r="T245" s="205"/>
    </row>
    <row r="246" spans="15:20">
      <c r="O246" s="225"/>
      <c r="T246" s="205"/>
    </row>
    <row r="247" spans="15:20">
      <c r="O247" s="225"/>
      <c r="T247" s="205"/>
    </row>
    <row r="248" spans="15:20">
      <c r="O248" s="225"/>
      <c r="T248" s="205"/>
    </row>
    <row r="249" spans="15:20">
      <c r="O249" s="225"/>
      <c r="T249" s="205"/>
    </row>
    <row r="250" spans="15:20">
      <c r="O250" s="225"/>
      <c r="T250" s="205"/>
    </row>
    <row r="251" spans="15:20">
      <c r="O251" s="225"/>
      <c r="T251" s="205"/>
    </row>
    <row r="252" spans="15:20">
      <c r="O252" s="225"/>
      <c r="T252" s="205"/>
    </row>
    <row r="253" spans="15:20">
      <c r="O253" s="225"/>
      <c r="T253" s="205"/>
    </row>
    <row r="254" spans="15:20">
      <c r="O254" s="225"/>
      <c r="T254" s="205"/>
    </row>
    <row r="255" spans="15:20">
      <c r="O255" s="225"/>
      <c r="T255" s="205"/>
    </row>
    <row r="256" spans="15:20">
      <c r="O256" s="225"/>
      <c r="T256" s="205"/>
    </row>
    <row r="257" spans="15:20">
      <c r="O257" s="225"/>
      <c r="T257" s="205"/>
    </row>
    <row r="258" spans="15:20">
      <c r="O258" s="225"/>
      <c r="T258" s="205"/>
    </row>
    <row r="259" spans="15:20">
      <c r="O259" s="225"/>
      <c r="T259" s="205"/>
    </row>
    <row r="260" spans="15:20">
      <c r="O260" s="225"/>
      <c r="T260" s="205"/>
    </row>
    <row r="261" spans="15:20">
      <c r="O261" s="225"/>
      <c r="T261" s="205"/>
    </row>
    <row r="262" spans="15:20">
      <c r="O262" s="225"/>
      <c r="T262" s="205"/>
    </row>
    <row r="263" spans="15:20">
      <c r="O263" s="225"/>
      <c r="T263" s="205"/>
    </row>
    <row r="264" spans="15:20">
      <c r="O264" s="225"/>
      <c r="T264" s="205"/>
    </row>
    <row r="265" spans="15:20">
      <c r="O265" s="225"/>
      <c r="T265" s="205"/>
    </row>
    <row r="266" spans="15:20">
      <c r="O266" s="225"/>
      <c r="T266" s="205"/>
    </row>
    <row r="267" spans="15:20">
      <c r="O267" s="225"/>
      <c r="T267" s="205"/>
    </row>
    <row r="268" spans="15:20">
      <c r="O268" s="225"/>
      <c r="T268" s="205"/>
    </row>
    <row r="269" spans="15:20">
      <c r="O269" s="225"/>
      <c r="T269" s="205"/>
    </row>
    <row r="270" spans="15:20">
      <c r="O270" s="225"/>
      <c r="T270" s="205"/>
    </row>
    <row r="271" spans="15:20">
      <c r="O271" s="225"/>
      <c r="T271" s="205"/>
    </row>
    <row r="272" spans="15:20">
      <c r="O272" s="225"/>
      <c r="T272" s="205"/>
    </row>
    <row r="273" spans="15:20">
      <c r="O273" s="225"/>
      <c r="T273" s="205"/>
    </row>
    <row r="274" spans="15:20">
      <c r="O274" s="225"/>
      <c r="T274" s="205"/>
    </row>
    <row r="275" spans="15:20">
      <c r="O275" s="225"/>
      <c r="T275" s="205"/>
    </row>
    <row r="276" spans="15:20">
      <c r="O276" s="225"/>
      <c r="T276" s="205"/>
    </row>
    <row r="277" spans="15:20">
      <c r="O277" s="225"/>
      <c r="T277" s="205"/>
    </row>
    <row r="278" spans="15:20">
      <c r="O278" s="225"/>
      <c r="T278" s="205"/>
    </row>
    <row r="279" spans="15:20">
      <c r="O279" s="225"/>
      <c r="T279" s="205"/>
    </row>
    <row r="280" spans="15:20">
      <c r="O280" s="225"/>
      <c r="T280" s="205"/>
    </row>
    <row r="281" spans="15:20">
      <c r="O281" s="225"/>
      <c r="T281" s="205"/>
    </row>
    <row r="282" spans="15:20">
      <c r="O282" s="225"/>
      <c r="T282" s="205"/>
    </row>
    <row r="283" spans="15:20">
      <c r="O283" s="225"/>
      <c r="T283" s="205"/>
    </row>
    <row r="284" spans="15:20">
      <c r="O284" s="225"/>
      <c r="T284" s="205"/>
    </row>
    <row r="285" spans="15:20">
      <c r="O285" s="225"/>
      <c r="T285" s="205"/>
    </row>
    <row r="286" spans="15:20">
      <c r="O286" s="225"/>
      <c r="T286" s="205"/>
    </row>
    <row r="287" spans="15:20">
      <c r="O287" s="225"/>
      <c r="T287" s="205"/>
    </row>
    <row r="288" spans="15:20">
      <c r="O288" s="225"/>
      <c r="T288" s="205"/>
    </row>
    <row r="289" spans="15:20">
      <c r="O289" s="225"/>
      <c r="T289" s="205"/>
    </row>
    <row r="290" spans="15:20">
      <c r="O290" s="225"/>
      <c r="T290" s="205"/>
    </row>
    <row r="291" spans="15:20">
      <c r="O291" s="225"/>
      <c r="T291" s="205"/>
    </row>
    <row r="292" spans="15:20">
      <c r="O292" s="225"/>
      <c r="T292" s="205"/>
    </row>
    <row r="293" spans="15:20">
      <c r="O293" s="225"/>
      <c r="T293" s="205"/>
    </row>
    <row r="294" spans="15:20">
      <c r="O294" s="225"/>
      <c r="T294" s="205"/>
    </row>
    <row r="295" spans="15:20">
      <c r="O295" s="225"/>
      <c r="T295" s="205"/>
    </row>
    <row r="296" spans="15:20">
      <c r="O296" s="225"/>
      <c r="T296" s="205"/>
    </row>
    <row r="297" spans="15:20">
      <c r="O297" s="225"/>
      <c r="T297" s="205"/>
    </row>
    <row r="298" spans="15:20">
      <c r="O298" s="225"/>
      <c r="T298" s="205"/>
    </row>
    <row r="299" spans="15:20">
      <c r="O299" s="225"/>
      <c r="T299" s="205"/>
    </row>
    <row r="300" spans="15:20">
      <c r="O300" s="225"/>
      <c r="T300" s="205"/>
    </row>
    <row r="301" spans="15:20">
      <c r="O301" s="225"/>
      <c r="T301" s="205"/>
    </row>
    <row r="302" spans="15:20">
      <c r="O302" s="225"/>
      <c r="T302" s="205"/>
    </row>
    <row r="303" spans="15:20">
      <c r="O303" s="225"/>
      <c r="T303" s="205"/>
    </row>
    <row r="304" spans="15:20">
      <c r="O304" s="225"/>
      <c r="T304" s="205"/>
    </row>
    <row r="305" spans="15:20">
      <c r="O305" s="225"/>
      <c r="T305" s="205"/>
    </row>
    <row r="306" spans="15:20">
      <c r="O306" s="225"/>
      <c r="T306" s="205"/>
    </row>
    <row r="307" spans="15:20">
      <c r="O307" s="225"/>
      <c r="T307" s="205"/>
    </row>
    <row r="308" spans="15:20">
      <c r="O308" s="225"/>
      <c r="T308" s="205"/>
    </row>
    <row r="309" spans="15:20">
      <c r="O309" s="225"/>
      <c r="T309" s="205"/>
    </row>
    <row r="310" spans="15:20">
      <c r="O310" s="225"/>
      <c r="T310" s="205"/>
    </row>
    <row r="311" spans="15:20">
      <c r="O311" s="225"/>
      <c r="T311" s="205"/>
    </row>
    <row r="312" spans="15:20">
      <c r="O312" s="225"/>
      <c r="T312" s="205"/>
    </row>
    <row r="313" spans="15:20">
      <c r="O313" s="225"/>
      <c r="T313" s="205"/>
    </row>
    <row r="314" spans="15:20">
      <c r="O314" s="225"/>
      <c r="T314" s="205"/>
    </row>
    <row r="315" spans="15:20">
      <c r="O315" s="225"/>
      <c r="T315" s="205"/>
    </row>
    <row r="316" spans="15:20">
      <c r="O316" s="225"/>
      <c r="T316" s="205"/>
    </row>
    <row r="317" spans="15:20">
      <c r="O317" s="225"/>
      <c r="T317" s="205"/>
    </row>
    <row r="318" spans="15:20">
      <c r="O318" s="225"/>
      <c r="T318" s="205"/>
    </row>
    <row r="319" spans="15:20">
      <c r="O319" s="225"/>
      <c r="T319" s="205"/>
    </row>
    <row r="320" spans="15:20">
      <c r="O320" s="225"/>
      <c r="T320" s="205"/>
    </row>
    <row r="321" spans="15:20">
      <c r="O321" s="225"/>
      <c r="T321" s="205"/>
    </row>
    <row r="322" spans="15:20">
      <c r="O322" s="225"/>
      <c r="T322" s="205"/>
    </row>
    <row r="323" spans="15:20">
      <c r="O323" s="225"/>
      <c r="T323" s="205"/>
    </row>
    <row r="324" spans="15:20">
      <c r="O324" s="225"/>
      <c r="T324" s="205"/>
    </row>
    <row r="325" spans="15:20">
      <c r="O325" s="225"/>
      <c r="T325" s="205"/>
    </row>
    <row r="326" spans="15:20">
      <c r="O326" s="225"/>
      <c r="T326" s="205"/>
    </row>
    <row r="327" spans="15:20">
      <c r="O327" s="225"/>
      <c r="T327" s="205"/>
    </row>
    <row r="328" spans="15:20">
      <c r="O328" s="225"/>
      <c r="T328" s="205"/>
    </row>
    <row r="329" spans="15:20">
      <c r="O329" s="225"/>
      <c r="T329" s="205"/>
    </row>
    <row r="330" spans="15:20">
      <c r="O330" s="225"/>
      <c r="T330" s="205"/>
    </row>
    <row r="331" spans="15:20">
      <c r="O331" s="225"/>
      <c r="T331" s="205"/>
    </row>
    <row r="332" spans="15:20">
      <c r="O332" s="225"/>
      <c r="T332" s="205"/>
    </row>
    <row r="333" spans="15:20">
      <c r="O333" s="225"/>
      <c r="T333" s="205"/>
    </row>
    <row r="334" spans="15:20">
      <c r="O334" s="225"/>
      <c r="T334" s="205"/>
    </row>
    <row r="335" spans="15:20">
      <c r="O335" s="225"/>
      <c r="T335" s="205"/>
    </row>
    <row r="336" spans="15:20">
      <c r="O336" s="225"/>
      <c r="T336" s="205"/>
    </row>
    <row r="337" spans="15:20">
      <c r="O337" s="225"/>
      <c r="T337" s="205"/>
    </row>
    <row r="338" spans="15:20">
      <c r="O338" s="225"/>
      <c r="T338" s="205"/>
    </row>
    <row r="339" spans="15:20">
      <c r="O339" s="225"/>
      <c r="T339" s="205"/>
    </row>
    <row r="340" spans="15:20">
      <c r="O340" s="225"/>
      <c r="T340" s="205"/>
    </row>
    <row r="341" spans="15:20">
      <c r="O341" s="225"/>
      <c r="T341" s="205"/>
    </row>
    <row r="342" spans="15:20">
      <c r="O342" s="225"/>
      <c r="T342" s="205"/>
    </row>
    <row r="343" spans="15:20">
      <c r="O343" s="225"/>
      <c r="T343" s="205"/>
    </row>
    <row r="344" spans="15:20">
      <c r="O344" s="225"/>
      <c r="T344" s="205"/>
    </row>
    <row r="345" spans="15:20">
      <c r="O345" s="225"/>
      <c r="T345" s="205"/>
    </row>
    <row r="346" spans="15:20">
      <c r="O346" s="225"/>
      <c r="T346" s="205"/>
    </row>
    <row r="347" spans="15:20">
      <c r="O347" s="225"/>
      <c r="T347" s="205"/>
    </row>
    <row r="348" spans="15:20">
      <c r="O348" s="225"/>
      <c r="T348" s="205"/>
    </row>
    <row r="349" spans="15:20">
      <c r="O349" s="225"/>
      <c r="T349" s="205"/>
    </row>
    <row r="350" spans="15:20">
      <c r="O350" s="225"/>
      <c r="T350" s="205"/>
    </row>
    <row r="351" spans="15:20">
      <c r="O351" s="225"/>
      <c r="T351" s="205"/>
    </row>
    <row r="352" spans="15:20">
      <c r="O352" s="225"/>
      <c r="T352" s="205"/>
    </row>
    <row r="353" spans="15:20">
      <c r="O353" s="225"/>
      <c r="T353" s="205"/>
    </row>
    <row r="354" spans="15:20">
      <c r="O354" s="225"/>
      <c r="T354" s="205"/>
    </row>
    <row r="355" spans="15:20">
      <c r="O355" s="225"/>
      <c r="T355" s="205"/>
    </row>
    <row r="356" spans="15:20">
      <c r="O356" s="225"/>
      <c r="T356" s="205"/>
    </row>
    <row r="357" spans="15:20">
      <c r="O357" s="225"/>
      <c r="T357" s="205"/>
    </row>
    <row r="358" spans="15:20">
      <c r="O358" s="225"/>
      <c r="T358" s="205"/>
    </row>
    <row r="359" spans="15:20">
      <c r="O359" s="225"/>
      <c r="T359" s="205"/>
    </row>
    <row r="360" spans="15:20">
      <c r="O360" s="225"/>
      <c r="T360" s="205"/>
    </row>
    <row r="361" spans="15:20">
      <c r="O361" s="225"/>
      <c r="T361" s="205"/>
    </row>
    <row r="362" spans="15:20">
      <c r="O362" s="225"/>
      <c r="T362" s="205"/>
    </row>
    <row r="363" spans="15:20">
      <c r="O363" s="225"/>
      <c r="T363" s="205"/>
    </row>
    <row r="364" spans="15:20">
      <c r="O364" s="225"/>
      <c r="T364" s="205"/>
    </row>
    <row r="365" spans="15:20">
      <c r="O365" s="225"/>
      <c r="T365" s="205"/>
    </row>
    <row r="366" spans="15:20">
      <c r="O366" s="225"/>
      <c r="T366" s="205"/>
    </row>
    <row r="367" spans="15:20">
      <c r="O367" s="225"/>
      <c r="T367" s="205"/>
    </row>
    <row r="368" spans="15:20">
      <c r="O368" s="225"/>
      <c r="T368" s="205"/>
    </row>
    <row r="369" spans="15:20">
      <c r="O369" s="225"/>
      <c r="T369" s="205"/>
    </row>
    <row r="370" spans="15:20">
      <c r="O370" s="225"/>
      <c r="T370" s="205"/>
    </row>
    <row r="371" spans="15:20">
      <c r="O371" s="225"/>
      <c r="T371" s="205"/>
    </row>
    <row r="372" spans="15:20">
      <c r="O372" s="225"/>
      <c r="T372" s="205"/>
    </row>
    <row r="373" spans="15:20">
      <c r="O373" s="225"/>
      <c r="T373" s="205"/>
    </row>
    <row r="374" spans="15:20">
      <c r="O374" s="225"/>
      <c r="T374" s="205"/>
    </row>
    <row r="375" spans="15:20">
      <c r="O375" s="225"/>
      <c r="T375" s="205"/>
    </row>
    <row r="376" spans="15:20">
      <c r="O376" s="225"/>
      <c r="T376" s="205"/>
    </row>
    <row r="377" spans="15:20">
      <c r="O377" s="225"/>
      <c r="T377" s="205"/>
    </row>
    <row r="378" spans="15:20">
      <c r="O378" s="225"/>
      <c r="T378" s="205"/>
    </row>
    <row r="379" spans="15:20">
      <c r="O379" s="225"/>
      <c r="T379" s="205"/>
    </row>
    <row r="380" spans="15:20">
      <c r="O380" s="225"/>
      <c r="T380" s="205"/>
    </row>
    <row r="381" spans="15:20">
      <c r="O381" s="225"/>
      <c r="T381" s="205"/>
    </row>
    <row r="382" spans="15:20">
      <c r="O382" s="225"/>
      <c r="T382" s="205"/>
    </row>
    <row r="383" spans="15:20">
      <c r="O383" s="225"/>
      <c r="T383" s="205"/>
    </row>
    <row r="384" spans="15:20">
      <c r="O384" s="225"/>
      <c r="T384" s="205"/>
    </row>
    <row r="385" spans="15:20">
      <c r="O385" s="225"/>
      <c r="T385" s="205"/>
    </row>
    <row r="386" spans="15:20">
      <c r="O386" s="225"/>
      <c r="T386" s="205"/>
    </row>
    <row r="387" spans="15:20">
      <c r="O387" s="225"/>
      <c r="T387" s="205"/>
    </row>
    <row r="388" spans="15:20">
      <c r="O388" s="225"/>
      <c r="T388" s="205"/>
    </row>
    <row r="389" spans="15:20">
      <c r="O389" s="225"/>
      <c r="T389" s="205"/>
    </row>
    <row r="390" spans="15:20">
      <c r="O390" s="225"/>
      <c r="T390" s="205"/>
    </row>
    <row r="391" spans="15:20">
      <c r="O391" s="225"/>
      <c r="T391" s="205"/>
    </row>
    <row r="392" spans="15:20">
      <c r="O392" s="225"/>
      <c r="T392" s="205"/>
    </row>
    <row r="393" spans="15:20">
      <c r="O393" s="225"/>
      <c r="T393" s="205"/>
    </row>
    <row r="394" spans="15:20">
      <c r="O394" s="225"/>
      <c r="T394" s="205"/>
    </row>
    <row r="395" spans="15:20">
      <c r="O395" s="225"/>
      <c r="T395" s="205"/>
    </row>
    <row r="396" spans="15:20">
      <c r="O396" s="225"/>
      <c r="T396" s="205"/>
    </row>
    <row r="397" spans="15:20">
      <c r="O397" s="225"/>
      <c r="T397" s="205"/>
    </row>
    <row r="398" spans="15:20">
      <c r="O398" s="225"/>
      <c r="T398" s="205"/>
    </row>
    <row r="399" spans="15:20">
      <c r="O399" s="225"/>
      <c r="T399" s="205"/>
    </row>
    <row r="400" spans="15:20">
      <c r="O400" s="225"/>
      <c r="T400" s="205"/>
    </row>
    <row r="401" spans="15:20">
      <c r="O401" s="225"/>
      <c r="T401" s="205"/>
    </row>
    <row r="402" spans="15:20">
      <c r="O402" s="225"/>
      <c r="T402" s="205"/>
    </row>
    <row r="403" spans="15:20">
      <c r="O403" s="225"/>
      <c r="T403" s="205"/>
    </row>
    <row r="404" spans="15:20">
      <c r="O404" s="225"/>
      <c r="T404" s="205"/>
    </row>
    <row r="405" spans="15:20">
      <c r="O405" s="225"/>
      <c r="T405" s="205"/>
    </row>
    <row r="406" spans="15:20">
      <c r="O406" s="225"/>
      <c r="T406" s="205"/>
    </row>
    <row r="407" spans="15:20">
      <c r="O407" s="225"/>
      <c r="T407" s="205"/>
    </row>
    <row r="408" spans="15:20">
      <c r="O408" s="225"/>
      <c r="T408" s="205"/>
    </row>
    <row r="409" spans="15:20">
      <c r="O409" s="225"/>
      <c r="T409" s="205"/>
    </row>
    <row r="410" spans="15:20">
      <c r="O410" s="225"/>
      <c r="T410" s="205"/>
    </row>
    <row r="411" spans="15:20">
      <c r="O411" s="225"/>
      <c r="T411" s="205"/>
    </row>
    <row r="412" spans="15:20">
      <c r="O412" s="225"/>
      <c r="T412" s="205"/>
    </row>
    <row r="413" spans="15:20">
      <c r="O413" s="225"/>
      <c r="T413" s="205"/>
    </row>
    <row r="414" spans="15:20">
      <c r="O414" s="225"/>
      <c r="T414" s="205"/>
    </row>
    <row r="415" spans="15:20">
      <c r="O415" s="225"/>
      <c r="T415" s="205"/>
    </row>
    <row r="416" spans="15:20">
      <c r="O416" s="225"/>
      <c r="T416" s="205"/>
    </row>
    <row r="417" spans="15:20">
      <c r="O417" s="225"/>
      <c r="T417" s="205"/>
    </row>
    <row r="418" spans="15:20">
      <c r="O418" s="225"/>
      <c r="T418" s="205"/>
    </row>
    <row r="419" spans="15:20">
      <c r="O419" s="225"/>
      <c r="T419" s="205"/>
    </row>
    <row r="420" spans="15:20">
      <c r="O420" s="225"/>
      <c r="T420" s="205"/>
    </row>
    <row r="421" spans="15:20">
      <c r="O421" s="225"/>
      <c r="T421" s="205"/>
    </row>
    <row r="422" spans="15:20">
      <c r="O422" s="225"/>
      <c r="T422" s="205"/>
    </row>
    <row r="423" spans="15:20">
      <c r="O423" s="225"/>
      <c r="T423" s="205"/>
    </row>
    <row r="424" spans="15:20">
      <c r="O424" s="225"/>
      <c r="T424" s="205"/>
    </row>
    <row r="425" spans="15:20">
      <c r="O425" s="225"/>
      <c r="T425" s="205"/>
    </row>
    <row r="426" spans="15:20">
      <c r="O426" s="225"/>
      <c r="T426" s="205"/>
    </row>
    <row r="427" spans="15:20">
      <c r="O427" s="225"/>
      <c r="T427" s="205"/>
    </row>
    <row r="428" spans="15:20">
      <c r="O428" s="225"/>
      <c r="T428" s="205"/>
    </row>
    <row r="429" spans="15:20">
      <c r="O429" s="225"/>
      <c r="T429" s="205"/>
    </row>
    <row r="430" spans="15:20">
      <c r="O430" s="225"/>
      <c r="T430" s="205"/>
    </row>
    <row r="431" spans="15:20">
      <c r="O431" s="225"/>
      <c r="T431" s="205"/>
    </row>
    <row r="432" spans="15:20">
      <c r="O432" s="225"/>
      <c r="T432" s="205"/>
    </row>
    <row r="433" spans="15:20">
      <c r="O433" s="225"/>
      <c r="T433" s="205"/>
    </row>
    <row r="434" spans="15:20">
      <c r="O434" s="225"/>
      <c r="T434" s="205"/>
    </row>
    <row r="435" spans="15:20">
      <c r="O435" s="225"/>
      <c r="T435" s="205"/>
    </row>
    <row r="436" spans="15:20">
      <c r="O436" s="225"/>
      <c r="T436" s="205"/>
    </row>
    <row r="437" spans="15:20">
      <c r="O437" s="225"/>
      <c r="T437" s="205"/>
    </row>
    <row r="438" spans="15:20">
      <c r="O438" s="225"/>
      <c r="T438" s="205"/>
    </row>
    <row r="439" spans="15:20">
      <c r="O439" s="225"/>
      <c r="T439" s="205"/>
    </row>
    <row r="440" spans="15:20">
      <c r="O440" s="225"/>
      <c r="T440" s="205"/>
    </row>
    <row r="441" spans="15:20">
      <c r="O441" s="225"/>
      <c r="T441" s="205"/>
    </row>
    <row r="442" spans="15:20">
      <c r="O442" s="225"/>
      <c r="T442" s="205"/>
    </row>
    <row r="443" spans="15:20">
      <c r="O443" s="225"/>
      <c r="T443" s="205"/>
    </row>
    <row r="444" spans="15:20">
      <c r="O444" s="225"/>
      <c r="T444" s="205"/>
    </row>
    <row r="445" spans="15:20">
      <c r="O445" s="225"/>
      <c r="T445" s="205"/>
    </row>
    <row r="446" spans="15:20">
      <c r="O446" s="225"/>
      <c r="T446" s="205"/>
    </row>
    <row r="447" spans="15:20">
      <c r="O447" s="225"/>
      <c r="T447" s="205"/>
    </row>
    <row r="448" spans="15:20">
      <c r="O448" s="225"/>
      <c r="T448" s="205"/>
    </row>
    <row r="449" spans="15:20">
      <c r="O449" s="225"/>
      <c r="T449" s="205"/>
    </row>
    <row r="450" spans="15:20">
      <c r="O450" s="225"/>
      <c r="T450" s="205"/>
    </row>
    <row r="451" spans="15:20">
      <c r="O451" s="225"/>
      <c r="T451" s="205"/>
    </row>
    <row r="452" spans="15:20">
      <c r="O452" s="225"/>
      <c r="T452" s="205"/>
    </row>
    <row r="453" spans="15:20">
      <c r="O453" s="225"/>
      <c r="T453" s="205"/>
    </row>
    <row r="454" spans="15:20">
      <c r="O454" s="225"/>
      <c r="T454" s="205"/>
    </row>
    <row r="455" spans="15:20">
      <c r="O455" s="225"/>
      <c r="T455" s="205"/>
    </row>
    <row r="456" spans="15:20">
      <c r="O456" s="225"/>
      <c r="T456" s="205"/>
    </row>
    <row r="457" spans="15:20">
      <c r="O457" s="225"/>
      <c r="T457" s="205"/>
    </row>
    <row r="458" spans="15:20">
      <c r="O458" s="225"/>
      <c r="T458" s="205"/>
    </row>
    <row r="459" spans="15:20">
      <c r="O459" s="225"/>
      <c r="T459" s="205"/>
    </row>
    <row r="460" spans="15:20">
      <c r="O460" s="225"/>
      <c r="T460" s="205"/>
    </row>
    <row r="461" spans="15:20">
      <c r="O461" s="225"/>
      <c r="T461" s="205"/>
    </row>
    <row r="462" spans="15:20">
      <c r="O462" s="225"/>
      <c r="T462" s="205"/>
    </row>
    <row r="463" spans="15:20">
      <c r="O463" s="225"/>
      <c r="T463" s="205"/>
    </row>
    <row r="464" spans="15:20">
      <c r="O464" s="225"/>
      <c r="T464" s="205"/>
    </row>
    <row r="465" spans="15:20">
      <c r="O465" s="225"/>
      <c r="T465" s="205"/>
    </row>
    <row r="466" spans="15:20">
      <c r="O466" s="225"/>
      <c r="T466" s="205"/>
    </row>
    <row r="467" spans="15:20">
      <c r="O467" s="225"/>
      <c r="T467" s="205"/>
    </row>
    <row r="468" spans="15:20">
      <c r="O468" s="225"/>
      <c r="T468" s="205"/>
    </row>
    <row r="469" spans="15:20">
      <c r="O469" s="225"/>
      <c r="T469" s="205"/>
    </row>
    <row r="470" spans="15:20">
      <c r="O470" s="225"/>
      <c r="T470" s="205"/>
    </row>
    <row r="471" spans="15:20">
      <c r="O471" s="225"/>
      <c r="T471" s="205"/>
    </row>
    <row r="472" spans="15:20">
      <c r="O472" s="225"/>
      <c r="T472" s="205"/>
    </row>
    <row r="473" spans="15:20">
      <c r="O473" s="225"/>
      <c r="T473" s="205"/>
    </row>
    <row r="474" spans="15:20">
      <c r="O474" s="225"/>
      <c r="T474" s="205"/>
    </row>
    <row r="475" spans="15:20">
      <c r="O475" s="225"/>
      <c r="T475" s="205"/>
    </row>
    <row r="476" spans="15:20">
      <c r="O476" s="225"/>
      <c r="T476" s="205"/>
    </row>
    <row r="477" spans="15:20">
      <c r="O477" s="225"/>
      <c r="T477" s="205"/>
    </row>
    <row r="478" spans="15:20">
      <c r="O478" s="225"/>
      <c r="T478" s="205"/>
    </row>
    <row r="479" spans="15:20">
      <c r="O479" s="225"/>
      <c r="T479" s="205"/>
    </row>
    <row r="480" spans="15:20">
      <c r="O480" s="225"/>
      <c r="T480" s="205"/>
    </row>
    <row r="481" spans="15:20">
      <c r="O481" s="225"/>
      <c r="T481" s="205"/>
    </row>
    <row r="482" spans="15:20">
      <c r="O482" s="225"/>
      <c r="T482" s="205"/>
    </row>
    <row r="483" spans="15:20">
      <c r="O483" s="225"/>
      <c r="T483" s="205"/>
    </row>
    <row r="484" spans="15:20">
      <c r="O484" s="225"/>
      <c r="T484" s="205"/>
    </row>
    <row r="485" spans="15:20">
      <c r="O485" s="225"/>
      <c r="T485" s="205"/>
    </row>
    <row r="486" spans="15:20">
      <c r="O486" s="225"/>
      <c r="T486" s="205"/>
    </row>
    <row r="487" spans="15:20">
      <c r="O487" s="225"/>
      <c r="T487" s="205"/>
    </row>
    <row r="488" spans="15:20">
      <c r="O488" s="225"/>
      <c r="T488" s="205"/>
    </row>
    <row r="489" spans="15:20">
      <c r="O489" s="225"/>
      <c r="T489" s="205"/>
    </row>
    <row r="490" spans="15:20">
      <c r="O490" s="225"/>
      <c r="T490" s="205"/>
    </row>
    <row r="491" spans="15:20">
      <c r="O491" s="225"/>
      <c r="T491" s="205"/>
    </row>
    <row r="492" spans="15:20">
      <c r="O492" s="225"/>
      <c r="T492" s="205"/>
    </row>
    <row r="493" spans="15:20">
      <c r="O493" s="225"/>
      <c r="T493" s="205"/>
    </row>
    <row r="494" spans="15:20">
      <c r="O494" s="225"/>
      <c r="T494" s="205"/>
    </row>
    <row r="495" spans="15:20">
      <c r="O495" s="225"/>
      <c r="T495" s="205"/>
    </row>
    <row r="496" spans="15:20">
      <c r="O496" s="225"/>
      <c r="T496" s="205"/>
    </row>
    <row r="497" spans="15:20">
      <c r="O497" s="225"/>
      <c r="T497" s="205"/>
    </row>
    <row r="498" spans="15:20">
      <c r="O498" s="225"/>
      <c r="T498" s="205"/>
    </row>
    <row r="499" spans="15:20">
      <c r="O499" s="225"/>
      <c r="T499" s="205"/>
    </row>
    <row r="500" spans="15:20">
      <c r="O500" s="225"/>
      <c r="T500" s="205"/>
    </row>
    <row r="501" spans="15:20">
      <c r="O501" s="225"/>
      <c r="T501" s="205"/>
    </row>
    <row r="502" spans="15:20">
      <c r="O502" s="225"/>
      <c r="T502" s="205"/>
    </row>
    <row r="503" spans="15:20">
      <c r="O503" s="225"/>
      <c r="T503" s="205"/>
    </row>
    <row r="504" spans="15:20">
      <c r="O504" s="225"/>
      <c r="T504" s="205"/>
    </row>
    <row r="505" spans="15:20">
      <c r="O505" s="225"/>
      <c r="T505" s="205"/>
    </row>
    <row r="506" spans="15:20">
      <c r="O506" s="225"/>
      <c r="T506" s="205"/>
    </row>
    <row r="507" spans="15:20">
      <c r="O507" s="225"/>
      <c r="T507" s="205"/>
    </row>
    <row r="508" spans="15:20">
      <c r="O508" s="225"/>
      <c r="T508" s="205"/>
    </row>
    <row r="509" spans="15:20">
      <c r="O509" s="225"/>
      <c r="T509" s="205"/>
    </row>
    <row r="510" spans="15:20">
      <c r="O510" s="225"/>
      <c r="T510" s="205"/>
    </row>
    <row r="511" spans="15:20">
      <c r="O511" s="225"/>
      <c r="T511" s="205"/>
    </row>
    <row r="512" spans="15:20">
      <c r="O512" s="225"/>
      <c r="T512" s="205"/>
    </row>
    <row r="513" spans="15:20">
      <c r="O513" s="225"/>
      <c r="T513" s="205"/>
    </row>
    <row r="514" spans="15:20">
      <c r="O514" s="225"/>
      <c r="T514" s="205"/>
    </row>
    <row r="515" spans="15:20">
      <c r="O515" s="225"/>
      <c r="T515" s="205"/>
    </row>
    <row r="516" spans="15:20">
      <c r="O516" s="225"/>
      <c r="T516" s="205"/>
    </row>
    <row r="517" spans="15:20">
      <c r="O517" s="225"/>
      <c r="T517" s="205"/>
    </row>
    <row r="518" spans="15:20">
      <c r="O518" s="225"/>
      <c r="T518" s="205"/>
    </row>
    <row r="519" spans="15:20">
      <c r="O519" s="225"/>
      <c r="T519" s="205"/>
    </row>
    <row r="520" spans="15:20">
      <c r="O520" s="225"/>
      <c r="T520" s="205"/>
    </row>
    <row r="521" spans="15:20">
      <c r="O521" s="225"/>
      <c r="T521" s="205"/>
    </row>
    <row r="522" spans="15:20">
      <c r="O522" s="225"/>
      <c r="T522" s="205"/>
    </row>
    <row r="523" spans="15:20">
      <c r="O523" s="225"/>
      <c r="T523" s="205"/>
    </row>
    <row r="524" spans="15:20">
      <c r="O524" s="225"/>
      <c r="T524" s="205"/>
    </row>
    <row r="525" spans="15:20">
      <c r="O525" s="225"/>
      <c r="T525" s="205"/>
    </row>
    <row r="526" spans="15:20">
      <c r="O526" s="225"/>
      <c r="T526" s="205"/>
    </row>
    <row r="527" spans="15:20">
      <c r="O527" s="225"/>
      <c r="T527" s="205"/>
    </row>
    <row r="528" spans="15:20">
      <c r="O528" s="225"/>
      <c r="T528" s="205"/>
    </row>
    <row r="529" spans="15:20">
      <c r="O529" s="225"/>
      <c r="T529" s="205"/>
    </row>
    <row r="530" spans="15:20">
      <c r="O530" s="225"/>
      <c r="T530" s="205"/>
    </row>
    <row r="531" spans="15:20">
      <c r="O531" s="225"/>
      <c r="T531" s="205"/>
    </row>
    <row r="532" spans="15:20">
      <c r="O532" s="225"/>
      <c r="T532" s="205"/>
    </row>
    <row r="533" spans="15:20">
      <c r="O533" s="225"/>
      <c r="T533" s="205"/>
    </row>
    <row r="534" spans="15:20">
      <c r="O534" s="225"/>
      <c r="T534" s="205"/>
    </row>
    <row r="535" spans="15:20">
      <c r="O535" s="225"/>
      <c r="T535" s="205"/>
    </row>
    <row r="536" spans="15:20">
      <c r="O536" s="225"/>
      <c r="T536" s="205"/>
    </row>
    <row r="537" spans="15:20">
      <c r="O537" s="225"/>
      <c r="T537" s="205"/>
    </row>
    <row r="538" spans="15:20">
      <c r="O538" s="225"/>
      <c r="T538" s="205"/>
    </row>
    <row r="539" spans="15:20">
      <c r="O539" s="225"/>
      <c r="T539" s="205"/>
    </row>
    <row r="540" spans="15:20">
      <c r="O540" s="225"/>
      <c r="T540" s="205"/>
    </row>
    <row r="541" spans="15:20">
      <c r="O541" s="225"/>
      <c r="T541" s="205"/>
    </row>
    <row r="542" spans="15:20">
      <c r="O542" s="225"/>
      <c r="T542" s="205"/>
    </row>
    <row r="543" spans="15:20">
      <c r="O543" s="225"/>
      <c r="T543" s="205"/>
    </row>
    <row r="544" spans="15:20">
      <c r="O544" s="225"/>
      <c r="T544" s="205"/>
    </row>
    <row r="545" spans="15:20">
      <c r="O545" s="225"/>
      <c r="T545" s="205"/>
    </row>
    <row r="546" spans="15:20">
      <c r="O546" s="225"/>
      <c r="T546" s="205"/>
    </row>
    <row r="547" spans="15:20">
      <c r="O547" s="225"/>
      <c r="T547" s="205"/>
    </row>
    <row r="548" spans="15:20">
      <c r="O548" s="225"/>
      <c r="T548" s="205"/>
    </row>
    <row r="549" spans="15:20">
      <c r="O549" s="225"/>
      <c r="T549" s="205"/>
    </row>
    <row r="550" spans="15:20">
      <c r="O550" s="225"/>
      <c r="T550" s="205"/>
    </row>
    <row r="551" spans="15:20">
      <c r="O551" s="225"/>
      <c r="T551" s="205"/>
    </row>
    <row r="552" spans="15:20">
      <c r="O552" s="225"/>
      <c r="T552" s="205"/>
    </row>
    <row r="553" spans="15:20">
      <c r="O553" s="225"/>
      <c r="T553" s="205"/>
    </row>
    <row r="554" spans="15:20">
      <c r="O554" s="225"/>
      <c r="T554" s="205"/>
    </row>
    <row r="555" spans="15:20">
      <c r="O555" s="225"/>
      <c r="T555" s="205"/>
    </row>
    <row r="556" spans="15:20">
      <c r="O556" s="225"/>
      <c r="T556" s="205"/>
    </row>
    <row r="557" spans="15:20">
      <c r="O557" s="225"/>
      <c r="T557" s="205"/>
    </row>
    <row r="558" spans="15:20">
      <c r="O558" s="225"/>
      <c r="T558" s="205"/>
    </row>
    <row r="559" spans="15:20">
      <c r="O559" s="225"/>
      <c r="T559" s="205"/>
    </row>
    <row r="560" spans="15:20">
      <c r="O560" s="225"/>
      <c r="T560" s="205"/>
    </row>
    <row r="561" spans="15:20">
      <c r="O561" s="225"/>
      <c r="T561" s="205"/>
    </row>
    <row r="562" spans="15:20">
      <c r="O562" s="225"/>
      <c r="T562" s="205"/>
    </row>
    <row r="563" spans="15:20">
      <c r="O563" s="225"/>
      <c r="T563" s="205"/>
    </row>
    <row r="564" spans="15:20">
      <c r="O564" s="225"/>
      <c r="T564" s="205"/>
    </row>
    <row r="565" spans="15:20">
      <c r="O565" s="225"/>
      <c r="T565" s="205"/>
    </row>
    <row r="566" spans="15:20">
      <c r="O566" s="225"/>
      <c r="T566" s="205"/>
    </row>
    <row r="567" spans="15:20">
      <c r="O567" s="225"/>
      <c r="T567" s="205"/>
    </row>
    <row r="568" spans="15:20">
      <c r="O568" s="225"/>
      <c r="T568" s="205"/>
    </row>
    <row r="569" spans="15:20">
      <c r="O569" s="225"/>
      <c r="T569" s="205"/>
    </row>
    <row r="570" spans="15:20">
      <c r="O570" s="225"/>
      <c r="T570" s="205"/>
    </row>
    <row r="571" spans="15:20">
      <c r="O571" s="225"/>
      <c r="T571" s="205"/>
    </row>
    <row r="572" spans="15:20">
      <c r="O572" s="225"/>
      <c r="T572" s="205"/>
    </row>
    <row r="573" spans="15:20">
      <c r="O573" s="225"/>
      <c r="T573" s="205"/>
    </row>
    <row r="574" spans="15:20">
      <c r="O574" s="225"/>
      <c r="T574" s="205"/>
    </row>
    <row r="575" spans="15:20">
      <c r="O575" s="225"/>
      <c r="T575" s="205"/>
    </row>
    <row r="576" spans="15:20">
      <c r="O576" s="225"/>
      <c r="T576" s="205"/>
    </row>
    <row r="577" spans="15:20">
      <c r="O577" s="225"/>
      <c r="T577" s="205"/>
    </row>
    <row r="578" spans="15:20">
      <c r="O578" s="225"/>
      <c r="T578" s="205"/>
    </row>
    <row r="579" spans="15:20">
      <c r="O579" s="225"/>
      <c r="T579" s="205"/>
    </row>
    <row r="580" spans="15:20">
      <c r="O580" s="225"/>
      <c r="T580" s="205"/>
    </row>
    <row r="581" spans="15:20">
      <c r="O581" s="225"/>
      <c r="T581" s="205"/>
    </row>
    <row r="582" spans="15:20">
      <c r="O582" s="225"/>
      <c r="T582" s="205"/>
    </row>
    <row r="583" spans="15:20">
      <c r="O583" s="225"/>
      <c r="T583" s="205"/>
    </row>
    <row r="584" spans="15:20">
      <c r="O584" s="225"/>
      <c r="T584" s="205"/>
    </row>
    <row r="585" spans="15:20">
      <c r="O585" s="225"/>
      <c r="T585" s="205"/>
    </row>
    <row r="586" spans="15:20">
      <c r="O586" s="225"/>
      <c r="T586" s="205"/>
    </row>
    <row r="587" spans="15:20">
      <c r="O587" s="225"/>
      <c r="T587" s="205"/>
    </row>
    <row r="588" spans="15:20">
      <c r="O588" s="225"/>
      <c r="T588" s="205"/>
    </row>
    <row r="589" spans="15:20">
      <c r="O589" s="225"/>
      <c r="T589" s="205"/>
    </row>
    <row r="590" spans="15:20">
      <c r="O590" s="225"/>
      <c r="T590" s="205"/>
    </row>
    <row r="591" spans="15:20">
      <c r="O591" s="225"/>
      <c r="T591" s="205"/>
    </row>
    <row r="592" spans="15:20">
      <c r="O592" s="225"/>
      <c r="T592" s="205"/>
    </row>
    <row r="593" spans="15:20">
      <c r="O593" s="225"/>
      <c r="T593" s="205"/>
    </row>
    <row r="594" spans="15:20">
      <c r="O594" s="225"/>
      <c r="T594" s="205"/>
    </row>
    <row r="595" spans="15:20">
      <c r="O595" s="225"/>
      <c r="T595" s="205"/>
    </row>
    <row r="596" spans="15:20">
      <c r="O596" s="225"/>
      <c r="T596" s="205"/>
    </row>
    <row r="597" spans="15:20">
      <c r="O597" s="225"/>
      <c r="T597" s="205"/>
    </row>
    <row r="598" spans="15:20">
      <c r="O598" s="225"/>
      <c r="T598" s="205"/>
    </row>
    <row r="599" spans="15:20">
      <c r="O599" s="225"/>
      <c r="T599" s="205"/>
    </row>
    <row r="600" spans="15:20">
      <c r="O600" s="225"/>
      <c r="T600" s="205"/>
    </row>
    <row r="601" spans="15:20">
      <c r="O601" s="225"/>
      <c r="T601" s="205"/>
    </row>
    <row r="602" spans="15:20">
      <c r="O602" s="225"/>
      <c r="T602" s="205"/>
    </row>
    <row r="603" spans="15:20">
      <c r="O603" s="225"/>
      <c r="T603" s="205"/>
    </row>
    <row r="604" spans="15:20">
      <c r="O604" s="225"/>
      <c r="T604" s="205"/>
    </row>
    <row r="605" spans="15:20">
      <c r="O605" s="225"/>
      <c r="T605" s="205"/>
    </row>
    <row r="606" spans="15:20">
      <c r="O606" s="225"/>
      <c r="T606" s="205"/>
    </row>
    <row r="607" spans="15:20">
      <c r="O607" s="225"/>
      <c r="T607" s="205"/>
    </row>
    <row r="608" spans="15:20">
      <c r="O608" s="225"/>
      <c r="T608" s="205"/>
    </row>
    <row r="609" spans="15:20">
      <c r="O609" s="225"/>
      <c r="T609" s="205"/>
    </row>
    <row r="610" spans="15:20">
      <c r="O610" s="225"/>
      <c r="T610" s="205"/>
    </row>
    <row r="611" spans="15:20">
      <c r="O611" s="225"/>
      <c r="T611" s="205"/>
    </row>
    <row r="612" spans="15:20">
      <c r="O612" s="225"/>
      <c r="T612" s="205"/>
    </row>
    <row r="613" spans="15:20">
      <c r="O613" s="225"/>
      <c r="T613" s="205"/>
    </row>
    <row r="614" spans="15:20">
      <c r="O614" s="225"/>
      <c r="T614" s="205"/>
    </row>
    <row r="615" spans="15:20">
      <c r="O615" s="225"/>
      <c r="T615" s="205"/>
    </row>
    <row r="616" spans="15:20">
      <c r="O616" s="225"/>
      <c r="T616" s="205"/>
    </row>
    <row r="617" spans="15:20">
      <c r="O617" s="225"/>
      <c r="T617" s="205"/>
    </row>
    <row r="618" spans="15:20">
      <c r="O618" s="225"/>
      <c r="T618" s="205"/>
    </row>
    <row r="619" spans="15:20">
      <c r="O619" s="225"/>
      <c r="T619" s="205"/>
    </row>
    <row r="620" spans="15:20">
      <c r="O620" s="225"/>
      <c r="T620" s="205"/>
    </row>
    <row r="621" spans="15:20">
      <c r="O621" s="225"/>
      <c r="T621" s="205"/>
    </row>
    <row r="622" spans="15:20">
      <c r="O622" s="225"/>
      <c r="T622" s="205"/>
    </row>
    <row r="623" spans="15:20">
      <c r="O623" s="225"/>
      <c r="T623" s="205"/>
    </row>
    <row r="624" spans="15:20">
      <c r="O624" s="225"/>
      <c r="T624" s="205"/>
    </row>
    <row r="625" spans="15:20">
      <c r="O625" s="225"/>
      <c r="T625" s="205"/>
    </row>
    <row r="626" spans="15:20">
      <c r="O626" s="225"/>
      <c r="T626" s="205"/>
    </row>
    <row r="627" spans="15:20">
      <c r="O627" s="225"/>
      <c r="T627" s="205"/>
    </row>
    <row r="628" spans="15:20">
      <c r="O628" s="225"/>
      <c r="T628" s="205"/>
    </row>
    <row r="629" spans="15:20">
      <c r="O629" s="225"/>
      <c r="T629" s="205"/>
    </row>
    <row r="630" spans="15:20">
      <c r="O630" s="225"/>
      <c r="T630" s="205"/>
    </row>
    <row r="631" spans="15:20">
      <c r="O631" s="225"/>
      <c r="T631" s="205"/>
    </row>
    <row r="632" spans="15:20">
      <c r="O632" s="225"/>
      <c r="T632" s="205"/>
    </row>
    <row r="633" spans="15:20">
      <c r="O633" s="225"/>
      <c r="T633" s="205"/>
    </row>
    <row r="634" spans="15:20">
      <c r="O634" s="225"/>
      <c r="T634" s="205"/>
    </row>
    <row r="635" spans="15:20">
      <c r="O635" s="225"/>
      <c r="T635" s="205"/>
    </row>
    <row r="636" spans="15:20">
      <c r="O636" s="225"/>
      <c r="T636" s="205"/>
    </row>
    <row r="637" spans="15:20">
      <c r="O637" s="225"/>
      <c r="T637" s="205"/>
    </row>
    <row r="638" spans="15:20">
      <c r="O638" s="225"/>
      <c r="T638" s="205"/>
    </row>
    <row r="639" spans="15:20">
      <c r="O639" s="225"/>
      <c r="T639" s="205"/>
    </row>
    <row r="640" spans="15:20">
      <c r="O640" s="225"/>
      <c r="T640" s="205"/>
    </row>
    <row r="641" spans="15:20">
      <c r="O641" s="225"/>
      <c r="T641" s="205"/>
    </row>
    <row r="642" spans="15:20">
      <c r="O642" s="225"/>
      <c r="T642" s="205"/>
    </row>
    <row r="643" spans="15:20">
      <c r="O643" s="225"/>
      <c r="T643" s="205"/>
    </row>
    <row r="644" spans="15:20">
      <c r="O644" s="225"/>
      <c r="T644" s="205"/>
    </row>
    <row r="645" spans="15:20">
      <c r="O645" s="225"/>
      <c r="T645" s="205"/>
    </row>
    <row r="646" spans="15:20">
      <c r="O646" s="225"/>
      <c r="T646" s="205"/>
    </row>
    <row r="647" spans="15:20">
      <c r="O647" s="225"/>
      <c r="T647" s="205"/>
    </row>
    <row r="648" spans="15:20">
      <c r="O648" s="225"/>
      <c r="T648" s="205"/>
    </row>
    <row r="649" spans="15:20">
      <c r="O649" s="225"/>
      <c r="T649" s="205"/>
    </row>
    <row r="650" spans="15:20">
      <c r="O650" s="225"/>
      <c r="T650" s="205"/>
    </row>
    <row r="651" spans="15:20">
      <c r="O651" s="225"/>
      <c r="T651" s="205"/>
    </row>
    <row r="652" spans="15:20">
      <c r="O652" s="225"/>
      <c r="T652" s="205"/>
    </row>
    <row r="653" spans="15:20">
      <c r="O653" s="225"/>
      <c r="T653" s="205"/>
    </row>
    <row r="654" spans="15:20">
      <c r="O654" s="225"/>
      <c r="T654" s="205"/>
    </row>
    <row r="655" spans="15:20">
      <c r="O655" s="225"/>
      <c r="T655" s="205"/>
    </row>
    <row r="656" spans="15:20">
      <c r="O656" s="225"/>
      <c r="T656" s="205"/>
    </row>
    <row r="657" spans="15:20">
      <c r="O657" s="225"/>
      <c r="T657" s="205"/>
    </row>
    <row r="658" spans="15:20">
      <c r="O658" s="225"/>
      <c r="T658" s="205"/>
    </row>
    <row r="659" spans="15:20">
      <c r="O659" s="225"/>
      <c r="T659" s="205"/>
    </row>
    <row r="660" spans="15:20">
      <c r="O660" s="225"/>
      <c r="T660" s="205"/>
    </row>
    <row r="661" spans="15:20">
      <c r="O661" s="225"/>
      <c r="T661" s="205"/>
    </row>
    <row r="662" spans="15:20">
      <c r="O662" s="225"/>
      <c r="T662" s="205"/>
    </row>
    <row r="663" spans="15:20">
      <c r="O663" s="225"/>
      <c r="T663" s="205"/>
    </row>
    <row r="664" spans="15:20">
      <c r="O664" s="225"/>
      <c r="T664" s="205"/>
    </row>
    <row r="665" spans="15:20">
      <c r="O665" s="225"/>
      <c r="T665" s="205"/>
    </row>
    <row r="666" spans="15:20">
      <c r="O666" s="225"/>
      <c r="T666" s="205"/>
    </row>
    <row r="667" spans="15:20">
      <c r="O667" s="225"/>
      <c r="T667" s="205"/>
    </row>
    <row r="668" spans="15:20">
      <c r="O668" s="225"/>
      <c r="T668" s="205"/>
    </row>
    <row r="669" spans="15:20">
      <c r="O669" s="225"/>
      <c r="T669" s="205"/>
    </row>
    <row r="670" spans="15:20">
      <c r="O670" s="225"/>
      <c r="T670" s="205"/>
    </row>
    <row r="671" spans="15:20">
      <c r="O671" s="225"/>
      <c r="T671" s="205"/>
    </row>
    <row r="672" spans="15:20">
      <c r="O672" s="225"/>
      <c r="T672" s="205"/>
    </row>
    <row r="673" spans="15:20">
      <c r="O673" s="225"/>
      <c r="T673" s="205"/>
    </row>
    <row r="674" spans="15:20">
      <c r="O674" s="225"/>
      <c r="T674" s="205"/>
    </row>
    <row r="675" spans="15:20">
      <c r="O675" s="225"/>
      <c r="T675" s="205"/>
    </row>
    <row r="676" spans="15:20">
      <c r="O676" s="225"/>
      <c r="T676" s="205"/>
    </row>
    <row r="677" spans="15:20">
      <c r="O677" s="225"/>
      <c r="T677" s="205"/>
    </row>
    <row r="678" spans="15:20">
      <c r="O678" s="225"/>
      <c r="T678" s="205"/>
    </row>
    <row r="679" spans="15:20">
      <c r="O679" s="225"/>
      <c r="T679" s="205"/>
    </row>
    <row r="680" spans="15:20">
      <c r="O680" s="225"/>
      <c r="T680" s="205"/>
    </row>
    <row r="681" spans="15:20">
      <c r="O681" s="225"/>
      <c r="T681" s="205"/>
    </row>
    <row r="682" spans="15:20">
      <c r="O682" s="225"/>
      <c r="T682" s="205"/>
    </row>
    <row r="683" spans="15:20">
      <c r="O683" s="225"/>
      <c r="T683" s="205"/>
    </row>
    <row r="684" spans="15:20">
      <c r="O684" s="225"/>
      <c r="T684" s="205"/>
    </row>
    <row r="685" spans="15:20">
      <c r="O685" s="225"/>
      <c r="T685" s="205"/>
    </row>
    <row r="686" spans="15:20">
      <c r="O686" s="225"/>
      <c r="T686" s="205"/>
    </row>
    <row r="687" spans="15:20">
      <c r="O687" s="225"/>
      <c r="T687" s="205"/>
    </row>
    <row r="688" spans="15:20">
      <c r="O688" s="225"/>
      <c r="T688" s="205"/>
    </row>
    <row r="689" spans="15:20">
      <c r="O689" s="225"/>
      <c r="T689" s="205"/>
    </row>
    <row r="690" spans="15:20">
      <c r="O690" s="225"/>
      <c r="T690" s="205"/>
    </row>
    <row r="691" spans="15:20">
      <c r="O691" s="225"/>
      <c r="T691" s="205"/>
    </row>
    <row r="692" spans="15:20">
      <c r="O692" s="225"/>
      <c r="T692" s="205"/>
    </row>
    <row r="693" spans="15:20">
      <c r="O693" s="225"/>
      <c r="T693" s="205"/>
    </row>
    <row r="694" spans="15:20">
      <c r="O694" s="225"/>
      <c r="T694" s="205"/>
    </row>
    <row r="695" spans="15:20">
      <c r="O695" s="225"/>
      <c r="T695" s="205"/>
    </row>
    <row r="696" spans="15:20">
      <c r="O696" s="225"/>
      <c r="T696" s="205"/>
    </row>
    <row r="697" spans="15:20">
      <c r="O697" s="225"/>
      <c r="T697" s="205"/>
    </row>
    <row r="698" spans="15:20">
      <c r="O698" s="225"/>
      <c r="T698" s="205"/>
    </row>
    <row r="699" spans="15:20">
      <c r="O699" s="225"/>
      <c r="T699" s="205"/>
    </row>
    <row r="700" spans="15:20">
      <c r="O700" s="225"/>
      <c r="T700" s="205"/>
    </row>
    <row r="701" spans="15:20">
      <c r="O701" s="225"/>
      <c r="T701" s="205"/>
    </row>
    <row r="702" spans="15:20">
      <c r="O702" s="225"/>
      <c r="T702" s="205"/>
    </row>
    <row r="703" spans="15:20">
      <c r="O703" s="225"/>
      <c r="T703" s="205"/>
    </row>
    <row r="704" spans="15:20">
      <c r="O704" s="225"/>
      <c r="T704" s="205"/>
    </row>
    <row r="705" spans="15:20">
      <c r="O705" s="225"/>
      <c r="T705" s="205"/>
    </row>
    <row r="706" spans="15:20">
      <c r="O706" s="225"/>
      <c r="T706" s="205"/>
    </row>
    <row r="707" spans="15:20">
      <c r="O707" s="225"/>
      <c r="T707" s="205"/>
    </row>
    <row r="708" spans="15:20">
      <c r="O708" s="225"/>
      <c r="T708" s="205"/>
    </row>
    <row r="709" spans="15:20">
      <c r="O709" s="225"/>
      <c r="T709" s="205"/>
    </row>
    <row r="710" spans="15:20">
      <c r="O710" s="225"/>
      <c r="T710" s="205"/>
    </row>
    <row r="711" spans="15:20">
      <c r="O711" s="225"/>
      <c r="T711" s="205"/>
    </row>
    <row r="712" spans="15:20">
      <c r="O712" s="225"/>
      <c r="T712" s="205"/>
    </row>
    <row r="713" spans="15:20">
      <c r="O713" s="225"/>
      <c r="T713" s="205"/>
    </row>
    <row r="714" spans="15:20">
      <c r="O714" s="225"/>
      <c r="T714" s="205"/>
    </row>
    <row r="715" spans="15:20">
      <c r="O715" s="225"/>
      <c r="T715" s="205"/>
    </row>
    <row r="716" spans="15:20">
      <c r="O716" s="225"/>
      <c r="T716" s="205"/>
    </row>
    <row r="717" spans="15:20">
      <c r="O717" s="225"/>
      <c r="T717" s="205"/>
    </row>
    <row r="718" spans="15:20">
      <c r="O718" s="225"/>
      <c r="T718" s="205"/>
    </row>
    <row r="719" spans="15:20">
      <c r="O719" s="225"/>
      <c r="T719" s="205"/>
    </row>
    <row r="720" spans="15:20">
      <c r="O720" s="225"/>
      <c r="T720" s="205"/>
    </row>
    <row r="721" spans="15:20">
      <c r="O721" s="225"/>
      <c r="T721" s="205"/>
    </row>
    <row r="722" spans="15:20">
      <c r="O722" s="225"/>
      <c r="T722" s="205"/>
    </row>
    <row r="723" spans="15:20">
      <c r="O723" s="225"/>
      <c r="T723" s="205"/>
    </row>
    <row r="724" spans="15:20">
      <c r="O724" s="225"/>
      <c r="T724" s="205"/>
    </row>
    <row r="725" spans="15:20">
      <c r="O725" s="225"/>
      <c r="T725" s="205"/>
    </row>
    <row r="726" spans="15:20">
      <c r="O726" s="225"/>
      <c r="T726" s="205"/>
    </row>
    <row r="727" spans="15:20">
      <c r="O727" s="225"/>
      <c r="T727" s="205"/>
    </row>
    <row r="728" spans="15:20">
      <c r="O728" s="225"/>
      <c r="T728" s="205"/>
    </row>
    <row r="729" spans="15:20">
      <c r="O729" s="225"/>
      <c r="T729" s="205"/>
    </row>
    <row r="730" spans="15:20">
      <c r="O730" s="225"/>
      <c r="T730" s="205"/>
    </row>
    <row r="731" spans="15:20">
      <c r="O731" s="225"/>
      <c r="T731" s="205"/>
    </row>
    <row r="732" spans="15:20">
      <c r="O732" s="225"/>
      <c r="T732" s="205"/>
    </row>
    <row r="733" spans="15:20">
      <c r="O733" s="225"/>
      <c r="T733" s="205"/>
    </row>
    <row r="734" spans="15:20">
      <c r="O734" s="225"/>
      <c r="T734" s="205"/>
    </row>
    <row r="735" spans="15:20">
      <c r="O735" s="225"/>
      <c r="T735" s="205"/>
    </row>
    <row r="736" spans="15:20">
      <c r="O736" s="225"/>
      <c r="T736" s="205"/>
    </row>
    <row r="737" spans="15:20">
      <c r="O737" s="225"/>
      <c r="T737" s="205"/>
    </row>
    <row r="738" spans="15:20">
      <c r="O738" s="225"/>
      <c r="T738" s="205"/>
    </row>
    <row r="739" spans="15:20">
      <c r="O739" s="225"/>
      <c r="T739" s="205"/>
    </row>
    <row r="740" spans="15:20">
      <c r="O740" s="225"/>
      <c r="T740" s="205"/>
    </row>
    <row r="741" spans="15:20">
      <c r="O741" s="225"/>
      <c r="T741" s="205"/>
    </row>
    <row r="742" spans="15:20">
      <c r="O742" s="225"/>
      <c r="T742" s="205"/>
    </row>
    <row r="743" spans="15:20">
      <c r="O743" s="225"/>
      <c r="T743" s="205"/>
    </row>
    <row r="744" spans="15:20">
      <c r="O744" s="225"/>
      <c r="T744" s="205"/>
    </row>
    <row r="745" spans="15:20">
      <c r="O745" s="225"/>
      <c r="T745" s="205"/>
    </row>
    <row r="746" spans="15:20">
      <c r="O746" s="225"/>
      <c r="T746" s="205"/>
    </row>
    <row r="747" spans="15:20">
      <c r="O747" s="225"/>
      <c r="T747" s="205"/>
    </row>
    <row r="748" spans="15:20">
      <c r="O748" s="225"/>
      <c r="T748" s="205"/>
    </row>
    <row r="749" spans="15:20">
      <c r="O749" s="225"/>
      <c r="T749" s="205"/>
    </row>
    <row r="750" spans="15:20">
      <c r="O750" s="225"/>
      <c r="T750" s="205"/>
    </row>
    <row r="751" spans="15:20">
      <c r="O751" s="225"/>
      <c r="T751" s="205"/>
    </row>
    <row r="752" spans="15:20">
      <c r="O752" s="225"/>
      <c r="T752" s="205"/>
    </row>
    <row r="753" spans="15:20">
      <c r="O753" s="225"/>
      <c r="T753" s="205"/>
    </row>
    <row r="754" spans="15:20">
      <c r="O754" s="225"/>
      <c r="T754" s="205"/>
    </row>
    <row r="755" spans="15:20">
      <c r="O755" s="225"/>
      <c r="T755" s="205"/>
    </row>
    <row r="756" spans="15:20">
      <c r="O756" s="225"/>
      <c r="T756" s="205"/>
    </row>
    <row r="757" spans="15:20">
      <c r="O757" s="225"/>
      <c r="T757" s="205"/>
    </row>
    <row r="758" spans="15:20">
      <c r="O758" s="225"/>
      <c r="T758" s="205"/>
    </row>
    <row r="759" spans="15:20">
      <c r="O759" s="225"/>
      <c r="T759" s="205"/>
    </row>
    <row r="760" spans="15:20">
      <c r="O760" s="225"/>
      <c r="T760" s="205"/>
    </row>
    <row r="761" spans="15:20">
      <c r="O761" s="225"/>
      <c r="T761" s="205"/>
    </row>
    <row r="762" spans="15:20">
      <c r="O762" s="225"/>
      <c r="T762" s="205"/>
    </row>
    <row r="763" spans="15:20">
      <c r="O763" s="225"/>
      <c r="T763" s="205"/>
    </row>
    <row r="764" spans="15:20">
      <c r="O764" s="225"/>
      <c r="T764" s="205"/>
    </row>
    <row r="765" spans="15:20">
      <c r="O765" s="225"/>
      <c r="T765" s="205"/>
    </row>
    <row r="766" spans="15:20">
      <c r="O766" s="225"/>
      <c r="T766" s="205"/>
    </row>
    <row r="767" spans="15:20">
      <c r="O767" s="225"/>
      <c r="T767" s="205"/>
    </row>
    <row r="768" spans="15:20">
      <c r="O768" s="225"/>
      <c r="T768" s="205"/>
    </row>
    <row r="769" spans="15:20">
      <c r="O769" s="225"/>
      <c r="T769" s="205"/>
    </row>
    <row r="770" spans="15:20">
      <c r="O770" s="225"/>
      <c r="T770" s="205"/>
    </row>
    <row r="771" spans="15:20">
      <c r="O771" s="225"/>
      <c r="T771" s="205"/>
    </row>
    <row r="772" spans="15:20">
      <c r="O772" s="225"/>
      <c r="T772" s="205"/>
    </row>
    <row r="773" spans="15:20">
      <c r="O773" s="225"/>
      <c r="T773" s="205"/>
    </row>
    <row r="774" spans="15:20">
      <c r="O774" s="225"/>
      <c r="T774" s="205"/>
    </row>
    <row r="775" spans="15:20">
      <c r="O775" s="225"/>
      <c r="T775" s="205"/>
    </row>
    <row r="776" spans="15:20">
      <c r="O776" s="225"/>
      <c r="T776" s="205"/>
    </row>
    <row r="777" spans="15:20">
      <c r="O777" s="225"/>
      <c r="T777" s="205"/>
    </row>
    <row r="778" spans="15:20">
      <c r="O778" s="225"/>
      <c r="T778" s="205"/>
    </row>
    <row r="779" spans="15:20">
      <c r="O779" s="225"/>
      <c r="T779" s="205"/>
    </row>
    <row r="780" spans="15:20">
      <c r="O780" s="225"/>
      <c r="T780" s="205"/>
    </row>
    <row r="781" spans="15:20">
      <c r="O781" s="225"/>
      <c r="T781" s="205"/>
    </row>
    <row r="782" spans="15:20">
      <c r="O782" s="225"/>
      <c r="T782" s="205"/>
    </row>
    <row r="783" spans="15:20">
      <c r="O783" s="225"/>
      <c r="T783" s="205"/>
    </row>
    <row r="784" spans="15:20">
      <c r="O784" s="225"/>
      <c r="T784" s="205"/>
    </row>
    <row r="785" spans="15:20">
      <c r="O785" s="225"/>
      <c r="T785" s="205"/>
    </row>
    <row r="786" spans="15:20">
      <c r="O786" s="225"/>
      <c r="T786" s="205"/>
    </row>
    <row r="787" spans="15:20">
      <c r="O787" s="225"/>
      <c r="T787" s="205"/>
    </row>
    <row r="788" spans="15:20">
      <c r="O788" s="225"/>
      <c r="T788" s="205"/>
    </row>
    <row r="789" spans="15:20">
      <c r="O789" s="225"/>
      <c r="T789" s="205"/>
    </row>
    <row r="790" spans="15:20">
      <c r="O790" s="225"/>
      <c r="T790" s="205"/>
    </row>
    <row r="791" spans="15:20">
      <c r="O791" s="225"/>
      <c r="T791" s="205"/>
    </row>
    <row r="792" spans="15:20">
      <c r="O792" s="225"/>
      <c r="T792" s="205"/>
    </row>
    <row r="793" spans="15:20">
      <c r="O793" s="225"/>
      <c r="T793" s="205"/>
    </row>
    <row r="794" spans="15:20">
      <c r="O794" s="225"/>
      <c r="T794" s="205"/>
    </row>
    <row r="795" spans="15:20">
      <c r="O795" s="225"/>
      <c r="T795" s="205"/>
    </row>
    <row r="796" spans="15:20">
      <c r="O796" s="225"/>
      <c r="T796" s="205"/>
    </row>
    <row r="797" spans="15:20">
      <c r="O797" s="225"/>
      <c r="T797" s="205"/>
    </row>
    <row r="798" spans="15:20">
      <c r="O798" s="225"/>
      <c r="T798" s="205"/>
    </row>
    <row r="799" spans="15:20">
      <c r="O799" s="225"/>
      <c r="T799" s="205"/>
    </row>
    <row r="800" spans="15:20">
      <c r="O800" s="225"/>
      <c r="T800" s="205"/>
    </row>
    <row r="801" spans="15:20">
      <c r="O801" s="225"/>
      <c r="T801" s="205"/>
    </row>
    <row r="802" spans="15:20">
      <c r="O802" s="225"/>
      <c r="T802" s="205"/>
    </row>
    <row r="803" spans="15:20">
      <c r="O803" s="225"/>
      <c r="T803" s="205"/>
    </row>
    <row r="804" spans="15:20">
      <c r="O804" s="225"/>
      <c r="T804" s="205"/>
    </row>
    <row r="805" spans="15:20">
      <c r="O805" s="225"/>
      <c r="T805" s="205"/>
    </row>
    <row r="806" spans="15:20">
      <c r="O806" s="225"/>
      <c r="T806" s="205"/>
    </row>
    <row r="807" spans="15:20">
      <c r="O807" s="225"/>
      <c r="T807" s="205"/>
    </row>
    <row r="808" spans="15:20">
      <c r="O808" s="225"/>
      <c r="T808" s="205"/>
    </row>
    <row r="809" spans="15:20">
      <c r="O809" s="225"/>
      <c r="T809" s="205"/>
    </row>
    <row r="810" spans="15:20">
      <c r="O810" s="225"/>
      <c r="T810" s="205"/>
    </row>
    <row r="811" spans="15:20">
      <c r="O811" s="225"/>
      <c r="T811" s="205"/>
    </row>
    <row r="812" spans="15:20">
      <c r="O812" s="225"/>
      <c r="T812" s="205"/>
    </row>
    <row r="813" spans="15:20">
      <c r="O813" s="225"/>
      <c r="T813" s="205"/>
    </row>
    <row r="814" spans="15:20">
      <c r="O814" s="225"/>
      <c r="T814" s="205"/>
    </row>
    <row r="815" spans="15:20">
      <c r="O815" s="225"/>
      <c r="T815" s="205"/>
    </row>
    <row r="816" spans="15:20">
      <c r="O816" s="225"/>
      <c r="T816" s="205"/>
    </row>
    <row r="817" spans="15:20">
      <c r="O817" s="225"/>
      <c r="T817" s="205"/>
    </row>
    <row r="818" spans="15:20">
      <c r="O818" s="225"/>
      <c r="T818" s="205"/>
    </row>
    <row r="819" spans="15:20">
      <c r="O819" s="225"/>
      <c r="T819" s="205"/>
    </row>
    <row r="820" spans="15:20">
      <c r="O820" s="225"/>
      <c r="T820" s="205"/>
    </row>
    <row r="821" spans="15:20">
      <c r="O821" s="225"/>
      <c r="T821" s="205"/>
    </row>
    <row r="822" spans="15:20">
      <c r="O822" s="225"/>
      <c r="T822" s="205"/>
    </row>
    <row r="823" spans="15:20">
      <c r="O823" s="225"/>
      <c r="T823" s="205"/>
    </row>
    <row r="824" spans="15:20">
      <c r="O824" s="225"/>
      <c r="T824" s="205"/>
    </row>
    <row r="825" spans="15:20">
      <c r="O825" s="225"/>
      <c r="T825" s="205"/>
    </row>
    <row r="826" spans="15:20">
      <c r="O826" s="225"/>
      <c r="T826" s="205"/>
    </row>
    <row r="827" spans="15:20">
      <c r="O827" s="225"/>
      <c r="T827" s="205"/>
    </row>
    <row r="828" spans="15:20">
      <c r="O828" s="225"/>
      <c r="T828" s="205"/>
    </row>
    <row r="829" spans="15:20">
      <c r="O829" s="225"/>
      <c r="T829" s="205"/>
    </row>
    <row r="830" spans="15:20">
      <c r="O830" s="225"/>
      <c r="T830" s="205"/>
    </row>
    <row r="831" spans="15:20">
      <c r="O831" s="225"/>
      <c r="T831" s="205"/>
    </row>
    <row r="832" spans="15:20">
      <c r="O832" s="225"/>
      <c r="T832" s="205"/>
    </row>
    <row r="833" spans="15:20">
      <c r="O833" s="225"/>
      <c r="T833" s="205"/>
    </row>
    <row r="834" spans="15:20">
      <c r="O834" s="225"/>
      <c r="T834" s="205"/>
    </row>
    <row r="835" spans="15:20">
      <c r="O835" s="225"/>
      <c r="T835" s="205"/>
    </row>
    <row r="836" spans="15:20">
      <c r="O836" s="225"/>
      <c r="T836" s="205"/>
    </row>
    <row r="837" spans="15:20">
      <c r="O837" s="225"/>
      <c r="T837" s="205"/>
    </row>
    <row r="838" spans="15:20">
      <c r="O838" s="225"/>
      <c r="T838" s="205"/>
    </row>
    <row r="839" spans="15:20">
      <c r="O839" s="225"/>
      <c r="T839" s="205"/>
    </row>
    <row r="840" spans="15:20">
      <c r="O840" s="225"/>
      <c r="T840" s="205"/>
    </row>
    <row r="841" spans="15:20">
      <c r="O841" s="225"/>
      <c r="T841" s="205"/>
    </row>
    <row r="842" spans="15:20">
      <c r="O842" s="225"/>
      <c r="T842" s="205"/>
    </row>
    <row r="843" spans="15:20">
      <c r="O843" s="225"/>
      <c r="T843" s="205"/>
    </row>
    <row r="844" spans="15:20">
      <c r="O844" s="225"/>
      <c r="T844" s="205"/>
    </row>
    <row r="845" spans="15:20">
      <c r="O845" s="225"/>
      <c r="T845" s="205"/>
    </row>
    <row r="846" spans="15:20">
      <c r="O846" s="225"/>
      <c r="T846" s="205"/>
    </row>
    <row r="847" spans="15:20">
      <c r="O847" s="225"/>
      <c r="T847" s="205"/>
    </row>
    <row r="848" spans="15:20">
      <c r="O848" s="225"/>
      <c r="T848" s="205"/>
    </row>
    <row r="849" spans="15:20">
      <c r="O849" s="225"/>
      <c r="T849" s="205"/>
    </row>
    <row r="850" spans="15:20">
      <c r="O850" s="225"/>
      <c r="T850" s="205"/>
    </row>
    <row r="851" spans="15:20">
      <c r="O851" s="225"/>
      <c r="T851" s="205"/>
    </row>
    <row r="852" spans="15:20">
      <c r="O852" s="225"/>
      <c r="T852" s="205"/>
    </row>
    <row r="853" spans="15:20">
      <c r="O853" s="225"/>
      <c r="T853" s="205"/>
    </row>
    <row r="854" spans="15:20">
      <c r="O854" s="225"/>
      <c r="T854" s="205"/>
    </row>
    <row r="855" spans="15:20">
      <c r="O855" s="225"/>
      <c r="T855" s="205"/>
    </row>
    <row r="856" spans="15:20">
      <c r="O856" s="225"/>
      <c r="T856" s="205"/>
    </row>
    <row r="857" spans="15:20">
      <c r="O857" s="225"/>
      <c r="T857" s="205"/>
    </row>
    <row r="858" spans="15:20">
      <c r="O858" s="225"/>
      <c r="T858" s="205"/>
    </row>
    <row r="859" spans="15:20">
      <c r="O859" s="225"/>
      <c r="T859" s="205"/>
    </row>
    <row r="860" spans="15:20">
      <c r="O860" s="225"/>
      <c r="T860" s="205"/>
    </row>
    <row r="861" spans="15:20">
      <c r="O861" s="225"/>
      <c r="T861" s="205"/>
    </row>
    <row r="862" spans="15:20">
      <c r="O862" s="225"/>
      <c r="T862" s="205"/>
    </row>
    <row r="863" spans="15:20">
      <c r="O863" s="225"/>
      <c r="T863" s="205"/>
    </row>
    <row r="864" spans="15:20">
      <c r="O864" s="225"/>
      <c r="T864" s="205"/>
    </row>
    <row r="865" spans="15:20">
      <c r="O865" s="225"/>
      <c r="T865" s="205"/>
    </row>
    <row r="866" spans="15:20">
      <c r="O866" s="225"/>
      <c r="T866" s="205"/>
    </row>
    <row r="867" spans="15:20">
      <c r="O867" s="225"/>
      <c r="T867" s="205"/>
    </row>
    <row r="868" spans="15:20">
      <c r="O868" s="225"/>
      <c r="T868" s="205"/>
    </row>
    <row r="869" spans="15:20">
      <c r="O869" s="225"/>
      <c r="T869" s="205"/>
    </row>
    <row r="870" spans="15:20">
      <c r="O870" s="225"/>
      <c r="T870" s="205"/>
    </row>
    <row r="871" spans="15:20">
      <c r="O871" s="225"/>
      <c r="T871" s="205"/>
    </row>
    <row r="872" spans="15:20">
      <c r="O872" s="225"/>
      <c r="T872" s="205"/>
    </row>
    <row r="873" spans="15:20">
      <c r="O873" s="225"/>
      <c r="T873" s="205"/>
    </row>
    <row r="874" spans="15:20">
      <c r="O874" s="225"/>
      <c r="T874" s="205"/>
    </row>
    <row r="875" spans="15:20">
      <c r="O875" s="225"/>
      <c r="T875" s="205"/>
    </row>
    <row r="876" spans="15:20">
      <c r="O876" s="225"/>
      <c r="T876" s="205"/>
    </row>
    <row r="877" spans="15:20">
      <c r="O877" s="225"/>
      <c r="T877" s="205"/>
    </row>
    <row r="878" spans="15:20">
      <c r="O878" s="225"/>
      <c r="T878" s="205"/>
    </row>
    <row r="879" spans="15:20">
      <c r="O879" s="225"/>
      <c r="T879" s="205"/>
    </row>
    <row r="880" spans="15:20">
      <c r="O880" s="225"/>
      <c r="T880" s="205"/>
    </row>
    <row r="881" spans="15:20">
      <c r="O881" s="225"/>
      <c r="T881" s="205"/>
    </row>
    <row r="882" spans="15:20">
      <c r="O882" s="225"/>
      <c r="T882" s="205"/>
    </row>
    <row r="883" spans="15:20">
      <c r="O883" s="225"/>
      <c r="T883" s="205"/>
    </row>
    <row r="884" spans="15:20">
      <c r="O884" s="225"/>
      <c r="T884" s="205"/>
    </row>
    <row r="885" spans="15:20">
      <c r="O885" s="225"/>
      <c r="T885" s="205"/>
    </row>
    <row r="886" spans="15:20">
      <c r="O886" s="225"/>
      <c r="T886" s="205"/>
    </row>
    <row r="887" spans="15:20">
      <c r="O887" s="225"/>
      <c r="T887" s="205"/>
    </row>
    <row r="888" spans="15:20">
      <c r="O888" s="225"/>
      <c r="T888" s="205"/>
    </row>
    <row r="889" spans="15:20">
      <c r="O889" s="225"/>
      <c r="T889" s="205"/>
    </row>
    <row r="890" spans="15:20">
      <c r="O890" s="225"/>
      <c r="T890" s="205"/>
    </row>
    <row r="891" spans="15:20">
      <c r="O891" s="225"/>
      <c r="T891" s="205"/>
    </row>
    <row r="892" spans="15:20">
      <c r="O892" s="225"/>
      <c r="T892" s="205"/>
    </row>
    <row r="893" spans="15:20">
      <c r="O893" s="225"/>
      <c r="T893" s="205"/>
    </row>
    <row r="894" spans="15:20">
      <c r="O894" s="225"/>
      <c r="T894" s="205"/>
    </row>
    <row r="895" spans="15:20">
      <c r="O895" s="225"/>
      <c r="T895" s="205"/>
    </row>
    <row r="896" spans="15:20">
      <c r="O896" s="225"/>
      <c r="T896" s="205"/>
    </row>
    <row r="897" spans="15:20">
      <c r="O897" s="225"/>
      <c r="T897" s="205"/>
    </row>
    <row r="898" spans="15:20">
      <c r="O898" s="225"/>
      <c r="T898" s="205"/>
    </row>
    <row r="899" spans="15:20">
      <c r="O899" s="225"/>
      <c r="T899" s="205"/>
    </row>
    <row r="900" spans="15:20">
      <c r="O900" s="225"/>
      <c r="T900" s="205"/>
    </row>
    <row r="901" spans="15:20">
      <c r="O901" s="225"/>
      <c r="T901" s="205"/>
    </row>
    <row r="902" spans="15:20">
      <c r="O902" s="225"/>
      <c r="T902" s="205"/>
    </row>
    <row r="903" spans="15:20">
      <c r="O903" s="225"/>
      <c r="T903" s="205"/>
    </row>
    <row r="904" spans="15:20">
      <c r="O904" s="225"/>
      <c r="T904" s="205"/>
    </row>
    <row r="905" spans="15:20">
      <c r="O905" s="225"/>
      <c r="T905" s="205"/>
    </row>
    <row r="906" spans="15:20">
      <c r="O906" s="225"/>
      <c r="T906" s="205"/>
    </row>
    <row r="907" spans="15:20">
      <c r="O907" s="225"/>
      <c r="T907" s="205"/>
    </row>
    <row r="908" spans="15:20">
      <c r="O908" s="225"/>
      <c r="T908" s="205"/>
    </row>
    <row r="909" spans="15:20">
      <c r="O909" s="225"/>
      <c r="T909" s="205"/>
    </row>
    <row r="910" spans="15:20">
      <c r="O910" s="225"/>
      <c r="T910" s="205"/>
    </row>
    <row r="911" spans="15:20">
      <c r="O911" s="225"/>
      <c r="T911" s="205"/>
    </row>
    <row r="912" spans="15:20">
      <c r="O912" s="225"/>
      <c r="T912" s="205"/>
    </row>
    <row r="913" spans="15:20">
      <c r="O913" s="225"/>
      <c r="T913" s="205"/>
    </row>
    <row r="914" spans="15:20">
      <c r="O914" s="225"/>
      <c r="T914" s="205"/>
    </row>
    <row r="915" spans="15:20">
      <c r="O915" s="225"/>
      <c r="T915" s="205"/>
    </row>
    <row r="916" spans="15:20">
      <c r="O916" s="225"/>
      <c r="T916" s="205"/>
    </row>
    <row r="917" spans="15:20">
      <c r="O917" s="225"/>
      <c r="T917" s="205"/>
    </row>
    <row r="918" spans="15:20">
      <c r="O918" s="225"/>
      <c r="T918" s="205"/>
    </row>
    <row r="919" spans="15:20">
      <c r="O919" s="225"/>
      <c r="T919" s="205"/>
    </row>
    <row r="920" spans="15:20">
      <c r="O920" s="225"/>
      <c r="T920" s="205"/>
    </row>
    <row r="921" spans="15:20">
      <c r="O921" s="225"/>
      <c r="T921" s="205"/>
    </row>
    <row r="922" spans="15:20">
      <c r="O922" s="225"/>
      <c r="T922" s="205"/>
    </row>
    <row r="923" spans="15:20">
      <c r="O923" s="225"/>
      <c r="T923" s="205"/>
    </row>
    <row r="924" spans="15:20">
      <c r="O924" s="225"/>
      <c r="T924" s="205"/>
    </row>
    <row r="925" spans="15:20">
      <c r="O925" s="225"/>
      <c r="T925" s="205"/>
    </row>
    <row r="926" spans="15:20">
      <c r="O926" s="225"/>
      <c r="T926" s="205"/>
    </row>
    <row r="927" spans="15:20">
      <c r="O927" s="225"/>
      <c r="T927" s="205"/>
    </row>
    <row r="928" spans="15:20">
      <c r="O928" s="225"/>
      <c r="T928" s="205"/>
    </row>
    <row r="929" spans="15:20">
      <c r="O929" s="225"/>
      <c r="T929" s="205"/>
    </row>
    <row r="930" spans="15:20">
      <c r="O930" s="225"/>
      <c r="T930" s="205"/>
    </row>
    <row r="931" spans="15:20">
      <c r="O931" s="225"/>
      <c r="T931" s="205"/>
    </row>
    <row r="932" spans="15:20">
      <c r="O932" s="225"/>
      <c r="T932" s="205"/>
    </row>
    <row r="933" spans="15:20">
      <c r="O933" s="225"/>
      <c r="T933" s="205"/>
    </row>
    <row r="934" spans="15:20">
      <c r="O934" s="225"/>
      <c r="T934" s="205"/>
    </row>
    <row r="935" spans="15:20">
      <c r="O935" s="225"/>
      <c r="T935" s="205"/>
    </row>
    <row r="936" spans="15:20">
      <c r="O936" s="225"/>
      <c r="T936" s="205"/>
    </row>
    <row r="937" spans="15:20">
      <c r="O937" s="225"/>
      <c r="T937" s="205"/>
    </row>
    <row r="938" spans="15:20">
      <c r="O938" s="225"/>
      <c r="T938" s="205"/>
    </row>
    <row r="939" spans="15:20">
      <c r="O939" s="225"/>
      <c r="T939" s="205"/>
    </row>
    <row r="940" spans="15:20">
      <c r="O940" s="225"/>
      <c r="T940" s="205"/>
    </row>
    <row r="941" spans="15:20">
      <c r="O941" s="225"/>
      <c r="T941" s="205"/>
    </row>
    <row r="942" spans="15:20">
      <c r="O942" s="225"/>
      <c r="T942" s="205"/>
    </row>
    <row r="943" spans="15:20">
      <c r="O943" s="225"/>
      <c r="T943" s="205"/>
    </row>
    <row r="944" spans="15:20">
      <c r="O944" s="225"/>
      <c r="T944" s="205"/>
    </row>
    <row r="945" spans="15:20">
      <c r="O945" s="225"/>
      <c r="T945" s="205"/>
    </row>
    <row r="946" spans="15:20">
      <c r="O946" s="225"/>
      <c r="T946" s="205"/>
    </row>
    <row r="947" spans="15:20">
      <c r="O947" s="225"/>
      <c r="T947" s="205"/>
    </row>
    <row r="948" spans="15:20">
      <c r="O948" s="225"/>
      <c r="T948" s="205"/>
    </row>
    <row r="949" spans="15:20">
      <c r="O949" s="225"/>
      <c r="T949" s="205"/>
    </row>
    <row r="950" spans="15:20">
      <c r="O950" s="225"/>
      <c r="T950" s="205"/>
    </row>
    <row r="951" spans="15:20">
      <c r="O951" s="225"/>
      <c r="T951" s="205"/>
    </row>
    <row r="952" spans="15:20">
      <c r="O952" s="225"/>
      <c r="T952" s="205"/>
    </row>
    <row r="953" spans="15:20">
      <c r="O953" s="225"/>
      <c r="T953" s="205"/>
    </row>
    <row r="954" spans="15:20">
      <c r="O954" s="225"/>
      <c r="T954" s="205"/>
    </row>
    <row r="955" spans="15:20">
      <c r="O955" s="225"/>
      <c r="T955" s="205"/>
    </row>
    <row r="956" spans="15:20">
      <c r="O956" s="225"/>
      <c r="T956" s="205"/>
    </row>
    <row r="957" spans="15:20">
      <c r="O957" s="225"/>
      <c r="T957" s="205"/>
    </row>
    <row r="958" spans="15:20">
      <c r="O958" s="225"/>
      <c r="T958" s="205"/>
    </row>
    <row r="959" spans="15:20">
      <c r="O959" s="225"/>
      <c r="T959" s="205"/>
    </row>
    <row r="960" spans="15:20">
      <c r="O960" s="225"/>
      <c r="T960" s="205"/>
    </row>
    <row r="961" spans="15:20">
      <c r="O961" s="225"/>
      <c r="T961" s="205"/>
    </row>
    <row r="962" spans="15:20">
      <c r="O962" s="225"/>
      <c r="T962" s="205"/>
    </row>
    <row r="963" spans="15:20">
      <c r="O963" s="225"/>
      <c r="T963" s="205"/>
    </row>
    <row r="964" spans="15:20">
      <c r="O964" s="225"/>
      <c r="T964" s="205"/>
    </row>
    <row r="965" spans="15:20">
      <c r="O965" s="225"/>
      <c r="T965" s="205"/>
    </row>
    <row r="966" spans="15:20">
      <c r="O966" s="225"/>
      <c r="T966" s="205"/>
    </row>
    <row r="967" spans="15:20">
      <c r="O967" s="225"/>
      <c r="T967" s="205"/>
    </row>
    <row r="968" spans="15:20">
      <c r="O968" s="225"/>
      <c r="T968" s="205"/>
    </row>
    <row r="969" spans="15:20">
      <c r="O969" s="225"/>
      <c r="T969" s="205"/>
    </row>
    <row r="970" spans="15:20">
      <c r="O970" s="225"/>
      <c r="T970" s="205"/>
    </row>
    <row r="971" spans="15:20">
      <c r="O971" s="225"/>
      <c r="T971" s="205"/>
    </row>
    <row r="972" spans="15:20">
      <c r="O972" s="225"/>
      <c r="T972" s="205"/>
    </row>
    <row r="973" spans="15:20">
      <c r="O973" s="225"/>
      <c r="T973" s="205"/>
    </row>
    <row r="974" spans="15:20">
      <c r="O974" s="225"/>
      <c r="T974" s="205"/>
    </row>
    <row r="975" spans="15:20">
      <c r="O975" s="225"/>
      <c r="T975" s="205"/>
    </row>
    <row r="976" spans="15:20">
      <c r="O976" s="225"/>
      <c r="T976" s="205"/>
    </row>
    <row r="977" spans="15:20">
      <c r="O977" s="225"/>
      <c r="T977" s="205"/>
    </row>
    <row r="978" spans="15:20">
      <c r="O978" s="225"/>
      <c r="T978" s="205"/>
    </row>
    <row r="979" spans="15:20">
      <c r="O979" s="225"/>
      <c r="T979" s="205"/>
    </row>
    <row r="980" spans="15:20">
      <c r="O980" s="225"/>
      <c r="T980" s="205"/>
    </row>
    <row r="981" spans="15:20">
      <c r="O981" s="225"/>
      <c r="T981" s="205"/>
    </row>
    <row r="982" spans="15:20">
      <c r="O982" s="225"/>
      <c r="T982" s="205"/>
    </row>
    <row r="983" spans="15:20">
      <c r="O983" s="225"/>
      <c r="T983" s="205"/>
    </row>
    <row r="984" spans="15:20">
      <c r="O984" s="225"/>
      <c r="T984" s="205"/>
    </row>
    <row r="985" spans="15:20">
      <c r="O985" s="225"/>
      <c r="T985" s="205"/>
    </row>
    <row r="986" spans="15:20">
      <c r="O986" s="225"/>
      <c r="T986" s="205"/>
    </row>
    <row r="987" spans="15:20">
      <c r="O987" s="225"/>
      <c r="T987" s="205"/>
    </row>
    <row r="988" spans="15:20">
      <c r="O988" s="225"/>
      <c r="T988" s="205"/>
    </row>
    <row r="989" spans="15:20">
      <c r="O989" s="225"/>
      <c r="T989" s="205"/>
    </row>
    <row r="990" spans="15:20">
      <c r="O990" s="225"/>
      <c r="T990" s="205"/>
    </row>
    <row r="991" spans="15:20">
      <c r="O991" s="225"/>
      <c r="T991" s="205"/>
    </row>
    <row r="992" spans="15:20">
      <c r="O992" s="225"/>
      <c r="T992" s="205"/>
    </row>
    <row r="993" spans="15:20">
      <c r="O993" s="225"/>
      <c r="T993" s="205"/>
    </row>
    <row r="994" spans="15:20">
      <c r="O994" s="225"/>
      <c r="T994" s="205"/>
    </row>
    <row r="995" spans="15:20">
      <c r="O995" s="225"/>
      <c r="T995" s="205"/>
    </row>
    <row r="996" spans="15:20">
      <c r="O996" s="225"/>
      <c r="T996" s="205"/>
    </row>
    <row r="997" spans="15:20">
      <c r="O997" s="225"/>
      <c r="T997" s="205"/>
    </row>
    <row r="998" spans="15:20">
      <c r="O998" s="225"/>
      <c r="T998" s="205"/>
    </row>
    <row r="999" spans="15:20">
      <c r="O999" s="225"/>
      <c r="T999" s="205"/>
    </row>
    <row r="1000" spans="15:20">
      <c r="O1000" s="225"/>
      <c r="T1000" s="205"/>
    </row>
    <row r="1001" spans="15:20">
      <c r="O1001" s="225"/>
      <c r="T1001" s="205"/>
    </row>
    <row r="1002" spans="15:20">
      <c r="O1002" s="225"/>
      <c r="T1002" s="205"/>
    </row>
    <row r="1003" spans="15:20">
      <c r="O1003" s="225"/>
      <c r="T1003" s="205"/>
    </row>
  </sheetData>
  <mergeCells count="9">
    <mergeCell ref="U7:V7"/>
    <mergeCell ref="W7:X7"/>
    <mergeCell ref="K7:L7"/>
    <mergeCell ref="G8:H8"/>
    <mergeCell ref="A1:T1"/>
    <mergeCell ref="B6:E6"/>
    <mergeCell ref="M7:N7"/>
    <mergeCell ref="P7:Q7"/>
    <mergeCell ref="S7:T7"/>
  </mergeCells>
  <conditionalFormatting sqref="D2 B7:E7 G7:H7 J7:W7">
    <cfRule type="notContainsBlanks" dxfId="12" priority="1">
      <formula>LEN(TRIM(D2))&gt;0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T1006"/>
  <sheetViews>
    <sheetView workbookViewId="0">
      <pane ySplit="6" topLeftCell="A71" activePane="bottomLeft" state="frozen"/>
      <selection pane="bottomLeft" activeCell="L88" sqref="L88"/>
    </sheetView>
  </sheetViews>
  <sheetFormatPr baseColWidth="10" defaultColWidth="14.5" defaultRowHeight="15" customHeight="1"/>
  <cols>
    <col min="1" max="1" width="2" customWidth="1"/>
    <col min="2" max="2" width="13.6640625" customWidth="1"/>
    <col min="3" max="3" width="12.33203125" customWidth="1"/>
    <col min="4" max="4" width="15" customWidth="1"/>
    <col min="5" max="5" width="16.83203125" customWidth="1"/>
    <col min="6" max="6" width="64.5" customWidth="1"/>
    <col min="7" max="7" width="6.83203125" customWidth="1"/>
    <col min="8" max="8" width="5.5" customWidth="1"/>
    <col min="9" max="9" width="12.5" customWidth="1"/>
    <col min="10" max="10" width="10.6640625" customWidth="1"/>
    <col min="11" max="11" width="4.5" customWidth="1"/>
    <col min="12" max="12" width="12.33203125" customWidth="1"/>
    <col min="13" max="13" width="5.5" customWidth="1"/>
    <col min="14" max="14" width="4.5" customWidth="1"/>
    <col min="15" max="15" width="26" customWidth="1"/>
    <col min="16" max="16" width="4.83203125" customWidth="1"/>
    <col min="17" max="17" width="17.6640625" customWidth="1"/>
    <col min="18" max="18" width="6.1640625" customWidth="1"/>
    <col min="19" max="19" width="23.33203125" customWidth="1"/>
  </cols>
  <sheetData>
    <row r="1" spans="1:20" ht="50.25" customHeight="1">
      <c r="A1" s="539" t="s">
        <v>3143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28"/>
      <c r="T1" s="1"/>
    </row>
    <row r="2" spans="1:20" ht="16">
      <c r="A2" s="1" t="s">
        <v>3144</v>
      </c>
      <c r="B2" s="93" t="s">
        <v>1</v>
      </c>
      <c r="C2" s="14">
        <v>850000</v>
      </c>
      <c r="D2" s="6">
        <f>C3/C2</f>
        <v>1.062175294117647</v>
      </c>
      <c r="E2" s="298">
        <f ca="1">MONTH(TODAY())</f>
        <v>1</v>
      </c>
      <c r="F2" s="299">
        <v>45322</v>
      </c>
      <c r="G2" s="90"/>
      <c r="H2" s="90"/>
      <c r="I2" s="540" t="s">
        <v>3145</v>
      </c>
      <c r="J2" s="537"/>
      <c r="K2" s="537"/>
      <c r="L2" s="537"/>
      <c r="M2" s="537"/>
      <c r="N2" s="537"/>
      <c r="O2" s="537"/>
      <c r="P2" s="537"/>
      <c r="Q2" s="537"/>
      <c r="R2" s="537"/>
      <c r="S2" s="541"/>
      <c r="T2" s="1"/>
    </row>
    <row r="3" spans="1:20" ht="16">
      <c r="A3" s="1"/>
      <c r="B3" s="94" t="s">
        <v>2</v>
      </c>
      <c r="C3" s="14">
        <f>SUM(J8:J209)</f>
        <v>902849</v>
      </c>
      <c r="D3" s="14" t="s">
        <v>3</v>
      </c>
      <c r="E3" s="14" t="s">
        <v>3</v>
      </c>
      <c r="F3" s="14" t="s">
        <v>3</v>
      </c>
      <c r="G3" s="299"/>
      <c r="H3" s="299"/>
      <c r="I3" s="542"/>
      <c r="J3" s="543"/>
      <c r="K3" s="543"/>
      <c r="L3" s="543"/>
      <c r="M3" s="543"/>
      <c r="N3" s="543"/>
      <c r="O3" s="543"/>
      <c r="P3" s="543"/>
      <c r="Q3" s="543"/>
      <c r="R3" s="543"/>
      <c r="S3" s="544"/>
      <c r="T3" s="1"/>
    </row>
    <row r="4" spans="1:20" ht="16">
      <c r="A4" s="1"/>
      <c r="B4" s="177" t="s">
        <v>2218</v>
      </c>
      <c r="C4" s="177">
        <f ca="1">(D5-TODAY())</f>
        <v>-310</v>
      </c>
      <c r="D4" s="178"/>
      <c r="E4" s="90"/>
      <c r="F4" s="90"/>
      <c r="G4" s="90"/>
      <c r="H4" s="90"/>
      <c r="I4" s="545"/>
      <c r="J4" s="546"/>
      <c r="K4" s="546"/>
      <c r="L4" s="546"/>
      <c r="M4" s="546"/>
      <c r="N4" s="546"/>
      <c r="O4" s="546"/>
      <c r="P4" s="546"/>
      <c r="Q4" s="546"/>
      <c r="R4" s="546"/>
      <c r="S4" s="547"/>
      <c r="T4" s="1"/>
    </row>
    <row r="5" spans="1:20" ht="16">
      <c r="A5" s="1"/>
      <c r="B5" s="208" t="s">
        <v>6</v>
      </c>
      <c r="C5" s="209">
        <f ca="1">TODAY()</f>
        <v>46026</v>
      </c>
      <c r="D5" s="210">
        <v>45716</v>
      </c>
      <c r="E5" s="90"/>
      <c r="F5" s="299"/>
      <c r="G5" s="90"/>
      <c r="H5" s="90"/>
      <c r="I5" s="300"/>
      <c r="J5" s="300"/>
      <c r="K5" s="90"/>
      <c r="L5" s="90"/>
      <c r="M5" s="301"/>
      <c r="N5" s="302"/>
      <c r="O5" s="303"/>
      <c r="P5" s="90"/>
      <c r="Q5" s="304"/>
      <c r="R5" s="90"/>
      <c r="S5" s="305"/>
      <c r="T5" s="1"/>
    </row>
    <row r="6" spans="1:20" ht="22">
      <c r="A6" s="1"/>
      <c r="B6" s="536" t="s">
        <v>2734</v>
      </c>
      <c r="C6" s="537"/>
      <c r="D6" s="537"/>
      <c r="E6" s="537"/>
      <c r="F6" s="26"/>
      <c r="G6" s="23"/>
      <c r="H6" s="23"/>
      <c r="I6" s="23"/>
      <c r="J6" s="23"/>
      <c r="K6" s="23"/>
      <c r="L6" s="23"/>
      <c r="M6" s="23"/>
      <c r="N6" s="24"/>
      <c r="O6" s="211"/>
      <c r="P6" s="23"/>
      <c r="Q6" s="127"/>
      <c r="R6" s="26"/>
      <c r="S6" s="306"/>
      <c r="T6" s="1"/>
    </row>
    <row r="7" spans="1:20" ht="14.25" customHeight="1">
      <c r="A7" s="98"/>
      <c r="B7" s="38" t="s">
        <v>18</v>
      </c>
      <c r="C7" s="38" t="s">
        <v>19</v>
      </c>
      <c r="D7" s="38" t="s">
        <v>20</v>
      </c>
      <c r="E7" s="38" t="s">
        <v>21</v>
      </c>
      <c r="F7" s="38" t="s">
        <v>2018</v>
      </c>
      <c r="G7" s="538" t="s">
        <v>22</v>
      </c>
      <c r="H7" s="528"/>
      <c r="I7" s="40"/>
      <c r="J7" s="41" t="s">
        <v>23</v>
      </c>
      <c r="K7" s="42"/>
      <c r="L7" s="43"/>
      <c r="M7" s="43"/>
      <c r="N7" s="44"/>
      <c r="O7" s="213"/>
      <c r="P7" s="45"/>
      <c r="Q7" s="128"/>
      <c r="R7" s="47"/>
      <c r="S7" s="307"/>
      <c r="T7" s="100" t="s">
        <v>24</v>
      </c>
    </row>
    <row r="8" spans="1:20">
      <c r="A8" s="1"/>
      <c r="B8" s="71" t="s">
        <v>3146</v>
      </c>
      <c r="C8" s="53" t="s">
        <v>51</v>
      </c>
      <c r="D8" s="53" t="s">
        <v>475</v>
      </c>
      <c r="E8" s="53" t="s">
        <v>2105</v>
      </c>
      <c r="F8" s="53" t="s">
        <v>2984</v>
      </c>
      <c r="G8" s="131" t="s">
        <v>30</v>
      </c>
      <c r="H8" s="53">
        <v>1</v>
      </c>
      <c r="I8" s="188">
        <v>35000</v>
      </c>
      <c r="J8" s="54">
        <f t="shared" ref="J8:J16" si="0">H8*I8</f>
        <v>35000</v>
      </c>
      <c r="K8" s="55" t="b">
        <v>1</v>
      </c>
      <c r="L8" s="80">
        <v>10220251040</v>
      </c>
      <c r="M8" s="57" t="b">
        <v>1</v>
      </c>
      <c r="N8" s="58" t="s">
        <v>529</v>
      </c>
      <c r="O8" s="226"/>
      <c r="P8" s="191" t="b">
        <v>1</v>
      </c>
      <c r="Q8" s="308" t="s">
        <v>3138</v>
      </c>
      <c r="R8" s="47" t="b">
        <v>1</v>
      </c>
      <c r="S8" s="309" t="s">
        <v>3147</v>
      </c>
      <c r="T8" s="54"/>
    </row>
    <row r="9" spans="1:20" ht="16.5" customHeight="1">
      <c r="A9" s="1"/>
      <c r="B9" s="71" t="s">
        <v>3146</v>
      </c>
      <c r="C9" s="53" t="s">
        <v>51</v>
      </c>
      <c r="D9" s="53" t="s">
        <v>594</v>
      </c>
      <c r="E9" s="53" t="s">
        <v>595</v>
      </c>
      <c r="F9" s="131" t="s">
        <v>3148</v>
      </c>
      <c r="G9" s="131" t="s">
        <v>30</v>
      </c>
      <c r="H9" s="131">
        <v>100</v>
      </c>
      <c r="I9" s="188">
        <v>2.5</v>
      </c>
      <c r="J9" s="54">
        <f t="shared" si="0"/>
        <v>250</v>
      </c>
      <c r="K9" s="55" t="b">
        <v>1</v>
      </c>
      <c r="L9" s="80">
        <v>10220251105</v>
      </c>
      <c r="M9" s="57" t="b">
        <v>1</v>
      </c>
      <c r="N9" s="58" t="s">
        <v>529</v>
      </c>
      <c r="O9" s="226"/>
      <c r="P9" s="191" t="b">
        <v>1</v>
      </c>
      <c r="Q9" s="308" t="s">
        <v>3138</v>
      </c>
      <c r="R9" s="47" t="b">
        <v>1</v>
      </c>
      <c r="S9" s="309" t="s">
        <v>3149</v>
      </c>
      <c r="T9" s="54"/>
    </row>
    <row r="10" spans="1:20" ht="16.5" customHeight="1">
      <c r="A10" s="1"/>
      <c r="B10" s="71" t="s">
        <v>3146</v>
      </c>
      <c r="C10" s="53" t="s">
        <v>104</v>
      </c>
      <c r="D10" s="53" t="s">
        <v>3150</v>
      </c>
      <c r="E10" s="53" t="s">
        <v>451</v>
      </c>
      <c r="F10" s="131" t="s">
        <v>639</v>
      </c>
      <c r="G10" s="131" t="s">
        <v>30</v>
      </c>
      <c r="H10" s="69">
        <v>24</v>
      </c>
      <c r="I10" s="70">
        <v>218</v>
      </c>
      <c r="J10" s="54">
        <f t="shared" si="0"/>
        <v>5232</v>
      </c>
      <c r="K10" s="55" t="b">
        <v>1</v>
      </c>
      <c r="L10" s="80">
        <v>10220251128</v>
      </c>
      <c r="M10" s="57" t="b">
        <v>1</v>
      </c>
      <c r="N10" s="58"/>
      <c r="O10" s="226"/>
      <c r="P10" s="191" t="b">
        <v>1</v>
      </c>
      <c r="Q10" s="308" t="s">
        <v>3138</v>
      </c>
      <c r="R10" s="47" t="b">
        <v>1</v>
      </c>
      <c r="S10" s="309" t="s">
        <v>3151</v>
      </c>
      <c r="T10" s="54"/>
    </row>
    <row r="11" spans="1:20" ht="16.5" customHeight="1">
      <c r="A11" s="18"/>
      <c r="B11" s="71" t="s">
        <v>3146</v>
      </c>
      <c r="C11" s="53" t="s">
        <v>51</v>
      </c>
      <c r="D11" s="53" t="s">
        <v>475</v>
      </c>
      <c r="E11" s="53" t="s">
        <v>168</v>
      </c>
      <c r="F11" s="53" t="s">
        <v>3152</v>
      </c>
      <c r="G11" s="53" t="s">
        <v>30</v>
      </c>
      <c r="H11" s="53">
        <v>400</v>
      </c>
      <c r="I11" s="54">
        <v>2.5</v>
      </c>
      <c r="J11" s="54">
        <f t="shared" si="0"/>
        <v>1000</v>
      </c>
      <c r="K11" s="55" t="b">
        <v>1</v>
      </c>
      <c r="L11" s="80">
        <v>10220251341</v>
      </c>
      <c r="M11" s="57" t="b">
        <v>1</v>
      </c>
      <c r="N11" s="58" t="s">
        <v>529</v>
      </c>
      <c r="O11" s="226"/>
      <c r="P11" s="191" t="b">
        <v>1</v>
      </c>
      <c r="Q11" s="308" t="s">
        <v>3138</v>
      </c>
      <c r="R11" s="47" t="b">
        <v>1</v>
      </c>
      <c r="S11" s="309" t="s">
        <v>3153</v>
      </c>
      <c r="T11" s="54"/>
    </row>
    <row r="12" spans="1:20" ht="15.75" customHeight="1">
      <c r="A12" s="18"/>
      <c r="B12" s="71" t="s">
        <v>3146</v>
      </c>
      <c r="C12" s="53" t="s">
        <v>51</v>
      </c>
      <c r="D12" s="53" t="s">
        <v>475</v>
      </c>
      <c r="E12" s="53" t="s">
        <v>168</v>
      </c>
      <c r="F12" s="53" t="s">
        <v>3005</v>
      </c>
      <c r="G12" s="53" t="s">
        <v>30</v>
      </c>
      <c r="H12" s="53">
        <v>84</v>
      </c>
      <c r="I12" s="54">
        <v>42</v>
      </c>
      <c r="J12" s="54">
        <f t="shared" si="0"/>
        <v>3528</v>
      </c>
      <c r="K12" s="55" t="b">
        <v>1</v>
      </c>
      <c r="L12" s="80">
        <v>10220251341</v>
      </c>
      <c r="M12" s="57" t="b">
        <v>1</v>
      </c>
      <c r="N12" s="58"/>
      <c r="O12" s="226"/>
      <c r="P12" s="191" t="b">
        <v>1</v>
      </c>
      <c r="Q12" s="308" t="s">
        <v>3138</v>
      </c>
      <c r="R12" s="47" t="b">
        <v>1</v>
      </c>
      <c r="S12" s="309" t="s">
        <v>3154</v>
      </c>
      <c r="T12" s="54"/>
    </row>
    <row r="13" spans="1:20">
      <c r="A13" s="162"/>
      <c r="B13" s="71" t="s">
        <v>3155</v>
      </c>
      <c r="C13" s="53" t="s">
        <v>171</v>
      </c>
      <c r="D13" s="53" t="s">
        <v>74</v>
      </c>
      <c r="E13" s="53" t="s">
        <v>2812</v>
      </c>
      <c r="F13" s="53" t="s">
        <v>3156</v>
      </c>
      <c r="G13" s="53" t="s">
        <v>30</v>
      </c>
      <c r="H13" s="53">
        <v>200</v>
      </c>
      <c r="I13" s="188">
        <v>30</v>
      </c>
      <c r="J13" s="54">
        <f t="shared" si="0"/>
        <v>6000</v>
      </c>
      <c r="K13" s="55" t="b">
        <v>1</v>
      </c>
      <c r="L13" s="80">
        <v>100103022025</v>
      </c>
      <c r="M13" s="57" t="b">
        <v>1</v>
      </c>
      <c r="N13" s="58"/>
      <c r="O13" s="226"/>
      <c r="P13" s="191" t="b">
        <v>1</v>
      </c>
      <c r="Q13" s="308" t="s">
        <v>3138</v>
      </c>
      <c r="R13" s="47" t="b">
        <v>1</v>
      </c>
      <c r="S13" s="309" t="s">
        <v>3157</v>
      </c>
      <c r="T13" s="54"/>
    </row>
    <row r="14" spans="1:20">
      <c r="A14" s="162"/>
      <c r="B14" s="71" t="s">
        <v>3155</v>
      </c>
      <c r="C14" s="53" t="s">
        <v>51</v>
      </c>
      <c r="D14" s="53" t="s">
        <v>475</v>
      </c>
      <c r="E14" s="53" t="s">
        <v>168</v>
      </c>
      <c r="F14" s="53" t="s">
        <v>3158</v>
      </c>
      <c r="G14" s="53" t="s">
        <v>30</v>
      </c>
      <c r="H14" s="53">
        <v>20</v>
      </c>
      <c r="I14" s="188">
        <v>75</v>
      </c>
      <c r="J14" s="54">
        <f t="shared" si="0"/>
        <v>1500</v>
      </c>
      <c r="K14" s="55" t="b">
        <v>1</v>
      </c>
      <c r="L14" s="154"/>
      <c r="M14" s="57" t="b">
        <v>1</v>
      </c>
      <c r="N14" s="58"/>
      <c r="O14" s="226"/>
      <c r="P14" s="191" t="b">
        <v>1</v>
      </c>
      <c r="Q14" s="308" t="s">
        <v>3138</v>
      </c>
      <c r="R14" s="47" t="b">
        <v>1</v>
      </c>
      <c r="S14" s="309" t="s">
        <v>3159</v>
      </c>
      <c r="T14" s="54"/>
    </row>
    <row r="15" spans="1:20">
      <c r="A15" s="162"/>
      <c r="B15" s="71" t="s">
        <v>3155</v>
      </c>
      <c r="C15" s="53" t="s">
        <v>60</v>
      </c>
      <c r="D15" s="53" t="s">
        <v>61</v>
      </c>
      <c r="E15" s="53" t="s">
        <v>2573</v>
      </c>
      <c r="F15" s="53" t="s">
        <v>3156</v>
      </c>
      <c r="G15" s="53" t="s">
        <v>30</v>
      </c>
      <c r="H15" s="53">
        <v>300</v>
      </c>
      <c r="I15" s="188">
        <v>30</v>
      </c>
      <c r="J15" s="54">
        <f t="shared" si="0"/>
        <v>9000</v>
      </c>
      <c r="K15" s="55" t="b">
        <v>1</v>
      </c>
      <c r="L15" s="154"/>
      <c r="M15" s="57" t="b">
        <v>1</v>
      </c>
      <c r="N15" s="58"/>
      <c r="O15" s="226"/>
      <c r="P15" s="191" t="b">
        <v>1</v>
      </c>
      <c r="Q15" s="308" t="s">
        <v>3138</v>
      </c>
      <c r="R15" s="47" t="b">
        <v>1</v>
      </c>
      <c r="S15" s="309" t="s">
        <v>3157</v>
      </c>
      <c r="T15" s="54"/>
    </row>
    <row r="16" spans="1:20">
      <c r="A16" s="162"/>
      <c r="B16" s="71" t="s">
        <v>3155</v>
      </c>
      <c r="C16" s="53" t="s">
        <v>3160</v>
      </c>
      <c r="D16" s="53" t="s">
        <v>743</v>
      </c>
      <c r="E16" s="53" t="s">
        <v>3161</v>
      </c>
      <c r="F16" s="53" t="s">
        <v>3162</v>
      </c>
      <c r="G16" s="53" t="s">
        <v>30</v>
      </c>
      <c r="H16" s="53">
        <v>10</v>
      </c>
      <c r="I16" s="188">
        <v>90</v>
      </c>
      <c r="J16" s="54">
        <f t="shared" si="0"/>
        <v>900</v>
      </c>
      <c r="K16" s="55" t="b">
        <v>1</v>
      </c>
      <c r="L16" s="154"/>
      <c r="M16" s="57" t="b">
        <v>1</v>
      </c>
      <c r="N16" s="58"/>
      <c r="O16" s="226"/>
      <c r="P16" s="191" t="b">
        <v>1</v>
      </c>
      <c r="Q16" s="308" t="s">
        <v>3138</v>
      </c>
      <c r="R16" s="47" t="b">
        <v>1</v>
      </c>
      <c r="S16" s="309" t="s">
        <v>3163</v>
      </c>
      <c r="T16" s="54"/>
    </row>
    <row r="17" spans="1:20">
      <c r="A17" s="162"/>
      <c r="B17" s="71" t="s">
        <v>3155</v>
      </c>
      <c r="C17" s="53" t="s">
        <v>3160</v>
      </c>
      <c r="D17" s="53" t="s">
        <v>743</v>
      </c>
      <c r="E17" s="53" t="s">
        <v>3161</v>
      </c>
      <c r="F17" s="53" t="s">
        <v>3164</v>
      </c>
      <c r="G17" s="53" t="s">
        <v>30</v>
      </c>
      <c r="H17" s="53">
        <v>100</v>
      </c>
      <c r="I17" s="188">
        <v>30</v>
      </c>
      <c r="J17" s="54">
        <v>3000</v>
      </c>
      <c r="K17" s="55" t="b">
        <v>1</v>
      </c>
      <c r="L17" s="154"/>
      <c r="M17" s="57" t="b">
        <v>1</v>
      </c>
      <c r="N17" s="58"/>
      <c r="O17" s="226"/>
      <c r="P17" s="191" t="b">
        <v>1</v>
      </c>
      <c r="Q17" s="308" t="s">
        <v>3138</v>
      </c>
      <c r="R17" s="47" t="b">
        <v>1</v>
      </c>
      <c r="S17" s="309" t="s">
        <v>3165</v>
      </c>
      <c r="T17" s="54"/>
    </row>
    <row r="18" spans="1:20">
      <c r="A18" s="162"/>
      <c r="B18" s="71" t="s">
        <v>3155</v>
      </c>
      <c r="C18" s="53" t="s">
        <v>1194</v>
      </c>
      <c r="D18" s="53" t="s">
        <v>1959</v>
      </c>
      <c r="E18" s="53" t="s">
        <v>1235</v>
      </c>
      <c r="F18" s="53" t="s">
        <v>3166</v>
      </c>
      <c r="G18" s="53" t="s">
        <v>30</v>
      </c>
      <c r="H18" s="53">
        <v>4</v>
      </c>
      <c r="I18" s="188">
        <v>550</v>
      </c>
      <c r="J18" s="54">
        <f t="shared" ref="J18:J21" si="1">H18*I18</f>
        <v>2200</v>
      </c>
      <c r="K18" s="55" t="b">
        <v>1</v>
      </c>
      <c r="L18" s="154"/>
      <c r="M18" s="57" t="b">
        <v>1</v>
      </c>
      <c r="N18" s="58"/>
      <c r="O18" s="226"/>
      <c r="P18" s="191" t="b">
        <v>1</v>
      </c>
      <c r="Q18" s="308" t="s">
        <v>3138</v>
      </c>
      <c r="R18" s="47" t="b">
        <v>1</v>
      </c>
      <c r="S18" s="309" t="s">
        <v>3167</v>
      </c>
      <c r="T18" s="54"/>
    </row>
    <row r="19" spans="1:20">
      <c r="A19" s="162"/>
      <c r="B19" s="71" t="s">
        <v>3155</v>
      </c>
      <c r="C19" s="53" t="s">
        <v>1194</v>
      </c>
      <c r="D19" s="53" t="s">
        <v>1959</v>
      </c>
      <c r="E19" s="53" t="s">
        <v>1235</v>
      </c>
      <c r="F19" s="66" t="s">
        <v>2752</v>
      </c>
      <c r="G19" s="53" t="s">
        <v>30</v>
      </c>
      <c r="H19" s="53">
        <v>3</v>
      </c>
      <c r="I19" s="188">
        <v>1200</v>
      </c>
      <c r="J19" s="54">
        <f t="shared" si="1"/>
        <v>3600</v>
      </c>
      <c r="K19" s="55" t="b">
        <v>1</v>
      </c>
      <c r="L19" s="154"/>
      <c r="M19" s="57" t="b">
        <v>1</v>
      </c>
      <c r="N19" s="58"/>
      <c r="O19" s="226"/>
      <c r="P19" s="191" t="b">
        <v>1</v>
      </c>
      <c r="Q19" s="308" t="s">
        <v>3138</v>
      </c>
      <c r="R19" s="47" t="b">
        <v>1</v>
      </c>
      <c r="S19" s="309" t="s">
        <v>3168</v>
      </c>
      <c r="T19" s="54"/>
    </row>
    <row r="20" spans="1:20">
      <c r="A20" s="162"/>
      <c r="B20" s="71" t="s">
        <v>3155</v>
      </c>
      <c r="C20" s="53" t="s">
        <v>51</v>
      </c>
      <c r="D20" s="53" t="s">
        <v>61</v>
      </c>
      <c r="E20" s="66" t="s">
        <v>476</v>
      </c>
      <c r="F20" s="66" t="s">
        <v>1700</v>
      </c>
      <c r="G20" s="53" t="s">
        <v>30</v>
      </c>
      <c r="H20" s="66">
        <v>1000</v>
      </c>
      <c r="I20" s="70">
        <v>16</v>
      </c>
      <c r="J20" s="54">
        <f t="shared" si="1"/>
        <v>16000</v>
      </c>
      <c r="K20" s="55" t="b">
        <v>1</v>
      </c>
      <c r="L20" s="154"/>
      <c r="M20" s="57" t="b">
        <v>1</v>
      </c>
      <c r="N20" s="58"/>
      <c r="O20" s="226"/>
      <c r="P20" s="191" t="b">
        <v>1</v>
      </c>
      <c r="Q20" s="308" t="s">
        <v>3138</v>
      </c>
      <c r="R20" s="47" t="b">
        <v>1</v>
      </c>
      <c r="S20" s="309" t="s">
        <v>3169</v>
      </c>
      <c r="T20" s="54"/>
    </row>
    <row r="21" spans="1:20" ht="16">
      <c r="A21" s="162"/>
      <c r="B21" s="71" t="s">
        <v>3155</v>
      </c>
      <c r="C21" s="53" t="s">
        <v>1194</v>
      </c>
      <c r="D21" s="53" t="s">
        <v>1541</v>
      </c>
      <c r="E21" s="53" t="s">
        <v>1631</v>
      </c>
      <c r="F21" s="175" t="s">
        <v>3170</v>
      </c>
      <c r="G21" s="53" t="s">
        <v>30</v>
      </c>
      <c r="H21" s="53">
        <v>1</v>
      </c>
      <c r="I21" s="188">
        <v>10000</v>
      </c>
      <c r="J21" s="54">
        <f t="shared" si="1"/>
        <v>10000</v>
      </c>
      <c r="K21" s="55" t="b">
        <v>1</v>
      </c>
      <c r="L21" s="154"/>
      <c r="M21" s="57" t="b">
        <v>1</v>
      </c>
      <c r="N21" s="58" t="s">
        <v>529</v>
      </c>
      <c r="O21" s="226"/>
      <c r="P21" s="191" t="b">
        <v>1</v>
      </c>
      <c r="Q21" s="308" t="s">
        <v>3138</v>
      </c>
      <c r="R21" s="47" t="b">
        <v>1</v>
      </c>
      <c r="S21" s="310" t="s">
        <v>3171</v>
      </c>
      <c r="T21" s="54"/>
    </row>
    <row r="22" spans="1:20">
      <c r="A22" s="162"/>
      <c r="B22" s="71" t="s">
        <v>3155</v>
      </c>
      <c r="C22" s="53" t="s">
        <v>262</v>
      </c>
      <c r="D22" s="53" t="s">
        <v>263</v>
      </c>
      <c r="E22" s="53" t="s">
        <v>2855</v>
      </c>
      <c r="F22" s="53" t="s">
        <v>3172</v>
      </c>
      <c r="G22" s="53" t="s">
        <v>30</v>
      </c>
      <c r="H22" s="53">
        <v>100</v>
      </c>
      <c r="I22" s="188">
        <v>10</v>
      </c>
      <c r="J22" s="54">
        <v>1000</v>
      </c>
      <c r="K22" s="55" t="b">
        <v>1</v>
      </c>
      <c r="L22" s="154" t="s">
        <v>529</v>
      </c>
      <c r="M22" s="57" t="b">
        <v>1</v>
      </c>
      <c r="N22" s="58"/>
      <c r="O22" s="226"/>
      <c r="P22" s="191" t="b">
        <v>1</v>
      </c>
      <c r="Q22" s="308" t="s">
        <v>3138</v>
      </c>
      <c r="R22" s="47" t="b">
        <v>1</v>
      </c>
      <c r="S22" s="309" t="s">
        <v>3173</v>
      </c>
      <c r="T22" s="54"/>
    </row>
    <row r="23" spans="1:20">
      <c r="A23" s="162"/>
      <c r="B23" s="71" t="s">
        <v>3155</v>
      </c>
      <c r="C23" s="53" t="s">
        <v>262</v>
      </c>
      <c r="D23" s="53" t="s">
        <v>263</v>
      </c>
      <c r="E23" s="53" t="s">
        <v>2855</v>
      </c>
      <c r="F23" s="53" t="s">
        <v>3174</v>
      </c>
      <c r="G23" s="53" t="s">
        <v>30</v>
      </c>
      <c r="H23" s="53">
        <v>1000</v>
      </c>
      <c r="I23" s="188">
        <v>2.1</v>
      </c>
      <c r="J23" s="54">
        <v>2100</v>
      </c>
      <c r="K23" s="55" t="b">
        <v>1</v>
      </c>
      <c r="L23" s="154"/>
      <c r="M23" s="57" t="b">
        <v>1</v>
      </c>
      <c r="N23" s="58"/>
      <c r="O23" s="226"/>
      <c r="P23" s="191" t="b">
        <v>1</v>
      </c>
      <c r="Q23" s="308" t="s">
        <v>3138</v>
      </c>
      <c r="R23" s="47" t="b">
        <v>1</v>
      </c>
      <c r="S23" s="309" t="s">
        <v>3175</v>
      </c>
      <c r="T23" s="54"/>
    </row>
    <row r="24" spans="1:20">
      <c r="A24" s="162"/>
      <c r="B24" s="71" t="s">
        <v>3155</v>
      </c>
      <c r="C24" s="53" t="s">
        <v>262</v>
      </c>
      <c r="D24" s="53" t="s">
        <v>263</v>
      </c>
      <c r="E24" s="53" t="s">
        <v>2855</v>
      </c>
      <c r="F24" s="66" t="s">
        <v>3176</v>
      </c>
      <c r="G24" s="53" t="s">
        <v>30</v>
      </c>
      <c r="H24" s="66">
        <v>5</v>
      </c>
      <c r="I24" s="70">
        <v>350</v>
      </c>
      <c r="J24" s="70">
        <v>1750</v>
      </c>
      <c r="K24" s="55" t="b">
        <v>1</v>
      </c>
      <c r="L24" s="154"/>
      <c r="M24" s="57" t="b">
        <v>1</v>
      </c>
      <c r="N24" s="58"/>
      <c r="O24" s="226"/>
      <c r="P24" s="191" t="b">
        <v>1</v>
      </c>
      <c r="Q24" s="308" t="s">
        <v>3138</v>
      </c>
      <c r="R24" s="47" t="b">
        <v>1</v>
      </c>
      <c r="S24" s="309" t="s">
        <v>3175</v>
      </c>
      <c r="T24" s="54"/>
    </row>
    <row r="25" spans="1:20">
      <c r="A25" s="162"/>
      <c r="B25" s="132" t="s">
        <v>3177</v>
      </c>
      <c r="C25" s="66" t="s">
        <v>51</v>
      </c>
      <c r="D25" s="66" t="s">
        <v>61</v>
      </c>
      <c r="E25" s="66" t="s">
        <v>476</v>
      </c>
      <c r="F25" s="53" t="s">
        <v>3178</v>
      </c>
      <c r="G25" s="53" t="s">
        <v>30</v>
      </c>
      <c r="H25" s="66">
        <v>1</v>
      </c>
      <c r="I25" s="70">
        <v>4500</v>
      </c>
      <c r="J25" s="70">
        <v>4500</v>
      </c>
      <c r="K25" s="55" t="b">
        <v>1</v>
      </c>
      <c r="L25" s="154"/>
      <c r="M25" s="57" t="b">
        <v>1</v>
      </c>
      <c r="N25" s="58"/>
      <c r="O25" s="226"/>
      <c r="P25" s="191" t="b">
        <v>1</v>
      </c>
      <c r="Q25" s="308" t="s">
        <v>3138</v>
      </c>
      <c r="R25" s="47" t="b">
        <v>1</v>
      </c>
      <c r="S25" s="309" t="s">
        <v>3179</v>
      </c>
      <c r="T25" s="54"/>
    </row>
    <row r="26" spans="1:20">
      <c r="A26" s="162"/>
      <c r="B26" s="132" t="s">
        <v>3177</v>
      </c>
      <c r="C26" s="66" t="s">
        <v>51</v>
      </c>
      <c r="D26" s="66" t="s">
        <v>61</v>
      </c>
      <c r="E26" s="66" t="s">
        <v>476</v>
      </c>
      <c r="F26" s="53" t="s">
        <v>3178</v>
      </c>
      <c r="G26" s="53" t="s">
        <v>30</v>
      </c>
      <c r="H26" s="53">
        <v>1</v>
      </c>
      <c r="I26" s="188">
        <v>4500</v>
      </c>
      <c r="J26" s="188">
        <v>4500</v>
      </c>
      <c r="K26" s="55" t="b">
        <v>1</v>
      </c>
      <c r="L26" s="154"/>
      <c r="M26" s="57" t="b">
        <v>1</v>
      </c>
      <c r="N26" s="58"/>
      <c r="O26" s="226"/>
      <c r="P26" s="191" t="b">
        <v>1</v>
      </c>
      <c r="Q26" s="308" t="s">
        <v>3138</v>
      </c>
      <c r="R26" s="47" t="b">
        <v>1</v>
      </c>
      <c r="S26" s="309" t="s">
        <v>3179</v>
      </c>
      <c r="T26" s="54"/>
    </row>
    <row r="27" spans="1:20">
      <c r="A27" s="162"/>
      <c r="B27" s="132" t="s">
        <v>3177</v>
      </c>
      <c r="C27" s="53" t="s">
        <v>26</v>
      </c>
      <c r="D27" s="53" t="s">
        <v>27</v>
      </c>
      <c r="E27" s="53" t="s">
        <v>1273</v>
      </c>
      <c r="F27" s="53" t="s">
        <v>2539</v>
      </c>
      <c r="G27" s="53" t="s">
        <v>30</v>
      </c>
      <c r="H27" s="66">
        <v>15</v>
      </c>
      <c r="I27" s="70">
        <v>560</v>
      </c>
      <c r="J27" s="54">
        <v>8400</v>
      </c>
      <c r="K27" s="55" t="b">
        <v>1</v>
      </c>
      <c r="L27" s="154"/>
      <c r="M27" s="57" t="b">
        <v>1</v>
      </c>
      <c r="N27" s="58"/>
      <c r="O27" s="226"/>
      <c r="P27" s="191" t="b">
        <v>1</v>
      </c>
      <c r="Q27" s="308" t="s">
        <v>3138</v>
      </c>
      <c r="R27" s="47" t="b">
        <v>1</v>
      </c>
      <c r="S27" s="309" t="s">
        <v>3180</v>
      </c>
      <c r="T27" s="54"/>
    </row>
    <row r="28" spans="1:20">
      <c r="A28" s="162"/>
      <c r="B28" s="132" t="s">
        <v>3177</v>
      </c>
      <c r="C28" s="66" t="s">
        <v>51</v>
      </c>
      <c r="D28" s="66" t="s">
        <v>594</v>
      </c>
      <c r="E28" s="66" t="s">
        <v>595</v>
      </c>
      <c r="F28" s="66" t="s">
        <v>3181</v>
      </c>
      <c r="G28" s="69" t="s">
        <v>30</v>
      </c>
      <c r="H28" s="66">
        <v>10</v>
      </c>
      <c r="I28" s="70">
        <v>125</v>
      </c>
      <c r="J28" s="75">
        <f t="shared" ref="J28:J32" si="2">(H28*I28)</f>
        <v>1250</v>
      </c>
      <c r="K28" s="55" t="b">
        <v>1</v>
      </c>
      <c r="L28" s="154"/>
      <c r="M28" s="57" t="b">
        <v>1</v>
      </c>
      <c r="N28" s="58"/>
      <c r="O28" s="226"/>
      <c r="P28" s="191" t="b">
        <v>1</v>
      </c>
      <c r="Q28" s="308" t="s">
        <v>3138</v>
      </c>
      <c r="R28" s="47" t="b">
        <v>1</v>
      </c>
      <c r="S28" s="309" t="s">
        <v>3182</v>
      </c>
      <c r="T28" s="54"/>
    </row>
    <row r="29" spans="1:20">
      <c r="A29" s="162"/>
      <c r="B29" s="132" t="s">
        <v>3177</v>
      </c>
      <c r="C29" s="66" t="s">
        <v>51</v>
      </c>
      <c r="D29" s="66" t="s">
        <v>594</v>
      </c>
      <c r="E29" s="66" t="s">
        <v>595</v>
      </c>
      <c r="F29" s="66" t="s">
        <v>3183</v>
      </c>
      <c r="G29" s="69" t="s">
        <v>30</v>
      </c>
      <c r="H29" s="66">
        <v>4</v>
      </c>
      <c r="I29" s="70">
        <v>125</v>
      </c>
      <c r="J29" s="75">
        <f t="shared" si="2"/>
        <v>500</v>
      </c>
      <c r="K29" s="55" t="b">
        <v>1</v>
      </c>
      <c r="L29" s="154"/>
      <c r="M29" s="57" t="b">
        <v>1</v>
      </c>
      <c r="N29" s="58"/>
      <c r="O29" s="226"/>
      <c r="P29" s="191" t="b">
        <v>1</v>
      </c>
      <c r="Q29" s="308" t="s">
        <v>3138</v>
      </c>
      <c r="R29" s="47" t="b">
        <v>1</v>
      </c>
      <c r="S29" s="309" t="s">
        <v>3182</v>
      </c>
      <c r="T29" s="54"/>
    </row>
    <row r="30" spans="1:20">
      <c r="A30" s="162"/>
      <c r="B30" s="132" t="s">
        <v>3177</v>
      </c>
      <c r="C30" s="66" t="s">
        <v>51</v>
      </c>
      <c r="D30" s="66" t="s">
        <v>594</v>
      </c>
      <c r="E30" s="66" t="s">
        <v>595</v>
      </c>
      <c r="F30" s="66" t="s">
        <v>3184</v>
      </c>
      <c r="G30" s="69" t="s">
        <v>30</v>
      </c>
      <c r="H30" s="53">
        <v>2</v>
      </c>
      <c r="I30" s="70">
        <v>125</v>
      </c>
      <c r="J30" s="75">
        <f t="shared" si="2"/>
        <v>250</v>
      </c>
      <c r="K30" s="55" t="b">
        <v>1</v>
      </c>
      <c r="L30" s="154"/>
      <c r="M30" s="57" t="b">
        <v>1</v>
      </c>
      <c r="N30" s="58"/>
      <c r="O30" s="226"/>
      <c r="P30" s="191" t="b">
        <v>1</v>
      </c>
      <c r="Q30" s="308" t="s">
        <v>3138</v>
      </c>
      <c r="R30" s="47" t="b">
        <v>1</v>
      </c>
      <c r="S30" s="309" t="s">
        <v>3182</v>
      </c>
      <c r="T30" s="54"/>
    </row>
    <row r="31" spans="1:20">
      <c r="A31" s="162"/>
      <c r="B31" s="132" t="s">
        <v>3177</v>
      </c>
      <c r="C31" s="66" t="s">
        <v>51</v>
      </c>
      <c r="D31" s="66" t="s">
        <v>594</v>
      </c>
      <c r="E31" s="66" t="s">
        <v>595</v>
      </c>
      <c r="F31" s="66" t="s">
        <v>3185</v>
      </c>
      <c r="G31" s="69" t="s">
        <v>30</v>
      </c>
      <c r="H31" s="53">
        <v>3</v>
      </c>
      <c r="I31" s="70">
        <v>125</v>
      </c>
      <c r="J31" s="75">
        <f t="shared" si="2"/>
        <v>375</v>
      </c>
      <c r="K31" s="55" t="b">
        <v>1</v>
      </c>
      <c r="L31" s="154"/>
      <c r="M31" s="57" t="b">
        <v>1</v>
      </c>
      <c r="N31" s="58"/>
      <c r="O31" s="226"/>
      <c r="P31" s="191" t="b">
        <v>1</v>
      </c>
      <c r="Q31" s="308" t="s">
        <v>3138</v>
      </c>
      <c r="R31" s="47" t="b">
        <v>1</v>
      </c>
      <c r="S31" s="309" t="s">
        <v>3182</v>
      </c>
      <c r="T31" s="54"/>
    </row>
    <row r="32" spans="1:20">
      <c r="A32" s="162"/>
      <c r="B32" s="132" t="s">
        <v>3177</v>
      </c>
      <c r="C32" s="66" t="s">
        <v>51</v>
      </c>
      <c r="D32" s="66" t="s">
        <v>594</v>
      </c>
      <c r="E32" s="66" t="s">
        <v>595</v>
      </c>
      <c r="F32" s="66" t="s">
        <v>3186</v>
      </c>
      <c r="G32" s="69" t="s">
        <v>30</v>
      </c>
      <c r="H32" s="53">
        <v>1</v>
      </c>
      <c r="I32" s="70">
        <v>125</v>
      </c>
      <c r="J32" s="75">
        <f t="shared" si="2"/>
        <v>125</v>
      </c>
      <c r="K32" s="55" t="b">
        <v>1</v>
      </c>
      <c r="L32" s="154"/>
      <c r="M32" s="57" t="b">
        <v>1</v>
      </c>
      <c r="N32" s="58"/>
      <c r="O32" s="226"/>
      <c r="P32" s="191" t="b">
        <v>1</v>
      </c>
      <c r="Q32" s="308" t="s">
        <v>3138</v>
      </c>
      <c r="R32" s="47" t="b">
        <v>1</v>
      </c>
      <c r="S32" s="309" t="s">
        <v>3182</v>
      </c>
      <c r="T32" s="54"/>
    </row>
    <row r="33" spans="1:20">
      <c r="A33" s="162"/>
      <c r="B33" s="132" t="s">
        <v>3177</v>
      </c>
      <c r="C33" s="66" t="s">
        <v>51</v>
      </c>
      <c r="D33" s="66" t="s">
        <v>201</v>
      </c>
      <c r="E33" s="53" t="s">
        <v>1208</v>
      </c>
      <c r="F33" s="66" t="s">
        <v>3187</v>
      </c>
      <c r="G33" s="69" t="s">
        <v>30</v>
      </c>
      <c r="H33" s="66">
        <v>1</v>
      </c>
      <c r="I33" s="70">
        <v>2750</v>
      </c>
      <c r="J33" s="54">
        <f t="shared" ref="J33:J35" si="3">H33*I33</f>
        <v>2750</v>
      </c>
      <c r="K33" s="55" t="b">
        <v>1</v>
      </c>
      <c r="L33" s="154"/>
      <c r="M33" s="57" t="b">
        <v>1</v>
      </c>
      <c r="N33" s="58"/>
      <c r="O33" s="226"/>
      <c r="P33" s="191" t="b">
        <v>1</v>
      </c>
      <c r="Q33" s="308" t="s">
        <v>3138</v>
      </c>
      <c r="R33" s="47" t="b">
        <v>1</v>
      </c>
      <c r="S33" s="309" t="s">
        <v>3188</v>
      </c>
      <c r="T33" s="54"/>
    </row>
    <row r="34" spans="1:20">
      <c r="A34" s="162"/>
      <c r="B34" s="132" t="s">
        <v>3177</v>
      </c>
      <c r="C34" s="66" t="s">
        <v>51</v>
      </c>
      <c r="D34" s="66" t="s">
        <v>201</v>
      </c>
      <c r="E34" s="53" t="s">
        <v>1208</v>
      </c>
      <c r="F34" s="66" t="s">
        <v>3189</v>
      </c>
      <c r="G34" s="69" t="s">
        <v>30</v>
      </c>
      <c r="H34" s="66">
        <v>1</v>
      </c>
      <c r="I34" s="70">
        <v>3400</v>
      </c>
      <c r="J34" s="54">
        <f t="shared" si="3"/>
        <v>3400</v>
      </c>
      <c r="K34" s="55" t="b">
        <v>1</v>
      </c>
      <c r="L34" s="154"/>
      <c r="M34" s="57" t="b">
        <v>1</v>
      </c>
      <c r="N34" s="58"/>
      <c r="O34" s="226"/>
      <c r="P34" s="191" t="b">
        <v>1</v>
      </c>
      <c r="Q34" s="308" t="s">
        <v>3138</v>
      </c>
      <c r="R34" s="47" t="b">
        <v>1</v>
      </c>
      <c r="S34" s="309" t="s">
        <v>3188</v>
      </c>
      <c r="T34" s="54"/>
    </row>
    <row r="35" spans="1:20">
      <c r="A35" s="162"/>
      <c r="B35" s="132" t="s">
        <v>3177</v>
      </c>
      <c r="C35" s="66" t="s">
        <v>51</v>
      </c>
      <c r="D35" s="66" t="s">
        <v>201</v>
      </c>
      <c r="E35" s="53" t="s">
        <v>1208</v>
      </c>
      <c r="F35" s="69" t="s">
        <v>3190</v>
      </c>
      <c r="G35" s="69" t="s">
        <v>30</v>
      </c>
      <c r="H35" s="66">
        <v>1</v>
      </c>
      <c r="I35" s="70">
        <v>2750</v>
      </c>
      <c r="J35" s="54">
        <f t="shared" si="3"/>
        <v>2750</v>
      </c>
      <c r="K35" s="55" t="b">
        <v>1</v>
      </c>
      <c r="L35" s="154"/>
      <c r="M35" s="57" t="b">
        <v>1</v>
      </c>
      <c r="N35" s="58"/>
      <c r="O35" s="226"/>
      <c r="P35" s="191" t="b">
        <v>1</v>
      </c>
      <c r="Q35" s="308" t="s">
        <v>3138</v>
      </c>
      <c r="R35" s="47" t="b">
        <v>1</v>
      </c>
      <c r="S35" s="309" t="s">
        <v>3188</v>
      </c>
      <c r="T35" s="54"/>
    </row>
    <row r="36" spans="1:20">
      <c r="A36" s="162"/>
      <c r="B36" s="132" t="s">
        <v>3177</v>
      </c>
      <c r="C36" s="66" t="s">
        <v>51</v>
      </c>
      <c r="D36" s="66" t="s">
        <v>89</v>
      </c>
      <c r="E36" s="66" t="s">
        <v>1872</v>
      </c>
      <c r="F36" s="66" t="s">
        <v>3191</v>
      </c>
      <c r="G36" s="69" t="s">
        <v>30</v>
      </c>
      <c r="H36" s="66">
        <v>1</v>
      </c>
      <c r="I36" s="188">
        <v>3800</v>
      </c>
      <c r="J36" s="75">
        <f t="shared" ref="J36:J37" si="4">(H36*I36)</f>
        <v>3800</v>
      </c>
      <c r="K36" s="55" t="b">
        <v>1</v>
      </c>
      <c r="L36" s="154"/>
      <c r="M36" s="57" t="b">
        <v>1</v>
      </c>
      <c r="N36" s="58"/>
      <c r="O36" s="226"/>
      <c r="P36" s="191" t="b">
        <v>1</v>
      </c>
      <c r="Q36" s="308" t="s">
        <v>3138</v>
      </c>
      <c r="R36" s="47" t="b">
        <v>1</v>
      </c>
      <c r="S36" s="309" t="s">
        <v>3192</v>
      </c>
      <c r="T36" s="54"/>
    </row>
    <row r="37" spans="1:20">
      <c r="A37" s="162"/>
      <c r="B37" s="71" t="s">
        <v>3177</v>
      </c>
      <c r="C37" s="53" t="s">
        <v>55</v>
      </c>
      <c r="D37" s="53" t="s">
        <v>56</v>
      </c>
      <c r="E37" s="53" t="s">
        <v>3193</v>
      </c>
      <c r="F37" s="53" t="s">
        <v>3194</v>
      </c>
      <c r="G37" s="131" t="s">
        <v>30</v>
      </c>
      <c r="H37" s="53">
        <v>3</v>
      </c>
      <c r="I37" s="188">
        <v>750</v>
      </c>
      <c r="J37" s="75">
        <f t="shared" si="4"/>
        <v>2250</v>
      </c>
      <c r="K37" s="55" t="b">
        <v>1</v>
      </c>
      <c r="L37" s="154"/>
      <c r="M37" s="57" t="b">
        <v>1</v>
      </c>
      <c r="N37" s="58" t="s">
        <v>529</v>
      </c>
      <c r="O37" s="226"/>
      <c r="P37" s="191" t="b">
        <v>1</v>
      </c>
      <c r="Q37" s="308" t="s">
        <v>3138</v>
      </c>
      <c r="R37" s="47" t="b">
        <v>1</v>
      </c>
      <c r="S37" s="309" t="s">
        <v>3195</v>
      </c>
      <c r="T37" s="54"/>
    </row>
    <row r="38" spans="1:20">
      <c r="A38" s="162"/>
      <c r="B38" s="71" t="s">
        <v>3177</v>
      </c>
      <c r="C38" s="66" t="s">
        <v>51</v>
      </c>
      <c r="D38" s="53" t="s">
        <v>335</v>
      </c>
      <c r="E38" s="53" t="s">
        <v>457</v>
      </c>
      <c r="F38" s="53" t="s">
        <v>3196</v>
      </c>
      <c r="G38" s="131" t="s">
        <v>30</v>
      </c>
      <c r="H38" s="53">
        <v>1</v>
      </c>
      <c r="I38" s="188">
        <v>2750</v>
      </c>
      <c r="J38" s="188">
        <v>2750</v>
      </c>
      <c r="K38" s="55" t="b">
        <v>1</v>
      </c>
      <c r="L38" s="154"/>
      <c r="M38" s="57" t="b">
        <v>1</v>
      </c>
      <c r="N38" s="58"/>
      <c r="O38" s="226"/>
      <c r="P38" s="191" t="b">
        <v>1</v>
      </c>
      <c r="Q38" s="308" t="s">
        <v>3138</v>
      </c>
      <c r="R38" s="47" t="b">
        <v>1</v>
      </c>
      <c r="S38" s="309" t="s">
        <v>3192</v>
      </c>
      <c r="T38" s="54"/>
    </row>
    <row r="39" spans="1:20">
      <c r="A39" s="162"/>
      <c r="B39" s="71" t="s">
        <v>3177</v>
      </c>
      <c r="C39" s="53" t="s">
        <v>41</v>
      </c>
      <c r="D39" s="53" t="s">
        <v>74</v>
      </c>
      <c r="E39" s="53" t="s">
        <v>420</v>
      </c>
      <c r="F39" s="53" t="s">
        <v>668</v>
      </c>
      <c r="G39" s="131" t="s">
        <v>30</v>
      </c>
      <c r="H39" s="53">
        <v>5</v>
      </c>
      <c r="I39" s="188">
        <v>125</v>
      </c>
      <c r="J39" s="75">
        <f t="shared" ref="J39:J41" si="5">(H39*I39)</f>
        <v>625</v>
      </c>
      <c r="K39" s="55" t="b">
        <v>1</v>
      </c>
      <c r="L39" s="154"/>
      <c r="M39" s="57" t="b">
        <v>1</v>
      </c>
      <c r="N39" s="58" t="s">
        <v>529</v>
      </c>
      <c r="O39" s="226"/>
      <c r="P39" s="191" t="b">
        <v>1</v>
      </c>
      <c r="Q39" s="308" t="s">
        <v>3138</v>
      </c>
      <c r="R39" s="47" t="b">
        <v>1</v>
      </c>
      <c r="S39" s="309" t="s">
        <v>3197</v>
      </c>
      <c r="T39" s="54"/>
    </row>
    <row r="40" spans="1:20">
      <c r="A40" s="162"/>
      <c r="B40" s="71" t="s">
        <v>3177</v>
      </c>
      <c r="C40" s="53" t="s">
        <v>41</v>
      </c>
      <c r="D40" s="53" t="s">
        <v>74</v>
      </c>
      <c r="E40" s="53" t="s">
        <v>420</v>
      </c>
      <c r="F40" s="53" t="s">
        <v>2752</v>
      </c>
      <c r="G40" s="131" t="s">
        <v>30</v>
      </c>
      <c r="H40" s="53">
        <v>100</v>
      </c>
      <c r="I40" s="188">
        <v>12</v>
      </c>
      <c r="J40" s="75">
        <f t="shared" si="5"/>
        <v>1200</v>
      </c>
      <c r="K40" s="55" t="b">
        <v>1</v>
      </c>
      <c r="L40" s="154"/>
      <c r="M40" s="57" t="b">
        <v>1</v>
      </c>
      <c r="N40" s="58"/>
      <c r="O40" s="226"/>
      <c r="P40" s="191" t="b">
        <v>1</v>
      </c>
      <c r="Q40" s="308" t="s">
        <v>3138</v>
      </c>
      <c r="R40" s="47" t="b">
        <v>1</v>
      </c>
      <c r="S40" s="309" t="s">
        <v>3197</v>
      </c>
      <c r="T40" s="54"/>
    </row>
    <row r="41" spans="1:20" ht="15.75" customHeight="1">
      <c r="A41" s="162"/>
      <c r="B41" s="71" t="s">
        <v>3177</v>
      </c>
      <c r="C41" s="53" t="s">
        <v>41</v>
      </c>
      <c r="D41" s="53" t="s">
        <v>74</v>
      </c>
      <c r="E41" s="53" t="s">
        <v>420</v>
      </c>
      <c r="F41" s="66" t="s">
        <v>874</v>
      </c>
      <c r="G41" s="131" t="s">
        <v>30</v>
      </c>
      <c r="H41" s="66">
        <v>1000</v>
      </c>
      <c r="I41" s="188">
        <v>2.5</v>
      </c>
      <c r="J41" s="75">
        <f t="shared" si="5"/>
        <v>2500</v>
      </c>
      <c r="K41" s="55" t="b">
        <v>1</v>
      </c>
      <c r="L41" s="154"/>
      <c r="M41" s="57" t="b">
        <v>1</v>
      </c>
      <c r="N41" s="58" t="s">
        <v>529</v>
      </c>
      <c r="O41" s="226"/>
      <c r="P41" s="191" t="b">
        <v>1</v>
      </c>
      <c r="Q41" s="308" t="s">
        <v>3138</v>
      </c>
      <c r="R41" s="47" t="b">
        <v>1</v>
      </c>
      <c r="S41" s="309" t="s">
        <v>3198</v>
      </c>
      <c r="T41" s="54"/>
    </row>
    <row r="42" spans="1:20">
      <c r="A42" s="162"/>
      <c r="B42" s="71" t="s">
        <v>3177</v>
      </c>
      <c r="C42" s="53" t="s">
        <v>41</v>
      </c>
      <c r="D42" s="53" t="s">
        <v>74</v>
      </c>
      <c r="E42" s="53" t="s">
        <v>420</v>
      </c>
      <c r="F42" s="66" t="s">
        <v>3199</v>
      </c>
      <c r="G42" s="131" t="s">
        <v>30</v>
      </c>
      <c r="H42" s="66">
        <v>100</v>
      </c>
      <c r="I42" s="70">
        <v>8</v>
      </c>
      <c r="J42" s="75">
        <v>800</v>
      </c>
      <c r="K42" s="55" t="b">
        <v>1</v>
      </c>
      <c r="L42" s="154"/>
      <c r="M42" s="57" t="b">
        <v>1</v>
      </c>
      <c r="N42" s="58"/>
      <c r="O42" s="226"/>
      <c r="P42" s="191" t="b">
        <v>1</v>
      </c>
      <c r="Q42" s="308" t="s">
        <v>3138</v>
      </c>
      <c r="R42" s="47" t="b">
        <v>1</v>
      </c>
      <c r="S42" s="309" t="s">
        <v>3198</v>
      </c>
      <c r="T42" s="54"/>
    </row>
    <row r="43" spans="1:20">
      <c r="A43" s="162"/>
      <c r="B43" s="71" t="s">
        <v>3200</v>
      </c>
      <c r="C43" s="53" t="s">
        <v>93</v>
      </c>
      <c r="D43" s="53" t="s">
        <v>3201</v>
      </c>
      <c r="E43" s="53" t="s">
        <v>268</v>
      </c>
      <c r="F43" s="53" t="s">
        <v>3202</v>
      </c>
      <c r="G43" s="131" t="s">
        <v>30</v>
      </c>
      <c r="H43" s="53">
        <v>3</v>
      </c>
      <c r="I43" s="188">
        <v>695</v>
      </c>
      <c r="J43" s="75">
        <f t="shared" ref="J43:J45" si="6">(H43*I43)</f>
        <v>2085</v>
      </c>
      <c r="K43" s="55" t="b">
        <v>1</v>
      </c>
      <c r="L43" s="154"/>
      <c r="M43" s="57" t="b">
        <v>1</v>
      </c>
      <c r="N43" s="58"/>
      <c r="O43" s="226"/>
      <c r="P43" s="191" t="b">
        <v>1</v>
      </c>
      <c r="Q43" s="308" t="s">
        <v>3138</v>
      </c>
      <c r="R43" s="47" t="b">
        <v>1</v>
      </c>
      <c r="S43" s="309" t="s">
        <v>3203</v>
      </c>
      <c r="T43" s="54"/>
    </row>
    <row r="44" spans="1:20">
      <c r="A44" s="162"/>
      <c r="B44" s="71" t="s">
        <v>3200</v>
      </c>
      <c r="C44" s="53" t="s">
        <v>93</v>
      </c>
      <c r="D44" s="53" t="s">
        <v>3201</v>
      </c>
      <c r="E44" s="53" t="s">
        <v>268</v>
      </c>
      <c r="F44" s="53" t="s">
        <v>467</v>
      </c>
      <c r="G44" s="131" t="s">
        <v>30</v>
      </c>
      <c r="H44" s="53">
        <v>3</v>
      </c>
      <c r="I44" s="188">
        <v>685</v>
      </c>
      <c r="J44" s="75">
        <f t="shared" si="6"/>
        <v>2055</v>
      </c>
      <c r="K44" s="55" t="b">
        <v>1</v>
      </c>
      <c r="L44" s="154"/>
      <c r="M44" s="57" t="b">
        <v>1</v>
      </c>
      <c r="N44" s="58"/>
      <c r="O44" s="226"/>
      <c r="P44" s="191" t="b">
        <v>1</v>
      </c>
      <c r="Q44" s="308" t="s">
        <v>3138</v>
      </c>
      <c r="R44" s="47" t="b">
        <v>1</v>
      </c>
      <c r="S44" s="309" t="s">
        <v>3203</v>
      </c>
      <c r="T44" s="54"/>
    </row>
    <row r="45" spans="1:20">
      <c r="A45" s="162"/>
      <c r="B45" s="71" t="s">
        <v>3200</v>
      </c>
      <c r="C45" s="53" t="s">
        <v>194</v>
      </c>
      <c r="D45" s="53" t="s">
        <v>195</v>
      </c>
      <c r="E45" s="53" t="s">
        <v>196</v>
      </c>
      <c r="F45" s="53" t="s">
        <v>142</v>
      </c>
      <c r="G45" s="131" t="s">
        <v>30</v>
      </c>
      <c r="H45" s="53">
        <v>3000</v>
      </c>
      <c r="I45" s="188">
        <v>1.62</v>
      </c>
      <c r="J45" s="75">
        <f t="shared" si="6"/>
        <v>4860</v>
      </c>
      <c r="K45" s="55" t="b">
        <v>1</v>
      </c>
      <c r="L45" s="154"/>
      <c r="M45" s="57" t="b">
        <v>1</v>
      </c>
      <c r="N45" s="58"/>
      <c r="O45" s="226"/>
      <c r="P45" s="191" t="b">
        <v>1</v>
      </c>
      <c r="Q45" s="308" t="s">
        <v>3138</v>
      </c>
      <c r="R45" s="47" t="b">
        <v>1</v>
      </c>
      <c r="S45" s="309" t="s">
        <v>3204</v>
      </c>
      <c r="T45" s="54"/>
    </row>
    <row r="46" spans="1:20">
      <c r="A46" s="162"/>
      <c r="B46" s="71" t="s">
        <v>3200</v>
      </c>
      <c r="C46" s="53" t="s">
        <v>523</v>
      </c>
      <c r="D46" s="53" t="s">
        <v>524</v>
      </c>
      <c r="E46" s="53" t="s">
        <v>3205</v>
      </c>
      <c r="F46" s="53" t="s">
        <v>68</v>
      </c>
      <c r="G46" s="131" t="s">
        <v>30</v>
      </c>
      <c r="H46" s="53">
        <v>2</v>
      </c>
      <c r="I46" s="188">
        <v>2300</v>
      </c>
      <c r="J46" s="54">
        <f>H46*I46</f>
        <v>4600</v>
      </c>
      <c r="K46" s="55" t="b">
        <v>1</v>
      </c>
      <c r="L46" s="154"/>
      <c r="M46" s="57" t="b">
        <v>1</v>
      </c>
      <c r="N46" s="58"/>
      <c r="O46" s="226"/>
      <c r="P46" s="191" t="b">
        <v>1</v>
      </c>
      <c r="Q46" s="308" t="s">
        <v>3138</v>
      </c>
      <c r="R46" s="47" t="b">
        <v>1</v>
      </c>
      <c r="S46" s="309" t="s">
        <v>3206</v>
      </c>
      <c r="T46" s="54"/>
    </row>
    <row r="47" spans="1:20">
      <c r="A47" s="162"/>
      <c r="B47" s="71" t="s">
        <v>3200</v>
      </c>
      <c r="C47" s="66" t="s">
        <v>104</v>
      </c>
      <c r="D47" s="66" t="s">
        <v>3207</v>
      </c>
      <c r="E47" s="66" t="s">
        <v>3208</v>
      </c>
      <c r="F47" s="66" t="s">
        <v>3209</v>
      </c>
      <c r="G47" s="131" t="s">
        <v>30</v>
      </c>
      <c r="H47" s="69">
        <v>3</v>
      </c>
      <c r="I47" s="188">
        <v>675</v>
      </c>
      <c r="J47" s="75">
        <f t="shared" ref="J47:J54" si="7">(H47*I47)</f>
        <v>2025</v>
      </c>
      <c r="K47" s="55" t="b">
        <v>1</v>
      </c>
      <c r="L47" s="154"/>
      <c r="M47" s="57" t="b">
        <v>1</v>
      </c>
      <c r="N47" s="58"/>
      <c r="O47" s="226"/>
      <c r="P47" s="191" t="b">
        <v>1</v>
      </c>
      <c r="Q47" s="308" t="s">
        <v>3138</v>
      </c>
      <c r="R47" s="47" t="b">
        <v>1</v>
      </c>
      <c r="S47" s="309" t="s">
        <v>3210</v>
      </c>
      <c r="T47" s="54"/>
    </row>
    <row r="48" spans="1:20">
      <c r="A48" s="162"/>
      <c r="B48" s="71" t="s">
        <v>3200</v>
      </c>
      <c r="C48" s="66" t="s">
        <v>104</v>
      </c>
      <c r="D48" s="66" t="s">
        <v>3207</v>
      </c>
      <c r="E48" s="66" t="s">
        <v>3208</v>
      </c>
      <c r="F48" s="66" t="s">
        <v>229</v>
      </c>
      <c r="G48" s="131" t="s">
        <v>30</v>
      </c>
      <c r="H48" s="69">
        <v>13</v>
      </c>
      <c r="I48" s="188">
        <v>600</v>
      </c>
      <c r="J48" s="75">
        <f t="shared" si="7"/>
        <v>7800</v>
      </c>
      <c r="K48" s="55" t="b">
        <v>1</v>
      </c>
      <c r="L48" s="154"/>
      <c r="M48" s="57" t="b">
        <v>1</v>
      </c>
      <c r="N48" s="58"/>
      <c r="O48" s="226"/>
      <c r="P48" s="191" t="b">
        <v>1</v>
      </c>
      <c r="Q48" s="308" t="s">
        <v>3138</v>
      </c>
      <c r="R48" s="47" t="b">
        <v>1</v>
      </c>
      <c r="S48" s="309" t="s">
        <v>3210</v>
      </c>
      <c r="T48" s="54"/>
    </row>
    <row r="49" spans="1:20">
      <c r="A49" s="162"/>
      <c r="B49" s="132" t="s">
        <v>3200</v>
      </c>
      <c r="C49" s="66" t="s">
        <v>474</v>
      </c>
      <c r="D49" s="66" t="s">
        <v>61</v>
      </c>
      <c r="E49" s="66" t="s">
        <v>1026</v>
      </c>
      <c r="F49" s="66" t="s">
        <v>3211</v>
      </c>
      <c r="G49" s="69" t="s">
        <v>30</v>
      </c>
      <c r="H49" s="66">
        <v>4</v>
      </c>
      <c r="I49" s="70">
        <v>875</v>
      </c>
      <c r="J49" s="75">
        <f t="shared" si="7"/>
        <v>3500</v>
      </c>
      <c r="K49" s="55" t="b">
        <v>1</v>
      </c>
      <c r="L49" s="154"/>
      <c r="M49" s="57" t="b">
        <v>1</v>
      </c>
      <c r="N49" s="58"/>
      <c r="O49" s="226"/>
      <c r="P49" s="191" t="b">
        <v>1</v>
      </c>
      <c r="Q49" s="308" t="s">
        <v>3138</v>
      </c>
      <c r="R49" s="47" t="b">
        <v>1</v>
      </c>
      <c r="S49" s="309" t="s">
        <v>3212</v>
      </c>
      <c r="T49" s="54"/>
    </row>
    <row r="50" spans="1:20">
      <c r="A50" s="162"/>
      <c r="B50" s="71" t="s">
        <v>3200</v>
      </c>
      <c r="C50" s="53" t="s">
        <v>474</v>
      </c>
      <c r="D50" s="53" t="s">
        <v>3213</v>
      </c>
      <c r="E50" s="53" t="s">
        <v>1026</v>
      </c>
      <c r="F50" s="53" t="s">
        <v>3214</v>
      </c>
      <c r="G50" s="131" t="s">
        <v>30</v>
      </c>
      <c r="H50" s="53">
        <v>4</v>
      </c>
      <c r="I50" s="188">
        <v>800</v>
      </c>
      <c r="J50" s="75">
        <f t="shared" si="7"/>
        <v>3200</v>
      </c>
      <c r="K50" s="55" t="b">
        <v>1</v>
      </c>
      <c r="L50" s="154"/>
      <c r="M50" s="57" t="b">
        <v>1</v>
      </c>
      <c r="N50" s="58"/>
      <c r="O50" s="226"/>
      <c r="P50" s="191" t="b">
        <v>1</v>
      </c>
      <c r="Q50" s="308" t="s">
        <v>3138</v>
      </c>
      <c r="R50" s="47" t="b">
        <v>1</v>
      </c>
      <c r="S50" s="309" t="s">
        <v>3212</v>
      </c>
      <c r="T50" s="54"/>
    </row>
    <row r="51" spans="1:20">
      <c r="A51" s="162"/>
      <c r="B51" s="71" t="s">
        <v>3200</v>
      </c>
      <c r="C51" s="53" t="s">
        <v>474</v>
      </c>
      <c r="D51" s="53" t="s">
        <v>89</v>
      </c>
      <c r="E51" s="53" t="s">
        <v>2090</v>
      </c>
      <c r="F51" s="53" t="s">
        <v>3215</v>
      </c>
      <c r="G51" s="131" t="s">
        <v>30</v>
      </c>
      <c r="H51" s="53">
        <v>10</v>
      </c>
      <c r="I51" s="188">
        <v>130</v>
      </c>
      <c r="J51" s="75">
        <f t="shared" si="7"/>
        <v>1300</v>
      </c>
      <c r="K51" s="55" t="b">
        <v>1</v>
      </c>
      <c r="L51" s="154"/>
      <c r="M51" s="57" t="b">
        <v>1</v>
      </c>
      <c r="N51" s="58"/>
      <c r="O51" s="226"/>
      <c r="P51" s="191" t="b">
        <v>1</v>
      </c>
      <c r="Q51" s="308" t="s">
        <v>3138</v>
      </c>
      <c r="R51" s="47" t="b">
        <v>1</v>
      </c>
      <c r="S51" s="309" t="s">
        <v>3216</v>
      </c>
      <c r="T51" s="54"/>
    </row>
    <row r="52" spans="1:20">
      <c r="A52" s="162"/>
      <c r="B52" s="71" t="s">
        <v>3200</v>
      </c>
      <c r="C52" s="53" t="s">
        <v>474</v>
      </c>
      <c r="D52" s="53" t="s">
        <v>89</v>
      </c>
      <c r="E52" s="53" t="s">
        <v>2090</v>
      </c>
      <c r="F52" s="53" t="s">
        <v>3217</v>
      </c>
      <c r="G52" s="131" t="s">
        <v>30</v>
      </c>
      <c r="H52" s="53">
        <v>10</v>
      </c>
      <c r="I52" s="188">
        <v>475</v>
      </c>
      <c r="J52" s="75">
        <f t="shared" si="7"/>
        <v>4750</v>
      </c>
      <c r="K52" s="55" t="b">
        <v>1</v>
      </c>
      <c r="L52" s="154"/>
      <c r="M52" s="57" t="b">
        <v>1</v>
      </c>
      <c r="N52" s="58" t="s">
        <v>529</v>
      </c>
      <c r="O52" s="226"/>
      <c r="P52" s="191" t="b">
        <v>1</v>
      </c>
      <c r="Q52" s="308" t="s">
        <v>3138</v>
      </c>
      <c r="R52" s="47" t="b">
        <v>1</v>
      </c>
      <c r="S52" s="309" t="s">
        <v>3218</v>
      </c>
      <c r="T52" s="54"/>
    </row>
    <row r="53" spans="1:20">
      <c r="A53" s="162"/>
      <c r="B53" s="71" t="s">
        <v>3200</v>
      </c>
      <c r="C53" s="53" t="s">
        <v>2366</v>
      </c>
      <c r="D53" s="53" t="s">
        <v>137</v>
      </c>
      <c r="E53" s="53" t="s">
        <v>43</v>
      </c>
      <c r="F53" s="53" t="s">
        <v>3219</v>
      </c>
      <c r="G53" s="131" t="s">
        <v>30</v>
      </c>
      <c r="H53" s="53">
        <v>5</v>
      </c>
      <c r="I53" s="188">
        <v>275</v>
      </c>
      <c r="J53" s="75">
        <f t="shared" si="7"/>
        <v>1375</v>
      </c>
      <c r="K53" s="55" t="b">
        <v>1</v>
      </c>
      <c r="L53" s="154"/>
      <c r="M53" s="57" t="b">
        <v>1</v>
      </c>
      <c r="N53" s="58" t="s">
        <v>529</v>
      </c>
      <c r="O53" s="226"/>
      <c r="P53" s="191" t="b">
        <v>1</v>
      </c>
      <c r="Q53" s="308" t="s">
        <v>3138</v>
      </c>
      <c r="R53" s="47" t="b">
        <v>1</v>
      </c>
      <c r="S53" s="309" t="s">
        <v>3220</v>
      </c>
      <c r="T53" s="54" t="s">
        <v>3221</v>
      </c>
    </row>
    <row r="54" spans="1:20">
      <c r="A54" s="162"/>
      <c r="B54" s="71" t="s">
        <v>3200</v>
      </c>
      <c r="C54" s="53" t="s">
        <v>212</v>
      </c>
      <c r="D54" s="53" t="s">
        <v>311</v>
      </c>
      <c r="E54" s="53" t="s">
        <v>312</v>
      </c>
      <c r="F54" s="53" t="s">
        <v>3222</v>
      </c>
      <c r="G54" s="131" t="s">
        <v>30</v>
      </c>
      <c r="H54" s="53">
        <v>5</v>
      </c>
      <c r="I54" s="188">
        <v>1950</v>
      </c>
      <c r="J54" s="75">
        <f t="shared" si="7"/>
        <v>9750</v>
      </c>
      <c r="K54" s="55" t="b">
        <v>1</v>
      </c>
      <c r="L54" s="154"/>
      <c r="M54" s="57" t="b">
        <v>1</v>
      </c>
      <c r="N54" s="58" t="s">
        <v>529</v>
      </c>
      <c r="O54" s="226"/>
      <c r="P54" s="191" t="b">
        <v>1</v>
      </c>
      <c r="Q54" s="308" t="s">
        <v>3138</v>
      </c>
      <c r="R54" s="47" t="b">
        <v>1</v>
      </c>
      <c r="S54" s="309" t="s">
        <v>3223</v>
      </c>
      <c r="T54" s="54"/>
    </row>
    <row r="55" spans="1:20">
      <c r="A55" s="162"/>
      <c r="B55" s="71" t="s">
        <v>3200</v>
      </c>
      <c r="C55" s="53" t="s">
        <v>2366</v>
      </c>
      <c r="D55" s="53" t="s">
        <v>137</v>
      </c>
      <c r="E55" s="53" t="s">
        <v>43</v>
      </c>
      <c r="F55" s="53" t="s">
        <v>147</v>
      </c>
      <c r="G55" s="131" t="s">
        <v>30</v>
      </c>
      <c r="H55" s="53">
        <v>2</v>
      </c>
      <c r="I55" s="188">
        <v>800</v>
      </c>
      <c r="J55" s="54">
        <f>H55*I55</f>
        <v>1600</v>
      </c>
      <c r="K55" s="55" t="b">
        <v>1</v>
      </c>
      <c r="L55" s="154"/>
      <c r="M55" s="57" t="b">
        <v>1</v>
      </c>
      <c r="N55" s="58"/>
      <c r="O55" s="226"/>
      <c r="P55" s="191" t="b">
        <v>1</v>
      </c>
      <c r="Q55" s="308" t="s">
        <v>3138</v>
      </c>
      <c r="R55" s="47" t="b">
        <v>1</v>
      </c>
      <c r="S55" s="309" t="s">
        <v>3224</v>
      </c>
      <c r="T55" s="54"/>
    </row>
    <row r="56" spans="1:20">
      <c r="A56" s="162"/>
      <c r="B56" s="71" t="s">
        <v>3200</v>
      </c>
      <c r="C56" s="53" t="s">
        <v>104</v>
      </c>
      <c r="D56" s="53" t="s">
        <v>673</v>
      </c>
      <c r="E56" s="53" t="s">
        <v>3225</v>
      </c>
      <c r="F56" s="53" t="s">
        <v>49</v>
      </c>
      <c r="G56" s="131" t="s">
        <v>30</v>
      </c>
      <c r="H56" s="53">
        <v>20</v>
      </c>
      <c r="I56" s="188">
        <v>550</v>
      </c>
      <c r="J56" s="75">
        <f t="shared" ref="J56:J68" si="8">(H56*I56)</f>
        <v>11000</v>
      </c>
      <c r="K56" s="55" t="b">
        <v>1</v>
      </c>
      <c r="L56" s="154"/>
      <c r="M56" s="57" t="b">
        <v>1</v>
      </c>
      <c r="N56" s="58"/>
      <c r="O56" s="226"/>
      <c r="P56" s="191" t="b">
        <v>1</v>
      </c>
      <c r="Q56" s="308" t="s">
        <v>3138</v>
      </c>
      <c r="R56" s="47" t="b">
        <v>1</v>
      </c>
      <c r="S56" s="309" t="s">
        <v>3226</v>
      </c>
      <c r="T56" s="54"/>
    </row>
    <row r="57" spans="1:20">
      <c r="A57" s="162"/>
      <c r="B57" s="71" t="s">
        <v>3200</v>
      </c>
      <c r="C57" s="53" t="s">
        <v>474</v>
      </c>
      <c r="D57" s="66" t="s">
        <v>61</v>
      </c>
      <c r="E57" s="66" t="s">
        <v>1026</v>
      </c>
      <c r="F57" s="66" t="s">
        <v>3227</v>
      </c>
      <c r="G57" s="131" t="s">
        <v>30</v>
      </c>
      <c r="H57" s="66">
        <v>1</v>
      </c>
      <c r="I57" s="70">
        <v>3750</v>
      </c>
      <c r="J57" s="75">
        <f t="shared" si="8"/>
        <v>3750</v>
      </c>
      <c r="K57" s="55" t="b">
        <v>1</v>
      </c>
      <c r="L57" s="154" t="s">
        <v>529</v>
      </c>
      <c r="M57" s="57" t="b">
        <v>1</v>
      </c>
      <c r="N57" s="58"/>
      <c r="O57" s="226"/>
      <c r="P57" s="191" t="b">
        <v>1</v>
      </c>
      <c r="Q57" s="308" t="s">
        <v>3138</v>
      </c>
      <c r="R57" s="47" t="b">
        <v>1</v>
      </c>
      <c r="S57" s="309" t="s">
        <v>3228</v>
      </c>
      <c r="T57" s="54"/>
    </row>
    <row r="58" spans="1:20">
      <c r="A58" s="101"/>
      <c r="B58" s="71" t="s">
        <v>3229</v>
      </c>
      <c r="C58" s="53" t="s">
        <v>212</v>
      </c>
      <c r="D58" s="53" t="s">
        <v>213</v>
      </c>
      <c r="E58" s="53" t="s">
        <v>2839</v>
      </c>
      <c r="F58" s="53" t="s">
        <v>3156</v>
      </c>
      <c r="G58" s="53" t="s">
        <v>30</v>
      </c>
      <c r="H58" s="53">
        <v>100</v>
      </c>
      <c r="I58" s="188">
        <v>27.5</v>
      </c>
      <c r="J58" s="54">
        <f t="shared" si="8"/>
        <v>2750</v>
      </c>
      <c r="K58" s="189" t="b">
        <v>1</v>
      </c>
      <c r="L58" s="56"/>
      <c r="M58" s="60" t="b">
        <v>1</v>
      </c>
      <c r="N58" s="190" t="s">
        <v>529</v>
      </c>
      <c r="O58" s="289"/>
      <c r="P58" s="191" t="b">
        <v>1</v>
      </c>
      <c r="Q58" s="308" t="s">
        <v>3138</v>
      </c>
      <c r="R58" s="150" t="b">
        <v>1</v>
      </c>
      <c r="S58" s="309" t="s">
        <v>3230</v>
      </c>
      <c r="T58" s="54"/>
    </row>
    <row r="59" spans="1:20">
      <c r="A59" s="162"/>
      <c r="B59" s="71" t="s">
        <v>3229</v>
      </c>
      <c r="C59" s="53" t="s">
        <v>212</v>
      </c>
      <c r="D59" s="53" t="s">
        <v>213</v>
      </c>
      <c r="E59" s="53" t="s">
        <v>2839</v>
      </c>
      <c r="F59" s="53" t="s">
        <v>49</v>
      </c>
      <c r="G59" s="53" t="s">
        <v>30</v>
      </c>
      <c r="H59" s="53">
        <v>10</v>
      </c>
      <c r="I59" s="188">
        <v>550</v>
      </c>
      <c r="J59" s="75">
        <f t="shared" si="8"/>
        <v>5500</v>
      </c>
      <c r="K59" s="55" t="b">
        <v>1</v>
      </c>
      <c r="L59" s="154"/>
      <c r="M59" s="57" t="b">
        <v>1</v>
      </c>
      <c r="N59" s="58"/>
      <c r="O59" s="226"/>
      <c r="P59" s="191" t="b">
        <v>1</v>
      </c>
      <c r="Q59" s="308" t="s">
        <v>3138</v>
      </c>
      <c r="R59" s="47" t="b">
        <v>1</v>
      </c>
      <c r="S59" s="309" t="s">
        <v>3231</v>
      </c>
      <c r="T59" s="54"/>
    </row>
    <row r="60" spans="1:20">
      <c r="A60" s="162"/>
      <c r="B60" s="71" t="s">
        <v>3229</v>
      </c>
      <c r="C60" s="53" t="s">
        <v>46</v>
      </c>
      <c r="D60" s="53" t="s">
        <v>47</v>
      </c>
      <c r="E60" s="53" t="s">
        <v>48</v>
      </c>
      <c r="F60" s="53" t="s">
        <v>3232</v>
      </c>
      <c r="G60" s="53" t="s">
        <v>30</v>
      </c>
      <c r="H60" s="53">
        <v>30</v>
      </c>
      <c r="I60" s="188">
        <v>270</v>
      </c>
      <c r="J60" s="75">
        <f t="shared" si="8"/>
        <v>8100</v>
      </c>
      <c r="K60" s="55" t="b">
        <v>1</v>
      </c>
      <c r="L60" s="154"/>
      <c r="M60" s="57" t="b">
        <v>1</v>
      </c>
      <c r="N60" s="58" t="s">
        <v>529</v>
      </c>
      <c r="O60" s="226"/>
      <c r="P60" s="191" t="b">
        <v>1</v>
      </c>
      <c r="Q60" s="308" t="s">
        <v>3138</v>
      </c>
      <c r="R60" s="47" t="b">
        <v>1</v>
      </c>
      <c r="S60" s="309" t="s">
        <v>3233</v>
      </c>
      <c r="T60" s="54"/>
    </row>
    <row r="61" spans="1:20">
      <c r="A61" s="162"/>
      <c r="B61" s="71" t="s">
        <v>3229</v>
      </c>
      <c r="C61" s="53" t="s">
        <v>474</v>
      </c>
      <c r="D61" s="66" t="s">
        <v>475</v>
      </c>
      <c r="E61" s="66" t="s">
        <v>3234</v>
      </c>
      <c r="F61" s="66" t="s">
        <v>3235</v>
      </c>
      <c r="G61" s="53" t="s">
        <v>30</v>
      </c>
      <c r="H61" s="66">
        <v>1</v>
      </c>
      <c r="I61" s="70">
        <v>4500</v>
      </c>
      <c r="J61" s="75">
        <f t="shared" si="8"/>
        <v>4500</v>
      </c>
      <c r="K61" s="55" t="b">
        <v>1</v>
      </c>
      <c r="L61" s="154"/>
      <c r="M61" s="57" t="b">
        <v>1</v>
      </c>
      <c r="N61" s="58"/>
      <c r="O61" s="226"/>
      <c r="P61" s="191" t="b">
        <v>1</v>
      </c>
      <c r="Q61" s="308" t="s">
        <v>3138</v>
      </c>
      <c r="R61" s="47" t="b">
        <v>1</v>
      </c>
      <c r="S61" s="309" t="s">
        <v>3236</v>
      </c>
      <c r="T61" s="54"/>
    </row>
    <row r="62" spans="1:20">
      <c r="A62" s="162"/>
      <c r="B62" s="71" t="s">
        <v>3229</v>
      </c>
      <c r="C62" s="53" t="s">
        <v>474</v>
      </c>
      <c r="D62" s="66" t="s">
        <v>475</v>
      </c>
      <c r="E62" s="66" t="s">
        <v>3234</v>
      </c>
      <c r="F62" s="53" t="s">
        <v>3237</v>
      </c>
      <c r="G62" s="53" t="s">
        <v>30</v>
      </c>
      <c r="H62" s="53">
        <v>1</v>
      </c>
      <c r="I62" s="188">
        <v>4000</v>
      </c>
      <c r="J62" s="75">
        <f t="shared" si="8"/>
        <v>4000</v>
      </c>
      <c r="K62" s="55" t="b">
        <v>1</v>
      </c>
      <c r="L62" s="154"/>
      <c r="M62" s="57" t="b">
        <v>1</v>
      </c>
      <c r="N62" s="58"/>
      <c r="O62" s="226"/>
      <c r="P62" s="191" t="b">
        <v>1</v>
      </c>
      <c r="Q62" s="308" t="s">
        <v>3138</v>
      </c>
      <c r="R62" s="47" t="b">
        <v>1</v>
      </c>
      <c r="S62" s="309" t="s">
        <v>3236</v>
      </c>
      <c r="T62" s="54"/>
    </row>
    <row r="63" spans="1:20">
      <c r="A63" s="162"/>
      <c r="B63" s="71" t="s">
        <v>3229</v>
      </c>
      <c r="C63" s="53" t="s">
        <v>474</v>
      </c>
      <c r="D63" s="66" t="s">
        <v>475</v>
      </c>
      <c r="E63" s="66" t="s">
        <v>3234</v>
      </c>
      <c r="F63" s="53" t="s">
        <v>3238</v>
      </c>
      <c r="G63" s="53" t="s">
        <v>30</v>
      </c>
      <c r="H63" s="53">
        <v>55</v>
      </c>
      <c r="I63" s="188">
        <v>50</v>
      </c>
      <c r="J63" s="75">
        <f t="shared" si="8"/>
        <v>2750</v>
      </c>
      <c r="K63" s="55" t="b">
        <v>1</v>
      </c>
      <c r="L63" s="154"/>
      <c r="M63" s="57" t="b">
        <v>1</v>
      </c>
      <c r="N63" s="58"/>
      <c r="O63" s="226"/>
      <c r="P63" s="191" t="b">
        <v>1</v>
      </c>
      <c r="Q63" s="308" t="s">
        <v>3138</v>
      </c>
      <c r="R63" s="47" t="b">
        <v>1</v>
      </c>
      <c r="S63" s="309" t="s">
        <v>3236</v>
      </c>
      <c r="T63" s="54"/>
    </row>
    <row r="64" spans="1:20">
      <c r="A64" s="162"/>
      <c r="B64" s="71" t="s">
        <v>3229</v>
      </c>
      <c r="C64" s="53" t="s">
        <v>51</v>
      </c>
      <c r="D64" s="53" t="s">
        <v>89</v>
      </c>
      <c r="E64" s="53" t="s">
        <v>2090</v>
      </c>
      <c r="F64" s="66" t="s">
        <v>3235</v>
      </c>
      <c r="G64" s="53" t="s">
        <v>30</v>
      </c>
      <c r="H64" s="53">
        <v>2</v>
      </c>
      <c r="I64" s="188">
        <v>4000</v>
      </c>
      <c r="J64" s="75">
        <f t="shared" si="8"/>
        <v>8000</v>
      </c>
      <c r="K64" s="55" t="b">
        <v>1</v>
      </c>
      <c r="L64" s="154"/>
      <c r="M64" s="57" t="b">
        <v>1</v>
      </c>
      <c r="N64" s="58"/>
      <c r="O64" s="226"/>
      <c r="P64" s="191" t="b">
        <v>1</v>
      </c>
      <c r="Q64" s="308" t="s">
        <v>3138</v>
      </c>
      <c r="R64" s="47" t="b">
        <v>1</v>
      </c>
      <c r="S64" s="309" t="s">
        <v>3239</v>
      </c>
      <c r="T64" s="54"/>
    </row>
    <row r="65" spans="1:20">
      <c r="A65" s="162"/>
      <c r="B65" s="71" t="s">
        <v>3229</v>
      </c>
      <c r="C65" s="53" t="s">
        <v>51</v>
      </c>
      <c r="D65" s="53" t="s">
        <v>89</v>
      </c>
      <c r="E65" s="53" t="s">
        <v>2090</v>
      </c>
      <c r="F65" s="53" t="s">
        <v>3237</v>
      </c>
      <c r="G65" s="53" t="s">
        <v>30</v>
      </c>
      <c r="H65" s="66">
        <v>1</v>
      </c>
      <c r="I65" s="70">
        <v>3000</v>
      </c>
      <c r="J65" s="75">
        <f t="shared" si="8"/>
        <v>3000</v>
      </c>
      <c r="K65" s="55" t="b">
        <v>1</v>
      </c>
      <c r="L65" s="154"/>
      <c r="M65" s="57" t="b">
        <v>1</v>
      </c>
      <c r="N65" s="58"/>
      <c r="O65" s="226"/>
      <c r="P65" s="191" t="b">
        <v>1</v>
      </c>
      <c r="Q65" s="308" t="s">
        <v>3138</v>
      </c>
      <c r="R65" s="47" t="b">
        <v>1</v>
      </c>
      <c r="S65" s="309" t="s">
        <v>3239</v>
      </c>
      <c r="T65" s="54"/>
    </row>
    <row r="66" spans="1:20" ht="14.25" customHeight="1">
      <c r="A66" s="162"/>
      <c r="B66" s="71" t="s">
        <v>3229</v>
      </c>
      <c r="C66" s="53" t="s">
        <v>51</v>
      </c>
      <c r="D66" s="53" t="s">
        <v>89</v>
      </c>
      <c r="E66" s="53" t="s">
        <v>2090</v>
      </c>
      <c r="F66" s="53" t="s">
        <v>3240</v>
      </c>
      <c r="G66" s="53" t="s">
        <v>30</v>
      </c>
      <c r="H66" s="53">
        <v>52</v>
      </c>
      <c r="I66" s="188">
        <v>50</v>
      </c>
      <c r="J66" s="75">
        <f t="shared" si="8"/>
        <v>2600</v>
      </c>
      <c r="K66" s="55" t="b">
        <v>1</v>
      </c>
      <c r="L66" s="154"/>
      <c r="M66" s="57" t="b">
        <v>1</v>
      </c>
      <c r="N66" s="58"/>
      <c r="O66" s="226"/>
      <c r="P66" s="191" t="b">
        <v>1</v>
      </c>
      <c r="Q66" s="308" t="s">
        <v>3138</v>
      </c>
      <c r="R66" s="47" t="b">
        <v>1</v>
      </c>
      <c r="S66" s="309" t="s">
        <v>3239</v>
      </c>
      <c r="T66" s="54"/>
    </row>
    <row r="67" spans="1:20">
      <c r="A67" s="162"/>
      <c r="B67" s="132" t="s">
        <v>3241</v>
      </c>
      <c r="C67" s="66" t="s">
        <v>3242</v>
      </c>
      <c r="D67" s="66" t="s">
        <v>2296</v>
      </c>
      <c r="E67" s="66" t="s">
        <v>3243</v>
      </c>
      <c r="F67" s="53" t="s">
        <v>3244</v>
      </c>
      <c r="G67" s="53" t="s">
        <v>30</v>
      </c>
      <c r="H67" s="53">
        <v>1</v>
      </c>
      <c r="I67" s="188">
        <v>290</v>
      </c>
      <c r="J67" s="75">
        <f t="shared" si="8"/>
        <v>290</v>
      </c>
      <c r="K67" s="55" t="b">
        <v>1</v>
      </c>
      <c r="L67" s="154"/>
      <c r="M67" s="57" t="b">
        <v>1</v>
      </c>
      <c r="N67" s="58" t="s">
        <v>529</v>
      </c>
      <c r="O67" s="226"/>
      <c r="P67" s="191" t="b">
        <v>1</v>
      </c>
      <c r="Q67" s="308" t="s">
        <v>3138</v>
      </c>
      <c r="R67" s="47" t="b">
        <v>1</v>
      </c>
      <c r="S67" s="309" t="s">
        <v>3245</v>
      </c>
      <c r="T67" s="54"/>
    </row>
    <row r="68" spans="1:20">
      <c r="A68" s="162"/>
      <c r="B68" s="132" t="s">
        <v>3241</v>
      </c>
      <c r="C68" s="66" t="s">
        <v>397</v>
      </c>
      <c r="D68" s="66" t="s">
        <v>213</v>
      </c>
      <c r="E68" s="66" t="s">
        <v>859</v>
      </c>
      <c r="F68" s="53" t="s">
        <v>3246</v>
      </c>
      <c r="G68" s="53" t="s">
        <v>30</v>
      </c>
      <c r="H68" s="53">
        <v>100</v>
      </c>
      <c r="I68" s="188">
        <v>270</v>
      </c>
      <c r="J68" s="75">
        <f t="shared" si="8"/>
        <v>27000</v>
      </c>
      <c r="K68" s="55" t="b">
        <v>1</v>
      </c>
      <c r="L68" s="154"/>
      <c r="M68" s="57" t="b">
        <v>1</v>
      </c>
      <c r="N68" s="58" t="s">
        <v>529</v>
      </c>
      <c r="O68" s="226"/>
      <c r="P68" s="191" t="b">
        <v>1</v>
      </c>
      <c r="Q68" s="308" t="s">
        <v>3138</v>
      </c>
      <c r="R68" s="47" t="b">
        <v>1</v>
      </c>
      <c r="S68" s="309" t="s">
        <v>3247</v>
      </c>
      <c r="T68" s="54"/>
    </row>
    <row r="69" spans="1:20">
      <c r="A69" s="162"/>
      <c r="B69" s="132" t="s">
        <v>3241</v>
      </c>
      <c r="C69" s="53" t="s">
        <v>51</v>
      </c>
      <c r="D69" s="53" t="s">
        <v>594</v>
      </c>
      <c r="E69" s="53" t="s">
        <v>595</v>
      </c>
      <c r="F69" s="53" t="s">
        <v>3248</v>
      </c>
      <c r="G69" s="53" t="s">
        <v>30</v>
      </c>
      <c r="H69" s="53">
        <v>100</v>
      </c>
      <c r="I69" s="188">
        <v>50</v>
      </c>
      <c r="J69" s="75">
        <v>5000</v>
      </c>
      <c r="K69" s="55" t="b">
        <v>1</v>
      </c>
      <c r="L69" s="154"/>
      <c r="M69" s="57" t="b">
        <v>1</v>
      </c>
      <c r="N69" s="58"/>
      <c r="O69" s="226"/>
      <c r="P69" s="191" t="b">
        <v>1</v>
      </c>
      <c r="Q69" s="308" t="s">
        <v>3138</v>
      </c>
      <c r="R69" s="47" t="b">
        <v>1</v>
      </c>
      <c r="S69" s="309" t="s">
        <v>3249</v>
      </c>
      <c r="T69" s="54"/>
    </row>
    <row r="70" spans="1:20">
      <c r="A70" s="162"/>
      <c r="B70" s="132" t="s">
        <v>3241</v>
      </c>
      <c r="C70" s="53" t="s">
        <v>51</v>
      </c>
      <c r="D70" s="53" t="s">
        <v>594</v>
      </c>
      <c r="E70" s="53" t="s">
        <v>595</v>
      </c>
      <c r="F70" s="53" t="s">
        <v>3250</v>
      </c>
      <c r="G70" s="53" t="s">
        <v>30</v>
      </c>
      <c r="H70" s="53">
        <v>1</v>
      </c>
      <c r="I70" s="188">
        <v>4000</v>
      </c>
      <c r="J70" s="188">
        <v>4000</v>
      </c>
      <c r="K70" s="55" t="b">
        <v>1</v>
      </c>
      <c r="L70" s="154"/>
      <c r="M70" s="57" t="b">
        <v>1</v>
      </c>
      <c r="N70" s="58"/>
      <c r="O70" s="226"/>
      <c r="P70" s="191" t="b">
        <v>1</v>
      </c>
      <c r="Q70" s="308" t="s">
        <v>3138</v>
      </c>
      <c r="R70" s="47" t="b">
        <v>1</v>
      </c>
      <c r="S70" s="309" t="s">
        <v>3251</v>
      </c>
      <c r="T70" s="54"/>
    </row>
    <row r="71" spans="1:20">
      <c r="A71" s="162"/>
      <c r="B71" s="132" t="s">
        <v>3241</v>
      </c>
      <c r="C71" s="53" t="s">
        <v>51</v>
      </c>
      <c r="D71" s="53" t="s">
        <v>594</v>
      </c>
      <c r="E71" s="53" t="s">
        <v>595</v>
      </c>
      <c r="F71" s="53" t="s">
        <v>3252</v>
      </c>
      <c r="G71" s="53" t="s">
        <v>30</v>
      </c>
      <c r="H71" s="53">
        <v>3</v>
      </c>
      <c r="I71" s="188">
        <v>3250</v>
      </c>
      <c r="J71" s="75">
        <v>9750</v>
      </c>
      <c r="K71" s="55" t="b">
        <v>1</v>
      </c>
      <c r="L71" s="154"/>
      <c r="M71" s="57" t="b">
        <v>1</v>
      </c>
      <c r="N71" s="58"/>
      <c r="O71" s="226"/>
      <c r="P71" s="191" t="b">
        <v>1</v>
      </c>
      <c r="Q71" s="308" t="s">
        <v>3138</v>
      </c>
      <c r="R71" s="47" t="b">
        <v>1</v>
      </c>
      <c r="S71" s="309" t="s">
        <v>3251</v>
      </c>
      <c r="T71" s="54"/>
    </row>
    <row r="72" spans="1:20">
      <c r="A72" s="162"/>
      <c r="B72" s="132" t="s">
        <v>3241</v>
      </c>
      <c r="C72" s="53" t="s">
        <v>51</v>
      </c>
      <c r="D72" s="53" t="s">
        <v>52</v>
      </c>
      <c r="E72" s="53" t="s">
        <v>1710</v>
      </c>
      <c r="F72" s="53" t="s">
        <v>49</v>
      </c>
      <c r="G72" s="53" t="s">
        <v>30</v>
      </c>
      <c r="H72" s="53">
        <v>10</v>
      </c>
      <c r="I72" s="188">
        <v>600</v>
      </c>
      <c r="J72" s="75">
        <f t="shared" ref="J72:J198" si="9">(H72*I72)</f>
        <v>6000</v>
      </c>
      <c r="K72" s="55" t="b">
        <v>1</v>
      </c>
      <c r="L72" s="154"/>
      <c r="M72" s="57" t="b">
        <v>1</v>
      </c>
      <c r="N72" s="58" t="s">
        <v>529</v>
      </c>
      <c r="O72" s="226"/>
      <c r="P72" s="191" t="b">
        <v>1</v>
      </c>
      <c r="Q72" s="308" t="s">
        <v>3138</v>
      </c>
      <c r="R72" s="47" t="b">
        <v>1</v>
      </c>
      <c r="S72" s="309" t="s">
        <v>3253</v>
      </c>
      <c r="T72" s="54"/>
    </row>
    <row r="73" spans="1:20">
      <c r="A73" s="162"/>
      <c r="B73" s="132" t="s">
        <v>3241</v>
      </c>
      <c r="C73" s="53" t="s">
        <v>51</v>
      </c>
      <c r="D73" s="53" t="s">
        <v>52</v>
      </c>
      <c r="E73" s="53" t="s">
        <v>1710</v>
      </c>
      <c r="F73" s="53" t="s">
        <v>3254</v>
      </c>
      <c r="G73" s="53" t="s">
        <v>30</v>
      </c>
      <c r="H73" s="53">
        <v>3</v>
      </c>
      <c r="I73" s="188">
        <v>1950</v>
      </c>
      <c r="J73" s="75">
        <f t="shared" si="9"/>
        <v>5850</v>
      </c>
      <c r="K73" s="55" t="b">
        <v>1</v>
      </c>
      <c r="L73" s="154"/>
      <c r="M73" s="57" t="b">
        <v>1</v>
      </c>
      <c r="N73" s="58"/>
      <c r="O73" s="226"/>
      <c r="P73" s="191" t="b">
        <v>1</v>
      </c>
      <c r="Q73" s="308" t="s">
        <v>3138</v>
      </c>
      <c r="R73" s="47" t="b">
        <v>1</v>
      </c>
      <c r="S73" s="309" t="s">
        <v>3255</v>
      </c>
      <c r="T73" s="54"/>
    </row>
    <row r="74" spans="1:20">
      <c r="A74" s="162"/>
      <c r="B74" s="132" t="s">
        <v>3241</v>
      </c>
      <c r="C74" s="53" t="s">
        <v>51</v>
      </c>
      <c r="D74" s="53" t="s">
        <v>201</v>
      </c>
      <c r="E74" s="53" t="s">
        <v>202</v>
      </c>
      <c r="F74" s="53" t="s">
        <v>3256</v>
      </c>
      <c r="G74" s="53" t="s">
        <v>30</v>
      </c>
      <c r="H74" s="53">
        <v>100</v>
      </c>
      <c r="I74" s="188">
        <v>50</v>
      </c>
      <c r="J74" s="75">
        <f t="shared" si="9"/>
        <v>5000</v>
      </c>
      <c r="K74" s="55" t="b">
        <v>1</v>
      </c>
      <c r="L74" s="154"/>
      <c r="M74" s="57" t="b">
        <v>1</v>
      </c>
      <c r="N74" s="58"/>
      <c r="O74" s="226"/>
      <c r="P74" s="191" t="b">
        <v>1</v>
      </c>
      <c r="Q74" s="308" t="s">
        <v>3138</v>
      </c>
      <c r="R74" s="47" t="b">
        <v>1</v>
      </c>
      <c r="S74" s="309" t="s">
        <v>3257</v>
      </c>
      <c r="T74" s="54"/>
    </row>
    <row r="75" spans="1:20">
      <c r="A75" s="162"/>
      <c r="B75" s="132" t="s">
        <v>3241</v>
      </c>
      <c r="C75" s="53" t="s">
        <v>104</v>
      </c>
      <c r="D75" s="53" t="s">
        <v>3258</v>
      </c>
      <c r="E75" s="53" t="s">
        <v>123</v>
      </c>
      <c r="F75" s="53" t="s">
        <v>3259</v>
      </c>
      <c r="G75" s="53" t="s">
        <v>30</v>
      </c>
      <c r="H75" s="53">
        <v>200</v>
      </c>
      <c r="I75" s="188">
        <v>30</v>
      </c>
      <c r="J75" s="75">
        <f t="shared" si="9"/>
        <v>6000</v>
      </c>
      <c r="K75" s="55" t="b">
        <v>1</v>
      </c>
      <c r="L75" s="154"/>
      <c r="M75" s="57" t="b">
        <v>1</v>
      </c>
      <c r="N75" s="58"/>
      <c r="O75" s="226"/>
      <c r="P75" s="191" t="b">
        <v>1</v>
      </c>
      <c r="Q75" s="308" t="s">
        <v>3138</v>
      </c>
      <c r="R75" s="47" t="b">
        <v>1</v>
      </c>
      <c r="S75" s="309" t="s">
        <v>3260</v>
      </c>
      <c r="T75" s="54"/>
    </row>
    <row r="76" spans="1:20">
      <c r="A76" s="162"/>
      <c r="B76" s="71" t="s">
        <v>3261</v>
      </c>
      <c r="C76" s="53" t="s">
        <v>144</v>
      </c>
      <c r="D76" s="53" t="s">
        <v>2055</v>
      </c>
      <c r="E76" s="53" t="s">
        <v>488</v>
      </c>
      <c r="F76" s="53" t="s">
        <v>746</v>
      </c>
      <c r="G76" s="131" t="s">
        <v>30</v>
      </c>
      <c r="H76" s="53">
        <v>5</v>
      </c>
      <c r="I76" s="188">
        <v>850</v>
      </c>
      <c r="J76" s="75">
        <f t="shared" si="9"/>
        <v>4250</v>
      </c>
      <c r="K76" s="55" t="b">
        <v>1</v>
      </c>
      <c r="L76" s="154">
        <v>100220251204</v>
      </c>
      <c r="M76" s="57" t="b">
        <v>1</v>
      </c>
      <c r="N76" s="58"/>
      <c r="O76" s="226"/>
      <c r="P76" s="191" t="b">
        <v>1</v>
      </c>
      <c r="Q76" s="308" t="s">
        <v>3138</v>
      </c>
      <c r="R76" s="47" t="b">
        <v>1</v>
      </c>
      <c r="S76" s="309" t="s">
        <v>3262</v>
      </c>
      <c r="T76" s="54"/>
    </row>
    <row r="77" spans="1:20">
      <c r="A77" s="162"/>
      <c r="B77" s="71" t="s">
        <v>3261</v>
      </c>
      <c r="C77" s="53" t="s">
        <v>418</v>
      </c>
      <c r="D77" s="53" t="s">
        <v>230</v>
      </c>
      <c r="E77" s="53" t="s">
        <v>1990</v>
      </c>
      <c r="F77" s="53" t="s">
        <v>68</v>
      </c>
      <c r="G77" s="131" t="s">
        <v>30</v>
      </c>
      <c r="H77" s="53">
        <v>1</v>
      </c>
      <c r="I77" s="188">
        <v>2350</v>
      </c>
      <c r="J77" s="75">
        <f t="shared" si="9"/>
        <v>2350</v>
      </c>
      <c r="K77" s="55" t="b">
        <v>1</v>
      </c>
      <c r="L77" s="154">
        <v>100220251319</v>
      </c>
      <c r="M77" s="57" t="b">
        <v>1</v>
      </c>
      <c r="N77" s="58"/>
      <c r="O77" s="226"/>
      <c r="P77" s="191" t="b">
        <v>1</v>
      </c>
      <c r="Q77" s="308" t="s">
        <v>3138</v>
      </c>
      <c r="R77" s="47" t="b">
        <v>1</v>
      </c>
      <c r="S77" s="309" t="s">
        <v>3263</v>
      </c>
      <c r="T77" s="54"/>
    </row>
    <row r="78" spans="1:20">
      <c r="A78" s="162"/>
      <c r="B78" s="71" t="s">
        <v>3261</v>
      </c>
      <c r="C78" s="53" t="s">
        <v>418</v>
      </c>
      <c r="D78" s="53" t="s">
        <v>230</v>
      </c>
      <c r="E78" s="53" t="s">
        <v>1990</v>
      </c>
      <c r="F78" s="53" t="s">
        <v>49</v>
      </c>
      <c r="G78" s="131" t="s">
        <v>30</v>
      </c>
      <c r="H78" s="53">
        <v>10</v>
      </c>
      <c r="I78" s="188">
        <v>600</v>
      </c>
      <c r="J78" s="75">
        <f t="shared" si="9"/>
        <v>6000</v>
      </c>
      <c r="K78" s="55" t="b">
        <v>1</v>
      </c>
      <c r="L78" s="154">
        <v>100220251319</v>
      </c>
      <c r="M78" s="57" t="b">
        <v>1</v>
      </c>
      <c r="N78" s="58" t="s">
        <v>39</v>
      </c>
      <c r="O78" s="226"/>
      <c r="P78" s="191" t="b">
        <v>1</v>
      </c>
      <c r="Q78" s="308" t="s">
        <v>3138</v>
      </c>
      <c r="R78" s="47" t="b">
        <v>1</v>
      </c>
      <c r="S78" s="309" t="s">
        <v>3264</v>
      </c>
      <c r="T78" s="54"/>
    </row>
    <row r="79" spans="1:20">
      <c r="A79" s="162"/>
      <c r="B79" s="71" t="s">
        <v>3261</v>
      </c>
      <c r="C79" s="53" t="s">
        <v>418</v>
      </c>
      <c r="D79" s="53" t="s">
        <v>230</v>
      </c>
      <c r="E79" s="53" t="s">
        <v>1990</v>
      </c>
      <c r="F79" s="53" t="s">
        <v>3265</v>
      </c>
      <c r="G79" s="131" t="s">
        <v>30</v>
      </c>
      <c r="H79" s="53">
        <v>60</v>
      </c>
      <c r="I79" s="188">
        <v>270</v>
      </c>
      <c r="J79" s="75">
        <f t="shared" si="9"/>
        <v>16200</v>
      </c>
      <c r="K79" s="55" t="b">
        <v>1</v>
      </c>
      <c r="L79" s="154">
        <v>100220251319</v>
      </c>
      <c r="M79" s="57" t="b">
        <v>1</v>
      </c>
      <c r="N79" s="58" t="s">
        <v>529</v>
      </c>
      <c r="O79" s="226"/>
      <c r="P79" s="191" t="b">
        <v>1</v>
      </c>
      <c r="Q79" s="308" t="s">
        <v>3138</v>
      </c>
      <c r="R79" s="47" t="b">
        <v>1</v>
      </c>
      <c r="S79" s="309" t="s">
        <v>3266</v>
      </c>
      <c r="T79" s="54"/>
    </row>
    <row r="80" spans="1:20">
      <c r="A80" s="162"/>
      <c r="B80" s="71" t="s">
        <v>3261</v>
      </c>
      <c r="C80" s="53" t="s">
        <v>418</v>
      </c>
      <c r="D80" s="53" t="s">
        <v>230</v>
      </c>
      <c r="E80" s="53" t="s">
        <v>1990</v>
      </c>
      <c r="F80" s="53" t="s">
        <v>3267</v>
      </c>
      <c r="G80" s="131" t="s">
        <v>30</v>
      </c>
      <c r="H80" s="53">
        <v>30</v>
      </c>
      <c r="I80" s="188">
        <v>570</v>
      </c>
      <c r="J80" s="75">
        <f t="shared" si="9"/>
        <v>17100</v>
      </c>
      <c r="K80" s="55" t="b">
        <v>1</v>
      </c>
      <c r="L80" s="154">
        <v>100220251319</v>
      </c>
      <c r="M80" s="57" t="b">
        <v>1</v>
      </c>
      <c r="N80" s="58" t="s">
        <v>529</v>
      </c>
      <c r="O80" s="226"/>
      <c r="P80" s="191" t="b">
        <v>1</v>
      </c>
      <c r="Q80" s="308" t="s">
        <v>3138</v>
      </c>
      <c r="R80" s="47" t="b">
        <v>1</v>
      </c>
      <c r="S80" s="309" t="s">
        <v>3266</v>
      </c>
      <c r="T80" s="54"/>
    </row>
    <row r="81" spans="1:20">
      <c r="A81" s="162"/>
      <c r="B81" s="71" t="s">
        <v>3261</v>
      </c>
      <c r="C81" s="53" t="s">
        <v>418</v>
      </c>
      <c r="D81" s="53" t="s">
        <v>230</v>
      </c>
      <c r="E81" s="53" t="s">
        <v>1990</v>
      </c>
      <c r="F81" s="53" t="s">
        <v>72</v>
      </c>
      <c r="G81" s="131" t="s">
        <v>30</v>
      </c>
      <c r="H81" s="53">
        <v>1</v>
      </c>
      <c r="I81" s="188">
        <v>1000</v>
      </c>
      <c r="J81" s="75">
        <f t="shared" si="9"/>
        <v>1000</v>
      </c>
      <c r="K81" s="55" t="b">
        <v>1</v>
      </c>
      <c r="L81" s="154">
        <v>100220251319</v>
      </c>
      <c r="M81" s="57" t="b">
        <v>1</v>
      </c>
      <c r="N81" s="58" t="s">
        <v>529</v>
      </c>
      <c r="O81" s="226"/>
      <c r="P81" s="191" t="b">
        <v>1</v>
      </c>
      <c r="Q81" s="308" t="s">
        <v>3138</v>
      </c>
      <c r="R81" s="47" t="b">
        <v>1</v>
      </c>
      <c r="S81" s="309" t="s">
        <v>3268</v>
      </c>
      <c r="T81" s="54"/>
    </row>
    <row r="82" spans="1:20">
      <c r="A82" s="162"/>
      <c r="B82" s="71" t="s">
        <v>3261</v>
      </c>
      <c r="C82" s="53" t="s">
        <v>171</v>
      </c>
      <c r="D82" s="53" t="s">
        <v>137</v>
      </c>
      <c r="E82" s="53" t="s">
        <v>2812</v>
      </c>
      <c r="F82" s="53" t="s">
        <v>3269</v>
      </c>
      <c r="G82" s="131" t="s">
        <v>30</v>
      </c>
      <c r="H82" s="53">
        <v>100</v>
      </c>
      <c r="I82" s="188">
        <v>42</v>
      </c>
      <c r="J82" s="75">
        <f t="shared" si="9"/>
        <v>4200</v>
      </c>
      <c r="K82" s="55" t="b">
        <v>1</v>
      </c>
      <c r="L82" s="154">
        <v>100220251323</v>
      </c>
      <c r="M82" s="57" t="b">
        <v>1</v>
      </c>
      <c r="N82" s="58" t="s">
        <v>2968</v>
      </c>
      <c r="O82" s="226"/>
      <c r="P82" s="191" t="b">
        <v>1</v>
      </c>
      <c r="Q82" s="308" t="s">
        <v>3138</v>
      </c>
      <c r="R82" s="47" t="b">
        <v>1</v>
      </c>
      <c r="S82" s="309" t="s">
        <v>3270</v>
      </c>
      <c r="T82" s="54"/>
    </row>
    <row r="83" spans="1:20" ht="16">
      <c r="A83" s="162"/>
      <c r="B83" s="71" t="s">
        <v>3261</v>
      </c>
      <c r="C83" s="53" t="s">
        <v>51</v>
      </c>
      <c r="D83" s="53" t="s">
        <v>475</v>
      </c>
      <c r="E83" s="53" t="s">
        <v>3271</v>
      </c>
      <c r="F83" s="53" t="s">
        <v>1700</v>
      </c>
      <c r="G83" s="131" t="s">
        <v>30</v>
      </c>
      <c r="H83" s="53">
        <v>600</v>
      </c>
      <c r="I83" s="188">
        <v>15</v>
      </c>
      <c r="J83" s="75">
        <f t="shared" si="9"/>
        <v>9000</v>
      </c>
      <c r="K83" s="55" t="b">
        <v>1</v>
      </c>
      <c r="L83" s="154">
        <v>100120251708</v>
      </c>
      <c r="M83" s="57" t="b">
        <v>1</v>
      </c>
      <c r="N83" s="58"/>
      <c r="O83" s="226"/>
      <c r="P83" s="191" t="b">
        <v>1</v>
      </c>
      <c r="Q83" s="308" t="s">
        <v>3138</v>
      </c>
      <c r="R83" s="47" t="b">
        <v>1</v>
      </c>
      <c r="S83" s="310" t="s">
        <v>3272</v>
      </c>
      <c r="T83" s="54"/>
    </row>
    <row r="84" spans="1:20" ht="16">
      <c r="A84" s="162"/>
      <c r="B84" s="71" t="s">
        <v>3261</v>
      </c>
      <c r="C84" s="53" t="s">
        <v>345</v>
      </c>
      <c r="D84" s="53" t="s">
        <v>342</v>
      </c>
      <c r="E84" s="53" t="s">
        <v>2228</v>
      </c>
      <c r="F84" s="53" t="s">
        <v>771</v>
      </c>
      <c r="G84" s="131" t="s">
        <v>30</v>
      </c>
      <c r="H84" s="53">
        <v>50</v>
      </c>
      <c r="I84" s="188">
        <v>95</v>
      </c>
      <c r="J84" s="75">
        <f t="shared" si="9"/>
        <v>4750</v>
      </c>
      <c r="K84" s="55" t="b">
        <v>1</v>
      </c>
      <c r="L84" s="154">
        <v>100120251708</v>
      </c>
      <c r="M84" s="57" t="b">
        <v>1</v>
      </c>
      <c r="N84" s="58"/>
      <c r="O84" s="215"/>
      <c r="P84" s="191" t="b">
        <v>1</v>
      </c>
      <c r="Q84" s="308" t="s">
        <v>3138</v>
      </c>
      <c r="R84" s="47" t="b">
        <v>1</v>
      </c>
      <c r="S84" s="310" t="s">
        <v>3273</v>
      </c>
      <c r="T84" s="54"/>
    </row>
    <row r="85" spans="1:20" ht="16">
      <c r="A85" s="162"/>
      <c r="B85" s="71" t="s">
        <v>3261</v>
      </c>
      <c r="C85" s="53" t="s">
        <v>345</v>
      </c>
      <c r="D85" s="53" t="s">
        <v>342</v>
      </c>
      <c r="E85" s="53" t="s">
        <v>2228</v>
      </c>
      <c r="F85" s="53" t="s">
        <v>2267</v>
      </c>
      <c r="G85" s="131" t="s">
        <v>30</v>
      </c>
      <c r="H85" s="53">
        <v>50</v>
      </c>
      <c r="I85" s="188">
        <v>60</v>
      </c>
      <c r="J85" s="75">
        <f t="shared" si="9"/>
        <v>3000</v>
      </c>
      <c r="K85" s="55" t="b">
        <v>1</v>
      </c>
      <c r="L85" s="154">
        <v>100120251708</v>
      </c>
      <c r="M85" s="57" t="b">
        <v>1</v>
      </c>
      <c r="N85" s="58" t="s">
        <v>1581</v>
      </c>
      <c r="O85" s="226"/>
      <c r="P85" s="191" t="b">
        <v>1</v>
      </c>
      <c r="Q85" s="308" t="s">
        <v>3138</v>
      </c>
      <c r="R85" s="47" t="b">
        <v>1</v>
      </c>
      <c r="S85" s="310" t="s">
        <v>3273</v>
      </c>
      <c r="T85" s="54"/>
    </row>
    <row r="86" spans="1:20" ht="16">
      <c r="A86" s="162"/>
      <c r="B86" s="71" t="s">
        <v>3261</v>
      </c>
      <c r="C86" s="53" t="s">
        <v>345</v>
      </c>
      <c r="D86" s="53" t="s">
        <v>342</v>
      </c>
      <c r="E86" s="53" t="s">
        <v>2228</v>
      </c>
      <c r="F86" s="69" t="s">
        <v>2309</v>
      </c>
      <c r="G86" s="131" t="s">
        <v>30</v>
      </c>
      <c r="H86" s="53">
        <v>50</v>
      </c>
      <c r="I86" s="188">
        <v>9.75</v>
      </c>
      <c r="J86" s="75">
        <f t="shared" si="9"/>
        <v>487.5</v>
      </c>
      <c r="K86" s="55" t="b">
        <v>1</v>
      </c>
      <c r="L86" s="154">
        <v>100120251708</v>
      </c>
      <c r="M86" s="57" t="b">
        <v>1</v>
      </c>
      <c r="N86" s="58" t="s">
        <v>529</v>
      </c>
      <c r="O86" s="226"/>
      <c r="P86" s="191" t="b">
        <v>1</v>
      </c>
      <c r="Q86" s="308" t="s">
        <v>3138</v>
      </c>
      <c r="R86" s="47" t="b">
        <v>1</v>
      </c>
      <c r="S86" s="310" t="s">
        <v>3273</v>
      </c>
      <c r="T86" s="54"/>
    </row>
    <row r="87" spans="1:20" ht="16">
      <c r="A87" s="162"/>
      <c r="B87" s="71" t="s">
        <v>3261</v>
      </c>
      <c r="C87" s="53" t="s">
        <v>51</v>
      </c>
      <c r="D87" s="53" t="s">
        <v>372</v>
      </c>
      <c r="E87" s="53" t="s">
        <v>3274</v>
      </c>
      <c r="F87" s="53" t="s">
        <v>382</v>
      </c>
      <c r="G87" s="131" t="s">
        <v>30</v>
      </c>
      <c r="H87" s="53">
        <v>1</v>
      </c>
      <c r="I87" s="188">
        <v>4000</v>
      </c>
      <c r="J87" s="75">
        <f t="shared" si="9"/>
        <v>4000</v>
      </c>
      <c r="K87" s="55" t="b">
        <v>1</v>
      </c>
      <c r="L87" s="154">
        <v>100120252030</v>
      </c>
      <c r="M87" s="57" t="b">
        <v>1</v>
      </c>
      <c r="N87" s="58" t="s">
        <v>39</v>
      </c>
      <c r="O87" s="226"/>
      <c r="P87" s="191" t="b">
        <v>1</v>
      </c>
      <c r="Q87" s="308" t="s">
        <v>3138</v>
      </c>
      <c r="R87" s="47" t="b">
        <v>1</v>
      </c>
      <c r="S87" s="310" t="s">
        <v>3275</v>
      </c>
      <c r="T87" s="54"/>
    </row>
    <row r="88" spans="1:20" ht="16">
      <c r="A88" s="162"/>
      <c r="B88" s="71" t="s">
        <v>3261</v>
      </c>
      <c r="C88" s="53" t="s">
        <v>51</v>
      </c>
      <c r="D88" s="53" t="s">
        <v>372</v>
      </c>
      <c r="E88" s="53" t="s">
        <v>3274</v>
      </c>
      <c r="F88" s="53" t="s">
        <v>881</v>
      </c>
      <c r="G88" s="131" t="s">
        <v>30</v>
      </c>
      <c r="H88" s="53">
        <v>50</v>
      </c>
      <c r="I88" s="188">
        <v>42.5</v>
      </c>
      <c r="J88" s="75">
        <f t="shared" si="9"/>
        <v>2125</v>
      </c>
      <c r="K88" s="55" t="b">
        <v>1</v>
      </c>
      <c r="L88" s="154">
        <v>100120252030</v>
      </c>
      <c r="M88" s="57" t="b">
        <v>1</v>
      </c>
      <c r="N88" s="58" t="s">
        <v>39</v>
      </c>
      <c r="O88" s="226"/>
      <c r="P88" s="191" t="b">
        <v>1</v>
      </c>
      <c r="Q88" s="308" t="s">
        <v>3138</v>
      </c>
      <c r="R88" s="47" t="b">
        <v>1</v>
      </c>
      <c r="S88" s="310" t="s">
        <v>3275</v>
      </c>
      <c r="T88" s="54"/>
    </row>
    <row r="89" spans="1:20" ht="16">
      <c r="A89" s="162"/>
      <c r="B89" s="71" t="s">
        <v>3276</v>
      </c>
      <c r="C89" s="53" t="s">
        <v>51</v>
      </c>
      <c r="D89" s="53" t="s">
        <v>61</v>
      </c>
      <c r="E89" s="53" t="s">
        <v>1026</v>
      </c>
      <c r="F89" s="53" t="s">
        <v>3277</v>
      </c>
      <c r="G89" s="131" t="s">
        <v>30</v>
      </c>
      <c r="H89" s="53">
        <v>15</v>
      </c>
      <c r="I89" s="188">
        <v>30</v>
      </c>
      <c r="J89" s="75">
        <f t="shared" si="9"/>
        <v>450</v>
      </c>
      <c r="K89" s="55" t="b">
        <v>1</v>
      </c>
      <c r="L89" s="154">
        <v>110220251155</v>
      </c>
      <c r="M89" s="57" t="b">
        <v>1</v>
      </c>
      <c r="N89" s="58" t="s">
        <v>2968</v>
      </c>
      <c r="O89" s="226"/>
      <c r="P89" s="191" t="b">
        <v>1</v>
      </c>
      <c r="Q89" s="308" t="s">
        <v>3138</v>
      </c>
      <c r="R89" s="47" t="b">
        <v>1</v>
      </c>
      <c r="S89" s="310" t="s">
        <v>3278</v>
      </c>
      <c r="T89" s="54"/>
    </row>
    <row r="90" spans="1:20" ht="16">
      <c r="A90" s="162"/>
      <c r="B90" s="71" t="s">
        <v>3276</v>
      </c>
      <c r="C90" s="53" t="s">
        <v>51</v>
      </c>
      <c r="D90" s="53" t="s">
        <v>61</v>
      </c>
      <c r="E90" s="53" t="s">
        <v>1026</v>
      </c>
      <c r="F90" s="53" t="s">
        <v>3279</v>
      </c>
      <c r="G90" s="131" t="s">
        <v>30</v>
      </c>
      <c r="H90" s="53">
        <v>10</v>
      </c>
      <c r="I90" s="188">
        <v>60</v>
      </c>
      <c r="J90" s="75">
        <f t="shared" si="9"/>
        <v>600</v>
      </c>
      <c r="K90" s="55" t="b">
        <v>1</v>
      </c>
      <c r="L90" s="154">
        <v>110220251155</v>
      </c>
      <c r="M90" s="57" t="b">
        <v>1</v>
      </c>
      <c r="N90" s="58" t="s">
        <v>2968</v>
      </c>
      <c r="O90" s="226"/>
      <c r="P90" s="191" t="b">
        <v>1</v>
      </c>
      <c r="Q90" s="308" t="s">
        <v>3138</v>
      </c>
      <c r="R90" s="47" t="b">
        <v>1</v>
      </c>
      <c r="S90" s="310" t="s">
        <v>3278</v>
      </c>
      <c r="T90" s="54"/>
    </row>
    <row r="91" spans="1:20" ht="16">
      <c r="A91" s="162"/>
      <c r="B91" s="71" t="s">
        <v>3276</v>
      </c>
      <c r="C91" s="53" t="s">
        <v>51</v>
      </c>
      <c r="D91" s="53" t="s">
        <v>61</v>
      </c>
      <c r="E91" s="53" t="s">
        <v>1026</v>
      </c>
      <c r="F91" s="53" t="s">
        <v>3280</v>
      </c>
      <c r="G91" s="131" t="s">
        <v>30</v>
      </c>
      <c r="H91" s="53">
        <v>10</v>
      </c>
      <c r="I91" s="188">
        <v>80</v>
      </c>
      <c r="J91" s="75">
        <f t="shared" si="9"/>
        <v>800</v>
      </c>
      <c r="K91" s="55" t="b">
        <v>1</v>
      </c>
      <c r="L91" s="154">
        <v>110220251155</v>
      </c>
      <c r="M91" s="57" t="b">
        <v>1</v>
      </c>
      <c r="N91" s="58" t="s">
        <v>2968</v>
      </c>
      <c r="O91" s="226"/>
      <c r="P91" s="191" t="b">
        <v>1</v>
      </c>
      <c r="Q91" s="308" t="s">
        <v>3138</v>
      </c>
      <c r="R91" s="47" t="b">
        <v>1</v>
      </c>
      <c r="S91" s="310" t="s">
        <v>3278</v>
      </c>
      <c r="T91" s="54"/>
    </row>
    <row r="92" spans="1:20" ht="16">
      <c r="A92" s="162"/>
      <c r="B92" s="71" t="s">
        <v>3276</v>
      </c>
      <c r="C92" s="53" t="s">
        <v>51</v>
      </c>
      <c r="D92" s="53" t="s">
        <v>61</v>
      </c>
      <c r="E92" s="53" t="s">
        <v>1026</v>
      </c>
      <c r="F92" s="53" t="s">
        <v>3281</v>
      </c>
      <c r="G92" s="131" t="s">
        <v>30</v>
      </c>
      <c r="H92" s="53">
        <v>4</v>
      </c>
      <c r="I92" s="188">
        <v>120</v>
      </c>
      <c r="J92" s="75">
        <f t="shared" si="9"/>
        <v>480</v>
      </c>
      <c r="K92" s="55" t="b">
        <v>1</v>
      </c>
      <c r="L92" s="154">
        <v>110220251155</v>
      </c>
      <c r="M92" s="57" t="b">
        <v>1</v>
      </c>
      <c r="N92" s="58" t="s">
        <v>2968</v>
      </c>
      <c r="O92" s="226"/>
      <c r="P92" s="191" t="b">
        <v>1</v>
      </c>
      <c r="Q92" s="308" t="s">
        <v>3138</v>
      </c>
      <c r="R92" s="47" t="b">
        <v>1</v>
      </c>
      <c r="S92" s="310" t="s">
        <v>3278</v>
      </c>
      <c r="T92" s="54"/>
    </row>
    <row r="93" spans="1:20" ht="16">
      <c r="A93" s="162"/>
      <c r="B93" s="71" t="s">
        <v>3276</v>
      </c>
      <c r="C93" s="53" t="s">
        <v>51</v>
      </c>
      <c r="D93" s="53" t="s">
        <v>89</v>
      </c>
      <c r="E93" s="53" t="s">
        <v>2090</v>
      </c>
      <c r="F93" s="53" t="s">
        <v>3259</v>
      </c>
      <c r="G93" s="131" t="s">
        <v>30</v>
      </c>
      <c r="H93" s="53">
        <v>200</v>
      </c>
      <c r="I93" s="188">
        <v>30</v>
      </c>
      <c r="J93" s="75">
        <f t="shared" si="9"/>
        <v>6000</v>
      </c>
      <c r="K93" s="55" t="b">
        <v>1</v>
      </c>
      <c r="L93" s="154">
        <v>110220251655</v>
      </c>
      <c r="M93" s="57" t="b">
        <v>1</v>
      </c>
      <c r="N93" s="58" t="s">
        <v>2968</v>
      </c>
      <c r="O93" s="226"/>
      <c r="P93" s="191" t="b">
        <v>1</v>
      </c>
      <c r="Q93" s="308" t="s">
        <v>3138</v>
      </c>
      <c r="R93" s="47" t="b">
        <v>1</v>
      </c>
      <c r="S93" s="310" t="s">
        <v>3282</v>
      </c>
      <c r="T93" s="54"/>
    </row>
    <row r="94" spans="1:20" ht="16">
      <c r="A94" s="162"/>
      <c r="B94" s="71" t="s">
        <v>3276</v>
      </c>
      <c r="C94" s="53" t="s">
        <v>51</v>
      </c>
      <c r="D94" s="53" t="s">
        <v>475</v>
      </c>
      <c r="E94" s="53" t="s">
        <v>2105</v>
      </c>
      <c r="F94" s="53" t="s">
        <v>3283</v>
      </c>
      <c r="G94" s="131" t="s">
        <v>30</v>
      </c>
      <c r="H94" s="53">
        <v>4</v>
      </c>
      <c r="I94" s="188">
        <v>1000</v>
      </c>
      <c r="J94" s="75">
        <f t="shared" si="9"/>
        <v>4000</v>
      </c>
      <c r="K94" s="55" t="b">
        <v>1</v>
      </c>
      <c r="L94" s="154">
        <v>110220251659</v>
      </c>
      <c r="M94" s="57" t="b">
        <v>1</v>
      </c>
      <c r="N94" s="58" t="s">
        <v>2968</v>
      </c>
      <c r="O94" s="226"/>
      <c r="P94" s="191" t="b">
        <v>1</v>
      </c>
      <c r="Q94" s="308" t="s">
        <v>3138</v>
      </c>
      <c r="R94" s="47" t="b">
        <v>1</v>
      </c>
      <c r="S94" s="310" t="s">
        <v>3284</v>
      </c>
      <c r="T94" s="54"/>
    </row>
    <row r="95" spans="1:20" ht="16">
      <c r="A95" s="162"/>
      <c r="B95" s="71" t="s">
        <v>3276</v>
      </c>
      <c r="C95" s="53" t="s">
        <v>51</v>
      </c>
      <c r="D95" s="53" t="s">
        <v>475</v>
      </c>
      <c r="E95" s="53" t="s">
        <v>2105</v>
      </c>
      <c r="F95" s="53" t="s">
        <v>3285</v>
      </c>
      <c r="G95" s="131" t="s">
        <v>30</v>
      </c>
      <c r="H95" s="53">
        <v>4</v>
      </c>
      <c r="I95" s="188">
        <v>1150</v>
      </c>
      <c r="J95" s="75">
        <f t="shared" si="9"/>
        <v>4600</v>
      </c>
      <c r="K95" s="55" t="b">
        <v>1</v>
      </c>
      <c r="L95" s="154">
        <v>110220251659</v>
      </c>
      <c r="M95" s="57" t="b">
        <v>1</v>
      </c>
      <c r="N95" s="58" t="s">
        <v>2968</v>
      </c>
      <c r="O95" s="226"/>
      <c r="P95" s="191" t="b">
        <v>1</v>
      </c>
      <c r="Q95" s="308" t="s">
        <v>3138</v>
      </c>
      <c r="R95" s="47" t="b">
        <v>1</v>
      </c>
      <c r="S95" s="310" t="s">
        <v>3284</v>
      </c>
      <c r="T95" s="54"/>
    </row>
    <row r="96" spans="1:20" ht="16">
      <c r="A96" s="162"/>
      <c r="B96" s="71" t="s">
        <v>3276</v>
      </c>
      <c r="C96" s="53" t="s">
        <v>51</v>
      </c>
      <c r="D96" s="53" t="s">
        <v>475</v>
      </c>
      <c r="E96" s="53" t="s">
        <v>2105</v>
      </c>
      <c r="F96" s="53" t="s">
        <v>3286</v>
      </c>
      <c r="G96" s="131" t="s">
        <v>30</v>
      </c>
      <c r="H96" s="53">
        <v>1</v>
      </c>
      <c r="I96" s="188">
        <v>8350</v>
      </c>
      <c r="J96" s="75">
        <f t="shared" si="9"/>
        <v>8350</v>
      </c>
      <c r="K96" s="55" t="b">
        <v>1</v>
      </c>
      <c r="L96" s="154">
        <v>110220251855</v>
      </c>
      <c r="M96" s="57" t="b">
        <v>1</v>
      </c>
      <c r="N96" s="58"/>
      <c r="O96" s="226"/>
      <c r="P96" s="191" t="b">
        <v>1</v>
      </c>
      <c r="Q96" s="308" t="s">
        <v>3138</v>
      </c>
      <c r="R96" s="47" t="b">
        <v>1</v>
      </c>
      <c r="S96" s="310" t="s">
        <v>3287</v>
      </c>
      <c r="T96" s="54"/>
    </row>
    <row r="97" spans="1:20" ht="16">
      <c r="A97" s="162"/>
      <c r="B97" s="71" t="s">
        <v>3276</v>
      </c>
      <c r="C97" s="53" t="s">
        <v>1133</v>
      </c>
      <c r="D97" s="53" t="s">
        <v>1133</v>
      </c>
      <c r="E97" s="53" t="s">
        <v>1439</v>
      </c>
      <c r="F97" s="53" t="s">
        <v>3288</v>
      </c>
      <c r="G97" s="131" t="s">
        <v>30</v>
      </c>
      <c r="H97" s="53">
        <v>1</v>
      </c>
      <c r="I97" s="188">
        <v>2100</v>
      </c>
      <c r="J97" s="75">
        <f t="shared" si="9"/>
        <v>2100</v>
      </c>
      <c r="K97" s="55" t="b">
        <v>1</v>
      </c>
      <c r="L97" s="154">
        <v>110220251850</v>
      </c>
      <c r="M97" s="57" t="b">
        <v>1</v>
      </c>
      <c r="N97" s="58"/>
      <c r="O97" s="226"/>
      <c r="P97" s="191" t="b">
        <v>1</v>
      </c>
      <c r="Q97" s="308" t="s">
        <v>3138</v>
      </c>
      <c r="R97" s="47" t="b">
        <v>1</v>
      </c>
      <c r="S97" s="310" t="s">
        <v>3289</v>
      </c>
      <c r="T97" s="54"/>
    </row>
    <row r="98" spans="1:20" ht="16">
      <c r="A98" s="162"/>
      <c r="B98" s="71" t="s">
        <v>3276</v>
      </c>
      <c r="C98" s="53" t="s">
        <v>108</v>
      </c>
      <c r="D98" s="53" t="s">
        <v>109</v>
      </c>
      <c r="E98" s="53" t="s">
        <v>3290</v>
      </c>
      <c r="F98" s="53" t="s">
        <v>3291</v>
      </c>
      <c r="G98" s="131" t="s">
        <v>30</v>
      </c>
      <c r="H98" s="53">
        <v>20</v>
      </c>
      <c r="I98" s="188">
        <v>600</v>
      </c>
      <c r="J98" s="75">
        <f t="shared" si="9"/>
        <v>12000</v>
      </c>
      <c r="K98" s="55" t="b">
        <v>1</v>
      </c>
      <c r="L98" s="154">
        <v>110220251853</v>
      </c>
      <c r="M98" s="57" t="b">
        <v>1</v>
      </c>
      <c r="N98" s="58" t="s">
        <v>39</v>
      </c>
      <c r="O98" s="226"/>
      <c r="P98" s="191" t="b">
        <v>1</v>
      </c>
      <c r="Q98" s="308" t="s">
        <v>3138</v>
      </c>
      <c r="R98" s="47" t="b">
        <v>1</v>
      </c>
      <c r="S98" s="310" t="s">
        <v>3292</v>
      </c>
      <c r="T98" s="54"/>
    </row>
    <row r="99" spans="1:20" ht="16">
      <c r="A99" s="162" t="s">
        <v>3293</v>
      </c>
      <c r="B99" s="71" t="s">
        <v>3294</v>
      </c>
      <c r="C99" s="53" t="s">
        <v>345</v>
      </c>
      <c r="D99" s="53" t="s">
        <v>342</v>
      </c>
      <c r="E99" s="53" t="s">
        <v>2823</v>
      </c>
      <c r="F99" s="53" t="s">
        <v>3295</v>
      </c>
      <c r="G99" s="131" t="s">
        <v>30</v>
      </c>
      <c r="H99" s="53">
        <v>10</v>
      </c>
      <c r="I99" s="188">
        <v>725</v>
      </c>
      <c r="J99" s="75">
        <f t="shared" si="9"/>
        <v>7250</v>
      </c>
      <c r="K99" s="55" t="b">
        <v>1</v>
      </c>
      <c r="L99" s="56">
        <v>120220251332</v>
      </c>
      <c r="M99" s="57" t="b">
        <v>1</v>
      </c>
      <c r="N99" s="58"/>
      <c r="O99" s="226"/>
      <c r="P99" s="191" t="b">
        <v>1</v>
      </c>
      <c r="Q99" s="308" t="s">
        <v>3138</v>
      </c>
      <c r="R99" s="47" t="b">
        <v>1</v>
      </c>
      <c r="S99" s="310" t="s">
        <v>3296</v>
      </c>
      <c r="T99" s="54"/>
    </row>
    <row r="100" spans="1:20" ht="16">
      <c r="A100" s="162"/>
      <c r="B100" s="71" t="s">
        <v>3294</v>
      </c>
      <c r="C100" s="53" t="s">
        <v>345</v>
      </c>
      <c r="D100" s="53" t="s">
        <v>342</v>
      </c>
      <c r="E100" s="53" t="s">
        <v>2823</v>
      </c>
      <c r="F100" s="53" t="s">
        <v>103</v>
      </c>
      <c r="G100" s="131" t="s">
        <v>30</v>
      </c>
      <c r="H100" s="53">
        <v>20</v>
      </c>
      <c r="I100" s="188">
        <v>375</v>
      </c>
      <c r="J100" s="75">
        <f t="shared" si="9"/>
        <v>7500</v>
      </c>
      <c r="K100" s="55" t="b">
        <v>1</v>
      </c>
      <c r="L100" s="56">
        <v>120220251500</v>
      </c>
      <c r="M100" s="57" t="b">
        <v>1</v>
      </c>
      <c r="N100" s="58"/>
      <c r="O100" s="215"/>
      <c r="P100" s="191" t="b">
        <v>1</v>
      </c>
      <c r="Q100" s="308" t="s">
        <v>3138</v>
      </c>
      <c r="R100" s="47" t="b">
        <v>1</v>
      </c>
      <c r="S100" s="310" t="s">
        <v>3297</v>
      </c>
      <c r="T100" s="54"/>
    </row>
    <row r="101" spans="1:20" ht="16">
      <c r="A101" s="162"/>
      <c r="B101" s="71" t="s">
        <v>3294</v>
      </c>
      <c r="C101" s="53" t="s">
        <v>345</v>
      </c>
      <c r="D101" s="53" t="s">
        <v>342</v>
      </c>
      <c r="E101" s="53" t="s">
        <v>2823</v>
      </c>
      <c r="F101" s="53" t="s">
        <v>1171</v>
      </c>
      <c r="G101" s="131" t="s">
        <v>30</v>
      </c>
      <c r="H101" s="53">
        <v>10</v>
      </c>
      <c r="I101" s="188">
        <v>1595</v>
      </c>
      <c r="J101" s="75">
        <f t="shared" si="9"/>
        <v>15950</v>
      </c>
      <c r="K101" s="55" t="b">
        <v>1</v>
      </c>
      <c r="L101" s="56">
        <v>120220251500</v>
      </c>
      <c r="M101" s="57" t="b">
        <v>1</v>
      </c>
      <c r="N101" s="58"/>
      <c r="O101" s="215"/>
      <c r="P101" s="191" t="b">
        <v>1</v>
      </c>
      <c r="Q101" s="308" t="s">
        <v>3138</v>
      </c>
      <c r="R101" s="47" t="b">
        <v>1</v>
      </c>
      <c r="S101" s="310" t="s">
        <v>3298</v>
      </c>
      <c r="T101" s="54"/>
    </row>
    <row r="102" spans="1:20" ht="16">
      <c r="A102" s="162"/>
      <c r="B102" s="71" t="s">
        <v>3294</v>
      </c>
      <c r="C102" s="53" t="s">
        <v>3242</v>
      </c>
      <c r="D102" s="53" t="s">
        <v>2296</v>
      </c>
      <c r="E102" s="53" t="s">
        <v>100</v>
      </c>
      <c r="F102" s="53" t="s">
        <v>3299</v>
      </c>
      <c r="G102" s="131" t="s">
        <v>30</v>
      </c>
      <c r="H102" s="53">
        <v>10</v>
      </c>
      <c r="I102" s="188">
        <v>125</v>
      </c>
      <c r="J102" s="75">
        <f t="shared" si="9"/>
        <v>1250</v>
      </c>
      <c r="K102" s="55" t="b">
        <v>1</v>
      </c>
      <c r="L102" s="56">
        <v>120220251500</v>
      </c>
      <c r="M102" s="57" t="b">
        <v>1</v>
      </c>
      <c r="N102" s="58" t="s">
        <v>3300</v>
      </c>
      <c r="O102" s="226"/>
      <c r="P102" s="191" t="b">
        <v>1</v>
      </c>
      <c r="Q102" s="308" t="s">
        <v>3138</v>
      </c>
      <c r="R102" s="47" t="b">
        <v>1</v>
      </c>
      <c r="S102" s="310" t="s">
        <v>3301</v>
      </c>
      <c r="T102" s="54"/>
    </row>
    <row r="103" spans="1:20" ht="16">
      <c r="A103" s="162"/>
      <c r="B103" s="71" t="s">
        <v>3294</v>
      </c>
      <c r="C103" s="53" t="s">
        <v>104</v>
      </c>
      <c r="D103" s="53" t="s">
        <v>296</v>
      </c>
      <c r="E103" s="53" t="s">
        <v>297</v>
      </c>
      <c r="F103" s="53" t="s">
        <v>746</v>
      </c>
      <c r="G103" s="131" t="s">
        <v>30</v>
      </c>
      <c r="H103" s="53">
        <v>8</v>
      </c>
      <c r="I103" s="188">
        <v>895</v>
      </c>
      <c r="J103" s="75">
        <f t="shared" si="9"/>
        <v>7160</v>
      </c>
      <c r="K103" s="55" t="b">
        <v>1</v>
      </c>
      <c r="L103" s="56">
        <v>120220251554</v>
      </c>
      <c r="M103" s="57" t="b">
        <v>1</v>
      </c>
      <c r="N103" s="58" t="s">
        <v>529</v>
      </c>
      <c r="O103" s="226"/>
      <c r="P103" s="191" t="b">
        <v>1</v>
      </c>
      <c r="Q103" s="308" t="s">
        <v>3138</v>
      </c>
      <c r="R103" s="47" t="b">
        <v>1</v>
      </c>
      <c r="S103" s="310" t="s">
        <v>3302</v>
      </c>
      <c r="T103" s="54"/>
    </row>
    <row r="104" spans="1:20" ht="16">
      <c r="A104" s="162"/>
      <c r="B104" s="71" t="s">
        <v>3303</v>
      </c>
      <c r="C104" s="53" t="s">
        <v>51</v>
      </c>
      <c r="D104" s="53" t="s">
        <v>372</v>
      </c>
      <c r="E104" s="53" t="s">
        <v>725</v>
      </c>
      <c r="F104" s="53" t="s">
        <v>49</v>
      </c>
      <c r="G104" s="131" t="s">
        <v>30</v>
      </c>
      <c r="H104" s="53">
        <v>10</v>
      </c>
      <c r="I104" s="188">
        <v>600</v>
      </c>
      <c r="J104" s="75">
        <f t="shared" si="9"/>
        <v>6000</v>
      </c>
      <c r="K104" s="55" t="b">
        <v>1</v>
      </c>
      <c r="L104" s="56">
        <v>130220251038</v>
      </c>
      <c r="M104" s="57" t="b">
        <v>1</v>
      </c>
      <c r="N104" s="58" t="s">
        <v>39</v>
      </c>
      <c r="O104" s="226"/>
      <c r="P104" s="191" t="b">
        <v>1</v>
      </c>
      <c r="Q104" s="308" t="s">
        <v>3138</v>
      </c>
      <c r="R104" s="47" t="b">
        <v>1</v>
      </c>
      <c r="S104" s="310" t="s">
        <v>3304</v>
      </c>
      <c r="T104" s="54"/>
    </row>
    <row r="105" spans="1:20" ht="16">
      <c r="A105" s="162"/>
      <c r="B105" s="71" t="s">
        <v>3303</v>
      </c>
      <c r="C105" s="53" t="s">
        <v>51</v>
      </c>
      <c r="D105" s="53" t="s">
        <v>335</v>
      </c>
      <c r="E105" s="53" t="s">
        <v>457</v>
      </c>
      <c r="F105" s="53" t="s">
        <v>3305</v>
      </c>
      <c r="G105" s="131" t="s">
        <v>30</v>
      </c>
      <c r="H105" s="53">
        <v>1</v>
      </c>
      <c r="I105" s="188">
        <v>2250</v>
      </c>
      <c r="J105" s="75">
        <f t="shared" si="9"/>
        <v>2250</v>
      </c>
      <c r="K105" s="55" t="b">
        <v>1</v>
      </c>
      <c r="L105" s="56" t="s">
        <v>529</v>
      </c>
      <c r="M105" s="57" t="b">
        <v>1</v>
      </c>
      <c r="N105" s="58" t="s">
        <v>529</v>
      </c>
      <c r="O105" s="215"/>
      <c r="P105" s="191" t="b">
        <v>1</v>
      </c>
      <c r="Q105" s="308" t="s">
        <v>3138</v>
      </c>
      <c r="R105" s="47" t="b">
        <v>1</v>
      </c>
      <c r="S105" s="310" t="s">
        <v>3306</v>
      </c>
      <c r="T105" s="54"/>
    </row>
    <row r="106" spans="1:20" ht="16">
      <c r="A106" s="162"/>
      <c r="B106" s="71" t="s">
        <v>3303</v>
      </c>
      <c r="C106" s="53" t="s">
        <v>144</v>
      </c>
      <c r="D106" s="53" t="s">
        <v>243</v>
      </c>
      <c r="E106" s="53" t="s">
        <v>985</v>
      </c>
      <c r="F106" s="53" t="s">
        <v>746</v>
      </c>
      <c r="G106" s="131" t="s">
        <v>30</v>
      </c>
      <c r="H106" s="53">
        <v>5</v>
      </c>
      <c r="I106" s="188">
        <v>850</v>
      </c>
      <c r="J106" s="75">
        <f t="shared" si="9"/>
        <v>4250</v>
      </c>
      <c r="K106" s="55" t="b">
        <v>1</v>
      </c>
      <c r="L106" s="56" t="s">
        <v>529</v>
      </c>
      <c r="M106" s="57" t="b">
        <v>1</v>
      </c>
      <c r="N106" s="58" t="s">
        <v>529</v>
      </c>
      <c r="O106" s="226"/>
      <c r="P106" s="191" t="b">
        <v>1</v>
      </c>
      <c r="Q106" s="308" t="s">
        <v>3138</v>
      </c>
      <c r="R106" s="47" t="b">
        <v>1</v>
      </c>
      <c r="S106" s="310" t="s">
        <v>3307</v>
      </c>
      <c r="T106" s="54"/>
    </row>
    <row r="107" spans="1:20" ht="16">
      <c r="A107" s="162"/>
      <c r="B107" s="71" t="s">
        <v>3303</v>
      </c>
      <c r="C107" s="53" t="s">
        <v>144</v>
      </c>
      <c r="D107" s="53" t="s">
        <v>2055</v>
      </c>
      <c r="E107" s="53" t="s">
        <v>985</v>
      </c>
      <c r="F107" s="53" t="s">
        <v>3308</v>
      </c>
      <c r="G107" s="131" t="s">
        <v>30</v>
      </c>
      <c r="H107" s="53">
        <v>1</v>
      </c>
      <c r="I107" s="188">
        <v>850</v>
      </c>
      <c r="J107" s="75">
        <f t="shared" si="9"/>
        <v>850</v>
      </c>
      <c r="K107" s="55" t="b">
        <v>1</v>
      </c>
      <c r="L107" s="56">
        <v>130220251332</v>
      </c>
      <c r="M107" s="57" t="b">
        <v>1</v>
      </c>
      <c r="N107" s="58" t="s">
        <v>529</v>
      </c>
      <c r="O107" s="226"/>
      <c r="P107" s="191" t="b">
        <v>1</v>
      </c>
      <c r="Q107" s="308" t="s">
        <v>3138</v>
      </c>
      <c r="R107" s="47" t="b">
        <v>1</v>
      </c>
      <c r="S107" s="310" t="s">
        <v>3309</v>
      </c>
      <c r="T107" s="54"/>
    </row>
    <row r="108" spans="1:20" ht="16">
      <c r="A108" s="162"/>
      <c r="B108" s="71" t="s">
        <v>3303</v>
      </c>
      <c r="C108" s="53" t="s">
        <v>51</v>
      </c>
      <c r="D108" s="53" t="s">
        <v>372</v>
      </c>
      <c r="E108" s="53" t="s">
        <v>3274</v>
      </c>
      <c r="F108" s="53" t="s">
        <v>1191</v>
      </c>
      <c r="G108" s="131" t="s">
        <v>30</v>
      </c>
      <c r="H108" s="53">
        <v>5</v>
      </c>
      <c r="I108" s="188">
        <v>165</v>
      </c>
      <c r="J108" s="75">
        <f t="shared" si="9"/>
        <v>825</v>
      </c>
      <c r="K108" s="55" t="b">
        <v>1</v>
      </c>
      <c r="L108" s="56">
        <v>130220251358</v>
      </c>
      <c r="M108" s="57" t="b">
        <v>1</v>
      </c>
      <c r="N108" s="58" t="s">
        <v>2968</v>
      </c>
      <c r="O108" s="226"/>
      <c r="P108" s="191" t="b">
        <v>1</v>
      </c>
      <c r="Q108" s="308" t="s">
        <v>3138</v>
      </c>
      <c r="R108" s="47" t="b">
        <v>1</v>
      </c>
      <c r="S108" s="310" t="s">
        <v>3310</v>
      </c>
      <c r="T108" s="54"/>
    </row>
    <row r="109" spans="1:20" ht="16">
      <c r="A109" s="162"/>
      <c r="B109" s="132" t="s">
        <v>3303</v>
      </c>
      <c r="C109" s="53" t="s">
        <v>51</v>
      </c>
      <c r="D109" s="53" t="s">
        <v>201</v>
      </c>
      <c r="E109" s="53" t="s">
        <v>395</v>
      </c>
      <c r="F109" s="53" t="s">
        <v>3311</v>
      </c>
      <c r="G109" s="131" t="s">
        <v>30</v>
      </c>
      <c r="H109" s="53">
        <v>1</v>
      </c>
      <c r="I109" s="188">
        <v>6600</v>
      </c>
      <c r="J109" s="75">
        <f t="shared" si="9"/>
        <v>6600</v>
      </c>
      <c r="K109" s="55" t="b">
        <v>1</v>
      </c>
      <c r="L109" s="56">
        <v>130220251709</v>
      </c>
      <c r="M109" s="57" t="b">
        <v>1</v>
      </c>
      <c r="N109" s="58" t="s">
        <v>2968</v>
      </c>
      <c r="O109" s="226"/>
      <c r="P109" s="191" t="b">
        <v>1</v>
      </c>
      <c r="Q109" s="308" t="s">
        <v>3138</v>
      </c>
      <c r="R109" s="47" t="b">
        <v>1</v>
      </c>
      <c r="S109" s="310" t="s">
        <v>3312</v>
      </c>
      <c r="T109" s="54"/>
    </row>
    <row r="110" spans="1:20" ht="16">
      <c r="A110" s="162"/>
      <c r="B110" s="71" t="s">
        <v>3303</v>
      </c>
      <c r="C110" s="53" t="s">
        <v>144</v>
      </c>
      <c r="D110" s="53" t="s">
        <v>1959</v>
      </c>
      <c r="E110" s="53" t="s">
        <v>1235</v>
      </c>
      <c r="F110" s="53" t="s">
        <v>68</v>
      </c>
      <c r="G110" s="131" t="s">
        <v>30</v>
      </c>
      <c r="H110" s="53">
        <v>2</v>
      </c>
      <c r="I110" s="188">
        <v>2350</v>
      </c>
      <c r="J110" s="75">
        <f t="shared" si="9"/>
        <v>4700</v>
      </c>
      <c r="K110" s="55" t="b">
        <v>1</v>
      </c>
      <c r="L110" s="56">
        <v>130220251710</v>
      </c>
      <c r="M110" s="57" t="b">
        <v>1</v>
      </c>
      <c r="N110" s="58" t="s">
        <v>1581</v>
      </c>
      <c r="O110" s="226"/>
      <c r="P110" s="191" t="b">
        <v>1</v>
      </c>
      <c r="Q110" s="308" t="s">
        <v>3138</v>
      </c>
      <c r="R110" s="47" t="b">
        <v>1</v>
      </c>
      <c r="S110" s="310" t="s">
        <v>3313</v>
      </c>
      <c r="T110" s="54"/>
    </row>
    <row r="111" spans="1:20" ht="16">
      <c r="A111" s="162"/>
      <c r="B111" s="71" t="s">
        <v>3303</v>
      </c>
      <c r="C111" s="53" t="s">
        <v>144</v>
      </c>
      <c r="D111" s="53" t="s">
        <v>145</v>
      </c>
      <c r="E111" s="53" t="s">
        <v>1771</v>
      </c>
      <c r="F111" s="69" t="s">
        <v>3314</v>
      </c>
      <c r="G111" s="131" t="s">
        <v>30</v>
      </c>
      <c r="H111" s="53">
        <v>3</v>
      </c>
      <c r="I111" s="188">
        <v>1200</v>
      </c>
      <c r="J111" s="75">
        <f t="shared" si="9"/>
        <v>3600</v>
      </c>
      <c r="K111" s="55" t="b">
        <v>1</v>
      </c>
      <c r="L111" s="56">
        <v>130220251728</v>
      </c>
      <c r="M111" s="57" t="b">
        <v>1</v>
      </c>
      <c r="N111" s="58" t="s">
        <v>2968</v>
      </c>
      <c r="O111" s="226"/>
      <c r="P111" s="191" t="b">
        <v>1</v>
      </c>
      <c r="Q111" s="308" t="s">
        <v>3138</v>
      </c>
      <c r="R111" s="47" t="b">
        <v>1</v>
      </c>
      <c r="S111" s="310" t="s">
        <v>3315</v>
      </c>
      <c r="T111" s="54"/>
    </row>
    <row r="112" spans="1:20" ht="16">
      <c r="A112" s="162"/>
      <c r="B112" s="71" t="s">
        <v>3303</v>
      </c>
      <c r="C112" s="53" t="s">
        <v>345</v>
      </c>
      <c r="D112" s="53" t="s">
        <v>342</v>
      </c>
      <c r="E112" s="53" t="s">
        <v>2228</v>
      </c>
      <c r="F112" s="53" t="s">
        <v>3316</v>
      </c>
      <c r="G112" s="131" t="s">
        <v>30</v>
      </c>
      <c r="H112" s="53">
        <v>1</v>
      </c>
      <c r="I112" s="188">
        <v>135</v>
      </c>
      <c r="J112" s="75">
        <f t="shared" si="9"/>
        <v>135</v>
      </c>
      <c r="K112" s="55" t="b">
        <v>1</v>
      </c>
      <c r="L112" s="56">
        <v>130220251728</v>
      </c>
      <c r="M112" s="57" t="b">
        <v>1</v>
      </c>
      <c r="N112" s="58" t="s">
        <v>2968</v>
      </c>
      <c r="O112" s="226"/>
      <c r="P112" s="191" t="b">
        <v>1</v>
      </c>
      <c r="Q112" s="308" t="s">
        <v>3138</v>
      </c>
      <c r="R112" s="47" t="b">
        <v>1</v>
      </c>
      <c r="S112" s="310" t="s">
        <v>3317</v>
      </c>
      <c r="T112" s="54"/>
    </row>
    <row r="113" spans="1:20" ht="16">
      <c r="A113" s="162"/>
      <c r="B113" s="71" t="s">
        <v>3318</v>
      </c>
      <c r="C113" s="53" t="s">
        <v>51</v>
      </c>
      <c r="D113" s="53" t="s">
        <v>89</v>
      </c>
      <c r="E113" s="53" t="s">
        <v>1699</v>
      </c>
      <c r="F113" s="53" t="s">
        <v>3156</v>
      </c>
      <c r="G113" s="131" t="s">
        <v>30</v>
      </c>
      <c r="H113" s="53">
        <v>150</v>
      </c>
      <c r="I113" s="188">
        <v>30</v>
      </c>
      <c r="J113" s="75">
        <f t="shared" si="9"/>
        <v>4500</v>
      </c>
      <c r="K113" s="55" t="b">
        <v>1</v>
      </c>
      <c r="L113" s="56">
        <v>140220251744</v>
      </c>
      <c r="M113" s="57" t="b">
        <v>1</v>
      </c>
      <c r="N113" s="58" t="s">
        <v>1581</v>
      </c>
      <c r="O113" s="226"/>
      <c r="P113" s="191" t="b">
        <v>1</v>
      </c>
      <c r="Q113" s="308" t="s">
        <v>3138</v>
      </c>
      <c r="R113" s="47" t="b">
        <v>1</v>
      </c>
      <c r="S113" s="310" t="s">
        <v>3319</v>
      </c>
      <c r="T113" s="54"/>
    </row>
    <row r="114" spans="1:20" ht="16">
      <c r="A114" s="162"/>
      <c r="B114" s="71" t="s">
        <v>3318</v>
      </c>
      <c r="C114" s="53" t="s">
        <v>51</v>
      </c>
      <c r="D114" s="53" t="s">
        <v>89</v>
      </c>
      <c r="E114" s="53" t="s">
        <v>1699</v>
      </c>
      <c r="F114" s="53" t="s">
        <v>3083</v>
      </c>
      <c r="G114" s="131" t="s">
        <v>30</v>
      </c>
      <c r="H114" s="53">
        <v>200</v>
      </c>
      <c r="I114" s="188">
        <v>15</v>
      </c>
      <c r="J114" s="75">
        <f t="shared" si="9"/>
        <v>3000</v>
      </c>
      <c r="K114" s="55" t="b">
        <v>1</v>
      </c>
      <c r="L114" s="56">
        <v>140220251745</v>
      </c>
      <c r="M114" s="57" t="b">
        <v>1</v>
      </c>
      <c r="N114" s="58" t="s">
        <v>1581</v>
      </c>
      <c r="O114" s="226"/>
      <c r="P114" s="191" t="b">
        <v>1</v>
      </c>
      <c r="Q114" s="308" t="s">
        <v>3138</v>
      </c>
      <c r="R114" s="47" t="b">
        <v>1</v>
      </c>
      <c r="S114" s="310" t="s">
        <v>3319</v>
      </c>
      <c r="T114" s="54"/>
    </row>
    <row r="115" spans="1:20" ht="16">
      <c r="A115" s="162"/>
      <c r="B115" s="71" t="s">
        <v>3318</v>
      </c>
      <c r="C115" s="53" t="s">
        <v>51</v>
      </c>
      <c r="D115" s="53" t="s">
        <v>89</v>
      </c>
      <c r="E115" s="53" t="s">
        <v>1699</v>
      </c>
      <c r="F115" s="53" t="s">
        <v>3320</v>
      </c>
      <c r="G115" s="131" t="s">
        <v>30</v>
      </c>
      <c r="H115" s="53">
        <v>1</v>
      </c>
      <c r="I115" s="188">
        <v>975</v>
      </c>
      <c r="J115" s="75">
        <f t="shared" si="9"/>
        <v>975</v>
      </c>
      <c r="K115" s="55" t="b">
        <v>1</v>
      </c>
      <c r="L115" s="56">
        <v>140220251745</v>
      </c>
      <c r="M115" s="57" t="b">
        <v>1</v>
      </c>
      <c r="N115" s="58" t="s">
        <v>2968</v>
      </c>
      <c r="O115" s="226"/>
      <c r="P115" s="191" t="b">
        <v>1</v>
      </c>
      <c r="Q115" s="308" t="s">
        <v>3138</v>
      </c>
      <c r="R115" s="47" t="b">
        <v>1</v>
      </c>
      <c r="S115" s="310" t="s">
        <v>3321</v>
      </c>
      <c r="T115" s="54"/>
    </row>
    <row r="116" spans="1:20" ht="16">
      <c r="A116" s="162"/>
      <c r="B116" s="71" t="s">
        <v>3318</v>
      </c>
      <c r="C116" s="53" t="s">
        <v>51</v>
      </c>
      <c r="D116" s="53" t="s">
        <v>89</v>
      </c>
      <c r="E116" s="53" t="s">
        <v>1699</v>
      </c>
      <c r="F116" s="53" t="s">
        <v>3322</v>
      </c>
      <c r="G116" s="131" t="s">
        <v>30</v>
      </c>
      <c r="H116" s="53">
        <v>2</v>
      </c>
      <c r="I116" s="188">
        <v>1350</v>
      </c>
      <c r="J116" s="75">
        <f t="shared" si="9"/>
        <v>2700</v>
      </c>
      <c r="K116" s="55" t="b">
        <v>1</v>
      </c>
      <c r="L116" s="56">
        <v>140220251745</v>
      </c>
      <c r="M116" s="57" t="b">
        <v>1</v>
      </c>
      <c r="N116" s="58" t="s">
        <v>2968</v>
      </c>
      <c r="O116" s="226"/>
      <c r="P116" s="191" t="b">
        <v>1</v>
      </c>
      <c r="Q116" s="308" t="s">
        <v>3138</v>
      </c>
      <c r="R116" s="47" t="b">
        <v>1</v>
      </c>
      <c r="S116" s="310" t="s">
        <v>3321</v>
      </c>
      <c r="T116" s="54"/>
    </row>
    <row r="117" spans="1:20" ht="16">
      <c r="A117" s="162"/>
      <c r="B117" s="71" t="s">
        <v>3318</v>
      </c>
      <c r="C117" s="53" t="s">
        <v>51</v>
      </c>
      <c r="D117" s="53" t="s">
        <v>89</v>
      </c>
      <c r="E117" s="53" t="s">
        <v>1699</v>
      </c>
      <c r="F117" s="53" t="s">
        <v>139</v>
      </c>
      <c r="G117" s="131" t="s">
        <v>30</v>
      </c>
      <c r="H117" s="53">
        <v>100</v>
      </c>
      <c r="I117" s="188">
        <v>30</v>
      </c>
      <c r="J117" s="75">
        <f t="shared" si="9"/>
        <v>3000</v>
      </c>
      <c r="K117" s="55" t="b">
        <v>1</v>
      </c>
      <c r="L117" s="56">
        <v>140220251745</v>
      </c>
      <c r="M117" s="57" t="b">
        <v>1</v>
      </c>
      <c r="N117" s="58" t="s">
        <v>2968</v>
      </c>
      <c r="O117" s="226"/>
      <c r="P117" s="191" t="b">
        <v>1</v>
      </c>
      <c r="Q117" s="308" t="s">
        <v>3138</v>
      </c>
      <c r="R117" s="47" t="b">
        <v>1</v>
      </c>
      <c r="S117" s="310" t="s">
        <v>3321</v>
      </c>
      <c r="T117" s="54"/>
    </row>
    <row r="118" spans="1:20" ht="16">
      <c r="A118" s="162"/>
      <c r="B118" s="71" t="s">
        <v>3318</v>
      </c>
      <c r="C118" s="53" t="s">
        <v>51</v>
      </c>
      <c r="D118" s="53" t="s">
        <v>3323</v>
      </c>
      <c r="E118" s="53" t="s">
        <v>1699</v>
      </c>
      <c r="F118" s="53" t="s">
        <v>3324</v>
      </c>
      <c r="G118" s="131" t="s">
        <v>30</v>
      </c>
      <c r="H118" s="53">
        <v>10</v>
      </c>
      <c r="I118" s="188">
        <v>125</v>
      </c>
      <c r="J118" s="75">
        <f t="shared" si="9"/>
        <v>1250</v>
      </c>
      <c r="K118" s="55" t="b">
        <v>1</v>
      </c>
      <c r="L118" s="56">
        <v>140220251745</v>
      </c>
      <c r="M118" s="57" t="b">
        <v>1</v>
      </c>
      <c r="N118" s="58" t="s">
        <v>529</v>
      </c>
      <c r="O118" s="226"/>
      <c r="P118" s="191" t="b">
        <v>1</v>
      </c>
      <c r="Q118" s="308" t="s">
        <v>3138</v>
      </c>
      <c r="R118" s="47" t="b">
        <v>1</v>
      </c>
      <c r="S118" s="310" t="s">
        <v>3325</v>
      </c>
      <c r="T118" s="54"/>
    </row>
    <row r="119" spans="1:20" ht="16">
      <c r="A119" s="162"/>
      <c r="B119" s="71" t="s">
        <v>3318</v>
      </c>
      <c r="C119" s="53" t="s">
        <v>51</v>
      </c>
      <c r="D119" s="53" t="s">
        <v>89</v>
      </c>
      <c r="E119" s="53" t="s">
        <v>1699</v>
      </c>
      <c r="F119" s="53" t="s">
        <v>3326</v>
      </c>
      <c r="G119" s="131" t="s">
        <v>30</v>
      </c>
      <c r="H119" s="53">
        <v>10</v>
      </c>
      <c r="I119" s="188">
        <v>100</v>
      </c>
      <c r="J119" s="75">
        <f t="shared" si="9"/>
        <v>1000</v>
      </c>
      <c r="K119" s="55" t="b">
        <v>1</v>
      </c>
      <c r="L119" s="56">
        <v>140220251745</v>
      </c>
      <c r="M119" s="57" t="b">
        <v>1</v>
      </c>
      <c r="N119" s="58" t="s">
        <v>529</v>
      </c>
      <c r="O119" s="226"/>
      <c r="P119" s="191" t="b">
        <v>1</v>
      </c>
      <c r="Q119" s="308" t="s">
        <v>3138</v>
      </c>
      <c r="R119" s="47" t="b">
        <v>1</v>
      </c>
      <c r="S119" s="310" t="s">
        <v>3325</v>
      </c>
      <c r="T119" s="54"/>
    </row>
    <row r="120" spans="1:20" ht="16">
      <c r="A120" s="162"/>
      <c r="B120" s="132" t="s">
        <v>3318</v>
      </c>
      <c r="C120" s="66" t="s">
        <v>51</v>
      </c>
      <c r="D120" s="66" t="s">
        <v>89</v>
      </c>
      <c r="E120" s="66" t="s">
        <v>2090</v>
      </c>
      <c r="F120" s="66" t="s">
        <v>3327</v>
      </c>
      <c r="G120" s="69" t="s">
        <v>30</v>
      </c>
      <c r="H120" s="66">
        <v>2</v>
      </c>
      <c r="I120" s="70">
        <v>4500</v>
      </c>
      <c r="J120" s="75">
        <f t="shared" si="9"/>
        <v>9000</v>
      </c>
      <c r="K120" s="55" t="b">
        <v>1</v>
      </c>
      <c r="L120" s="154">
        <v>140220251741</v>
      </c>
      <c r="M120" s="57" t="b">
        <v>1</v>
      </c>
      <c r="N120" s="58" t="s">
        <v>39</v>
      </c>
      <c r="O120" s="226"/>
      <c r="P120" s="59" t="b">
        <v>1</v>
      </c>
      <c r="Q120" s="308" t="s">
        <v>3138</v>
      </c>
      <c r="R120" s="47" t="b">
        <v>1</v>
      </c>
      <c r="S120" s="310" t="s">
        <v>3328</v>
      </c>
      <c r="T120" s="75"/>
    </row>
    <row r="121" spans="1:20" ht="16">
      <c r="A121" s="162"/>
      <c r="B121" s="132" t="s">
        <v>3318</v>
      </c>
      <c r="C121" s="66" t="s">
        <v>3329</v>
      </c>
      <c r="D121" s="66" t="s">
        <v>89</v>
      </c>
      <c r="E121" s="66" t="s">
        <v>2090</v>
      </c>
      <c r="F121" s="66" t="s">
        <v>2468</v>
      </c>
      <c r="G121" s="69" t="s">
        <v>30</v>
      </c>
      <c r="H121" s="66">
        <v>65</v>
      </c>
      <c r="I121" s="70">
        <v>45</v>
      </c>
      <c r="J121" s="75">
        <f t="shared" si="9"/>
        <v>2925</v>
      </c>
      <c r="K121" s="55" t="b">
        <v>1</v>
      </c>
      <c r="L121" s="154">
        <v>140220251743</v>
      </c>
      <c r="M121" s="57" t="b">
        <v>1</v>
      </c>
      <c r="N121" s="58" t="s">
        <v>39</v>
      </c>
      <c r="O121" s="226"/>
      <c r="P121" s="59" t="b">
        <v>1</v>
      </c>
      <c r="Q121" s="308" t="s">
        <v>3138</v>
      </c>
      <c r="R121" s="47" t="b">
        <v>1</v>
      </c>
      <c r="S121" s="310" t="s">
        <v>3328</v>
      </c>
      <c r="T121" s="75"/>
    </row>
    <row r="122" spans="1:20" ht="16">
      <c r="A122" s="162"/>
      <c r="B122" s="71" t="s">
        <v>3318</v>
      </c>
      <c r="C122" s="53" t="s">
        <v>51</v>
      </c>
      <c r="D122" s="53" t="s">
        <v>372</v>
      </c>
      <c r="E122" s="53" t="s">
        <v>1035</v>
      </c>
      <c r="F122" s="53" t="s">
        <v>3327</v>
      </c>
      <c r="G122" s="131" t="s">
        <v>30</v>
      </c>
      <c r="H122" s="53">
        <v>1</v>
      </c>
      <c r="I122" s="188">
        <v>4500</v>
      </c>
      <c r="J122" s="75">
        <f t="shared" si="9"/>
        <v>4500</v>
      </c>
      <c r="K122" s="55" t="b">
        <v>1</v>
      </c>
      <c r="L122" s="56">
        <v>140220251751</v>
      </c>
      <c r="M122" s="57" t="b">
        <v>1</v>
      </c>
      <c r="N122" s="58" t="s">
        <v>39</v>
      </c>
      <c r="O122" s="226"/>
      <c r="P122" s="191" t="b">
        <v>1</v>
      </c>
      <c r="Q122" s="308" t="s">
        <v>3138</v>
      </c>
      <c r="R122" s="47" t="b">
        <v>1</v>
      </c>
      <c r="S122" s="310" t="s">
        <v>3330</v>
      </c>
      <c r="T122" s="54"/>
    </row>
    <row r="123" spans="1:20" ht="16">
      <c r="A123" s="162"/>
      <c r="B123" s="71" t="s">
        <v>3318</v>
      </c>
      <c r="C123" s="53" t="s">
        <v>51</v>
      </c>
      <c r="D123" s="53" t="s">
        <v>372</v>
      </c>
      <c r="E123" s="53" t="s">
        <v>1035</v>
      </c>
      <c r="F123" s="53" t="s">
        <v>2468</v>
      </c>
      <c r="G123" s="131" t="s">
        <v>30</v>
      </c>
      <c r="H123" s="53">
        <v>50</v>
      </c>
      <c r="I123" s="188">
        <v>42.5</v>
      </c>
      <c r="J123" s="75">
        <f t="shared" si="9"/>
        <v>2125</v>
      </c>
      <c r="K123" s="55" t="b">
        <v>1</v>
      </c>
      <c r="L123" s="56">
        <v>140220251751</v>
      </c>
      <c r="M123" s="57" t="b">
        <v>1</v>
      </c>
      <c r="N123" s="58" t="s">
        <v>39</v>
      </c>
      <c r="O123" s="226"/>
      <c r="P123" s="191" t="b">
        <v>1</v>
      </c>
      <c r="Q123" s="308" t="s">
        <v>3138</v>
      </c>
      <c r="R123" s="47" t="b">
        <v>1</v>
      </c>
      <c r="S123" s="310" t="s">
        <v>3330</v>
      </c>
      <c r="T123" s="54"/>
    </row>
    <row r="124" spans="1:20" ht="16">
      <c r="A124" s="162"/>
      <c r="B124" s="71" t="s">
        <v>3318</v>
      </c>
      <c r="C124" s="53" t="s">
        <v>51</v>
      </c>
      <c r="D124" s="53" t="s">
        <v>137</v>
      </c>
      <c r="E124" s="53" t="s">
        <v>138</v>
      </c>
      <c r="F124" s="53" t="s">
        <v>3327</v>
      </c>
      <c r="G124" s="131" t="s">
        <v>30</v>
      </c>
      <c r="H124" s="53">
        <v>1</v>
      </c>
      <c r="I124" s="188">
        <v>6375</v>
      </c>
      <c r="J124" s="75">
        <f t="shared" si="9"/>
        <v>6375</v>
      </c>
      <c r="K124" s="55" t="b">
        <v>1</v>
      </c>
      <c r="L124" s="56">
        <v>140220251814</v>
      </c>
      <c r="M124" s="57" t="b">
        <v>1</v>
      </c>
      <c r="N124" s="58" t="s">
        <v>39</v>
      </c>
      <c r="O124" s="226"/>
      <c r="P124" s="191" t="b">
        <v>1</v>
      </c>
      <c r="Q124" s="308" t="s">
        <v>3138</v>
      </c>
      <c r="R124" s="47" t="b">
        <v>1</v>
      </c>
      <c r="S124" s="310" t="s">
        <v>3331</v>
      </c>
      <c r="T124" s="54"/>
    </row>
    <row r="125" spans="1:20" ht="16">
      <c r="A125" s="162"/>
      <c r="B125" s="71" t="s">
        <v>3318</v>
      </c>
      <c r="C125" s="53" t="s">
        <v>51</v>
      </c>
      <c r="D125" s="53" t="s">
        <v>137</v>
      </c>
      <c r="E125" s="53" t="s">
        <v>138</v>
      </c>
      <c r="F125" s="53" t="s">
        <v>2468</v>
      </c>
      <c r="G125" s="131" t="s">
        <v>30</v>
      </c>
      <c r="H125" s="53">
        <v>110</v>
      </c>
      <c r="I125" s="188">
        <v>42.5</v>
      </c>
      <c r="J125" s="75">
        <f t="shared" si="9"/>
        <v>4675</v>
      </c>
      <c r="K125" s="55" t="b">
        <v>1</v>
      </c>
      <c r="L125" s="56">
        <v>140220251816</v>
      </c>
      <c r="M125" s="57" t="b">
        <v>1</v>
      </c>
      <c r="N125" s="58" t="s">
        <v>39</v>
      </c>
      <c r="O125" s="226"/>
      <c r="P125" s="191" t="b">
        <v>1</v>
      </c>
      <c r="Q125" s="308" t="s">
        <v>3138</v>
      </c>
      <c r="R125" s="47" t="b">
        <v>1</v>
      </c>
      <c r="S125" s="310" t="s">
        <v>3331</v>
      </c>
      <c r="T125" s="54"/>
    </row>
    <row r="126" spans="1:20" ht="16">
      <c r="A126" s="162"/>
      <c r="B126" s="71" t="s">
        <v>3318</v>
      </c>
      <c r="C126" s="53" t="s">
        <v>51</v>
      </c>
      <c r="D126" s="53" t="s">
        <v>66</v>
      </c>
      <c r="E126" s="53" t="s">
        <v>67</v>
      </c>
      <c r="F126" s="53" t="s">
        <v>2468</v>
      </c>
      <c r="G126" s="131" t="s">
        <v>30</v>
      </c>
      <c r="H126" s="53">
        <v>100</v>
      </c>
      <c r="I126" s="188">
        <v>45</v>
      </c>
      <c r="J126" s="75">
        <f t="shared" si="9"/>
        <v>4500</v>
      </c>
      <c r="K126" s="55" t="b">
        <v>1</v>
      </c>
      <c r="L126" s="56">
        <v>140220251831</v>
      </c>
      <c r="M126" s="57" t="b">
        <v>1</v>
      </c>
      <c r="N126" s="58" t="s">
        <v>39</v>
      </c>
      <c r="O126" s="226"/>
      <c r="P126" s="191" t="b">
        <v>1</v>
      </c>
      <c r="Q126" s="308" t="s">
        <v>3138</v>
      </c>
      <c r="R126" s="47" t="b">
        <v>1</v>
      </c>
      <c r="S126" s="310" t="s">
        <v>3332</v>
      </c>
      <c r="T126" s="54"/>
    </row>
    <row r="127" spans="1:20" ht="16">
      <c r="A127" s="162"/>
      <c r="B127" s="71" t="s">
        <v>3318</v>
      </c>
      <c r="C127" s="53" t="s">
        <v>51</v>
      </c>
      <c r="D127" s="53" t="s">
        <v>61</v>
      </c>
      <c r="E127" s="53" t="s">
        <v>548</v>
      </c>
      <c r="F127" s="53" t="s">
        <v>3327</v>
      </c>
      <c r="G127" s="131" t="s">
        <v>30</v>
      </c>
      <c r="H127" s="53">
        <v>1</v>
      </c>
      <c r="I127" s="188">
        <v>4250</v>
      </c>
      <c r="J127" s="75">
        <f t="shared" si="9"/>
        <v>4250</v>
      </c>
      <c r="K127" s="55" t="b">
        <v>1</v>
      </c>
      <c r="L127" s="56">
        <v>150220251703</v>
      </c>
      <c r="M127" s="57" t="b">
        <v>1</v>
      </c>
      <c r="N127" s="58" t="s">
        <v>39</v>
      </c>
      <c r="O127" s="226"/>
      <c r="P127" s="191" t="b">
        <v>1</v>
      </c>
      <c r="Q127" s="308" t="s">
        <v>3138</v>
      </c>
      <c r="R127" s="47" t="b">
        <v>1</v>
      </c>
      <c r="S127" s="310" t="s">
        <v>3333</v>
      </c>
      <c r="T127" s="54"/>
    </row>
    <row r="128" spans="1:20" ht="16">
      <c r="A128" s="162"/>
      <c r="B128" s="71" t="s">
        <v>3318</v>
      </c>
      <c r="C128" s="53" t="s">
        <v>51</v>
      </c>
      <c r="D128" s="53" t="s">
        <v>61</v>
      </c>
      <c r="E128" s="53" t="s">
        <v>548</v>
      </c>
      <c r="F128" s="53" t="s">
        <v>2468</v>
      </c>
      <c r="G128" s="131" t="s">
        <v>30</v>
      </c>
      <c r="H128" s="53">
        <v>65</v>
      </c>
      <c r="I128" s="188">
        <v>42.5</v>
      </c>
      <c r="J128" s="75">
        <f t="shared" si="9"/>
        <v>2762.5</v>
      </c>
      <c r="K128" s="55" t="b">
        <v>1</v>
      </c>
      <c r="L128" s="56">
        <v>150220251705</v>
      </c>
      <c r="M128" s="57" t="b">
        <v>1</v>
      </c>
      <c r="N128" s="58" t="s">
        <v>39</v>
      </c>
      <c r="O128" s="226"/>
      <c r="P128" s="191" t="b">
        <v>1</v>
      </c>
      <c r="Q128" s="308" t="s">
        <v>3138</v>
      </c>
      <c r="R128" s="47" t="b">
        <v>1</v>
      </c>
      <c r="S128" s="310" t="s">
        <v>3333</v>
      </c>
      <c r="T128" s="54"/>
    </row>
    <row r="129" spans="1:20" ht="16">
      <c r="A129" s="162"/>
      <c r="B129" s="71" t="s">
        <v>3335</v>
      </c>
      <c r="C129" s="53" t="s">
        <v>51</v>
      </c>
      <c r="D129" s="53" t="s">
        <v>2970</v>
      </c>
      <c r="E129" s="53" t="s">
        <v>595</v>
      </c>
      <c r="F129" s="53" t="s">
        <v>894</v>
      </c>
      <c r="G129" s="131" t="s">
        <v>30</v>
      </c>
      <c r="H129" s="53">
        <v>3</v>
      </c>
      <c r="I129" s="188">
        <v>2750</v>
      </c>
      <c r="J129" s="75">
        <f t="shared" si="9"/>
        <v>8250</v>
      </c>
      <c r="K129" s="55" t="b">
        <v>1</v>
      </c>
      <c r="L129" s="56">
        <v>150220251705</v>
      </c>
      <c r="M129" s="57" t="b">
        <v>1</v>
      </c>
      <c r="N129" s="58" t="s">
        <v>39</v>
      </c>
      <c r="O129" s="226"/>
      <c r="P129" s="191" t="b">
        <v>1</v>
      </c>
      <c r="Q129" s="308" t="s">
        <v>3138</v>
      </c>
      <c r="R129" s="47" t="b">
        <v>1</v>
      </c>
      <c r="S129" s="310" t="s">
        <v>3334</v>
      </c>
      <c r="T129" s="54"/>
    </row>
    <row r="130" spans="1:20" ht="16">
      <c r="A130" s="162"/>
      <c r="B130" s="71" t="s">
        <v>3335</v>
      </c>
      <c r="C130" s="53" t="s">
        <v>51</v>
      </c>
      <c r="D130" s="53" t="s">
        <v>594</v>
      </c>
      <c r="E130" s="53" t="s">
        <v>595</v>
      </c>
      <c r="F130" s="53" t="s">
        <v>2468</v>
      </c>
      <c r="G130" s="131" t="s">
        <v>30</v>
      </c>
      <c r="H130" s="53">
        <v>100</v>
      </c>
      <c r="I130" s="188">
        <v>45</v>
      </c>
      <c r="J130" s="75">
        <f t="shared" si="9"/>
        <v>4500</v>
      </c>
      <c r="K130" s="55" t="b">
        <v>1</v>
      </c>
      <c r="L130" s="56">
        <v>150220251705</v>
      </c>
      <c r="M130" s="57" t="b">
        <v>1</v>
      </c>
      <c r="N130" s="58" t="s">
        <v>39</v>
      </c>
      <c r="O130" s="226"/>
      <c r="P130" s="191" t="b">
        <v>1</v>
      </c>
      <c r="Q130" s="308" t="s">
        <v>3138</v>
      </c>
      <c r="R130" s="47" t="b">
        <v>1</v>
      </c>
      <c r="S130" s="310" t="s">
        <v>3334</v>
      </c>
      <c r="T130" s="54"/>
    </row>
    <row r="131" spans="1:20" ht="16">
      <c r="A131" s="162"/>
      <c r="B131" s="71" t="s">
        <v>3336</v>
      </c>
      <c r="C131" s="53" t="s">
        <v>263</v>
      </c>
      <c r="D131" s="53" t="s">
        <v>263</v>
      </c>
      <c r="E131" s="53" t="s">
        <v>2855</v>
      </c>
      <c r="F131" s="53" t="s">
        <v>68</v>
      </c>
      <c r="G131" s="131" t="s">
        <v>30</v>
      </c>
      <c r="H131" s="53">
        <v>1</v>
      </c>
      <c r="I131" s="188">
        <v>2350</v>
      </c>
      <c r="J131" s="75">
        <f t="shared" si="9"/>
        <v>2350</v>
      </c>
      <c r="K131" s="55" t="b">
        <v>1</v>
      </c>
      <c r="L131" s="56">
        <v>170220250907</v>
      </c>
      <c r="M131" s="57" t="b">
        <v>1</v>
      </c>
      <c r="N131" s="58" t="s">
        <v>1581</v>
      </c>
      <c r="O131" s="226"/>
      <c r="P131" s="191" t="b">
        <v>1</v>
      </c>
      <c r="Q131" s="308" t="s">
        <v>3138</v>
      </c>
      <c r="R131" s="47" t="b">
        <v>1</v>
      </c>
      <c r="S131" s="310" t="s">
        <v>3337</v>
      </c>
      <c r="T131" s="54"/>
    </row>
    <row r="132" spans="1:20" ht="16">
      <c r="A132" s="162"/>
      <c r="B132" s="71" t="s">
        <v>3336</v>
      </c>
      <c r="C132" s="53" t="s">
        <v>418</v>
      </c>
      <c r="D132" s="53" t="s">
        <v>42</v>
      </c>
      <c r="E132" s="53" t="s">
        <v>209</v>
      </c>
      <c r="F132" s="53" t="s">
        <v>3338</v>
      </c>
      <c r="G132" s="131" t="s">
        <v>30</v>
      </c>
      <c r="H132" s="53">
        <v>3</v>
      </c>
      <c r="I132" s="188">
        <v>135</v>
      </c>
      <c r="J132" s="75">
        <f t="shared" si="9"/>
        <v>405</v>
      </c>
      <c r="K132" s="55" t="b">
        <v>1</v>
      </c>
      <c r="L132" s="56">
        <v>170220250915</v>
      </c>
      <c r="M132" s="57" t="b">
        <v>1</v>
      </c>
      <c r="N132" s="58" t="s">
        <v>1581</v>
      </c>
      <c r="O132" s="226"/>
      <c r="P132" s="191" t="b">
        <v>1</v>
      </c>
      <c r="Q132" s="308" t="s">
        <v>3138</v>
      </c>
      <c r="R132" s="47" t="b">
        <v>1</v>
      </c>
      <c r="S132" s="310" t="s">
        <v>3339</v>
      </c>
      <c r="T132" s="54"/>
    </row>
    <row r="133" spans="1:20" ht="16">
      <c r="A133" s="162"/>
      <c r="B133" s="71" t="s">
        <v>3336</v>
      </c>
      <c r="C133" s="53" t="s">
        <v>51</v>
      </c>
      <c r="D133" s="53" t="s">
        <v>201</v>
      </c>
      <c r="E133" s="53" t="s">
        <v>202</v>
      </c>
      <c r="F133" s="53" t="s">
        <v>236</v>
      </c>
      <c r="G133" s="131" t="s">
        <v>30</v>
      </c>
      <c r="H133" s="53">
        <v>12</v>
      </c>
      <c r="I133" s="188">
        <v>195</v>
      </c>
      <c r="J133" s="75">
        <f t="shared" si="9"/>
        <v>2340</v>
      </c>
      <c r="K133" s="55" t="b">
        <v>1</v>
      </c>
      <c r="L133" s="56">
        <v>170220250917</v>
      </c>
      <c r="M133" s="57" t="b">
        <v>1</v>
      </c>
      <c r="N133" s="58" t="s">
        <v>529</v>
      </c>
      <c r="O133" s="226"/>
      <c r="P133" s="191" t="b">
        <v>1</v>
      </c>
      <c r="Q133" s="308" t="s">
        <v>3138</v>
      </c>
      <c r="R133" s="47" t="b">
        <v>1</v>
      </c>
      <c r="S133" s="310" t="s">
        <v>3340</v>
      </c>
      <c r="T133" s="54"/>
    </row>
    <row r="134" spans="1:20" ht="16">
      <c r="A134" s="162"/>
      <c r="B134" s="71" t="s">
        <v>3336</v>
      </c>
      <c r="C134" s="53" t="s">
        <v>51</v>
      </c>
      <c r="D134" s="53" t="s">
        <v>201</v>
      </c>
      <c r="E134" s="53" t="s">
        <v>202</v>
      </c>
      <c r="F134" s="53" t="s">
        <v>512</v>
      </c>
      <c r="G134" s="131" t="s">
        <v>30</v>
      </c>
      <c r="H134" s="53">
        <v>15</v>
      </c>
      <c r="I134" s="188">
        <v>615</v>
      </c>
      <c r="J134" s="75">
        <f t="shared" si="9"/>
        <v>9225</v>
      </c>
      <c r="K134" s="55" t="b">
        <v>1</v>
      </c>
      <c r="L134" s="56">
        <v>170220250917</v>
      </c>
      <c r="M134" s="57" t="b">
        <v>1</v>
      </c>
      <c r="N134" s="58" t="s">
        <v>529</v>
      </c>
      <c r="O134" s="226"/>
      <c r="P134" s="191" t="b">
        <v>1</v>
      </c>
      <c r="Q134" s="308" t="s">
        <v>3138</v>
      </c>
      <c r="R134" s="47" t="b">
        <v>1</v>
      </c>
      <c r="S134" s="310" t="s">
        <v>3340</v>
      </c>
      <c r="T134" s="54"/>
    </row>
    <row r="135" spans="1:20" ht="16">
      <c r="A135" s="162"/>
      <c r="B135" s="71" t="s">
        <v>3336</v>
      </c>
      <c r="C135" s="53" t="s">
        <v>2152</v>
      </c>
      <c r="D135" s="53" t="s">
        <v>2152</v>
      </c>
      <c r="E135" s="53" t="s">
        <v>3077</v>
      </c>
      <c r="F135" s="53" t="s">
        <v>3026</v>
      </c>
      <c r="G135" s="131" t="s">
        <v>30</v>
      </c>
      <c r="H135" s="53">
        <v>50</v>
      </c>
      <c r="I135" s="188">
        <v>30</v>
      </c>
      <c r="J135" s="75">
        <f t="shared" si="9"/>
        <v>1500</v>
      </c>
      <c r="K135" s="55" t="b">
        <v>1</v>
      </c>
      <c r="L135" s="56">
        <v>170220250921</v>
      </c>
      <c r="M135" s="57" t="b">
        <v>1</v>
      </c>
      <c r="N135" s="58" t="s">
        <v>2968</v>
      </c>
      <c r="O135" s="226"/>
      <c r="P135" s="191" t="b">
        <v>1</v>
      </c>
      <c r="Q135" s="308" t="s">
        <v>3138</v>
      </c>
      <c r="R135" s="47" t="b">
        <v>1</v>
      </c>
      <c r="S135" s="310" t="s">
        <v>3341</v>
      </c>
      <c r="T135" s="54"/>
    </row>
    <row r="136" spans="1:20" ht="16">
      <c r="A136" s="162"/>
      <c r="B136" s="71" t="s">
        <v>3336</v>
      </c>
      <c r="C136" s="53" t="s">
        <v>2152</v>
      </c>
      <c r="D136" s="53" t="s">
        <v>2152</v>
      </c>
      <c r="E136" s="53" t="s">
        <v>3077</v>
      </c>
      <c r="F136" s="53" t="s">
        <v>3342</v>
      </c>
      <c r="G136" s="131" t="s">
        <v>30</v>
      </c>
      <c r="H136" s="53">
        <v>2</v>
      </c>
      <c r="I136" s="188">
        <v>875</v>
      </c>
      <c r="J136" s="75">
        <f t="shared" si="9"/>
        <v>1750</v>
      </c>
      <c r="K136" s="55" t="b">
        <v>1</v>
      </c>
      <c r="L136" s="56">
        <v>170220250938</v>
      </c>
      <c r="M136" s="57" t="b">
        <v>1</v>
      </c>
      <c r="N136" s="58" t="s">
        <v>529</v>
      </c>
      <c r="O136" s="226"/>
      <c r="P136" s="191" t="b">
        <v>1</v>
      </c>
      <c r="Q136" s="308" t="s">
        <v>3138</v>
      </c>
      <c r="R136" s="47" t="b">
        <v>1</v>
      </c>
      <c r="S136" s="310" t="s">
        <v>3341</v>
      </c>
      <c r="T136" s="54"/>
    </row>
    <row r="137" spans="1:20" ht="16">
      <c r="A137" s="162"/>
      <c r="B137" s="71" t="s">
        <v>3336</v>
      </c>
      <c r="C137" s="53" t="s">
        <v>2152</v>
      </c>
      <c r="D137" s="53" t="s">
        <v>2152</v>
      </c>
      <c r="E137" s="53" t="s">
        <v>3077</v>
      </c>
      <c r="F137" s="53" t="s">
        <v>3343</v>
      </c>
      <c r="G137" s="131" t="s">
        <v>30</v>
      </c>
      <c r="H137" s="53">
        <v>1</v>
      </c>
      <c r="I137" s="188">
        <v>2350</v>
      </c>
      <c r="J137" s="75">
        <f t="shared" si="9"/>
        <v>2350</v>
      </c>
      <c r="K137" s="55" t="b">
        <v>1</v>
      </c>
      <c r="L137" s="56">
        <v>170220251008</v>
      </c>
      <c r="M137" s="57" t="b">
        <v>1</v>
      </c>
      <c r="N137" s="58" t="s">
        <v>1581</v>
      </c>
      <c r="O137" s="226"/>
      <c r="P137" s="191" t="b">
        <v>1</v>
      </c>
      <c r="Q137" s="308" t="s">
        <v>3138</v>
      </c>
      <c r="R137" s="47" t="b">
        <v>1</v>
      </c>
      <c r="S137" s="310" t="s">
        <v>3344</v>
      </c>
      <c r="T137" s="54"/>
    </row>
    <row r="138" spans="1:20" ht="16">
      <c r="A138" s="162"/>
      <c r="B138" s="71" t="s">
        <v>3336</v>
      </c>
      <c r="C138" s="53" t="s">
        <v>51</v>
      </c>
      <c r="D138" s="53" t="s">
        <v>335</v>
      </c>
      <c r="E138" s="53" t="s">
        <v>457</v>
      </c>
      <c r="F138" s="53" t="s">
        <v>2501</v>
      </c>
      <c r="G138" s="131" t="s">
        <v>30</v>
      </c>
      <c r="H138" s="53">
        <v>1</v>
      </c>
      <c r="I138" s="188">
        <v>2750</v>
      </c>
      <c r="J138" s="75">
        <f t="shared" si="9"/>
        <v>2750</v>
      </c>
      <c r="K138" s="55" t="b">
        <v>1</v>
      </c>
      <c r="L138" s="56">
        <v>170220251050</v>
      </c>
      <c r="M138" s="57" t="b">
        <v>1</v>
      </c>
      <c r="N138" s="58" t="s">
        <v>2968</v>
      </c>
      <c r="O138" s="226"/>
      <c r="P138" s="191" t="b">
        <v>1</v>
      </c>
      <c r="Q138" s="308" t="s">
        <v>3138</v>
      </c>
      <c r="R138" s="47" t="b">
        <v>1</v>
      </c>
      <c r="S138" s="310" t="s">
        <v>3345</v>
      </c>
      <c r="T138" s="54"/>
    </row>
    <row r="139" spans="1:20" ht="16">
      <c r="A139" s="162"/>
      <c r="B139" s="71" t="s">
        <v>3336</v>
      </c>
      <c r="C139" s="53" t="s">
        <v>104</v>
      </c>
      <c r="D139" s="53" t="s">
        <v>486</v>
      </c>
      <c r="E139" s="53" t="s">
        <v>3346</v>
      </c>
      <c r="F139" s="53" t="s">
        <v>639</v>
      </c>
      <c r="G139" s="131" t="s">
        <v>30</v>
      </c>
      <c r="H139" s="53">
        <v>72</v>
      </c>
      <c r="I139" s="188">
        <v>218</v>
      </c>
      <c r="J139" s="75">
        <f t="shared" si="9"/>
        <v>15696</v>
      </c>
      <c r="K139" s="55" t="b">
        <v>1</v>
      </c>
      <c r="L139" s="56">
        <v>170220251137</v>
      </c>
      <c r="M139" s="57" t="b">
        <v>1</v>
      </c>
      <c r="N139" s="58" t="s">
        <v>2968</v>
      </c>
      <c r="O139" s="226"/>
      <c r="P139" s="191" t="b">
        <v>1</v>
      </c>
      <c r="Q139" s="308" t="s">
        <v>3138</v>
      </c>
      <c r="R139" s="47" t="b">
        <v>1</v>
      </c>
      <c r="S139" s="310" t="s">
        <v>3347</v>
      </c>
      <c r="T139" s="54"/>
    </row>
    <row r="140" spans="1:20" ht="16">
      <c r="A140" s="162"/>
      <c r="B140" s="71" t="s">
        <v>3336</v>
      </c>
      <c r="C140" s="53" t="s">
        <v>51</v>
      </c>
      <c r="D140" s="53" t="s">
        <v>201</v>
      </c>
      <c r="E140" s="53" t="s">
        <v>202</v>
      </c>
      <c r="F140" s="53" t="s">
        <v>1700</v>
      </c>
      <c r="G140" s="131" t="s">
        <v>30</v>
      </c>
      <c r="H140" s="53">
        <v>200</v>
      </c>
      <c r="I140" s="188">
        <v>13.5</v>
      </c>
      <c r="J140" s="75">
        <f t="shared" si="9"/>
        <v>2700</v>
      </c>
      <c r="K140" s="55" t="b">
        <v>1</v>
      </c>
      <c r="L140" s="56">
        <v>170220251304</v>
      </c>
      <c r="M140" s="57" t="b">
        <v>1</v>
      </c>
      <c r="N140" s="58" t="s">
        <v>1581</v>
      </c>
      <c r="O140" s="226"/>
      <c r="P140" s="191" t="b">
        <v>1</v>
      </c>
      <c r="Q140" s="308" t="s">
        <v>3138</v>
      </c>
      <c r="R140" s="47" t="b">
        <v>1</v>
      </c>
      <c r="S140" s="310" t="s">
        <v>3348</v>
      </c>
      <c r="T140" s="54"/>
    </row>
    <row r="141" spans="1:20" ht="16">
      <c r="A141" s="162"/>
      <c r="B141" s="71" t="s">
        <v>3336</v>
      </c>
      <c r="C141" s="53" t="s">
        <v>104</v>
      </c>
      <c r="D141" s="53" t="s">
        <v>1048</v>
      </c>
      <c r="E141" s="53" t="s">
        <v>3349</v>
      </c>
      <c r="F141" s="53" t="s">
        <v>139</v>
      </c>
      <c r="G141" s="131" t="s">
        <v>30</v>
      </c>
      <c r="H141" s="53">
        <v>15</v>
      </c>
      <c r="I141" s="188">
        <v>30</v>
      </c>
      <c r="J141" s="75">
        <f t="shared" si="9"/>
        <v>450</v>
      </c>
      <c r="K141" s="55" t="b">
        <v>1</v>
      </c>
      <c r="L141" s="56">
        <v>170220251311</v>
      </c>
      <c r="M141" s="57" t="b">
        <v>1</v>
      </c>
      <c r="N141" s="58" t="s">
        <v>2968</v>
      </c>
      <c r="O141" s="226"/>
      <c r="P141" s="191" t="b">
        <v>1</v>
      </c>
      <c r="Q141" s="308" t="s">
        <v>3138</v>
      </c>
      <c r="R141" s="47" t="b">
        <v>1</v>
      </c>
      <c r="S141" s="310" t="s">
        <v>3350</v>
      </c>
      <c r="T141" s="54"/>
    </row>
    <row r="142" spans="1:20" ht="16">
      <c r="A142" s="162"/>
      <c r="B142" s="71" t="s">
        <v>3336</v>
      </c>
      <c r="C142" s="53" t="s">
        <v>51</v>
      </c>
      <c r="D142" s="53" t="s">
        <v>338</v>
      </c>
      <c r="E142" s="53" t="s">
        <v>3351</v>
      </c>
      <c r="F142" s="53" t="s">
        <v>1700</v>
      </c>
      <c r="G142" s="131" t="s">
        <v>30</v>
      </c>
      <c r="H142" s="53">
        <v>100</v>
      </c>
      <c r="I142" s="188">
        <v>13.5</v>
      </c>
      <c r="J142" s="75">
        <f t="shared" si="9"/>
        <v>1350</v>
      </c>
      <c r="K142" s="55" t="b">
        <v>1</v>
      </c>
      <c r="L142" s="56">
        <v>170220251437</v>
      </c>
      <c r="M142" s="57" t="b">
        <v>1</v>
      </c>
      <c r="N142" s="58" t="s">
        <v>1581</v>
      </c>
      <c r="O142" s="226"/>
      <c r="P142" s="191" t="b">
        <v>1</v>
      </c>
      <c r="Q142" s="308" t="s">
        <v>3138</v>
      </c>
      <c r="R142" s="47" t="b">
        <v>1</v>
      </c>
      <c r="S142" s="310" t="s">
        <v>3352</v>
      </c>
      <c r="T142" s="54"/>
    </row>
    <row r="143" spans="1:20" ht="16">
      <c r="A143" s="162"/>
      <c r="B143" s="71" t="s">
        <v>3336</v>
      </c>
      <c r="C143" s="53" t="s">
        <v>194</v>
      </c>
      <c r="D143" s="53" t="s">
        <v>137</v>
      </c>
      <c r="E143" s="53" t="s">
        <v>989</v>
      </c>
      <c r="F143" s="53" t="s">
        <v>3353</v>
      </c>
      <c r="G143" s="131" t="s">
        <v>30</v>
      </c>
      <c r="H143" s="53">
        <v>2</v>
      </c>
      <c r="I143" s="188">
        <v>1550</v>
      </c>
      <c r="J143" s="75">
        <f t="shared" si="9"/>
        <v>3100</v>
      </c>
      <c r="K143" s="55" t="b">
        <v>1</v>
      </c>
      <c r="L143" s="56">
        <v>170220252020</v>
      </c>
      <c r="M143" s="57" t="b">
        <v>1</v>
      </c>
      <c r="N143" s="58" t="s">
        <v>2968</v>
      </c>
      <c r="O143" s="226"/>
      <c r="P143" s="191" t="b">
        <v>1</v>
      </c>
      <c r="Q143" s="308" t="s">
        <v>3138</v>
      </c>
      <c r="R143" s="47" t="b">
        <v>1</v>
      </c>
      <c r="S143" s="310" t="s">
        <v>3354</v>
      </c>
      <c r="T143" s="54"/>
    </row>
    <row r="144" spans="1:20" ht="16">
      <c r="A144" s="162"/>
      <c r="B144" s="71" t="s">
        <v>3336</v>
      </c>
      <c r="C144" s="53" t="s">
        <v>212</v>
      </c>
      <c r="D144" s="53" t="s">
        <v>213</v>
      </c>
      <c r="E144" s="53" t="s">
        <v>2839</v>
      </c>
      <c r="F144" s="53" t="s">
        <v>3355</v>
      </c>
      <c r="G144" s="131" t="s">
        <v>30</v>
      </c>
      <c r="H144" s="53">
        <v>10</v>
      </c>
      <c r="I144" s="188">
        <v>200</v>
      </c>
      <c r="J144" s="75">
        <f t="shared" si="9"/>
        <v>2000</v>
      </c>
      <c r="K144" s="55" t="b">
        <v>1</v>
      </c>
      <c r="L144" s="56">
        <v>170220252020</v>
      </c>
      <c r="M144" s="57" t="b">
        <v>1</v>
      </c>
      <c r="N144" s="58" t="s">
        <v>351</v>
      </c>
      <c r="O144" s="226"/>
      <c r="P144" s="191" t="b">
        <v>1</v>
      </c>
      <c r="Q144" s="308" t="s">
        <v>3138</v>
      </c>
      <c r="R144" s="47" t="b">
        <v>1</v>
      </c>
      <c r="S144" s="310" t="s">
        <v>3356</v>
      </c>
      <c r="T144" s="54"/>
    </row>
    <row r="145" spans="1:20" ht="14.25" customHeight="1">
      <c r="A145" s="162"/>
      <c r="B145" s="71" t="s">
        <v>3336</v>
      </c>
      <c r="C145" s="53" t="s">
        <v>26</v>
      </c>
      <c r="D145" s="53" t="s">
        <v>27</v>
      </c>
      <c r="E145" s="53" t="s">
        <v>1273</v>
      </c>
      <c r="F145" s="53" t="s">
        <v>49</v>
      </c>
      <c r="G145" s="131" t="s">
        <v>30</v>
      </c>
      <c r="H145" s="53">
        <v>10</v>
      </c>
      <c r="I145" s="188">
        <v>650</v>
      </c>
      <c r="J145" s="75">
        <f t="shared" si="9"/>
        <v>6500</v>
      </c>
      <c r="K145" s="55" t="b">
        <v>1</v>
      </c>
      <c r="L145" s="56">
        <v>170220252021</v>
      </c>
      <c r="M145" s="57" t="b">
        <v>1</v>
      </c>
      <c r="N145" s="58" t="s">
        <v>39</v>
      </c>
      <c r="O145" s="226"/>
      <c r="P145" s="191" t="b">
        <v>1</v>
      </c>
      <c r="Q145" s="308" t="s">
        <v>3138</v>
      </c>
      <c r="R145" s="47" t="b">
        <v>1</v>
      </c>
      <c r="S145" s="310" t="s">
        <v>3357</v>
      </c>
      <c r="T145" s="54"/>
    </row>
    <row r="146" spans="1:20" ht="16">
      <c r="A146" s="162"/>
      <c r="B146" s="71" t="s">
        <v>3336</v>
      </c>
      <c r="C146" s="53" t="s">
        <v>26</v>
      </c>
      <c r="D146" s="53" t="s">
        <v>27</v>
      </c>
      <c r="E146" s="53" t="s">
        <v>1273</v>
      </c>
      <c r="F146" s="53" t="s">
        <v>1700</v>
      </c>
      <c r="G146" s="131" t="s">
        <v>30</v>
      </c>
      <c r="H146" s="53">
        <v>300</v>
      </c>
      <c r="I146" s="188">
        <v>13.5</v>
      </c>
      <c r="J146" s="75">
        <f t="shared" si="9"/>
        <v>4050</v>
      </c>
      <c r="K146" s="55" t="b">
        <v>1</v>
      </c>
      <c r="L146" s="56">
        <v>170220252022</v>
      </c>
      <c r="M146" s="57" t="b">
        <v>1</v>
      </c>
      <c r="N146" s="58" t="s">
        <v>1581</v>
      </c>
      <c r="O146" s="226"/>
      <c r="P146" s="191" t="b">
        <v>1</v>
      </c>
      <c r="Q146" s="308" t="s">
        <v>3138</v>
      </c>
      <c r="R146" s="47" t="b">
        <v>1</v>
      </c>
      <c r="S146" s="310" t="s">
        <v>3357</v>
      </c>
      <c r="T146" s="54"/>
    </row>
    <row r="147" spans="1:20" ht="16">
      <c r="A147" s="162"/>
      <c r="B147" s="71" t="s">
        <v>3358</v>
      </c>
      <c r="C147" s="53" t="s">
        <v>55</v>
      </c>
      <c r="D147" s="53" t="s">
        <v>56</v>
      </c>
      <c r="E147" s="53" t="s">
        <v>57</v>
      </c>
      <c r="F147" s="53" t="s">
        <v>308</v>
      </c>
      <c r="G147" s="131" t="s">
        <v>30</v>
      </c>
      <c r="H147" s="53">
        <v>2</v>
      </c>
      <c r="I147" s="188">
        <v>895</v>
      </c>
      <c r="J147" s="75">
        <f t="shared" si="9"/>
        <v>1790</v>
      </c>
      <c r="K147" s="55" t="b">
        <v>1</v>
      </c>
      <c r="L147" s="56">
        <v>180220251348</v>
      </c>
      <c r="M147" s="57" t="b">
        <v>1</v>
      </c>
      <c r="N147" s="58" t="s">
        <v>529</v>
      </c>
      <c r="O147" s="226"/>
      <c r="P147" s="191" t="b">
        <v>1</v>
      </c>
      <c r="Q147" s="308" t="s">
        <v>3138</v>
      </c>
      <c r="R147" s="47" t="b">
        <v>1</v>
      </c>
      <c r="S147" s="310" t="s">
        <v>3359</v>
      </c>
      <c r="T147" s="54"/>
    </row>
    <row r="148" spans="1:20" ht="16">
      <c r="A148" s="162"/>
      <c r="B148" s="71" t="s">
        <v>3360</v>
      </c>
      <c r="C148" s="53" t="s">
        <v>433</v>
      </c>
      <c r="D148" s="53" t="s">
        <v>434</v>
      </c>
      <c r="E148" s="53" t="s">
        <v>1754</v>
      </c>
      <c r="F148" s="53" t="s">
        <v>80</v>
      </c>
      <c r="G148" s="131" t="s">
        <v>30</v>
      </c>
      <c r="H148" s="53">
        <v>10</v>
      </c>
      <c r="I148" s="188">
        <v>300</v>
      </c>
      <c r="J148" s="75">
        <f t="shared" si="9"/>
        <v>3000</v>
      </c>
      <c r="K148" s="55" t="b">
        <v>1</v>
      </c>
      <c r="L148" s="56">
        <v>180220251557</v>
      </c>
      <c r="M148" s="57" t="b">
        <v>1</v>
      </c>
      <c r="N148" s="58" t="s">
        <v>2968</v>
      </c>
      <c r="O148" s="226"/>
      <c r="P148" s="191" t="b">
        <v>1</v>
      </c>
      <c r="Q148" s="308" t="s">
        <v>3138</v>
      </c>
      <c r="R148" s="47" t="b">
        <v>1</v>
      </c>
      <c r="S148" s="310" t="s">
        <v>3361</v>
      </c>
      <c r="T148" s="54"/>
    </row>
    <row r="149" spans="1:20" ht="16">
      <c r="A149" s="162"/>
      <c r="B149" s="71" t="s">
        <v>3360</v>
      </c>
      <c r="C149" s="53" t="s">
        <v>433</v>
      </c>
      <c r="D149" s="53" t="s">
        <v>434</v>
      </c>
      <c r="E149" s="53" t="s">
        <v>1754</v>
      </c>
      <c r="F149" s="53" t="s">
        <v>639</v>
      </c>
      <c r="G149" s="131" t="s">
        <v>30</v>
      </c>
      <c r="H149" s="53">
        <v>24</v>
      </c>
      <c r="I149" s="188">
        <v>218</v>
      </c>
      <c r="J149" s="75">
        <f t="shared" si="9"/>
        <v>5232</v>
      </c>
      <c r="K149" s="55" t="b">
        <v>1</v>
      </c>
      <c r="L149" s="56">
        <v>180220251557</v>
      </c>
      <c r="M149" s="57" t="b">
        <v>1</v>
      </c>
      <c r="N149" s="58" t="s">
        <v>2968</v>
      </c>
      <c r="O149" s="226"/>
      <c r="P149" s="191" t="b">
        <v>1</v>
      </c>
      <c r="Q149" s="308" t="s">
        <v>3138</v>
      </c>
      <c r="R149" s="47" t="b">
        <v>1</v>
      </c>
      <c r="S149" s="310" t="s">
        <v>3361</v>
      </c>
      <c r="T149" s="54"/>
    </row>
    <row r="150" spans="1:20" ht="16">
      <c r="A150" s="162"/>
      <c r="B150" s="71" t="s">
        <v>3360</v>
      </c>
      <c r="C150" s="53" t="s">
        <v>433</v>
      </c>
      <c r="D150" s="53" t="s">
        <v>434</v>
      </c>
      <c r="E150" s="53" t="s">
        <v>1754</v>
      </c>
      <c r="F150" s="53" t="s">
        <v>304</v>
      </c>
      <c r="G150" s="131" t="s">
        <v>30</v>
      </c>
      <c r="H150" s="53">
        <v>24</v>
      </c>
      <c r="I150" s="188">
        <v>57</v>
      </c>
      <c r="J150" s="75">
        <f t="shared" si="9"/>
        <v>1368</v>
      </c>
      <c r="K150" s="55" t="b">
        <v>1</v>
      </c>
      <c r="L150" s="56">
        <v>180220251557</v>
      </c>
      <c r="M150" s="57" t="b">
        <v>1</v>
      </c>
      <c r="N150" s="58" t="s">
        <v>2968</v>
      </c>
      <c r="O150" s="226"/>
      <c r="P150" s="191" t="b">
        <v>1</v>
      </c>
      <c r="Q150" s="308" t="s">
        <v>3138</v>
      </c>
      <c r="R150" s="47" t="b">
        <v>1</v>
      </c>
      <c r="S150" s="310" t="s">
        <v>3361</v>
      </c>
      <c r="T150" s="54"/>
    </row>
    <row r="151" spans="1:20" ht="16">
      <c r="A151" s="162"/>
      <c r="B151" s="71" t="s">
        <v>3362</v>
      </c>
      <c r="C151" s="53" t="s">
        <v>51</v>
      </c>
      <c r="D151" s="53" t="s">
        <v>61</v>
      </c>
      <c r="E151" s="53" t="s">
        <v>505</v>
      </c>
      <c r="F151" s="53" t="s">
        <v>3363</v>
      </c>
      <c r="G151" s="131" t="s">
        <v>30</v>
      </c>
      <c r="H151" s="53">
        <v>1</v>
      </c>
      <c r="I151" s="188">
        <v>3500</v>
      </c>
      <c r="J151" s="75">
        <f t="shared" si="9"/>
        <v>3500</v>
      </c>
      <c r="K151" s="55" t="b">
        <v>1</v>
      </c>
      <c r="L151" s="56">
        <v>190220251129</v>
      </c>
      <c r="M151" s="57" t="b">
        <v>1</v>
      </c>
      <c r="N151" s="58" t="s">
        <v>2968</v>
      </c>
      <c r="O151" s="226"/>
      <c r="P151" s="191" t="b">
        <v>1</v>
      </c>
      <c r="Q151" s="308" t="s">
        <v>3138</v>
      </c>
      <c r="R151" s="47" t="b">
        <v>1</v>
      </c>
      <c r="S151" s="310" t="s">
        <v>3364</v>
      </c>
      <c r="T151" s="54"/>
    </row>
    <row r="152" spans="1:20" ht="16">
      <c r="A152" s="162"/>
      <c r="B152" s="71" t="s">
        <v>3362</v>
      </c>
      <c r="C152" s="53" t="s">
        <v>51</v>
      </c>
      <c r="D152" s="53" t="s">
        <v>61</v>
      </c>
      <c r="E152" s="53" t="s">
        <v>505</v>
      </c>
      <c r="F152" s="53" t="s">
        <v>3365</v>
      </c>
      <c r="G152" s="131" t="s">
        <v>30</v>
      </c>
      <c r="H152" s="53">
        <v>1</v>
      </c>
      <c r="I152" s="188">
        <v>6500</v>
      </c>
      <c r="J152" s="75">
        <f t="shared" si="9"/>
        <v>6500</v>
      </c>
      <c r="K152" s="55" t="b">
        <v>1</v>
      </c>
      <c r="L152" s="56">
        <v>190220251129</v>
      </c>
      <c r="M152" s="57" t="b">
        <v>1</v>
      </c>
      <c r="N152" s="58" t="s">
        <v>2968</v>
      </c>
      <c r="O152" s="226"/>
      <c r="P152" s="191" t="b">
        <v>1</v>
      </c>
      <c r="Q152" s="308" t="s">
        <v>3138</v>
      </c>
      <c r="R152" s="47" t="b">
        <v>1</v>
      </c>
      <c r="S152" s="310" t="s">
        <v>3364</v>
      </c>
      <c r="T152" s="54"/>
    </row>
    <row r="153" spans="1:20" ht="16">
      <c r="A153" s="162"/>
      <c r="B153" s="71" t="s">
        <v>3362</v>
      </c>
      <c r="C153" s="53" t="s">
        <v>51</v>
      </c>
      <c r="D153" s="53" t="s">
        <v>335</v>
      </c>
      <c r="E153" s="53" t="s">
        <v>2237</v>
      </c>
      <c r="F153" s="53" t="s">
        <v>3366</v>
      </c>
      <c r="G153" s="131" t="s">
        <v>30</v>
      </c>
      <c r="H153" s="53">
        <v>2000</v>
      </c>
      <c r="I153" s="188">
        <v>2.1</v>
      </c>
      <c r="J153" s="75">
        <f t="shared" si="9"/>
        <v>4200</v>
      </c>
      <c r="K153" s="55" t="b">
        <v>1</v>
      </c>
      <c r="L153" s="56">
        <v>190220251129</v>
      </c>
      <c r="M153" s="57" t="b">
        <v>1</v>
      </c>
      <c r="N153" s="58" t="s">
        <v>1581</v>
      </c>
      <c r="O153" s="226"/>
      <c r="P153" s="191" t="b">
        <v>1</v>
      </c>
      <c r="Q153" s="308" t="s">
        <v>3138</v>
      </c>
      <c r="R153" s="47" t="b">
        <v>1</v>
      </c>
      <c r="S153" s="310" t="s">
        <v>3367</v>
      </c>
      <c r="T153" s="54"/>
    </row>
    <row r="154" spans="1:20" ht="16">
      <c r="A154" s="162"/>
      <c r="B154" s="71" t="s">
        <v>3362</v>
      </c>
      <c r="C154" s="53" t="s">
        <v>890</v>
      </c>
      <c r="D154" s="53" t="s">
        <v>890</v>
      </c>
      <c r="E154" s="53" t="s">
        <v>131</v>
      </c>
      <c r="F154" s="53" t="s">
        <v>139</v>
      </c>
      <c r="G154" s="131" t="s">
        <v>30</v>
      </c>
      <c r="H154" s="53">
        <v>50</v>
      </c>
      <c r="I154" s="188">
        <v>30</v>
      </c>
      <c r="J154" s="75">
        <f t="shared" si="9"/>
        <v>1500</v>
      </c>
      <c r="K154" s="55" t="b">
        <v>1</v>
      </c>
      <c r="L154" s="56">
        <v>190220251312</v>
      </c>
      <c r="M154" s="57" t="b">
        <v>1</v>
      </c>
      <c r="N154" s="58" t="s">
        <v>2968</v>
      </c>
      <c r="O154" s="226"/>
      <c r="P154" s="191" t="b">
        <v>1</v>
      </c>
      <c r="Q154" s="308" t="s">
        <v>3138</v>
      </c>
      <c r="R154" s="47" t="b">
        <v>1</v>
      </c>
      <c r="S154" s="310" t="s">
        <v>3368</v>
      </c>
      <c r="T154" s="54"/>
    </row>
    <row r="155" spans="1:20" ht="16">
      <c r="A155" s="162"/>
      <c r="B155" s="71" t="s">
        <v>3362</v>
      </c>
      <c r="C155" s="53" t="s">
        <v>51</v>
      </c>
      <c r="D155" s="53" t="s">
        <v>335</v>
      </c>
      <c r="E155" s="53" t="s">
        <v>457</v>
      </c>
      <c r="F155" s="53" t="s">
        <v>3327</v>
      </c>
      <c r="G155" s="131" t="s">
        <v>30</v>
      </c>
      <c r="H155" s="53">
        <v>2</v>
      </c>
      <c r="I155" s="188">
        <v>4500</v>
      </c>
      <c r="J155" s="75">
        <f t="shared" si="9"/>
        <v>9000</v>
      </c>
      <c r="K155" s="55" t="b">
        <v>1</v>
      </c>
      <c r="L155" s="56">
        <v>190220251354</v>
      </c>
      <c r="M155" s="57" t="b">
        <v>1</v>
      </c>
      <c r="N155" s="58" t="s">
        <v>39</v>
      </c>
      <c r="O155" s="226"/>
      <c r="P155" s="191" t="b">
        <v>1</v>
      </c>
      <c r="Q155" s="308" t="s">
        <v>3138</v>
      </c>
      <c r="R155" s="47" t="b">
        <v>1</v>
      </c>
      <c r="S155" s="310" t="s">
        <v>3369</v>
      </c>
      <c r="T155" s="54"/>
    </row>
    <row r="156" spans="1:20" ht="16">
      <c r="A156" s="162"/>
      <c r="B156" s="71" t="s">
        <v>3362</v>
      </c>
      <c r="C156" s="53" t="s">
        <v>51</v>
      </c>
      <c r="D156" s="53" t="s">
        <v>335</v>
      </c>
      <c r="E156" s="53" t="s">
        <v>457</v>
      </c>
      <c r="F156" s="53" t="s">
        <v>2468</v>
      </c>
      <c r="G156" s="131" t="s">
        <v>30</v>
      </c>
      <c r="H156" s="53">
        <v>60</v>
      </c>
      <c r="I156" s="188">
        <v>45</v>
      </c>
      <c r="J156" s="75">
        <f t="shared" si="9"/>
        <v>2700</v>
      </c>
      <c r="K156" s="55" t="b">
        <v>1</v>
      </c>
      <c r="L156" s="56">
        <v>190220251354</v>
      </c>
      <c r="M156" s="57" t="b">
        <v>1</v>
      </c>
      <c r="N156" s="58" t="s">
        <v>39</v>
      </c>
      <c r="O156" s="226"/>
      <c r="P156" s="191" t="b">
        <v>1</v>
      </c>
      <c r="Q156" s="308" t="s">
        <v>3138</v>
      </c>
      <c r="R156" s="47" t="b">
        <v>1</v>
      </c>
      <c r="S156" s="310" t="s">
        <v>3369</v>
      </c>
      <c r="T156" s="54"/>
    </row>
    <row r="157" spans="1:20" ht="16">
      <c r="A157" s="162"/>
      <c r="B157" s="71" t="s">
        <v>3362</v>
      </c>
      <c r="C157" s="53" t="s">
        <v>51</v>
      </c>
      <c r="D157" s="53" t="s">
        <v>335</v>
      </c>
      <c r="E157" s="53" t="s">
        <v>2237</v>
      </c>
      <c r="F157" s="53" t="s">
        <v>3370</v>
      </c>
      <c r="G157" s="131" t="s">
        <v>30</v>
      </c>
      <c r="H157" s="53">
        <v>2</v>
      </c>
      <c r="I157" s="188">
        <v>8500</v>
      </c>
      <c r="J157" s="75">
        <f t="shared" si="9"/>
        <v>17000</v>
      </c>
      <c r="K157" s="55" t="b">
        <v>1</v>
      </c>
      <c r="L157" s="56">
        <v>190220251354</v>
      </c>
      <c r="M157" s="57" t="b">
        <v>1</v>
      </c>
      <c r="N157" s="58" t="s">
        <v>529</v>
      </c>
      <c r="O157" s="226"/>
      <c r="P157" s="191" t="b">
        <v>1</v>
      </c>
      <c r="Q157" s="308" t="s">
        <v>3138</v>
      </c>
      <c r="R157" s="47" t="b">
        <v>1</v>
      </c>
      <c r="S157" s="310" t="s">
        <v>3371</v>
      </c>
      <c r="T157" s="54"/>
    </row>
    <row r="158" spans="1:20" ht="16">
      <c r="A158" s="162"/>
      <c r="B158" s="71" t="s">
        <v>3362</v>
      </c>
      <c r="C158" s="53" t="s">
        <v>26</v>
      </c>
      <c r="D158" s="53" t="s">
        <v>2567</v>
      </c>
      <c r="E158" s="53" t="s">
        <v>221</v>
      </c>
      <c r="F158" s="53" t="s">
        <v>1952</v>
      </c>
      <c r="G158" s="131" t="s">
        <v>30</v>
      </c>
      <c r="H158" s="53">
        <v>10</v>
      </c>
      <c r="I158" s="188">
        <v>635</v>
      </c>
      <c r="J158" s="75">
        <f t="shared" si="9"/>
        <v>6350</v>
      </c>
      <c r="K158" s="55" t="b">
        <v>1</v>
      </c>
      <c r="L158" s="56">
        <v>190220251516</v>
      </c>
      <c r="M158" s="57" t="b">
        <v>1</v>
      </c>
      <c r="N158" s="58" t="s">
        <v>39</v>
      </c>
      <c r="O158" s="226"/>
      <c r="P158" s="191" t="b">
        <v>1</v>
      </c>
      <c r="Q158" s="308" t="s">
        <v>3138</v>
      </c>
      <c r="R158" s="47" t="b">
        <v>1</v>
      </c>
      <c r="S158" s="310" t="s">
        <v>3372</v>
      </c>
      <c r="T158" s="54"/>
    </row>
    <row r="159" spans="1:20" ht="16">
      <c r="A159" s="162"/>
      <c r="B159" s="71" t="s">
        <v>3362</v>
      </c>
      <c r="C159" s="53" t="s">
        <v>418</v>
      </c>
      <c r="D159" s="53" t="s">
        <v>3373</v>
      </c>
      <c r="E159" s="53" t="s">
        <v>3374</v>
      </c>
      <c r="F159" s="53" t="s">
        <v>3375</v>
      </c>
      <c r="G159" s="131" t="s">
        <v>30</v>
      </c>
      <c r="H159" s="53">
        <v>5000</v>
      </c>
      <c r="I159" s="188">
        <v>2.1</v>
      </c>
      <c r="J159" s="75">
        <f t="shared" si="9"/>
        <v>10500</v>
      </c>
      <c r="K159" s="55" t="b">
        <v>1</v>
      </c>
      <c r="L159" s="56">
        <v>100220251723</v>
      </c>
      <c r="M159" s="57" t="b">
        <v>1</v>
      </c>
      <c r="N159" s="58" t="s">
        <v>1581</v>
      </c>
      <c r="O159" s="215"/>
      <c r="P159" s="191" t="b">
        <v>1</v>
      </c>
      <c r="Q159" s="308" t="s">
        <v>3138</v>
      </c>
      <c r="R159" s="47" t="b">
        <v>1</v>
      </c>
      <c r="S159" s="310" t="s">
        <v>3376</v>
      </c>
      <c r="T159" s="54"/>
    </row>
    <row r="160" spans="1:20" ht="16">
      <c r="A160" s="162"/>
      <c r="B160" s="71" t="s">
        <v>3362</v>
      </c>
      <c r="C160" s="53" t="s">
        <v>51</v>
      </c>
      <c r="D160" s="53" t="s">
        <v>61</v>
      </c>
      <c r="E160" s="53" t="s">
        <v>548</v>
      </c>
      <c r="F160" s="53" t="s">
        <v>3377</v>
      </c>
      <c r="G160" s="131" t="s">
        <v>30</v>
      </c>
      <c r="H160" s="53">
        <v>20</v>
      </c>
      <c r="I160" s="188">
        <v>155</v>
      </c>
      <c r="J160" s="75">
        <f t="shared" si="9"/>
        <v>3100</v>
      </c>
      <c r="K160" s="55" t="b">
        <v>1</v>
      </c>
      <c r="L160" s="56">
        <v>190220251748</v>
      </c>
      <c r="M160" s="57" t="b">
        <v>1</v>
      </c>
      <c r="N160" s="58" t="s">
        <v>529</v>
      </c>
      <c r="O160" s="226"/>
      <c r="P160" s="191" t="b">
        <v>1</v>
      </c>
      <c r="Q160" s="308" t="s">
        <v>3138</v>
      </c>
      <c r="R160" s="47" t="b">
        <v>1</v>
      </c>
      <c r="S160" s="310" t="s">
        <v>3378</v>
      </c>
      <c r="T160" s="54"/>
    </row>
    <row r="161" spans="1:20" ht="16">
      <c r="A161" s="162"/>
      <c r="B161" s="71" t="s">
        <v>3362</v>
      </c>
      <c r="C161" s="53" t="s">
        <v>345</v>
      </c>
      <c r="D161" s="53" t="s">
        <v>342</v>
      </c>
      <c r="E161" s="53" t="s">
        <v>2228</v>
      </c>
      <c r="F161" s="53" t="s">
        <v>3379</v>
      </c>
      <c r="G161" s="131" t="s">
        <v>30</v>
      </c>
      <c r="H161" s="53">
        <v>1</v>
      </c>
      <c r="I161" s="188">
        <v>135</v>
      </c>
      <c r="J161" s="75">
        <f t="shared" si="9"/>
        <v>135</v>
      </c>
      <c r="K161" s="55" t="b">
        <v>1</v>
      </c>
      <c r="L161" s="56">
        <v>190220251807</v>
      </c>
      <c r="M161" s="57" t="b">
        <v>1</v>
      </c>
      <c r="N161" s="58" t="s">
        <v>2968</v>
      </c>
      <c r="O161" s="226"/>
      <c r="P161" s="191" t="b">
        <v>1</v>
      </c>
      <c r="Q161" s="308" t="s">
        <v>3138</v>
      </c>
      <c r="R161" s="47" t="b">
        <v>1</v>
      </c>
      <c r="S161" s="310" t="s">
        <v>3380</v>
      </c>
      <c r="T161" s="54"/>
    </row>
    <row r="162" spans="1:20" ht="16">
      <c r="A162" s="162"/>
      <c r="B162" s="71" t="s">
        <v>3362</v>
      </c>
      <c r="C162" s="53" t="s">
        <v>345</v>
      </c>
      <c r="D162" s="53" t="s">
        <v>342</v>
      </c>
      <c r="E162" s="53" t="s">
        <v>2228</v>
      </c>
      <c r="F162" s="53" t="s">
        <v>321</v>
      </c>
      <c r="G162" s="131" t="s">
        <v>30</v>
      </c>
      <c r="H162" s="53">
        <v>84</v>
      </c>
      <c r="I162" s="188">
        <v>42</v>
      </c>
      <c r="J162" s="75">
        <f t="shared" si="9"/>
        <v>3528</v>
      </c>
      <c r="K162" s="55" t="b">
        <v>1</v>
      </c>
      <c r="L162" s="56">
        <v>190220251809</v>
      </c>
      <c r="M162" s="57" t="b">
        <v>1</v>
      </c>
      <c r="N162" s="58" t="s">
        <v>1581</v>
      </c>
      <c r="O162" s="226"/>
      <c r="P162" s="191" t="b">
        <v>1</v>
      </c>
      <c r="Q162" s="308" t="s">
        <v>3138</v>
      </c>
      <c r="R162" s="47" t="b">
        <v>1</v>
      </c>
      <c r="S162" s="310" t="s">
        <v>3381</v>
      </c>
      <c r="T162" s="54"/>
    </row>
    <row r="163" spans="1:20" ht="16">
      <c r="A163" s="162"/>
      <c r="B163" s="71" t="s">
        <v>3362</v>
      </c>
      <c r="C163" s="53" t="s">
        <v>51</v>
      </c>
      <c r="D163" s="53" t="s">
        <v>66</v>
      </c>
      <c r="E163" s="53" t="s">
        <v>67</v>
      </c>
      <c r="F163" s="53" t="s">
        <v>3382</v>
      </c>
      <c r="G163" s="131" t="s">
        <v>30</v>
      </c>
      <c r="H163" s="53">
        <v>4</v>
      </c>
      <c r="I163" s="188">
        <v>5900</v>
      </c>
      <c r="J163" s="75">
        <f t="shared" si="9"/>
        <v>23600</v>
      </c>
      <c r="K163" s="55" t="b">
        <v>1</v>
      </c>
      <c r="L163" s="56">
        <v>190220251917</v>
      </c>
      <c r="M163" s="57" t="b">
        <v>1</v>
      </c>
      <c r="N163" s="58" t="s">
        <v>529</v>
      </c>
      <c r="O163" s="226"/>
      <c r="P163" s="191" t="b">
        <v>1</v>
      </c>
      <c r="Q163" s="308" t="s">
        <v>3138</v>
      </c>
      <c r="R163" s="47" t="b">
        <v>1</v>
      </c>
      <c r="S163" s="310" t="s">
        <v>3383</v>
      </c>
      <c r="T163" s="54"/>
    </row>
    <row r="164" spans="1:20" ht="16">
      <c r="A164" s="162"/>
      <c r="B164" s="132" t="s">
        <v>3384</v>
      </c>
      <c r="C164" s="53" t="s">
        <v>3242</v>
      </c>
      <c r="D164" s="53" t="s">
        <v>99</v>
      </c>
      <c r="E164" s="53" t="s">
        <v>444</v>
      </c>
      <c r="F164" s="53" t="s">
        <v>236</v>
      </c>
      <c r="G164" s="131" t="s">
        <v>30</v>
      </c>
      <c r="H164" s="53">
        <v>24</v>
      </c>
      <c r="I164" s="188">
        <v>195</v>
      </c>
      <c r="J164" s="75">
        <f t="shared" si="9"/>
        <v>4680</v>
      </c>
      <c r="K164" s="55" t="b">
        <v>1</v>
      </c>
      <c r="L164" s="56">
        <v>200220251237</v>
      </c>
      <c r="M164" s="57" t="b">
        <v>1</v>
      </c>
      <c r="N164" s="58" t="s">
        <v>3300</v>
      </c>
      <c r="O164" s="226"/>
      <c r="P164" s="191" t="b">
        <v>1</v>
      </c>
      <c r="Q164" s="308" t="s">
        <v>3138</v>
      </c>
      <c r="R164" s="47" t="b">
        <v>1</v>
      </c>
      <c r="S164" s="310" t="s">
        <v>3385</v>
      </c>
      <c r="T164" s="54"/>
    </row>
    <row r="165" spans="1:20" ht="16">
      <c r="A165" s="162"/>
      <c r="B165" s="132" t="s">
        <v>3384</v>
      </c>
      <c r="C165" s="53" t="s">
        <v>51</v>
      </c>
      <c r="D165" s="53" t="s">
        <v>335</v>
      </c>
      <c r="E165" s="53" t="s">
        <v>457</v>
      </c>
      <c r="F165" s="53" t="s">
        <v>147</v>
      </c>
      <c r="G165" s="131" t="s">
        <v>30</v>
      </c>
      <c r="H165" s="53">
        <v>3</v>
      </c>
      <c r="I165" s="188">
        <v>800</v>
      </c>
      <c r="J165" s="75">
        <f t="shared" si="9"/>
        <v>2400</v>
      </c>
      <c r="K165" s="55" t="b">
        <v>1</v>
      </c>
      <c r="L165" s="56">
        <v>210220250934</v>
      </c>
      <c r="M165" s="57" t="b">
        <v>1</v>
      </c>
      <c r="N165" s="58" t="s">
        <v>529</v>
      </c>
      <c r="O165" s="215" t="s">
        <v>2835</v>
      </c>
      <c r="P165" s="191" t="b">
        <v>1</v>
      </c>
      <c r="Q165" s="308" t="s">
        <v>3138</v>
      </c>
      <c r="R165" s="47" t="b">
        <v>1</v>
      </c>
      <c r="S165" s="310" t="s">
        <v>3386</v>
      </c>
      <c r="T165" s="54"/>
    </row>
    <row r="166" spans="1:20" ht="16">
      <c r="A166" s="162"/>
      <c r="B166" s="132" t="s">
        <v>3384</v>
      </c>
      <c r="C166" s="53" t="s">
        <v>51</v>
      </c>
      <c r="D166" s="53" t="s">
        <v>335</v>
      </c>
      <c r="E166" s="53" t="s">
        <v>457</v>
      </c>
      <c r="F166" s="53" t="s">
        <v>877</v>
      </c>
      <c r="G166" s="131" t="s">
        <v>30</v>
      </c>
      <c r="H166" s="53">
        <v>3</v>
      </c>
      <c r="I166" s="188">
        <v>875</v>
      </c>
      <c r="J166" s="75">
        <f t="shared" si="9"/>
        <v>2625</v>
      </c>
      <c r="K166" s="55" t="b">
        <v>1</v>
      </c>
      <c r="L166" s="56">
        <v>210220250934</v>
      </c>
      <c r="M166" s="57" t="b">
        <v>1</v>
      </c>
      <c r="N166" s="58" t="s">
        <v>3300</v>
      </c>
      <c r="O166" s="226"/>
      <c r="P166" s="191" t="b">
        <v>1</v>
      </c>
      <c r="Q166" s="308" t="s">
        <v>3138</v>
      </c>
      <c r="R166" s="47" t="b">
        <v>1</v>
      </c>
      <c r="S166" s="310" t="s">
        <v>3387</v>
      </c>
      <c r="T166" s="54"/>
    </row>
    <row r="167" spans="1:20" ht="16">
      <c r="A167" s="162"/>
      <c r="B167" s="132" t="s">
        <v>3384</v>
      </c>
      <c r="C167" s="53" t="s">
        <v>523</v>
      </c>
      <c r="D167" s="53" t="s">
        <v>3388</v>
      </c>
      <c r="E167" s="53" t="s">
        <v>525</v>
      </c>
      <c r="F167" s="53" t="s">
        <v>1024</v>
      </c>
      <c r="G167" s="131" t="s">
        <v>30</v>
      </c>
      <c r="H167" s="53">
        <v>10</v>
      </c>
      <c r="I167" s="188">
        <v>125</v>
      </c>
      <c r="J167" s="75">
        <f t="shared" si="9"/>
        <v>1250</v>
      </c>
      <c r="K167" s="55" t="b">
        <v>1</v>
      </c>
      <c r="L167" s="56">
        <v>210220251221</v>
      </c>
      <c r="M167" s="57" t="b">
        <v>1</v>
      </c>
      <c r="N167" s="58" t="s">
        <v>3300</v>
      </c>
      <c r="O167" s="226"/>
      <c r="P167" s="191" t="b">
        <v>1</v>
      </c>
      <c r="Q167" s="308" t="s">
        <v>3138</v>
      </c>
      <c r="R167" s="47" t="b">
        <v>1</v>
      </c>
      <c r="S167" s="310" t="s">
        <v>3389</v>
      </c>
      <c r="T167" s="54"/>
    </row>
    <row r="168" spans="1:20" ht="16">
      <c r="A168" s="162"/>
      <c r="B168" s="132" t="s">
        <v>6675</v>
      </c>
      <c r="C168" s="53" t="s">
        <v>247</v>
      </c>
      <c r="D168" s="53" t="s">
        <v>248</v>
      </c>
      <c r="E168" s="53" t="s">
        <v>249</v>
      </c>
      <c r="F168" s="53" t="s">
        <v>3390</v>
      </c>
      <c r="G168" s="131" t="s">
        <v>30</v>
      </c>
      <c r="H168" s="53">
        <v>336</v>
      </c>
      <c r="I168" s="188">
        <v>42</v>
      </c>
      <c r="J168" s="75">
        <f t="shared" si="9"/>
        <v>14112</v>
      </c>
      <c r="K168" s="55" t="b">
        <v>1</v>
      </c>
      <c r="L168" s="56">
        <v>210220251458</v>
      </c>
      <c r="M168" s="57" t="b">
        <v>1</v>
      </c>
      <c r="N168" s="58"/>
      <c r="O168" s="226"/>
      <c r="P168" s="191" t="b">
        <v>1</v>
      </c>
      <c r="Q168" s="308" t="s">
        <v>3138</v>
      </c>
      <c r="R168" s="47" t="b">
        <v>1</v>
      </c>
      <c r="S168" s="310" t="s">
        <v>3391</v>
      </c>
      <c r="T168" s="54"/>
    </row>
    <row r="169" spans="1:20" ht="16">
      <c r="A169" s="162"/>
      <c r="B169" s="132" t="s">
        <v>3392</v>
      </c>
      <c r="C169" s="53" t="s">
        <v>144</v>
      </c>
      <c r="D169" s="53" t="s">
        <v>3393</v>
      </c>
      <c r="E169" s="53" t="s">
        <v>2732</v>
      </c>
      <c r="F169" s="53" t="s">
        <v>668</v>
      </c>
      <c r="G169" s="131" t="s">
        <v>30</v>
      </c>
      <c r="H169" s="53">
        <v>5</v>
      </c>
      <c r="I169" s="188">
        <v>150</v>
      </c>
      <c r="J169" s="75">
        <f t="shared" si="9"/>
        <v>750</v>
      </c>
      <c r="K169" s="55" t="b">
        <v>1</v>
      </c>
      <c r="L169" s="56">
        <v>240220250926</v>
      </c>
      <c r="M169" s="57" t="b">
        <v>1</v>
      </c>
      <c r="N169" s="58" t="s">
        <v>2968</v>
      </c>
      <c r="O169" s="226"/>
      <c r="P169" s="191" t="b">
        <v>1</v>
      </c>
      <c r="Q169" s="308" t="s">
        <v>3138</v>
      </c>
      <c r="R169" s="47" t="b">
        <v>1</v>
      </c>
      <c r="S169" s="310" t="s">
        <v>3394</v>
      </c>
      <c r="T169" s="54"/>
    </row>
    <row r="170" spans="1:20" ht="16">
      <c r="A170" s="162"/>
      <c r="B170" s="132" t="s">
        <v>3392</v>
      </c>
      <c r="C170" s="53" t="s">
        <v>345</v>
      </c>
      <c r="D170" s="53" t="s">
        <v>342</v>
      </c>
      <c r="E170" s="53" t="s">
        <v>2228</v>
      </c>
      <c r="F170" s="53" t="s">
        <v>3395</v>
      </c>
      <c r="G170" s="131" t="s">
        <v>30</v>
      </c>
      <c r="H170" s="53">
        <v>1</v>
      </c>
      <c r="I170" s="188">
        <v>390</v>
      </c>
      <c r="J170" s="75">
        <f t="shared" si="9"/>
        <v>390</v>
      </c>
      <c r="K170" s="55" t="b">
        <v>1</v>
      </c>
      <c r="L170" s="56">
        <v>240220250927</v>
      </c>
      <c r="M170" s="57" t="b">
        <v>1</v>
      </c>
      <c r="N170" s="58" t="s">
        <v>2968</v>
      </c>
      <c r="O170" s="226"/>
      <c r="P170" s="191" t="b">
        <v>1</v>
      </c>
      <c r="Q170" s="308" t="s">
        <v>3138</v>
      </c>
      <c r="R170" s="47" t="b">
        <v>1</v>
      </c>
      <c r="S170" s="310" t="s">
        <v>3396</v>
      </c>
      <c r="T170" s="54"/>
    </row>
    <row r="171" spans="1:20" ht="16">
      <c r="A171" s="162"/>
      <c r="B171" s="132" t="s">
        <v>3392</v>
      </c>
      <c r="C171" s="53" t="s">
        <v>55</v>
      </c>
      <c r="D171" s="53" t="s">
        <v>56</v>
      </c>
      <c r="E171" s="53" t="s">
        <v>57</v>
      </c>
      <c r="F171" s="53" t="s">
        <v>139</v>
      </c>
      <c r="G171" s="131" t="s">
        <v>30</v>
      </c>
      <c r="H171" s="53">
        <v>50</v>
      </c>
      <c r="I171" s="188">
        <v>30</v>
      </c>
      <c r="J171" s="75">
        <f t="shared" si="9"/>
        <v>1500</v>
      </c>
      <c r="K171" s="55" t="b">
        <v>1</v>
      </c>
      <c r="L171" s="56">
        <v>240220250935</v>
      </c>
      <c r="M171" s="57" t="b">
        <v>1</v>
      </c>
      <c r="N171" s="58" t="s">
        <v>2968</v>
      </c>
      <c r="O171" s="226"/>
      <c r="P171" s="191" t="b">
        <v>1</v>
      </c>
      <c r="Q171" s="308" t="s">
        <v>3138</v>
      </c>
      <c r="R171" s="47" t="b">
        <v>1</v>
      </c>
      <c r="S171" s="310" t="s">
        <v>3397</v>
      </c>
      <c r="T171" s="54"/>
    </row>
    <row r="172" spans="1:20" ht="16">
      <c r="A172" s="162"/>
      <c r="B172" s="132" t="s">
        <v>3392</v>
      </c>
      <c r="C172" s="53" t="s">
        <v>51</v>
      </c>
      <c r="D172" s="53" t="s">
        <v>52</v>
      </c>
      <c r="E172" s="53" t="s">
        <v>1710</v>
      </c>
      <c r="F172" s="53" t="s">
        <v>139</v>
      </c>
      <c r="G172" s="131" t="s">
        <v>30</v>
      </c>
      <c r="H172" s="53">
        <v>50</v>
      </c>
      <c r="I172" s="188">
        <v>30</v>
      </c>
      <c r="J172" s="75">
        <f t="shared" si="9"/>
        <v>1500</v>
      </c>
      <c r="K172" s="55" t="b">
        <v>1</v>
      </c>
      <c r="L172" s="56">
        <v>240220251027</v>
      </c>
      <c r="M172" s="57" t="b">
        <v>1</v>
      </c>
      <c r="N172" s="58" t="s">
        <v>2968</v>
      </c>
      <c r="O172" s="226"/>
      <c r="P172" s="191" t="b">
        <v>1</v>
      </c>
      <c r="Q172" s="308" t="s">
        <v>3138</v>
      </c>
      <c r="R172" s="47" t="b">
        <v>1</v>
      </c>
      <c r="S172" s="310" t="s">
        <v>3398</v>
      </c>
      <c r="T172" s="54"/>
    </row>
    <row r="173" spans="1:20" ht="16">
      <c r="A173" s="162"/>
      <c r="B173" s="132" t="s">
        <v>3392</v>
      </c>
      <c r="C173" s="53" t="s">
        <v>51</v>
      </c>
      <c r="D173" s="53" t="s">
        <v>52</v>
      </c>
      <c r="E173" s="53" t="s">
        <v>1710</v>
      </c>
      <c r="F173" s="53" t="s">
        <v>3156</v>
      </c>
      <c r="G173" s="131" t="s">
        <v>30</v>
      </c>
      <c r="H173" s="53">
        <v>100</v>
      </c>
      <c r="I173" s="188">
        <v>30</v>
      </c>
      <c r="J173" s="75">
        <f t="shared" si="9"/>
        <v>3000</v>
      </c>
      <c r="K173" s="55" t="b">
        <v>1</v>
      </c>
      <c r="L173" s="56">
        <v>240220251027</v>
      </c>
      <c r="M173" s="57" t="b">
        <v>1</v>
      </c>
      <c r="N173" s="58" t="s">
        <v>1581</v>
      </c>
      <c r="O173" s="226"/>
      <c r="P173" s="191" t="b">
        <v>1</v>
      </c>
      <c r="Q173" s="308" t="s">
        <v>3138</v>
      </c>
      <c r="R173" s="47" t="b">
        <v>1</v>
      </c>
      <c r="S173" s="310" t="s">
        <v>3399</v>
      </c>
      <c r="T173" s="54"/>
    </row>
    <row r="174" spans="1:20" ht="16">
      <c r="A174" s="162"/>
      <c r="B174" s="132" t="s">
        <v>3392</v>
      </c>
      <c r="C174" s="53" t="s">
        <v>418</v>
      </c>
      <c r="D174" s="53" t="s">
        <v>230</v>
      </c>
      <c r="E174" s="53" t="s">
        <v>1990</v>
      </c>
      <c r="F174" s="53" t="s">
        <v>1952</v>
      </c>
      <c r="G174" s="131" t="s">
        <v>30</v>
      </c>
      <c r="H174" s="53">
        <v>20</v>
      </c>
      <c r="I174" s="188">
        <v>635</v>
      </c>
      <c r="J174" s="75">
        <f t="shared" si="9"/>
        <v>12700</v>
      </c>
      <c r="K174" s="55" t="b">
        <v>1</v>
      </c>
      <c r="L174" s="56">
        <v>240220251032</v>
      </c>
      <c r="M174" s="57" t="b">
        <v>1</v>
      </c>
      <c r="N174" s="58" t="s">
        <v>39</v>
      </c>
      <c r="O174" s="226"/>
      <c r="P174" s="191" t="b">
        <v>1</v>
      </c>
      <c r="Q174" s="308" t="s">
        <v>3138</v>
      </c>
      <c r="R174" s="47" t="b">
        <v>1</v>
      </c>
      <c r="S174" s="310" t="s">
        <v>3400</v>
      </c>
      <c r="T174" s="54"/>
    </row>
    <row r="175" spans="1:20" ht="16">
      <c r="A175" s="162"/>
      <c r="B175" s="132" t="s">
        <v>3392</v>
      </c>
      <c r="C175" s="53" t="s">
        <v>51</v>
      </c>
      <c r="D175" s="53" t="s">
        <v>201</v>
      </c>
      <c r="E175" s="53" t="s">
        <v>202</v>
      </c>
      <c r="F175" s="53" t="s">
        <v>1952</v>
      </c>
      <c r="G175" s="131" t="s">
        <v>30</v>
      </c>
      <c r="H175" s="53">
        <v>10</v>
      </c>
      <c r="I175" s="188">
        <v>635</v>
      </c>
      <c r="J175" s="75">
        <f t="shared" si="9"/>
        <v>6350</v>
      </c>
      <c r="K175" s="55" t="b">
        <v>1</v>
      </c>
      <c r="L175" s="56">
        <v>240220251044</v>
      </c>
      <c r="M175" s="57" t="b">
        <v>1</v>
      </c>
      <c r="N175" s="58" t="s">
        <v>39</v>
      </c>
      <c r="O175" s="226"/>
      <c r="P175" s="191" t="b">
        <v>1</v>
      </c>
      <c r="Q175" s="308" t="s">
        <v>3138</v>
      </c>
      <c r="R175" s="47" t="b">
        <v>1</v>
      </c>
      <c r="S175" s="310" t="s">
        <v>3401</v>
      </c>
      <c r="T175" s="54"/>
    </row>
    <row r="176" spans="1:20" ht="16">
      <c r="A176" s="162"/>
      <c r="B176" s="132" t="s">
        <v>3392</v>
      </c>
      <c r="C176" s="53" t="s">
        <v>51</v>
      </c>
      <c r="D176" s="53" t="s">
        <v>335</v>
      </c>
      <c r="E176" s="53" t="s">
        <v>457</v>
      </c>
      <c r="F176" s="53" t="s">
        <v>3402</v>
      </c>
      <c r="G176" s="131" t="s">
        <v>30</v>
      </c>
      <c r="H176" s="53">
        <v>10</v>
      </c>
      <c r="I176" s="188">
        <v>600</v>
      </c>
      <c r="J176" s="75">
        <f t="shared" si="9"/>
        <v>6000</v>
      </c>
      <c r="K176" s="55" t="b">
        <v>1</v>
      </c>
      <c r="L176" s="56">
        <v>240220251116</v>
      </c>
      <c r="M176" s="57" t="b">
        <v>1</v>
      </c>
      <c r="N176" s="58" t="s">
        <v>39</v>
      </c>
      <c r="O176" s="226"/>
      <c r="P176" s="191" t="b">
        <v>1</v>
      </c>
      <c r="Q176" s="308" t="s">
        <v>3138</v>
      </c>
      <c r="R176" s="47" t="b">
        <v>1</v>
      </c>
      <c r="S176" s="310" t="s">
        <v>3403</v>
      </c>
      <c r="T176" s="54"/>
    </row>
    <row r="177" spans="1:20" ht="16">
      <c r="A177" s="162"/>
      <c r="B177" s="132" t="s">
        <v>3392</v>
      </c>
      <c r="C177" s="53" t="s">
        <v>1747</v>
      </c>
      <c r="D177" s="53" t="s">
        <v>2608</v>
      </c>
      <c r="E177" s="53" t="s">
        <v>2609</v>
      </c>
      <c r="F177" s="53" t="s">
        <v>1963</v>
      </c>
      <c r="G177" s="131" t="s">
        <v>30</v>
      </c>
      <c r="H177" s="53">
        <v>20</v>
      </c>
      <c r="I177" s="188">
        <v>135</v>
      </c>
      <c r="J177" s="75">
        <f t="shared" si="9"/>
        <v>2700</v>
      </c>
      <c r="K177" s="55" t="b">
        <v>1</v>
      </c>
      <c r="L177" s="56">
        <v>240220251207</v>
      </c>
      <c r="M177" s="57" t="b">
        <v>1</v>
      </c>
      <c r="N177" s="58" t="s">
        <v>2968</v>
      </c>
      <c r="O177" s="226"/>
      <c r="P177" s="191" t="b">
        <v>1</v>
      </c>
      <c r="Q177" s="308" t="s">
        <v>3138</v>
      </c>
      <c r="R177" s="47" t="b">
        <v>1</v>
      </c>
      <c r="S177" s="310" t="s">
        <v>3404</v>
      </c>
      <c r="T177" s="54"/>
    </row>
    <row r="178" spans="1:20" ht="16">
      <c r="A178" s="162"/>
      <c r="B178" s="132" t="s">
        <v>3392</v>
      </c>
      <c r="C178" s="53" t="s">
        <v>26</v>
      </c>
      <c r="D178" s="53" t="s">
        <v>27</v>
      </c>
      <c r="E178" s="53" t="s">
        <v>28</v>
      </c>
      <c r="F178" s="53" t="s">
        <v>3366</v>
      </c>
      <c r="G178" s="131" t="s">
        <v>30</v>
      </c>
      <c r="H178" s="53">
        <v>2000</v>
      </c>
      <c r="I178" s="188">
        <v>2.1</v>
      </c>
      <c r="J178" s="75">
        <f t="shared" si="9"/>
        <v>4200</v>
      </c>
      <c r="K178" s="55" t="b">
        <v>1</v>
      </c>
      <c r="L178" s="56">
        <v>240220251557</v>
      </c>
      <c r="M178" s="57" t="b">
        <v>1</v>
      </c>
      <c r="N178" s="58"/>
      <c r="O178" s="226"/>
      <c r="P178" s="191" t="b">
        <v>1</v>
      </c>
      <c r="Q178" s="308" t="s">
        <v>3138</v>
      </c>
      <c r="R178" s="47" t="b">
        <v>1</v>
      </c>
      <c r="S178" s="310" t="s">
        <v>3405</v>
      </c>
      <c r="T178" s="54"/>
    </row>
    <row r="179" spans="1:20" ht="16">
      <c r="A179" s="162"/>
      <c r="B179" s="132" t="s">
        <v>3392</v>
      </c>
      <c r="C179" s="53" t="s">
        <v>104</v>
      </c>
      <c r="D179" s="53" t="s">
        <v>1048</v>
      </c>
      <c r="E179" s="53" t="s">
        <v>3406</v>
      </c>
      <c r="F179" s="53" t="s">
        <v>746</v>
      </c>
      <c r="G179" s="131" t="s">
        <v>30</v>
      </c>
      <c r="H179" s="53">
        <v>5</v>
      </c>
      <c r="I179" s="188">
        <v>895</v>
      </c>
      <c r="J179" s="75">
        <f t="shared" si="9"/>
        <v>4475</v>
      </c>
      <c r="K179" s="55" t="b">
        <v>1</v>
      </c>
      <c r="L179" s="56">
        <v>240220251558</v>
      </c>
      <c r="M179" s="57" t="b">
        <v>1</v>
      </c>
      <c r="N179" s="58" t="s">
        <v>2968</v>
      </c>
      <c r="O179" s="226"/>
      <c r="P179" s="191" t="b">
        <v>1</v>
      </c>
      <c r="Q179" s="308" t="s">
        <v>3138</v>
      </c>
      <c r="R179" s="47" t="b">
        <v>1</v>
      </c>
      <c r="S179" s="310" t="s">
        <v>3407</v>
      </c>
      <c r="T179" s="54"/>
    </row>
    <row r="180" spans="1:20" ht="16">
      <c r="A180" s="162"/>
      <c r="B180" s="132" t="s">
        <v>3392</v>
      </c>
      <c r="C180" s="53" t="s">
        <v>51</v>
      </c>
      <c r="D180" s="53" t="s">
        <v>61</v>
      </c>
      <c r="E180" s="53" t="s">
        <v>548</v>
      </c>
      <c r="F180" s="53" t="s">
        <v>3408</v>
      </c>
      <c r="G180" s="131" t="s">
        <v>30</v>
      </c>
      <c r="H180" s="53">
        <v>20</v>
      </c>
      <c r="I180" s="188">
        <v>850</v>
      </c>
      <c r="J180" s="75">
        <f t="shared" si="9"/>
        <v>17000</v>
      </c>
      <c r="K180" s="55" t="b">
        <v>1</v>
      </c>
      <c r="L180" s="56">
        <v>240220251559</v>
      </c>
      <c r="M180" s="57" t="b">
        <v>1</v>
      </c>
      <c r="N180" s="58" t="s">
        <v>529</v>
      </c>
      <c r="O180" s="226"/>
      <c r="P180" s="191" t="b">
        <v>1</v>
      </c>
      <c r="Q180" s="308" t="s">
        <v>3138</v>
      </c>
      <c r="R180" s="47" t="b">
        <v>1</v>
      </c>
      <c r="S180" s="310" t="s">
        <v>3409</v>
      </c>
      <c r="T180" s="54"/>
    </row>
    <row r="181" spans="1:20" ht="16">
      <c r="A181" s="162"/>
      <c r="B181" s="132" t="s">
        <v>3392</v>
      </c>
      <c r="C181" s="53" t="s">
        <v>51</v>
      </c>
      <c r="D181" s="53" t="s">
        <v>201</v>
      </c>
      <c r="E181" s="53" t="s">
        <v>3410</v>
      </c>
      <c r="F181" s="53" t="s">
        <v>3259</v>
      </c>
      <c r="G181" s="131" t="s">
        <v>30</v>
      </c>
      <c r="H181" s="53">
        <v>150</v>
      </c>
      <c r="I181" s="188">
        <v>27.5</v>
      </c>
      <c r="J181" s="75">
        <f t="shared" si="9"/>
        <v>4125</v>
      </c>
      <c r="K181" s="55" t="b">
        <v>1</v>
      </c>
      <c r="L181" s="56">
        <v>240220251617</v>
      </c>
      <c r="M181" s="57" t="b">
        <v>1</v>
      </c>
      <c r="N181" s="58" t="s">
        <v>1581</v>
      </c>
      <c r="O181" s="215"/>
      <c r="P181" s="191" t="b">
        <v>1</v>
      </c>
      <c r="Q181" s="308" t="s">
        <v>3138</v>
      </c>
      <c r="R181" s="47" t="b">
        <v>1</v>
      </c>
      <c r="S181" s="310" t="s">
        <v>3411</v>
      </c>
      <c r="T181" s="54"/>
    </row>
    <row r="182" spans="1:20" ht="16">
      <c r="A182" s="162"/>
      <c r="B182" s="132" t="s">
        <v>3412</v>
      </c>
      <c r="C182" s="53" t="s">
        <v>51</v>
      </c>
      <c r="D182" s="53" t="s">
        <v>475</v>
      </c>
      <c r="E182" s="53" t="s">
        <v>168</v>
      </c>
      <c r="F182" s="53" t="s">
        <v>2611</v>
      </c>
      <c r="G182" s="131" t="s">
        <v>30</v>
      </c>
      <c r="H182" s="53">
        <v>10</v>
      </c>
      <c r="I182" s="188">
        <v>635</v>
      </c>
      <c r="J182" s="75">
        <f t="shared" si="9"/>
        <v>6350</v>
      </c>
      <c r="K182" s="55" t="b">
        <v>1</v>
      </c>
      <c r="L182" s="56">
        <v>250220251447</v>
      </c>
      <c r="M182" s="57" t="b">
        <v>1</v>
      </c>
      <c r="N182" s="58" t="s">
        <v>39</v>
      </c>
      <c r="O182" s="226"/>
      <c r="P182" s="191" t="b">
        <v>1</v>
      </c>
      <c r="Q182" s="308" t="s">
        <v>3138</v>
      </c>
      <c r="R182" s="47" t="b">
        <v>1</v>
      </c>
      <c r="S182" s="310" t="s">
        <v>3413</v>
      </c>
      <c r="T182" s="54"/>
    </row>
    <row r="183" spans="1:20" ht="16">
      <c r="A183" s="162"/>
      <c r="B183" s="132" t="s">
        <v>3412</v>
      </c>
      <c r="C183" s="53" t="s">
        <v>1747</v>
      </c>
      <c r="D183" s="53" t="s">
        <v>2608</v>
      </c>
      <c r="E183" s="53" t="s">
        <v>2609</v>
      </c>
      <c r="F183" s="53" t="s">
        <v>304</v>
      </c>
      <c r="G183" s="131" t="s">
        <v>30</v>
      </c>
      <c r="H183" s="53">
        <v>24</v>
      </c>
      <c r="I183" s="188">
        <v>55</v>
      </c>
      <c r="J183" s="75">
        <f t="shared" si="9"/>
        <v>1320</v>
      </c>
      <c r="K183" s="55" t="b">
        <v>1</v>
      </c>
      <c r="L183" s="56">
        <v>250220251857</v>
      </c>
      <c r="M183" s="57" t="b">
        <v>1</v>
      </c>
      <c r="N183" s="58" t="s">
        <v>2968</v>
      </c>
      <c r="O183" s="226"/>
      <c r="P183" s="191" t="b">
        <v>1</v>
      </c>
      <c r="Q183" s="308" t="s">
        <v>3138</v>
      </c>
      <c r="R183" s="47" t="b">
        <v>1</v>
      </c>
      <c r="S183" s="310" t="s">
        <v>3414</v>
      </c>
      <c r="T183" s="54"/>
    </row>
    <row r="184" spans="1:20" ht="16">
      <c r="A184" s="162"/>
      <c r="B184" s="132" t="s">
        <v>3412</v>
      </c>
      <c r="C184" s="53" t="s">
        <v>51</v>
      </c>
      <c r="D184" s="53" t="s">
        <v>89</v>
      </c>
      <c r="E184" s="53" t="s">
        <v>1872</v>
      </c>
      <c r="F184" s="53" t="s">
        <v>3265</v>
      </c>
      <c r="G184" s="131" t="s">
        <v>30</v>
      </c>
      <c r="H184" s="53">
        <v>25</v>
      </c>
      <c r="I184" s="188">
        <v>270</v>
      </c>
      <c r="J184" s="75">
        <f t="shared" si="9"/>
        <v>6750</v>
      </c>
      <c r="K184" s="55" t="b">
        <v>1</v>
      </c>
      <c r="L184" s="56">
        <v>250220251857</v>
      </c>
      <c r="M184" s="57" t="b">
        <v>1</v>
      </c>
      <c r="N184" s="58" t="s">
        <v>529</v>
      </c>
      <c r="O184" s="215" t="s">
        <v>3415</v>
      </c>
      <c r="P184" s="191" t="b">
        <v>1</v>
      </c>
      <c r="Q184" s="308" t="s">
        <v>3138</v>
      </c>
      <c r="R184" s="47" t="b">
        <v>1</v>
      </c>
      <c r="S184" s="310" t="s">
        <v>3416</v>
      </c>
      <c r="T184" s="54"/>
    </row>
    <row r="185" spans="1:20" ht="16">
      <c r="A185" s="162"/>
      <c r="B185" s="132" t="s">
        <v>3417</v>
      </c>
      <c r="C185" s="53" t="s">
        <v>51</v>
      </c>
      <c r="D185" s="53" t="s">
        <v>61</v>
      </c>
      <c r="E185" s="53" t="s">
        <v>1026</v>
      </c>
      <c r="F185" s="53" t="s">
        <v>1084</v>
      </c>
      <c r="G185" s="131" t="s">
        <v>30</v>
      </c>
      <c r="H185" s="53">
        <v>200</v>
      </c>
      <c r="I185" s="188">
        <v>27.5</v>
      </c>
      <c r="J185" s="75">
        <f t="shared" si="9"/>
        <v>5500</v>
      </c>
      <c r="K185" s="55" t="b">
        <v>1</v>
      </c>
      <c r="L185" s="56">
        <v>260220251734</v>
      </c>
      <c r="M185" s="57" t="b">
        <v>1</v>
      </c>
      <c r="N185" s="58" t="s">
        <v>3300</v>
      </c>
      <c r="O185" s="226"/>
      <c r="P185" s="191" t="b">
        <v>1</v>
      </c>
      <c r="Q185" s="308" t="s">
        <v>3138</v>
      </c>
      <c r="R185" s="47" t="b">
        <v>1</v>
      </c>
      <c r="S185" s="310" t="s">
        <v>3418</v>
      </c>
      <c r="T185" s="54"/>
    </row>
    <row r="186" spans="1:20" ht="16">
      <c r="A186" s="162"/>
      <c r="B186" s="132" t="s">
        <v>3417</v>
      </c>
      <c r="C186" s="53" t="s">
        <v>51</v>
      </c>
      <c r="D186" s="53" t="s">
        <v>66</v>
      </c>
      <c r="E186" s="53" t="s">
        <v>67</v>
      </c>
      <c r="F186" s="53" t="s">
        <v>3419</v>
      </c>
      <c r="G186" s="131" t="s">
        <v>30</v>
      </c>
      <c r="H186" s="53">
        <v>100</v>
      </c>
      <c r="I186" s="188">
        <v>85</v>
      </c>
      <c r="J186" s="75">
        <f t="shared" si="9"/>
        <v>8500</v>
      </c>
      <c r="K186" s="55" t="b">
        <v>1</v>
      </c>
      <c r="L186" s="56">
        <v>260220251734</v>
      </c>
      <c r="M186" s="57" t="b">
        <v>1</v>
      </c>
      <c r="N186" s="58" t="s">
        <v>529</v>
      </c>
      <c r="O186" s="173" t="s">
        <v>3420</v>
      </c>
      <c r="P186" s="191" t="b">
        <v>1</v>
      </c>
      <c r="Q186" s="308" t="s">
        <v>3138</v>
      </c>
      <c r="R186" s="47" t="b">
        <v>1</v>
      </c>
      <c r="S186" s="310" t="s">
        <v>3421</v>
      </c>
      <c r="T186" s="54"/>
    </row>
    <row r="187" spans="1:20" ht="16">
      <c r="A187" s="162"/>
      <c r="B187" s="132" t="s">
        <v>3417</v>
      </c>
      <c r="C187" s="53" t="s">
        <v>51</v>
      </c>
      <c r="D187" s="53" t="s">
        <v>201</v>
      </c>
      <c r="E187" s="53" t="s">
        <v>3410</v>
      </c>
      <c r="F187" s="53" t="s">
        <v>3422</v>
      </c>
      <c r="G187" s="131" t="s">
        <v>30</v>
      </c>
      <c r="H187" s="53">
        <v>56</v>
      </c>
      <c r="I187" s="188">
        <v>155</v>
      </c>
      <c r="J187" s="75">
        <f t="shared" si="9"/>
        <v>8680</v>
      </c>
      <c r="K187" s="55" t="b">
        <v>1</v>
      </c>
      <c r="L187" s="56">
        <v>260220251744</v>
      </c>
      <c r="M187" s="57" t="b">
        <v>1</v>
      </c>
      <c r="N187" s="58" t="s">
        <v>529</v>
      </c>
      <c r="O187" s="226"/>
      <c r="P187" s="191" t="b">
        <v>1</v>
      </c>
      <c r="Q187" s="308" t="s">
        <v>3138</v>
      </c>
      <c r="R187" s="47" t="b">
        <v>1</v>
      </c>
      <c r="S187" s="310" t="s">
        <v>3423</v>
      </c>
      <c r="T187" s="54"/>
    </row>
    <row r="188" spans="1:20" ht="16">
      <c r="A188" s="162"/>
      <c r="B188" s="132" t="s">
        <v>3417</v>
      </c>
      <c r="C188" s="53" t="s">
        <v>51</v>
      </c>
      <c r="D188" s="53" t="s">
        <v>3424</v>
      </c>
      <c r="E188" s="53" t="s">
        <v>67</v>
      </c>
      <c r="F188" s="53" t="s">
        <v>101</v>
      </c>
      <c r="G188" s="131" t="s">
        <v>30</v>
      </c>
      <c r="H188" s="53">
        <v>10</v>
      </c>
      <c r="I188" s="188">
        <v>975</v>
      </c>
      <c r="J188" s="75">
        <f t="shared" si="9"/>
        <v>9750</v>
      </c>
      <c r="K188" s="55" t="b">
        <v>1</v>
      </c>
      <c r="L188" s="56">
        <v>260220251745</v>
      </c>
      <c r="M188" s="57" t="b">
        <v>1</v>
      </c>
      <c r="N188" s="58" t="s">
        <v>1581</v>
      </c>
      <c r="O188" s="226"/>
      <c r="P188" s="191" t="b">
        <v>1</v>
      </c>
      <c r="Q188" s="308" t="s">
        <v>3138</v>
      </c>
      <c r="R188" s="47" t="b">
        <v>1</v>
      </c>
      <c r="S188" s="310" t="s">
        <v>3425</v>
      </c>
      <c r="T188" s="54"/>
    </row>
    <row r="189" spans="1:20" ht="16">
      <c r="A189" s="162"/>
      <c r="B189" s="132" t="s">
        <v>3417</v>
      </c>
      <c r="C189" s="53" t="s">
        <v>93</v>
      </c>
      <c r="D189" s="53" t="s">
        <v>94</v>
      </c>
      <c r="E189" s="53" t="s">
        <v>268</v>
      </c>
      <c r="F189" s="53" t="s">
        <v>3202</v>
      </c>
      <c r="G189" s="131" t="s">
        <v>30</v>
      </c>
      <c r="H189" s="53">
        <v>5</v>
      </c>
      <c r="I189" s="188">
        <v>695</v>
      </c>
      <c r="J189" s="75">
        <f t="shared" si="9"/>
        <v>3475</v>
      </c>
      <c r="K189" s="55" t="b">
        <v>1</v>
      </c>
      <c r="L189" s="56">
        <v>260220251927</v>
      </c>
      <c r="M189" s="57" t="b">
        <v>1</v>
      </c>
      <c r="N189" s="58" t="s">
        <v>1581</v>
      </c>
      <c r="O189" s="226"/>
      <c r="P189" s="191" t="b">
        <v>1</v>
      </c>
      <c r="Q189" s="308" t="s">
        <v>3138</v>
      </c>
      <c r="R189" s="47" t="b">
        <v>1</v>
      </c>
      <c r="S189" s="310" t="s">
        <v>3426</v>
      </c>
      <c r="T189" s="54"/>
    </row>
    <row r="190" spans="1:20" ht="16">
      <c r="A190" s="162"/>
      <c r="B190" s="132" t="s">
        <v>3417</v>
      </c>
      <c r="C190" s="53" t="s">
        <v>93</v>
      </c>
      <c r="D190" s="53" t="s">
        <v>94</v>
      </c>
      <c r="E190" s="53" t="s">
        <v>268</v>
      </c>
      <c r="F190" s="53" t="s">
        <v>467</v>
      </c>
      <c r="G190" s="131" t="s">
        <v>30</v>
      </c>
      <c r="H190" s="53">
        <v>5</v>
      </c>
      <c r="I190" s="188">
        <v>685</v>
      </c>
      <c r="J190" s="75">
        <f t="shared" si="9"/>
        <v>3425</v>
      </c>
      <c r="K190" s="55" t="b">
        <v>1</v>
      </c>
      <c r="L190" s="56">
        <v>260220251927</v>
      </c>
      <c r="M190" s="57" t="b">
        <v>1</v>
      </c>
      <c r="N190" s="58" t="s">
        <v>9</v>
      </c>
      <c r="O190" s="215"/>
      <c r="P190" s="191" t="b">
        <v>1</v>
      </c>
      <c r="Q190" s="308" t="s">
        <v>3138</v>
      </c>
      <c r="R190" s="47" t="b">
        <v>1</v>
      </c>
      <c r="S190" s="310" t="s">
        <v>3426</v>
      </c>
      <c r="T190" s="54"/>
    </row>
    <row r="191" spans="1:20" ht="16">
      <c r="A191" s="162"/>
      <c r="B191" s="132" t="s">
        <v>3427</v>
      </c>
      <c r="C191" s="53" t="s">
        <v>51</v>
      </c>
      <c r="D191" s="53" t="s">
        <v>89</v>
      </c>
      <c r="E191" s="53" t="s">
        <v>1872</v>
      </c>
      <c r="F191" s="53" t="s">
        <v>3428</v>
      </c>
      <c r="G191" s="131" t="s">
        <v>30</v>
      </c>
      <c r="H191" s="53">
        <v>2</v>
      </c>
      <c r="I191" s="188">
        <v>950</v>
      </c>
      <c r="J191" s="75">
        <f t="shared" si="9"/>
        <v>1900</v>
      </c>
      <c r="K191" s="55" t="b">
        <v>1</v>
      </c>
      <c r="L191" s="56">
        <v>270220251126</v>
      </c>
      <c r="M191" s="57" t="b">
        <v>1</v>
      </c>
      <c r="N191" s="58"/>
      <c r="O191" s="226"/>
      <c r="P191" s="191" t="b">
        <v>1</v>
      </c>
      <c r="Q191" s="308" t="s">
        <v>3138</v>
      </c>
      <c r="R191" s="47" t="b">
        <v>1</v>
      </c>
      <c r="S191" s="310" t="s">
        <v>3429</v>
      </c>
      <c r="T191" s="54"/>
    </row>
    <row r="192" spans="1:20" ht="17.25" customHeight="1">
      <c r="A192" s="162"/>
      <c r="B192" s="132" t="s">
        <v>3427</v>
      </c>
      <c r="C192" s="53" t="s">
        <v>51</v>
      </c>
      <c r="D192" s="53" t="s">
        <v>66</v>
      </c>
      <c r="E192" s="53" t="s">
        <v>67</v>
      </c>
      <c r="F192" s="53" t="s">
        <v>68</v>
      </c>
      <c r="G192" s="131" t="s">
        <v>30</v>
      </c>
      <c r="H192" s="53">
        <v>3</v>
      </c>
      <c r="I192" s="188">
        <v>2350</v>
      </c>
      <c r="J192" s="75">
        <f t="shared" si="9"/>
        <v>7050</v>
      </c>
      <c r="K192" s="55" t="b">
        <v>1</v>
      </c>
      <c r="L192" s="56">
        <v>270220251314</v>
      </c>
      <c r="M192" s="57" t="b">
        <v>1</v>
      </c>
      <c r="N192" s="58" t="s">
        <v>1581</v>
      </c>
      <c r="O192" s="226"/>
      <c r="P192" s="191" t="b">
        <v>1</v>
      </c>
      <c r="Q192" s="308" t="s">
        <v>3138</v>
      </c>
      <c r="R192" s="47" t="b">
        <v>1</v>
      </c>
      <c r="S192" s="310" t="s">
        <v>3430</v>
      </c>
      <c r="T192" s="54"/>
    </row>
    <row r="193" spans="1:20" ht="16">
      <c r="A193" s="162"/>
      <c r="B193" s="132" t="s">
        <v>3427</v>
      </c>
      <c r="C193" s="53" t="s">
        <v>104</v>
      </c>
      <c r="D193" s="53" t="s">
        <v>743</v>
      </c>
      <c r="E193" s="53" t="s">
        <v>2450</v>
      </c>
      <c r="F193" s="53" t="s">
        <v>3431</v>
      </c>
      <c r="G193" s="131" t="s">
        <v>30</v>
      </c>
      <c r="H193" s="53">
        <v>2</v>
      </c>
      <c r="I193" s="188">
        <v>2100</v>
      </c>
      <c r="J193" s="75">
        <f t="shared" si="9"/>
        <v>4200</v>
      </c>
      <c r="K193" s="55" t="b">
        <v>1</v>
      </c>
      <c r="L193" s="56">
        <v>270220251636</v>
      </c>
      <c r="M193" s="57" t="b">
        <v>1</v>
      </c>
      <c r="N193" s="58" t="s">
        <v>3300</v>
      </c>
      <c r="O193" s="226"/>
      <c r="P193" s="191" t="b">
        <v>1</v>
      </c>
      <c r="Q193" s="308" t="s">
        <v>3138</v>
      </c>
      <c r="R193" s="47" t="b">
        <v>1</v>
      </c>
      <c r="S193" s="310" t="s">
        <v>3432</v>
      </c>
      <c r="T193" s="54"/>
    </row>
    <row r="194" spans="1:20">
      <c r="A194" s="162"/>
      <c r="B194" s="132" t="s">
        <v>3427</v>
      </c>
      <c r="C194" s="53" t="s">
        <v>144</v>
      </c>
      <c r="D194" s="53" t="s">
        <v>144</v>
      </c>
      <c r="E194" s="53" t="s">
        <v>764</v>
      </c>
      <c r="F194" s="53" t="s">
        <v>3433</v>
      </c>
      <c r="G194" s="131" t="s">
        <v>30</v>
      </c>
      <c r="H194" s="53">
        <v>1</v>
      </c>
      <c r="I194" s="188">
        <v>1750</v>
      </c>
      <c r="J194" s="75">
        <f t="shared" si="9"/>
        <v>1750</v>
      </c>
      <c r="K194" s="55" t="b">
        <v>1</v>
      </c>
      <c r="L194" s="56">
        <v>270220251638</v>
      </c>
      <c r="M194" s="57" t="b">
        <v>1</v>
      </c>
      <c r="N194" s="58" t="s">
        <v>2968</v>
      </c>
      <c r="O194" s="311"/>
      <c r="P194" s="312" t="b">
        <v>1</v>
      </c>
      <c r="Q194" s="548" t="s">
        <v>3434</v>
      </c>
      <c r="R194" s="546"/>
      <c r="S194" s="546"/>
      <c r="T194" s="58"/>
    </row>
    <row r="195" spans="1:20" ht="16">
      <c r="A195" s="162"/>
      <c r="B195" s="132" t="s">
        <v>3427</v>
      </c>
      <c r="C195" s="53" t="s">
        <v>3242</v>
      </c>
      <c r="D195" s="53" t="s">
        <v>2296</v>
      </c>
      <c r="E195" s="53" t="s">
        <v>2297</v>
      </c>
      <c r="F195" s="53" t="s">
        <v>3435</v>
      </c>
      <c r="G195" s="131" t="s">
        <v>30</v>
      </c>
      <c r="H195" s="53">
        <v>10</v>
      </c>
      <c r="I195" s="188">
        <v>600</v>
      </c>
      <c r="J195" s="75">
        <f t="shared" si="9"/>
        <v>6000</v>
      </c>
      <c r="K195" s="55" t="b">
        <v>1</v>
      </c>
      <c r="L195" s="56">
        <v>270220251740</v>
      </c>
      <c r="M195" s="57" t="b">
        <v>1</v>
      </c>
      <c r="N195" s="58" t="s">
        <v>1581</v>
      </c>
      <c r="O195" s="226"/>
      <c r="P195" s="191" t="b">
        <v>1</v>
      </c>
      <c r="Q195" s="308" t="s">
        <v>3138</v>
      </c>
      <c r="R195" s="47" t="b">
        <v>1</v>
      </c>
      <c r="S195" s="310" t="s">
        <v>3436</v>
      </c>
      <c r="T195" s="54"/>
    </row>
    <row r="196" spans="1:20" ht="16">
      <c r="A196" s="162"/>
      <c r="B196" s="132" t="s">
        <v>3427</v>
      </c>
      <c r="C196" s="53" t="s">
        <v>33</v>
      </c>
      <c r="D196" s="53" t="s">
        <v>158</v>
      </c>
      <c r="E196" s="53" t="s">
        <v>3437</v>
      </c>
      <c r="F196" s="53" t="s">
        <v>3438</v>
      </c>
      <c r="G196" s="131" t="s">
        <v>30</v>
      </c>
      <c r="H196" s="53">
        <v>3</v>
      </c>
      <c r="I196" s="188">
        <v>600</v>
      </c>
      <c r="J196" s="75">
        <f t="shared" si="9"/>
        <v>1800</v>
      </c>
      <c r="K196" s="55" t="b">
        <v>1</v>
      </c>
      <c r="L196" s="56">
        <v>270220251908</v>
      </c>
      <c r="M196" s="57" t="b">
        <v>1</v>
      </c>
      <c r="N196" s="58" t="s">
        <v>39</v>
      </c>
      <c r="O196" s="226"/>
      <c r="P196" s="191" t="b">
        <v>1</v>
      </c>
      <c r="Q196" s="308" t="s">
        <v>3138</v>
      </c>
      <c r="R196" s="47" t="b">
        <v>1</v>
      </c>
      <c r="S196" s="310" t="s">
        <v>3439</v>
      </c>
      <c r="T196" s="54"/>
    </row>
    <row r="197" spans="1:20" ht="16">
      <c r="A197" s="162"/>
      <c r="B197" s="132" t="s">
        <v>3427</v>
      </c>
      <c r="C197" s="53" t="s">
        <v>1165</v>
      </c>
      <c r="D197" s="53" t="s">
        <v>47</v>
      </c>
      <c r="E197" s="53" t="s">
        <v>48</v>
      </c>
      <c r="F197" s="53" t="s">
        <v>58</v>
      </c>
      <c r="G197" s="131" t="s">
        <v>30</v>
      </c>
      <c r="H197" s="53">
        <v>84</v>
      </c>
      <c r="I197" s="188">
        <v>42</v>
      </c>
      <c r="J197" s="75">
        <f t="shared" si="9"/>
        <v>3528</v>
      </c>
      <c r="K197" s="55" t="b">
        <v>1</v>
      </c>
      <c r="L197" s="56">
        <v>279220251534</v>
      </c>
      <c r="M197" s="57" t="b">
        <v>1</v>
      </c>
      <c r="N197" s="58" t="s">
        <v>1581</v>
      </c>
      <c r="O197" s="226"/>
      <c r="P197" s="191" t="b">
        <v>1</v>
      </c>
      <c r="Q197" s="308" t="s">
        <v>3138</v>
      </c>
      <c r="R197" s="47" t="b">
        <v>1</v>
      </c>
      <c r="S197" s="310" t="s">
        <v>3440</v>
      </c>
      <c r="T197" s="54"/>
    </row>
    <row r="198" spans="1:20" ht="16">
      <c r="A198" s="162"/>
      <c r="B198" s="132" t="s">
        <v>3427</v>
      </c>
      <c r="C198" s="53" t="s">
        <v>46</v>
      </c>
      <c r="D198" s="53" t="s">
        <v>47</v>
      </c>
      <c r="E198" s="53" t="s">
        <v>48</v>
      </c>
      <c r="F198" s="53" t="s">
        <v>255</v>
      </c>
      <c r="G198" s="131" t="s">
        <v>30</v>
      </c>
      <c r="H198" s="53">
        <v>4</v>
      </c>
      <c r="I198" s="188">
        <v>155</v>
      </c>
      <c r="J198" s="75">
        <f t="shared" si="9"/>
        <v>620</v>
      </c>
      <c r="K198" s="55" t="b">
        <v>1</v>
      </c>
      <c r="L198" s="56">
        <v>280220291544</v>
      </c>
      <c r="M198" s="57" t="b">
        <v>1</v>
      </c>
      <c r="N198" s="58" t="s">
        <v>1581</v>
      </c>
      <c r="O198" s="226"/>
      <c r="P198" s="191" t="b">
        <v>1</v>
      </c>
      <c r="Q198" s="308" t="s">
        <v>3138</v>
      </c>
      <c r="R198" s="47" t="b">
        <v>1</v>
      </c>
      <c r="S198" s="310" t="s">
        <v>3440</v>
      </c>
      <c r="T198" s="54"/>
    </row>
    <row r="199" spans="1:20" ht="16">
      <c r="A199" s="162"/>
      <c r="B199" s="132"/>
      <c r="F199" s="49"/>
      <c r="G199" s="49"/>
      <c r="H199" s="49"/>
      <c r="I199" s="49"/>
      <c r="J199" s="49"/>
      <c r="K199" s="55" t="b">
        <v>1</v>
      </c>
      <c r="L199" s="56"/>
      <c r="M199" s="57" t="b">
        <v>0</v>
      </c>
      <c r="N199" s="58"/>
      <c r="O199" s="226"/>
      <c r="P199" s="191" t="b">
        <v>0</v>
      </c>
      <c r="Q199" s="129"/>
      <c r="R199" s="47" t="b">
        <v>0</v>
      </c>
      <c r="S199" s="313"/>
      <c r="T199" s="54"/>
    </row>
    <row r="200" spans="1:20" ht="16">
      <c r="A200" s="162"/>
      <c r="B200" s="132"/>
      <c r="C200" s="53"/>
      <c r="D200" s="53"/>
      <c r="E200" s="53"/>
      <c r="F200" s="53"/>
      <c r="G200" s="53"/>
      <c r="H200" s="53"/>
      <c r="I200" s="54"/>
      <c r="J200" s="75">
        <f t="shared" ref="J200:J230" si="10">(H200*I200)</f>
        <v>0</v>
      </c>
      <c r="K200" s="55" t="b">
        <v>0</v>
      </c>
      <c r="L200" s="56"/>
      <c r="M200" s="57" t="b">
        <v>0</v>
      </c>
      <c r="N200" s="58"/>
      <c r="O200" s="226"/>
      <c r="P200" s="191" t="b">
        <v>0</v>
      </c>
      <c r="Q200" s="129"/>
      <c r="R200" s="47" t="b">
        <v>0</v>
      </c>
      <c r="S200" s="313"/>
      <c r="T200" s="54"/>
    </row>
    <row r="201" spans="1:20" ht="16">
      <c r="A201" s="162"/>
      <c r="B201" s="132"/>
      <c r="C201" s="53"/>
      <c r="D201" s="53"/>
      <c r="E201" s="53"/>
      <c r="F201" s="53"/>
      <c r="G201" s="131"/>
      <c r="H201" s="53"/>
      <c r="I201" s="188"/>
      <c r="J201" s="75">
        <f t="shared" si="10"/>
        <v>0</v>
      </c>
      <c r="K201" s="55" t="b">
        <v>0</v>
      </c>
      <c r="L201" s="56"/>
      <c r="M201" s="57" t="b">
        <v>0</v>
      </c>
      <c r="N201" s="58"/>
      <c r="O201" s="226"/>
      <c r="P201" s="191" t="b">
        <v>0</v>
      </c>
      <c r="Q201" s="129"/>
      <c r="R201" s="47" t="b">
        <v>0</v>
      </c>
      <c r="S201" s="313"/>
      <c r="T201" s="54"/>
    </row>
    <row r="202" spans="1:20" ht="16">
      <c r="A202" s="162"/>
      <c r="B202" s="132"/>
      <c r="C202" s="53"/>
      <c r="D202" s="53"/>
      <c r="E202" s="53"/>
      <c r="F202" s="53"/>
      <c r="G202" s="131"/>
      <c r="H202" s="53"/>
      <c r="I202" s="188"/>
      <c r="J202" s="75">
        <f t="shared" si="10"/>
        <v>0</v>
      </c>
      <c r="K202" s="55" t="b">
        <v>0</v>
      </c>
      <c r="L202" s="56"/>
      <c r="M202" s="57" t="b">
        <v>0</v>
      </c>
      <c r="N202" s="58"/>
      <c r="O202" s="226"/>
      <c r="P202" s="191" t="b">
        <v>0</v>
      </c>
      <c r="Q202" s="129"/>
      <c r="R202" s="47" t="b">
        <v>0</v>
      </c>
      <c r="S202" s="313"/>
      <c r="T202" s="54"/>
    </row>
    <row r="203" spans="1:20" ht="16">
      <c r="A203" s="162"/>
      <c r="B203" s="132"/>
      <c r="C203" s="53"/>
      <c r="D203" s="53"/>
      <c r="E203" s="53"/>
      <c r="F203" s="53"/>
      <c r="G203" s="131"/>
      <c r="H203" s="53"/>
      <c r="I203" s="188"/>
      <c r="J203" s="75">
        <f t="shared" si="10"/>
        <v>0</v>
      </c>
      <c r="K203" s="55" t="b">
        <v>0</v>
      </c>
      <c r="L203" s="56"/>
      <c r="M203" s="57" t="b">
        <v>0</v>
      </c>
      <c r="N203" s="58"/>
      <c r="O203" s="226"/>
      <c r="P203" s="191" t="b">
        <v>0</v>
      </c>
      <c r="Q203" s="129"/>
      <c r="R203" s="47" t="b">
        <v>0</v>
      </c>
      <c r="S203" s="313"/>
      <c r="T203" s="54"/>
    </row>
    <row r="204" spans="1:20" ht="16">
      <c r="A204" s="162"/>
      <c r="B204" s="132"/>
      <c r="C204" s="53"/>
      <c r="D204" s="53"/>
      <c r="E204" s="53"/>
      <c r="F204" s="53"/>
      <c r="G204" s="131"/>
      <c r="H204" s="53"/>
      <c r="I204" s="188"/>
      <c r="J204" s="75">
        <f t="shared" si="10"/>
        <v>0</v>
      </c>
      <c r="K204" s="55" t="b">
        <v>0</v>
      </c>
      <c r="L204" s="56"/>
      <c r="M204" s="57" t="b">
        <v>0</v>
      </c>
      <c r="N204" s="58"/>
      <c r="O204" s="226"/>
      <c r="P204" s="191" t="b">
        <v>0</v>
      </c>
      <c r="Q204" s="129"/>
      <c r="R204" s="47" t="b">
        <v>0</v>
      </c>
      <c r="S204" s="313"/>
      <c r="T204" s="54"/>
    </row>
    <row r="205" spans="1:20" ht="16">
      <c r="A205" s="162"/>
      <c r="B205" s="132"/>
      <c r="C205" s="53"/>
      <c r="D205" s="53"/>
      <c r="E205" s="53"/>
      <c r="F205" s="53"/>
      <c r="G205" s="131"/>
      <c r="H205" s="53"/>
      <c r="I205" s="188"/>
      <c r="J205" s="75">
        <f t="shared" si="10"/>
        <v>0</v>
      </c>
      <c r="K205" s="55" t="b">
        <v>0</v>
      </c>
      <c r="L205" s="56"/>
      <c r="M205" s="57" t="b">
        <v>0</v>
      </c>
      <c r="N205" s="58"/>
      <c r="O205" s="226"/>
      <c r="P205" s="191" t="b">
        <v>0</v>
      </c>
      <c r="Q205" s="129"/>
      <c r="R205" s="47" t="b">
        <v>0</v>
      </c>
      <c r="S205" s="313"/>
      <c r="T205" s="54"/>
    </row>
    <row r="206" spans="1:20" ht="16">
      <c r="A206" s="162"/>
      <c r="B206" s="132"/>
      <c r="C206" s="53"/>
      <c r="D206" s="53"/>
      <c r="E206" s="53"/>
      <c r="F206" s="53"/>
      <c r="G206" s="131"/>
      <c r="H206" s="53"/>
      <c r="I206" s="188"/>
      <c r="J206" s="75">
        <f t="shared" si="10"/>
        <v>0</v>
      </c>
      <c r="K206" s="55" t="b">
        <v>0</v>
      </c>
      <c r="L206" s="56"/>
      <c r="M206" s="57" t="b">
        <v>0</v>
      </c>
      <c r="N206" s="58"/>
      <c r="O206" s="226"/>
      <c r="P206" s="191" t="b">
        <v>0</v>
      </c>
      <c r="Q206" s="129"/>
      <c r="R206" s="47" t="b">
        <v>0</v>
      </c>
      <c r="S206" s="313"/>
      <c r="T206" s="54"/>
    </row>
    <row r="207" spans="1:20" ht="16">
      <c r="A207" s="162"/>
      <c r="B207" s="132"/>
      <c r="C207" s="53"/>
      <c r="D207" s="53"/>
      <c r="E207" s="53"/>
      <c r="F207" s="53"/>
      <c r="G207" s="131"/>
      <c r="H207" s="53"/>
      <c r="I207" s="188"/>
      <c r="J207" s="75">
        <f t="shared" si="10"/>
        <v>0</v>
      </c>
      <c r="K207" s="55" t="b">
        <v>0</v>
      </c>
      <c r="L207" s="56"/>
      <c r="M207" s="57" t="b">
        <v>0</v>
      </c>
      <c r="N207" s="58"/>
      <c r="O207" s="226"/>
      <c r="P207" s="191" t="b">
        <v>0</v>
      </c>
      <c r="Q207" s="129"/>
      <c r="R207" s="47" t="b">
        <v>0</v>
      </c>
      <c r="S207" s="313"/>
      <c r="T207" s="54"/>
    </row>
    <row r="208" spans="1:20" ht="16">
      <c r="A208" s="162"/>
      <c r="B208" s="132"/>
      <c r="C208" s="53"/>
      <c r="D208" s="53"/>
      <c r="E208" s="53"/>
      <c r="F208" s="53"/>
      <c r="G208" s="131"/>
      <c r="H208" s="53"/>
      <c r="I208" s="188"/>
      <c r="J208" s="75">
        <f t="shared" si="10"/>
        <v>0</v>
      </c>
      <c r="K208" s="55" t="b">
        <v>0</v>
      </c>
      <c r="L208" s="56"/>
      <c r="M208" s="57" t="b">
        <v>0</v>
      </c>
      <c r="N208" s="58"/>
      <c r="O208" s="226"/>
      <c r="P208" s="191" t="b">
        <v>0</v>
      </c>
      <c r="Q208" s="129"/>
      <c r="R208" s="47" t="b">
        <v>0</v>
      </c>
      <c r="S208" s="313"/>
      <c r="T208" s="54"/>
    </row>
    <row r="209" spans="1:20" ht="16">
      <c r="A209" s="162"/>
      <c r="B209" s="132"/>
      <c r="C209" s="53"/>
      <c r="D209" s="53"/>
      <c r="E209" s="53"/>
      <c r="F209" s="53"/>
      <c r="G209" s="131"/>
      <c r="H209" s="53"/>
      <c r="I209" s="188"/>
      <c r="J209" s="75">
        <f t="shared" si="10"/>
        <v>0</v>
      </c>
      <c r="K209" s="55" t="b">
        <v>0</v>
      </c>
      <c r="L209" s="56"/>
      <c r="M209" s="57" t="b">
        <v>0</v>
      </c>
      <c r="N209" s="58"/>
      <c r="O209" s="226"/>
      <c r="P209" s="191" t="b">
        <v>0</v>
      </c>
      <c r="Q209" s="129"/>
      <c r="R209" s="47" t="b">
        <v>0</v>
      </c>
      <c r="S209" s="313"/>
      <c r="T209" s="54"/>
    </row>
    <row r="210" spans="1:20" ht="16">
      <c r="A210" s="162"/>
      <c r="B210" s="132"/>
      <c r="C210" s="53"/>
      <c r="D210" s="53"/>
      <c r="E210" s="53"/>
      <c r="F210" s="53"/>
      <c r="G210" s="131"/>
      <c r="H210" s="53"/>
      <c r="I210" s="188"/>
      <c r="J210" s="75">
        <f t="shared" si="10"/>
        <v>0</v>
      </c>
      <c r="K210" s="55" t="b">
        <v>0</v>
      </c>
      <c r="L210" s="56"/>
      <c r="M210" s="57" t="b">
        <v>0</v>
      </c>
      <c r="N210" s="58"/>
      <c r="O210" s="226"/>
      <c r="P210" s="191" t="b">
        <v>0</v>
      </c>
      <c r="Q210" s="129"/>
      <c r="R210" s="47" t="b">
        <v>0</v>
      </c>
      <c r="S210" s="313"/>
      <c r="T210" s="54"/>
    </row>
    <row r="211" spans="1:20" ht="16">
      <c r="A211" s="162"/>
      <c r="B211" s="132"/>
      <c r="C211" s="53"/>
      <c r="D211" s="53"/>
      <c r="E211" s="53"/>
      <c r="F211" s="53"/>
      <c r="G211" s="131"/>
      <c r="H211" s="53"/>
      <c r="I211" s="188"/>
      <c r="J211" s="75">
        <f t="shared" si="10"/>
        <v>0</v>
      </c>
      <c r="K211" s="55" t="b">
        <v>0</v>
      </c>
      <c r="L211" s="56"/>
      <c r="M211" s="57" t="b">
        <v>0</v>
      </c>
      <c r="N211" s="58"/>
      <c r="O211" s="226"/>
      <c r="P211" s="191" t="b">
        <v>0</v>
      </c>
      <c r="Q211" s="129"/>
      <c r="R211" s="47" t="b">
        <v>0</v>
      </c>
      <c r="S211" s="313"/>
      <c r="T211" s="54"/>
    </row>
    <row r="212" spans="1:20" ht="16">
      <c r="A212" s="162"/>
      <c r="B212" s="132"/>
      <c r="C212" s="53"/>
      <c r="D212" s="53"/>
      <c r="E212" s="53"/>
      <c r="F212" s="53"/>
      <c r="G212" s="131"/>
      <c r="H212" s="53"/>
      <c r="I212" s="188"/>
      <c r="J212" s="75">
        <f t="shared" si="10"/>
        <v>0</v>
      </c>
      <c r="K212" s="55" t="b">
        <v>0</v>
      </c>
      <c r="L212" s="56"/>
      <c r="M212" s="57" t="b">
        <v>0</v>
      </c>
      <c r="N212" s="58"/>
      <c r="O212" s="226"/>
      <c r="P212" s="191" t="b">
        <v>0</v>
      </c>
      <c r="Q212" s="129"/>
      <c r="R212" s="47" t="b">
        <v>0</v>
      </c>
      <c r="S212" s="313"/>
      <c r="T212" s="54"/>
    </row>
    <row r="213" spans="1:20" ht="16">
      <c r="A213" s="162"/>
      <c r="B213" s="132"/>
      <c r="C213" s="53"/>
      <c r="D213" s="53"/>
      <c r="E213" s="53"/>
      <c r="F213" s="53"/>
      <c r="G213" s="131"/>
      <c r="H213" s="53"/>
      <c r="I213" s="188"/>
      <c r="J213" s="75">
        <f t="shared" si="10"/>
        <v>0</v>
      </c>
      <c r="K213" s="55" t="b">
        <v>0</v>
      </c>
      <c r="L213" s="56"/>
      <c r="M213" s="57" t="b">
        <v>0</v>
      </c>
      <c r="N213" s="58"/>
      <c r="O213" s="226"/>
      <c r="P213" s="191" t="b">
        <v>0</v>
      </c>
      <c r="Q213" s="129"/>
      <c r="R213" s="47" t="b">
        <v>0</v>
      </c>
      <c r="S213" s="313"/>
      <c r="T213" s="54"/>
    </row>
    <row r="214" spans="1:20" ht="16">
      <c r="A214" s="162"/>
      <c r="B214" s="132"/>
      <c r="C214" s="53"/>
      <c r="D214" s="53"/>
      <c r="E214" s="53"/>
      <c r="F214" s="53"/>
      <c r="G214" s="131"/>
      <c r="H214" s="53"/>
      <c r="I214" s="188"/>
      <c r="J214" s="75">
        <f t="shared" si="10"/>
        <v>0</v>
      </c>
      <c r="K214" s="55" t="b">
        <v>0</v>
      </c>
      <c r="L214" s="56"/>
      <c r="M214" s="57" t="b">
        <v>0</v>
      </c>
      <c r="N214" s="58"/>
      <c r="O214" s="226"/>
      <c r="P214" s="191" t="b">
        <v>0</v>
      </c>
      <c r="Q214" s="129"/>
      <c r="R214" s="47" t="b">
        <v>0</v>
      </c>
      <c r="S214" s="313"/>
      <c r="T214" s="54"/>
    </row>
    <row r="215" spans="1:20" ht="16">
      <c r="A215" s="162"/>
      <c r="B215" s="132"/>
      <c r="C215" s="53"/>
      <c r="D215" s="53"/>
      <c r="E215" s="53"/>
      <c r="F215" s="53"/>
      <c r="G215" s="131"/>
      <c r="H215" s="53"/>
      <c r="I215" s="188"/>
      <c r="J215" s="75">
        <f t="shared" si="10"/>
        <v>0</v>
      </c>
      <c r="K215" s="55" t="b">
        <v>0</v>
      </c>
      <c r="L215" s="56"/>
      <c r="M215" s="57" t="b">
        <v>0</v>
      </c>
      <c r="N215" s="58"/>
      <c r="O215" s="226"/>
      <c r="P215" s="191" t="b">
        <v>0</v>
      </c>
      <c r="Q215" s="129"/>
      <c r="R215" s="47" t="b">
        <v>0</v>
      </c>
      <c r="S215" s="313"/>
      <c r="T215" s="54"/>
    </row>
    <row r="216" spans="1:20" ht="16">
      <c r="A216" s="162"/>
      <c r="B216" s="132"/>
      <c r="C216" s="53"/>
      <c r="D216" s="53"/>
      <c r="E216" s="53"/>
      <c r="F216" s="53"/>
      <c r="G216" s="131"/>
      <c r="H216" s="53"/>
      <c r="I216" s="188"/>
      <c r="J216" s="75">
        <f t="shared" si="10"/>
        <v>0</v>
      </c>
      <c r="K216" s="55" t="b">
        <v>0</v>
      </c>
      <c r="L216" s="56"/>
      <c r="M216" s="57" t="b">
        <v>0</v>
      </c>
      <c r="N216" s="58"/>
      <c r="O216" s="226"/>
      <c r="P216" s="191" t="b">
        <v>0</v>
      </c>
      <c r="Q216" s="129"/>
      <c r="R216" s="47" t="b">
        <v>0</v>
      </c>
      <c r="S216" s="313"/>
      <c r="T216" s="54"/>
    </row>
    <row r="217" spans="1:20" ht="16">
      <c r="A217" s="162"/>
      <c r="B217" s="132"/>
      <c r="C217" s="53"/>
      <c r="D217" s="53"/>
      <c r="E217" s="53"/>
      <c r="F217" s="53"/>
      <c r="G217" s="131"/>
      <c r="H217" s="53"/>
      <c r="I217" s="188"/>
      <c r="J217" s="75">
        <f t="shared" si="10"/>
        <v>0</v>
      </c>
      <c r="K217" s="55" t="b">
        <v>0</v>
      </c>
      <c r="L217" s="56"/>
      <c r="M217" s="57" t="b">
        <v>0</v>
      </c>
      <c r="N217" s="58"/>
      <c r="O217" s="226"/>
      <c r="P217" s="191" t="b">
        <v>0</v>
      </c>
      <c r="Q217" s="129"/>
      <c r="R217" s="47" t="b">
        <v>0</v>
      </c>
      <c r="S217" s="313"/>
      <c r="T217" s="54"/>
    </row>
    <row r="218" spans="1:20" ht="16">
      <c r="A218" s="162"/>
      <c r="B218" s="132"/>
      <c r="C218" s="53"/>
      <c r="D218" s="53"/>
      <c r="E218" s="53"/>
      <c r="F218" s="53"/>
      <c r="G218" s="131"/>
      <c r="H218" s="53"/>
      <c r="I218" s="188"/>
      <c r="J218" s="75">
        <f t="shared" si="10"/>
        <v>0</v>
      </c>
      <c r="K218" s="55" t="b">
        <v>0</v>
      </c>
      <c r="L218" s="56"/>
      <c r="M218" s="57" t="b">
        <v>0</v>
      </c>
      <c r="N218" s="58"/>
      <c r="O218" s="226"/>
      <c r="P218" s="191" t="b">
        <v>0</v>
      </c>
      <c r="Q218" s="129"/>
      <c r="R218" s="47" t="b">
        <v>0</v>
      </c>
      <c r="S218" s="313"/>
      <c r="T218" s="54"/>
    </row>
    <row r="219" spans="1:20" ht="16">
      <c r="A219" s="162"/>
      <c r="B219" s="132"/>
      <c r="C219" s="53"/>
      <c r="D219" s="53"/>
      <c r="E219" s="53"/>
      <c r="F219" s="53"/>
      <c r="G219" s="131"/>
      <c r="H219" s="53"/>
      <c r="I219" s="188"/>
      <c r="J219" s="75">
        <f t="shared" si="10"/>
        <v>0</v>
      </c>
      <c r="K219" s="55" t="b">
        <v>0</v>
      </c>
      <c r="L219" s="56"/>
      <c r="M219" s="57" t="b">
        <v>0</v>
      </c>
      <c r="N219" s="58"/>
      <c r="O219" s="226"/>
      <c r="P219" s="191" t="b">
        <v>0</v>
      </c>
      <c r="Q219" s="129"/>
      <c r="R219" s="47" t="b">
        <v>0</v>
      </c>
      <c r="S219" s="313"/>
      <c r="T219" s="54"/>
    </row>
    <row r="220" spans="1:20" ht="16">
      <c r="A220" s="162"/>
      <c r="B220" s="132"/>
      <c r="C220" s="53"/>
      <c r="D220" s="53"/>
      <c r="E220" s="53"/>
      <c r="F220" s="53"/>
      <c r="G220" s="131"/>
      <c r="H220" s="53"/>
      <c r="I220" s="188"/>
      <c r="J220" s="75">
        <f t="shared" si="10"/>
        <v>0</v>
      </c>
      <c r="K220" s="55" t="b">
        <v>0</v>
      </c>
      <c r="L220" s="56"/>
      <c r="M220" s="57" t="b">
        <v>0</v>
      </c>
      <c r="N220" s="58"/>
      <c r="O220" s="226"/>
      <c r="P220" s="191" t="b">
        <v>0</v>
      </c>
      <c r="Q220" s="129"/>
      <c r="R220" s="47" t="b">
        <v>0</v>
      </c>
      <c r="S220" s="313"/>
      <c r="T220" s="54"/>
    </row>
    <row r="221" spans="1:20" ht="16">
      <c r="A221" s="162"/>
      <c r="B221" s="132"/>
      <c r="C221" s="53"/>
      <c r="D221" s="53"/>
      <c r="E221" s="53"/>
      <c r="F221" s="53"/>
      <c r="G221" s="131"/>
      <c r="H221" s="53"/>
      <c r="I221" s="188"/>
      <c r="J221" s="75">
        <f t="shared" si="10"/>
        <v>0</v>
      </c>
      <c r="K221" s="55" t="b">
        <v>0</v>
      </c>
      <c r="L221" s="56"/>
      <c r="M221" s="57" t="b">
        <v>0</v>
      </c>
      <c r="N221" s="58"/>
      <c r="O221" s="226"/>
      <c r="P221" s="191" t="b">
        <v>0</v>
      </c>
      <c r="Q221" s="129"/>
      <c r="R221" s="47" t="b">
        <v>0</v>
      </c>
      <c r="S221" s="313"/>
      <c r="T221" s="54"/>
    </row>
    <row r="222" spans="1:20" ht="16">
      <c r="A222" s="162"/>
      <c r="B222" s="132"/>
      <c r="C222" s="53"/>
      <c r="D222" s="53"/>
      <c r="E222" s="53"/>
      <c r="F222" s="53"/>
      <c r="G222" s="131"/>
      <c r="H222" s="53"/>
      <c r="I222" s="188"/>
      <c r="J222" s="75">
        <f t="shared" si="10"/>
        <v>0</v>
      </c>
      <c r="K222" s="55" t="b">
        <v>0</v>
      </c>
      <c r="L222" s="56"/>
      <c r="M222" s="57" t="b">
        <v>0</v>
      </c>
      <c r="N222" s="58"/>
      <c r="O222" s="226"/>
      <c r="P222" s="191" t="b">
        <v>0</v>
      </c>
      <c r="Q222" s="129"/>
      <c r="R222" s="47" t="b">
        <v>0</v>
      </c>
      <c r="S222" s="313"/>
      <c r="T222" s="54"/>
    </row>
    <row r="223" spans="1:20" ht="16">
      <c r="A223" s="162"/>
      <c r="B223" s="132"/>
      <c r="C223" s="53"/>
      <c r="D223" s="53"/>
      <c r="E223" s="53"/>
      <c r="F223" s="53"/>
      <c r="G223" s="131"/>
      <c r="H223" s="53"/>
      <c r="I223" s="188"/>
      <c r="J223" s="75">
        <f t="shared" si="10"/>
        <v>0</v>
      </c>
      <c r="K223" s="55" t="b">
        <v>0</v>
      </c>
      <c r="L223" s="56"/>
      <c r="M223" s="57" t="b">
        <v>0</v>
      </c>
      <c r="N223" s="58"/>
      <c r="O223" s="226"/>
      <c r="P223" s="191" t="b">
        <v>0</v>
      </c>
      <c r="Q223" s="129"/>
      <c r="R223" s="47" t="b">
        <v>0</v>
      </c>
      <c r="S223" s="313"/>
      <c r="T223" s="54"/>
    </row>
    <row r="224" spans="1:20" ht="16">
      <c r="A224" s="162"/>
      <c r="B224" s="132"/>
      <c r="C224" s="53"/>
      <c r="D224" s="53"/>
      <c r="E224" s="53"/>
      <c r="F224" s="53"/>
      <c r="G224" s="131"/>
      <c r="H224" s="53"/>
      <c r="I224" s="188"/>
      <c r="J224" s="75">
        <f t="shared" si="10"/>
        <v>0</v>
      </c>
      <c r="K224" s="55" t="b">
        <v>0</v>
      </c>
      <c r="L224" s="56"/>
      <c r="M224" s="57" t="b">
        <v>0</v>
      </c>
      <c r="N224" s="58"/>
      <c r="O224" s="226"/>
      <c r="P224" s="191" t="b">
        <v>0</v>
      </c>
      <c r="Q224" s="129"/>
      <c r="R224" s="47" t="b">
        <v>0</v>
      </c>
      <c r="S224" s="313"/>
      <c r="T224" s="54"/>
    </row>
    <row r="225" spans="1:20" ht="16">
      <c r="A225" s="162"/>
      <c r="B225" s="132"/>
      <c r="C225" s="53"/>
      <c r="D225" s="53"/>
      <c r="E225" s="53"/>
      <c r="F225" s="53"/>
      <c r="G225" s="131"/>
      <c r="H225" s="53"/>
      <c r="I225" s="188"/>
      <c r="J225" s="75">
        <f t="shared" si="10"/>
        <v>0</v>
      </c>
      <c r="K225" s="55" t="b">
        <v>0</v>
      </c>
      <c r="L225" s="56"/>
      <c r="M225" s="57" t="b">
        <v>0</v>
      </c>
      <c r="N225" s="58"/>
      <c r="O225" s="226"/>
      <c r="P225" s="191" t="b">
        <v>0</v>
      </c>
      <c r="Q225" s="129"/>
      <c r="R225" s="47" t="b">
        <v>0</v>
      </c>
      <c r="S225" s="313"/>
      <c r="T225" s="54"/>
    </row>
    <row r="226" spans="1:20" ht="16">
      <c r="A226" s="162"/>
      <c r="B226" s="132"/>
      <c r="C226" s="53"/>
      <c r="D226" s="53"/>
      <c r="E226" s="53"/>
      <c r="F226" s="53"/>
      <c r="G226" s="131"/>
      <c r="H226" s="53"/>
      <c r="I226" s="188"/>
      <c r="J226" s="75">
        <f t="shared" si="10"/>
        <v>0</v>
      </c>
      <c r="K226" s="55" t="b">
        <v>0</v>
      </c>
      <c r="L226" s="56"/>
      <c r="M226" s="57" t="b">
        <v>0</v>
      </c>
      <c r="N226" s="58"/>
      <c r="O226" s="226"/>
      <c r="P226" s="191" t="b">
        <v>0</v>
      </c>
      <c r="Q226" s="129"/>
      <c r="R226" s="47" t="b">
        <v>0</v>
      </c>
      <c r="S226" s="313"/>
      <c r="T226" s="54"/>
    </row>
    <row r="227" spans="1:20" ht="16">
      <c r="A227" s="162"/>
      <c r="B227" s="132"/>
      <c r="C227" s="53"/>
      <c r="D227" s="53"/>
      <c r="E227" s="53"/>
      <c r="F227" s="53"/>
      <c r="G227" s="131"/>
      <c r="H227" s="53"/>
      <c r="I227" s="188"/>
      <c r="J227" s="75">
        <f t="shared" si="10"/>
        <v>0</v>
      </c>
      <c r="K227" s="55" t="b">
        <v>0</v>
      </c>
      <c r="L227" s="56"/>
      <c r="M227" s="57" t="b">
        <v>0</v>
      </c>
      <c r="N227" s="58"/>
      <c r="O227" s="226"/>
      <c r="P227" s="191" t="b">
        <v>0</v>
      </c>
      <c r="Q227" s="129"/>
      <c r="R227" s="47" t="b">
        <v>0</v>
      </c>
      <c r="S227" s="313"/>
      <c r="T227" s="54"/>
    </row>
    <row r="228" spans="1:20" ht="16">
      <c r="A228" s="162"/>
      <c r="B228" s="132"/>
      <c r="C228" s="53"/>
      <c r="D228" s="53"/>
      <c r="E228" s="53"/>
      <c r="F228" s="53"/>
      <c r="G228" s="131"/>
      <c r="H228" s="53"/>
      <c r="I228" s="188"/>
      <c r="J228" s="75">
        <f t="shared" si="10"/>
        <v>0</v>
      </c>
      <c r="K228" s="55" t="b">
        <v>0</v>
      </c>
      <c r="L228" s="56"/>
      <c r="M228" s="57" t="b">
        <v>0</v>
      </c>
      <c r="N228" s="58"/>
      <c r="O228" s="226"/>
      <c r="P228" s="191" t="b">
        <v>0</v>
      </c>
      <c r="Q228" s="129"/>
      <c r="R228" s="47" t="b">
        <v>0</v>
      </c>
      <c r="S228" s="313"/>
      <c r="T228" s="54"/>
    </row>
    <row r="229" spans="1:20" ht="16">
      <c r="A229" s="162"/>
      <c r="B229" s="132"/>
      <c r="C229" s="53"/>
      <c r="D229" s="53"/>
      <c r="E229" s="53"/>
      <c r="F229" s="53"/>
      <c r="G229" s="131"/>
      <c r="H229" s="53"/>
      <c r="I229" s="188"/>
      <c r="J229" s="75">
        <f t="shared" si="10"/>
        <v>0</v>
      </c>
      <c r="K229" s="55" t="b">
        <v>0</v>
      </c>
      <c r="L229" s="56"/>
      <c r="M229" s="57" t="b">
        <v>0</v>
      </c>
      <c r="N229" s="58"/>
      <c r="O229" s="226"/>
      <c r="P229" s="191" t="b">
        <v>0</v>
      </c>
      <c r="Q229" s="129"/>
      <c r="R229" s="47" t="b">
        <v>0</v>
      </c>
      <c r="S229" s="313"/>
      <c r="T229" s="54"/>
    </row>
    <row r="230" spans="1:20" ht="16">
      <c r="A230" s="162"/>
      <c r="B230" s="132"/>
      <c r="C230" s="53"/>
      <c r="D230" s="53"/>
      <c r="E230" s="53"/>
      <c r="F230" s="53"/>
      <c r="G230" s="131"/>
      <c r="H230" s="53"/>
      <c r="I230" s="188"/>
      <c r="J230" s="75">
        <f t="shared" si="10"/>
        <v>0</v>
      </c>
      <c r="K230" s="55" t="b">
        <v>0</v>
      </c>
      <c r="L230" s="56"/>
      <c r="M230" s="57" t="b">
        <v>0</v>
      </c>
      <c r="N230" s="58"/>
      <c r="O230" s="226"/>
      <c r="P230" s="191" t="b">
        <v>0</v>
      </c>
      <c r="Q230" s="129"/>
      <c r="R230" s="47" t="b">
        <v>0</v>
      </c>
      <c r="S230" s="313"/>
      <c r="T230" s="54"/>
    </row>
    <row r="231" spans="1:20" ht="16">
      <c r="I231" s="314"/>
      <c r="O231" s="225"/>
      <c r="S231" s="315"/>
    </row>
    <row r="232" spans="1:20" ht="16">
      <c r="I232" s="314"/>
      <c r="O232" s="225"/>
      <c r="S232" s="315"/>
    </row>
    <row r="233" spans="1:20" ht="16">
      <c r="I233" s="314"/>
      <c r="O233" s="225"/>
      <c r="S233" s="315"/>
    </row>
    <row r="234" spans="1:20" ht="16">
      <c r="I234" s="314"/>
      <c r="O234" s="225"/>
      <c r="S234" s="315"/>
    </row>
    <row r="235" spans="1:20" ht="16">
      <c r="I235" s="314"/>
      <c r="O235" s="225"/>
      <c r="S235" s="315"/>
    </row>
    <row r="236" spans="1:20" ht="16">
      <c r="I236" s="314"/>
      <c r="O236" s="225"/>
      <c r="S236" s="315"/>
    </row>
    <row r="237" spans="1:20" ht="16">
      <c r="I237" s="314"/>
      <c r="O237" s="225"/>
      <c r="S237" s="315"/>
    </row>
    <row r="238" spans="1:20" ht="16">
      <c r="I238" s="314"/>
      <c r="O238" s="225"/>
      <c r="S238" s="315"/>
    </row>
    <row r="239" spans="1:20" ht="16">
      <c r="I239" s="314"/>
      <c r="O239" s="225"/>
      <c r="S239" s="315"/>
    </row>
    <row r="240" spans="1:20" ht="16">
      <c r="I240" s="314"/>
      <c r="O240" s="225"/>
      <c r="S240" s="315"/>
    </row>
    <row r="241" spans="9:19" ht="16">
      <c r="I241" s="314"/>
      <c r="O241" s="225"/>
      <c r="S241" s="315"/>
    </row>
    <row r="242" spans="9:19" ht="16">
      <c r="I242" s="314"/>
      <c r="O242" s="225"/>
      <c r="S242" s="315"/>
    </row>
    <row r="243" spans="9:19" ht="16">
      <c r="I243" s="314"/>
      <c r="O243" s="225"/>
      <c r="S243" s="315"/>
    </row>
    <row r="244" spans="9:19" ht="16">
      <c r="I244" s="314"/>
      <c r="O244" s="225"/>
      <c r="S244" s="315"/>
    </row>
    <row r="245" spans="9:19" ht="16">
      <c r="I245" s="314"/>
      <c r="O245" s="225"/>
      <c r="S245" s="315"/>
    </row>
    <row r="246" spans="9:19" ht="16">
      <c r="I246" s="314"/>
      <c r="O246" s="225"/>
      <c r="S246" s="315"/>
    </row>
    <row r="247" spans="9:19" ht="16">
      <c r="I247" s="314"/>
      <c r="O247" s="225"/>
      <c r="S247" s="315"/>
    </row>
    <row r="248" spans="9:19" ht="16">
      <c r="I248" s="314"/>
      <c r="O248" s="225"/>
      <c r="S248" s="315"/>
    </row>
    <row r="249" spans="9:19" ht="16">
      <c r="I249" s="314"/>
      <c r="O249" s="225"/>
      <c r="S249" s="315"/>
    </row>
    <row r="250" spans="9:19" ht="16">
      <c r="I250" s="314"/>
      <c r="O250" s="225"/>
      <c r="S250" s="315"/>
    </row>
    <row r="251" spans="9:19" ht="16">
      <c r="I251" s="314"/>
      <c r="O251" s="225"/>
      <c r="S251" s="315"/>
    </row>
    <row r="252" spans="9:19" ht="16">
      <c r="I252" s="314"/>
      <c r="O252" s="225"/>
      <c r="S252" s="315"/>
    </row>
    <row r="253" spans="9:19" ht="16">
      <c r="I253" s="314"/>
      <c r="O253" s="225"/>
      <c r="S253" s="315"/>
    </row>
    <row r="254" spans="9:19" ht="16">
      <c r="I254" s="314"/>
      <c r="O254" s="225"/>
      <c r="S254" s="315"/>
    </row>
    <row r="255" spans="9:19" ht="16">
      <c r="I255" s="314"/>
      <c r="O255" s="225"/>
      <c r="S255" s="315"/>
    </row>
    <row r="256" spans="9:19" ht="16">
      <c r="I256" s="314"/>
      <c r="O256" s="225"/>
      <c r="S256" s="315"/>
    </row>
    <row r="257" spans="9:19" ht="16">
      <c r="I257" s="314"/>
      <c r="O257" s="225"/>
      <c r="S257" s="315"/>
    </row>
    <row r="258" spans="9:19" ht="16">
      <c r="I258" s="314"/>
      <c r="O258" s="225"/>
      <c r="S258" s="315"/>
    </row>
    <row r="259" spans="9:19" ht="16">
      <c r="I259" s="314"/>
      <c r="O259" s="225"/>
      <c r="S259" s="315"/>
    </row>
    <row r="260" spans="9:19" ht="16">
      <c r="I260" s="314"/>
      <c r="O260" s="225"/>
      <c r="S260" s="315"/>
    </row>
    <row r="261" spans="9:19" ht="16">
      <c r="I261" s="314"/>
      <c r="O261" s="225"/>
      <c r="S261" s="315"/>
    </row>
    <row r="262" spans="9:19" ht="16">
      <c r="I262" s="314"/>
      <c r="O262" s="225"/>
      <c r="S262" s="315"/>
    </row>
    <row r="263" spans="9:19" ht="16">
      <c r="I263" s="314"/>
      <c r="O263" s="225"/>
      <c r="S263" s="315"/>
    </row>
    <row r="264" spans="9:19" ht="16">
      <c r="I264" s="314"/>
      <c r="O264" s="225"/>
      <c r="S264" s="315"/>
    </row>
    <row r="265" spans="9:19" ht="16">
      <c r="I265" s="314"/>
      <c r="O265" s="225"/>
      <c r="S265" s="315"/>
    </row>
    <row r="266" spans="9:19" ht="16">
      <c r="I266" s="314"/>
      <c r="O266" s="225"/>
      <c r="S266" s="315"/>
    </row>
    <row r="267" spans="9:19" ht="16">
      <c r="I267" s="314"/>
      <c r="O267" s="225"/>
      <c r="S267" s="315"/>
    </row>
    <row r="268" spans="9:19" ht="16">
      <c r="I268" s="314"/>
      <c r="O268" s="225"/>
      <c r="S268" s="315"/>
    </row>
    <row r="269" spans="9:19" ht="16">
      <c r="I269" s="314"/>
      <c r="O269" s="225"/>
      <c r="S269" s="315"/>
    </row>
    <row r="270" spans="9:19" ht="16">
      <c r="I270" s="314"/>
      <c r="O270" s="225"/>
      <c r="S270" s="315"/>
    </row>
    <row r="271" spans="9:19" ht="16">
      <c r="I271" s="314"/>
      <c r="O271" s="225"/>
      <c r="S271" s="315"/>
    </row>
    <row r="272" spans="9:19" ht="16">
      <c r="I272" s="314"/>
      <c r="O272" s="225"/>
      <c r="S272" s="315"/>
    </row>
    <row r="273" spans="9:19" ht="16">
      <c r="I273" s="314"/>
      <c r="O273" s="225"/>
      <c r="S273" s="315"/>
    </row>
    <row r="274" spans="9:19" ht="16">
      <c r="I274" s="314"/>
      <c r="O274" s="225"/>
      <c r="S274" s="315"/>
    </row>
    <row r="275" spans="9:19" ht="16">
      <c r="I275" s="314"/>
      <c r="O275" s="225"/>
      <c r="S275" s="315"/>
    </row>
    <row r="276" spans="9:19" ht="16">
      <c r="I276" s="314"/>
      <c r="O276" s="225"/>
      <c r="S276" s="315"/>
    </row>
    <row r="277" spans="9:19" ht="16">
      <c r="I277" s="314"/>
      <c r="O277" s="225"/>
      <c r="S277" s="315"/>
    </row>
    <row r="278" spans="9:19" ht="16">
      <c r="I278" s="314"/>
      <c r="O278" s="225"/>
      <c r="S278" s="315"/>
    </row>
    <row r="279" spans="9:19" ht="16">
      <c r="I279" s="314"/>
      <c r="O279" s="225"/>
      <c r="S279" s="315"/>
    </row>
    <row r="280" spans="9:19" ht="16">
      <c r="I280" s="314"/>
      <c r="O280" s="225"/>
      <c r="S280" s="315"/>
    </row>
    <row r="281" spans="9:19" ht="16">
      <c r="I281" s="314"/>
      <c r="O281" s="225"/>
      <c r="S281" s="315"/>
    </row>
    <row r="282" spans="9:19" ht="16">
      <c r="I282" s="314"/>
      <c r="O282" s="225"/>
      <c r="S282" s="315"/>
    </row>
    <row r="283" spans="9:19" ht="16">
      <c r="I283" s="314"/>
      <c r="O283" s="225"/>
      <c r="S283" s="315"/>
    </row>
    <row r="284" spans="9:19" ht="16">
      <c r="I284" s="314"/>
      <c r="O284" s="225"/>
      <c r="S284" s="315"/>
    </row>
    <row r="285" spans="9:19" ht="16">
      <c r="I285" s="314"/>
      <c r="O285" s="225"/>
      <c r="S285" s="315"/>
    </row>
    <row r="286" spans="9:19" ht="16">
      <c r="I286" s="314"/>
      <c r="O286" s="225"/>
      <c r="S286" s="315"/>
    </row>
    <row r="287" spans="9:19" ht="16">
      <c r="I287" s="314"/>
      <c r="O287" s="225"/>
      <c r="S287" s="315"/>
    </row>
    <row r="288" spans="9:19" ht="16">
      <c r="I288" s="314"/>
      <c r="O288" s="225"/>
      <c r="S288" s="315"/>
    </row>
    <row r="289" spans="9:19" ht="16">
      <c r="I289" s="314"/>
      <c r="O289" s="225"/>
      <c r="S289" s="315"/>
    </row>
    <row r="290" spans="9:19" ht="16">
      <c r="I290" s="314"/>
      <c r="O290" s="225"/>
      <c r="S290" s="315"/>
    </row>
    <row r="291" spans="9:19" ht="16">
      <c r="I291" s="314"/>
      <c r="O291" s="225"/>
      <c r="S291" s="315"/>
    </row>
    <row r="292" spans="9:19" ht="16">
      <c r="I292" s="314"/>
      <c r="O292" s="225"/>
      <c r="S292" s="315"/>
    </row>
    <row r="293" spans="9:19" ht="16">
      <c r="I293" s="314"/>
      <c r="O293" s="225"/>
      <c r="S293" s="315"/>
    </row>
    <row r="294" spans="9:19" ht="16">
      <c r="I294" s="314"/>
      <c r="O294" s="225"/>
      <c r="S294" s="315"/>
    </row>
    <row r="295" spans="9:19" ht="16">
      <c r="I295" s="314"/>
      <c r="O295" s="225"/>
      <c r="S295" s="315"/>
    </row>
    <row r="296" spans="9:19" ht="16">
      <c r="I296" s="314"/>
      <c r="O296" s="225"/>
      <c r="S296" s="315"/>
    </row>
    <row r="297" spans="9:19" ht="16">
      <c r="I297" s="314"/>
      <c r="O297" s="225"/>
      <c r="S297" s="315"/>
    </row>
    <row r="298" spans="9:19" ht="16">
      <c r="I298" s="314"/>
      <c r="O298" s="225"/>
      <c r="S298" s="315"/>
    </row>
    <row r="299" spans="9:19" ht="16">
      <c r="I299" s="314"/>
      <c r="O299" s="225"/>
      <c r="S299" s="315"/>
    </row>
    <row r="300" spans="9:19" ht="16">
      <c r="I300" s="314"/>
      <c r="O300" s="225"/>
      <c r="S300" s="315"/>
    </row>
    <row r="301" spans="9:19" ht="16">
      <c r="I301" s="314"/>
      <c r="O301" s="225"/>
      <c r="S301" s="315"/>
    </row>
    <row r="302" spans="9:19" ht="16">
      <c r="I302" s="314"/>
      <c r="O302" s="225"/>
      <c r="S302" s="315"/>
    </row>
    <row r="303" spans="9:19" ht="16">
      <c r="I303" s="314"/>
      <c r="O303" s="225"/>
      <c r="S303" s="315"/>
    </row>
    <row r="304" spans="9:19" ht="16">
      <c r="I304" s="314"/>
      <c r="O304" s="225"/>
      <c r="S304" s="315"/>
    </row>
    <row r="305" spans="9:19" ht="16">
      <c r="I305" s="314"/>
      <c r="O305" s="225"/>
      <c r="S305" s="315"/>
    </row>
    <row r="306" spans="9:19" ht="16">
      <c r="I306" s="314"/>
      <c r="O306" s="225"/>
      <c r="S306" s="315"/>
    </row>
    <row r="307" spans="9:19" ht="16">
      <c r="I307" s="314"/>
      <c r="O307" s="225"/>
      <c r="S307" s="315"/>
    </row>
    <row r="308" spans="9:19" ht="16">
      <c r="I308" s="314"/>
      <c r="O308" s="225"/>
      <c r="S308" s="315"/>
    </row>
    <row r="309" spans="9:19" ht="16">
      <c r="I309" s="314"/>
      <c r="O309" s="225"/>
      <c r="S309" s="315"/>
    </row>
    <row r="310" spans="9:19" ht="16">
      <c r="I310" s="314"/>
      <c r="O310" s="225"/>
      <c r="S310" s="315"/>
    </row>
    <row r="311" spans="9:19" ht="16">
      <c r="I311" s="314"/>
      <c r="O311" s="225"/>
      <c r="S311" s="315"/>
    </row>
    <row r="312" spans="9:19" ht="16">
      <c r="I312" s="314"/>
      <c r="O312" s="225"/>
      <c r="S312" s="315"/>
    </row>
    <row r="313" spans="9:19" ht="16">
      <c r="I313" s="314"/>
      <c r="O313" s="225"/>
      <c r="S313" s="315"/>
    </row>
    <row r="314" spans="9:19" ht="16">
      <c r="I314" s="314"/>
      <c r="O314" s="225"/>
      <c r="S314" s="315"/>
    </row>
    <row r="315" spans="9:19" ht="16">
      <c r="I315" s="314"/>
      <c r="O315" s="225"/>
      <c r="S315" s="315"/>
    </row>
    <row r="316" spans="9:19" ht="16">
      <c r="I316" s="314"/>
      <c r="O316" s="225"/>
      <c r="S316" s="315"/>
    </row>
    <row r="317" spans="9:19" ht="16">
      <c r="I317" s="314"/>
      <c r="O317" s="225"/>
      <c r="S317" s="315"/>
    </row>
    <row r="318" spans="9:19" ht="16">
      <c r="I318" s="314"/>
      <c r="O318" s="225"/>
      <c r="S318" s="315"/>
    </row>
    <row r="319" spans="9:19" ht="16">
      <c r="I319" s="314"/>
      <c r="O319" s="225"/>
      <c r="S319" s="315"/>
    </row>
    <row r="320" spans="9:19" ht="16">
      <c r="I320" s="314"/>
      <c r="O320" s="225"/>
      <c r="S320" s="315"/>
    </row>
    <row r="321" spans="9:19" ht="16">
      <c r="I321" s="314"/>
      <c r="O321" s="225"/>
      <c r="S321" s="315"/>
    </row>
    <row r="322" spans="9:19" ht="16">
      <c r="I322" s="314"/>
      <c r="O322" s="225"/>
      <c r="S322" s="315"/>
    </row>
    <row r="323" spans="9:19" ht="16">
      <c r="I323" s="314"/>
      <c r="O323" s="225"/>
      <c r="S323" s="315"/>
    </row>
    <row r="324" spans="9:19" ht="16">
      <c r="I324" s="314"/>
      <c r="O324" s="225"/>
      <c r="S324" s="315"/>
    </row>
    <row r="325" spans="9:19" ht="16">
      <c r="I325" s="314"/>
      <c r="O325" s="225"/>
      <c r="S325" s="315"/>
    </row>
    <row r="326" spans="9:19" ht="16">
      <c r="I326" s="314"/>
      <c r="O326" s="225"/>
      <c r="S326" s="315"/>
    </row>
    <row r="327" spans="9:19" ht="16">
      <c r="I327" s="314"/>
      <c r="O327" s="225"/>
      <c r="S327" s="315"/>
    </row>
    <row r="328" spans="9:19" ht="16">
      <c r="I328" s="314"/>
      <c r="O328" s="225"/>
      <c r="S328" s="315"/>
    </row>
    <row r="329" spans="9:19" ht="16">
      <c r="I329" s="314"/>
      <c r="O329" s="225"/>
      <c r="S329" s="315"/>
    </row>
    <row r="330" spans="9:19" ht="16">
      <c r="I330" s="314"/>
      <c r="O330" s="225"/>
      <c r="S330" s="315"/>
    </row>
    <row r="331" spans="9:19" ht="16">
      <c r="I331" s="314"/>
      <c r="O331" s="225"/>
      <c r="S331" s="315"/>
    </row>
    <row r="332" spans="9:19" ht="16">
      <c r="I332" s="314"/>
      <c r="O332" s="225"/>
      <c r="S332" s="315"/>
    </row>
    <row r="333" spans="9:19" ht="16">
      <c r="I333" s="314"/>
      <c r="O333" s="225"/>
      <c r="S333" s="315"/>
    </row>
    <row r="334" spans="9:19" ht="16">
      <c r="I334" s="314"/>
      <c r="O334" s="225"/>
      <c r="S334" s="315"/>
    </row>
    <row r="335" spans="9:19" ht="16">
      <c r="I335" s="314"/>
      <c r="O335" s="225"/>
      <c r="S335" s="315"/>
    </row>
    <row r="336" spans="9:19" ht="16">
      <c r="I336" s="314"/>
      <c r="O336" s="225"/>
      <c r="S336" s="315"/>
    </row>
    <row r="337" spans="9:19" ht="16">
      <c r="I337" s="314"/>
      <c r="O337" s="225"/>
      <c r="S337" s="315"/>
    </row>
    <row r="338" spans="9:19" ht="16">
      <c r="I338" s="314"/>
      <c r="O338" s="225"/>
      <c r="S338" s="315"/>
    </row>
    <row r="339" spans="9:19" ht="16">
      <c r="I339" s="314"/>
      <c r="O339" s="225"/>
      <c r="S339" s="315"/>
    </row>
    <row r="340" spans="9:19" ht="16">
      <c r="I340" s="314"/>
      <c r="O340" s="225"/>
      <c r="S340" s="315"/>
    </row>
    <row r="341" spans="9:19" ht="16">
      <c r="I341" s="314"/>
      <c r="O341" s="225"/>
      <c r="S341" s="315"/>
    </row>
    <row r="342" spans="9:19" ht="16">
      <c r="I342" s="314"/>
      <c r="O342" s="225"/>
      <c r="S342" s="315"/>
    </row>
    <row r="343" spans="9:19" ht="16">
      <c r="I343" s="314"/>
      <c r="O343" s="225"/>
      <c r="S343" s="315"/>
    </row>
    <row r="344" spans="9:19" ht="16">
      <c r="I344" s="314"/>
      <c r="O344" s="225"/>
      <c r="S344" s="315"/>
    </row>
    <row r="345" spans="9:19" ht="16">
      <c r="I345" s="314"/>
      <c r="O345" s="225"/>
      <c r="S345" s="315"/>
    </row>
    <row r="346" spans="9:19" ht="16">
      <c r="I346" s="314"/>
      <c r="O346" s="225"/>
      <c r="S346" s="315"/>
    </row>
    <row r="347" spans="9:19" ht="16">
      <c r="I347" s="314"/>
      <c r="O347" s="225"/>
      <c r="S347" s="315"/>
    </row>
    <row r="348" spans="9:19" ht="16">
      <c r="I348" s="314"/>
      <c r="O348" s="225"/>
      <c r="S348" s="315"/>
    </row>
    <row r="349" spans="9:19" ht="16">
      <c r="I349" s="314"/>
      <c r="O349" s="225"/>
      <c r="S349" s="315"/>
    </row>
    <row r="350" spans="9:19" ht="16">
      <c r="I350" s="314"/>
      <c r="O350" s="225"/>
      <c r="S350" s="315"/>
    </row>
    <row r="351" spans="9:19" ht="16">
      <c r="I351" s="314"/>
      <c r="O351" s="225"/>
      <c r="S351" s="315"/>
    </row>
    <row r="352" spans="9:19" ht="16">
      <c r="I352" s="314"/>
      <c r="O352" s="225"/>
      <c r="S352" s="315"/>
    </row>
    <row r="353" spans="9:19" ht="16">
      <c r="I353" s="314"/>
      <c r="O353" s="225"/>
      <c r="S353" s="315"/>
    </row>
    <row r="354" spans="9:19" ht="16">
      <c r="I354" s="314"/>
      <c r="O354" s="225"/>
      <c r="S354" s="315"/>
    </row>
    <row r="355" spans="9:19" ht="16">
      <c r="I355" s="314"/>
      <c r="O355" s="225"/>
      <c r="S355" s="315"/>
    </row>
    <row r="356" spans="9:19" ht="16">
      <c r="I356" s="314"/>
      <c r="O356" s="225"/>
      <c r="S356" s="315"/>
    </row>
    <row r="357" spans="9:19" ht="16">
      <c r="I357" s="314"/>
      <c r="O357" s="225"/>
      <c r="S357" s="315"/>
    </row>
    <row r="358" spans="9:19" ht="16">
      <c r="I358" s="314"/>
      <c r="O358" s="225"/>
      <c r="S358" s="315"/>
    </row>
    <row r="359" spans="9:19" ht="16">
      <c r="I359" s="314"/>
      <c r="O359" s="225"/>
      <c r="S359" s="315"/>
    </row>
    <row r="360" spans="9:19" ht="16">
      <c r="I360" s="314"/>
      <c r="O360" s="225"/>
      <c r="S360" s="315"/>
    </row>
    <row r="361" spans="9:19" ht="16">
      <c r="I361" s="314"/>
      <c r="O361" s="225"/>
      <c r="S361" s="315"/>
    </row>
    <row r="362" spans="9:19" ht="16">
      <c r="I362" s="314"/>
      <c r="O362" s="225"/>
      <c r="S362" s="315"/>
    </row>
    <row r="363" spans="9:19" ht="16">
      <c r="I363" s="314"/>
      <c r="O363" s="225"/>
      <c r="S363" s="315"/>
    </row>
    <row r="364" spans="9:19" ht="16">
      <c r="I364" s="314"/>
      <c r="O364" s="225"/>
      <c r="S364" s="315"/>
    </row>
    <row r="365" spans="9:19" ht="16">
      <c r="I365" s="314"/>
      <c r="O365" s="225"/>
      <c r="S365" s="315"/>
    </row>
    <row r="366" spans="9:19" ht="16">
      <c r="I366" s="314"/>
      <c r="O366" s="225"/>
      <c r="S366" s="315"/>
    </row>
    <row r="367" spans="9:19" ht="16">
      <c r="I367" s="314"/>
      <c r="O367" s="225"/>
      <c r="S367" s="315"/>
    </row>
    <row r="368" spans="9:19" ht="16">
      <c r="I368" s="314"/>
      <c r="O368" s="225"/>
      <c r="S368" s="315"/>
    </row>
    <row r="369" spans="9:19" ht="16">
      <c r="I369" s="314"/>
      <c r="O369" s="225"/>
      <c r="S369" s="315"/>
    </row>
    <row r="370" spans="9:19" ht="16">
      <c r="I370" s="314"/>
      <c r="O370" s="225"/>
      <c r="S370" s="315"/>
    </row>
    <row r="371" spans="9:19" ht="16">
      <c r="I371" s="314"/>
      <c r="O371" s="225"/>
      <c r="S371" s="315"/>
    </row>
    <row r="372" spans="9:19" ht="16">
      <c r="I372" s="314"/>
      <c r="O372" s="225"/>
      <c r="S372" s="315"/>
    </row>
    <row r="373" spans="9:19" ht="16">
      <c r="I373" s="314"/>
      <c r="O373" s="225"/>
      <c r="S373" s="315"/>
    </row>
    <row r="374" spans="9:19" ht="16">
      <c r="I374" s="314"/>
      <c r="O374" s="225"/>
      <c r="S374" s="315"/>
    </row>
    <row r="375" spans="9:19" ht="16">
      <c r="I375" s="314"/>
      <c r="O375" s="225"/>
      <c r="S375" s="315"/>
    </row>
    <row r="376" spans="9:19" ht="16">
      <c r="I376" s="314"/>
      <c r="O376" s="225"/>
      <c r="S376" s="315"/>
    </row>
    <row r="377" spans="9:19" ht="16">
      <c r="I377" s="314"/>
      <c r="O377" s="225"/>
      <c r="S377" s="315"/>
    </row>
    <row r="378" spans="9:19" ht="16">
      <c r="I378" s="314"/>
      <c r="O378" s="225"/>
      <c r="S378" s="315"/>
    </row>
    <row r="379" spans="9:19" ht="16">
      <c r="I379" s="314"/>
      <c r="O379" s="225"/>
      <c r="S379" s="315"/>
    </row>
    <row r="380" spans="9:19" ht="16">
      <c r="I380" s="314"/>
      <c r="O380" s="225"/>
      <c r="S380" s="315"/>
    </row>
    <row r="381" spans="9:19" ht="16">
      <c r="I381" s="314"/>
      <c r="O381" s="225"/>
      <c r="S381" s="315"/>
    </row>
    <row r="382" spans="9:19" ht="16">
      <c r="I382" s="314"/>
      <c r="O382" s="225"/>
      <c r="S382" s="315"/>
    </row>
    <row r="383" spans="9:19" ht="16">
      <c r="I383" s="314"/>
      <c r="O383" s="225"/>
      <c r="S383" s="315"/>
    </row>
    <row r="384" spans="9:19" ht="16">
      <c r="I384" s="314"/>
      <c r="O384" s="225"/>
      <c r="S384" s="315"/>
    </row>
    <row r="385" spans="9:19" ht="16">
      <c r="I385" s="314"/>
      <c r="O385" s="225"/>
      <c r="S385" s="315"/>
    </row>
    <row r="386" spans="9:19" ht="16">
      <c r="I386" s="314"/>
      <c r="O386" s="225"/>
      <c r="S386" s="315"/>
    </row>
    <row r="387" spans="9:19" ht="16">
      <c r="I387" s="314"/>
      <c r="O387" s="225"/>
      <c r="S387" s="315"/>
    </row>
    <row r="388" spans="9:19" ht="16">
      <c r="I388" s="314"/>
      <c r="O388" s="225"/>
      <c r="S388" s="315"/>
    </row>
    <row r="389" spans="9:19" ht="16">
      <c r="I389" s="314"/>
      <c r="O389" s="225"/>
      <c r="S389" s="315"/>
    </row>
    <row r="390" spans="9:19" ht="16">
      <c r="I390" s="314"/>
      <c r="O390" s="225"/>
      <c r="S390" s="315"/>
    </row>
    <row r="391" spans="9:19" ht="16">
      <c r="I391" s="314"/>
      <c r="O391" s="225"/>
      <c r="S391" s="315"/>
    </row>
    <row r="392" spans="9:19" ht="16">
      <c r="I392" s="314"/>
      <c r="O392" s="225"/>
      <c r="S392" s="315"/>
    </row>
    <row r="393" spans="9:19" ht="16">
      <c r="I393" s="314"/>
      <c r="O393" s="225"/>
      <c r="S393" s="315"/>
    </row>
    <row r="394" spans="9:19" ht="16">
      <c r="I394" s="314"/>
      <c r="O394" s="225"/>
      <c r="S394" s="315"/>
    </row>
    <row r="395" spans="9:19" ht="16">
      <c r="I395" s="314"/>
      <c r="O395" s="225"/>
      <c r="S395" s="315"/>
    </row>
    <row r="396" spans="9:19" ht="16">
      <c r="I396" s="314"/>
      <c r="O396" s="225"/>
      <c r="S396" s="315"/>
    </row>
    <row r="397" spans="9:19" ht="16">
      <c r="I397" s="314"/>
      <c r="O397" s="225"/>
      <c r="S397" s="315"/>
    </row>
    <row r="398" spans="9:19" ht="16">
      <c r="I398" s="314"/>
      <c r="O398" s="225"/>
      <c r="S398" s="315"/>
    </row>
    <row r="399" spans="9:19" ht="16">
      <c r="I399" s="314"/>
      <c r="O399" s="225"/>
      <c r="S399" s="315"/>
    </row>
    <row r="400" spans="9:19" ht="16">
      <c r="I400" s="314"/>
      <c r="O400" s="225"/>
      <c r="S400" s="315"/>
    </row>
    <row r="401" spans="9:19" ht="16">
      <c r="I401" s="314"/>
      <c r="O401" s="225"/>
      <c r="S401" s="315"/>
    </row>
    <row r="402" spans="9:19" ht="16">
      <c r="I402" s="314"/>
      <c r="O402" s="225"/>
      <c r="S402" s="315"/>
    </row>
    <row r="403" spans="9:19" ht="16">
      <c r="I403" s="314"/>
      <c r="O403" s="225"/>
      <c r="S403" s="315"/>
    </row>
    <row r="404" spans="9:19" ht="16">
      <c r="I404" s="314"/>
      <c r="O404" s="225"/>
      <c r="S404" s="315"/>
    </row>
    <row r="405" spans="9:19" ht="16">
      <c r="I405" s="314"/>
      <c r="O405" s="225"/>
      <c r="S405" s="315"/>
    </row>
    <row r="406" spans="9:19" ht="16">
      <c r="I406" s="314"/>
      <c r="O406" s="225"/>
      <c r="S406" s="315"/>
    </row>
    <row r="407" spans="9:19" ht="16">
      <c r="I407" s="314"/>
      <c r="O407" s="225"/>
      <c r="S407" s="315"/>
    </row>
    <row r="408" spans="9:19" ht="16">
      <c r="I408" s="314"/>
      <c r="O408" s="225"/>
      <c r="S408" s="315"/>
    </row>
    <row r="409" spans="9:19" ht="16">
      <c r="I409" s="314"/>
      <c r="O409" s="225"/>
      <c r="S409" s="315"/>
    </row>
    <row r="410" spans="9:19" ht="16">
      <c r="I410" s="314"/>
      <c r="O410" s="225"/>
      <c r="S410" s="315"/>
    </row>
    <row r="411" spans="9:19" ht="16">
      <c r="I411" s="314"/>
      <c r="O411" s="225"/>
      <c r="S411" s="315"/>
    </row>
    <row r="412" spans="9:19" ht="16">
      <c r="I412" s="314"/>
      <c r="O412" s="225"/>
      <c r="S412" s="315"/>
    </row>
    <row r="413" spans="9:19" ht="16">
      <c r="I413" s="314"/>
      <c r="O413" s="225"/>
      <c r="S413" s="315"/>
    </row>
    <row r="414" spans="9:19" ht="16">
      <c r="I414" s="314"/>
      <c r="O414" s="225"/>
      <c r="S414" s="315"/>
    </row>
    <row r="415" spans="9:19" ht="16">
      <c r="I415" s="314"/>
      <c r="O415" s="225"/>
      <c r="S415" s="315"/>
    </row>
    <row r="416" spans="9:19" ht="16">
      <c r="I416" s="314"/>
      <c r="O416" s="225"/>
      <c r="S416" s="315"/>
    </row>
    <row r="417" spans="9:19" ht="16">
      <c r="I417" s="314"/>
      <c r="O417" s="225"/>
      <c r="S417" s="315"/>
    </row>
    <row r="418" spans="9:19" ht="16">
      <c r="I418" s="314"/>
      <c r="O418" s="225"/>
      <c r="S418" s="315"/>
    </row>
    <row r="419" spans="9:19" ht="16">
      <c r="I419" s="314"/>
      <c r="O419" s="225"/>
      <c r="S419" s="315"/>
    </row>
    <row r="420" spans="9:19" ht="16">
      <c r="I420" s="314"/>
      <c r="O420" s="225"/>
      <c r="S420" s="315"/>
    </row>
    <row r="421" spans="9:19" ht="16">
      <c r="I421" s="314"/>
      <c r="O421" s="225"/>
      <c r="S421" s="315"/>
    </row>
    <row r="422" spans="9:19" ht="16">
      <c r="I422" s="314"/>
      <c r="O422" s="225"/>
      <c r="S422" s="315"/>
    </row>
    <row r="423" spans="9:19" ht="16">
      <c r="I423" s="314"/>
      <c r="O423" s="225"/>
      <c r="S423" s="315"/>
    </row>
    <row r="424" spans="9:19" ht="16">
      <c r="I424" s="314"/>
      <c r="O424" s="225"/>
      <c r="S424" s="315"/>
    </row>
    <row r="425" spans="9:19" ht="16">
      <c r="I425" s="314"/>
      <c r="O425" s="225"/>
      <c r="S425" s="315"/>
    </row>
    <row r="426" spans="9:19" ht="16">
      <c r="I426" s="314"/>
      <c r="O426" s="225"/>
      <c r="S426" s="315"/>
    </row>
    <row r="427" spans="9:19" ht="16">
      <c r="I427" s="314"/>
      <c r="O427" s="225"/>
      <c r="S427" s="315"/>
    </row>
    <row r="428" spans="9:19" ht="16">
      <c r="I428" s="314"/>
      <c r="O428" s="225"/>
      <c r="S428" s="315"/>
    </row>
    <row r="429" spans="9:19" ht="16">
      <c r="I429" s="314"/>
      <c r="O429" s="225"/>
      <c r="S429" s="315"/>
    </row>
    <row r="430" spans="9:19" ht="16">
      <c r="I430" s="314"/>
      <c r="O430" s="225"/>
      <c r="S430" s="315"/>
    </row>
    <row r="431" spans="9:19" ht="16">
      <c r="I431" s="314"/>
      <c r="O431" s="225"/>
      <c r="S431" s="315"/>
    </row>
    <row r="432" spans="9:19" ht="16">
      <c r="I432" s="314"/>
      <c r="O432" s="225"/>
      <c r="S432" s="315"/>
    </row>
    <row r="433" spans="9:19" ht="16">
      <c r="I433" s="314"/>
      <c r="O433" s="225"/>
      <c r="S433" s="315"/>
    </row>
    <row r="434" spans="9:19" ht="16">
      <c r="I434" s="314"/>
      <c r="O434" s="225"/>
      <c r="S434" s="315"/>
    </row>
    <row r="435" spans="9:19" ht="16">
      <c r="I435" s="314"/>
      <c r="O435" s="225"/>
      <c r="S435" s="315"/>
    </row>
    <row r="436" spans="9:19" ht="16">
      <c r="I436" s="314"/>
      <c r="O436" s="225"/>
      <c r="S436" s="315"/>
    </row>
    <row r="437" spans="9:19" ht="16">
      <c r="I437" s="314"/>
      <c r="O437" s="225"/>
      <c r="S437" s="315"/>
    </row>
    <row r="438" spans="9:19" ht="16">
      <c r="I438" s="314"/>
      <c r="O438" s="225"/>
      <c r="S438" s="315"/>
    </row>
    <row r="439" spans="9:19" ht="16">
      <c r="I439" s="314"/>
      <c r="O439" s="225"/>
      <c r="S439" s="315"/>
    </row>
    <row r="440" spans="9:19" ht="16">
      <c r="I440" s="314"/>
      <c r="O440" s="225"/>
      <c r="S440" s="315"/>
    </row>
    <row r="441" spans="9:19" ht="16">
      <c r="I441" s="314"/>
      <c r="O441" s="225"/>
      <c r="S441" s="315"/>
    </row>
    <row r="442" spans="9:19" ht="16">
      <c r="I442" s="314"/>
      <c r="O442" s="225"/>
      <c r="S442" s="315"/>
    </row>
    <row r="443" spans="9:19" ht="16">
      <c r="I443" s="314"/>
      <c r="O443" s="225"/>
      <c r="S443" s="315"/>
    </row>
    <row r="444" spans="9:19" ht="16">
      <c r="I444" s="314"/>
      <c r="O444" s="225"/>
      <c r="S444" s="315"/>
    </row>
    <row r="445" spans="9:19" ht="16">
      <c r="I445" s="314"/>
      <c r="O445" s="225"/>
      <c r="S445" s="315"/>
    </row>
    <row r="446" spans="9:19" ht="16">
      <c r="I446" s="314"/>
      <c r="O446" s="225"/>
      <c r="S446" s="315"/>
    </row>
    <row r="447" spans="9:19" ht="16">
      <c r="I447" s="314"/>
      <c r="O447" s="225"/>
      <c r="S447" s="315"/>
    </row>
    <row r="448" spans="9:19" ht="16">
      <c r="I448" s="314"/>
      <c r="O448" s="225"/>
      <c r="S448" s="315"/>
    </row>
    <row r="449" spans="9:19" ht="16">
      <c r="I449" s="314"/>
      <c r="O449" s="225"/>
      <c r="S449" s="315"/>
    </row>
    <row r="450" spans="9:19" ht="16">
      <c r="I450" s="314"/>
      <c r="O450" s="225"/>
      <c r="S450" s="315"/>
    </row>
    <row r="451" spans="9:19" ht="16">
      <c r="I451" s="314"/>
      <c r="O451" s="225"/>
      <c r="S451" s="315"/>
    </row>
    <row r="452" spans="9:19" ht="16">
      <c r="I452" s="314"/>
      <c r="O452" s="225"/>
      <c r="S452" s="315"/>
    </row>
    <row r="453" spans="9:19" ht="16">
      <c r="I453" s="314"/>
      <c r="O453" s="225"/>
      <c r="S453" s="315"/>
    </row>
    <row r="454" spans="9:19" ht="16">
      <c r="I454" s="314"/>
      <c r="O454" s="225"/>
      <c r="S454" s="315"/>
    </row>
    <row r="455" spans="9:19" ht="16">
      <c r="I455" s="314"/>
      <c r="O455" s="225"/>
      <c r="S455" s="315"/>
    </row>
    <row r="456" spans="9:19" ht="16">
      <c r="I456" s="314"/>
      <c r="O456" s="225"/>
      <c r="S456" s="315"/>
    </row>
    <row r="457" spans="9:19" ht="16">
      <c r="I457" s="314"/>
      <c r="O457" s="225"/>
      <c r="S457" s="315"/>
    </row>
    <row r="458" spans="9:19" ht="16">
      <c r="I458" s="314"/>
      <c r="O458" s="225"/>
      <c r="S458" s="315"/>
    </row>
    <row r="459" spans="9:19" ht="16">
      <c r="I459" s="314"/>
      <c r="O459" s="225"/>
      <c r="S459" s="315"/>
    </row>
    <row r="460" spans="9:19" ht="16">
      <c r="I460" s="314"/>
      <c r="O460" s="225"/>
      <c r="S460" s="315"/>
    </row>
    <row r="461" spans="9:19" ht="16">
      <c r="I461" s="314"/>
      <c r="O461" s="225"/>
      <c r="S461" s="315"/>
    </row>
    <row r="462" spans="9:19" ht="16">
      <c r="I462" s="314"/>
      <c r="O462" s="225"/>
      <c r="S462" s="315"/>
    </row>
    <row r="463" spans="9:19" ht="16">
      <c r="I463" s="314"/>
      <c r="O463" s="225"/>
      <c r="S463" s="315"/>
    </row>
    <row r="464" spans="9:19" ht="16">
      <c r="I464" s="314"/>
      <c r="O464" s="225"/>
      <c r="S464" s="315"/>
    </row>
    <row r="465" spans="9:19" ht="16">
      <c r="I465" s="314"/>
      <c r="O465" s="225"/>
      <c r="S465" s="315"/>
    </row>
    <row r="466" spans="9:19" ht="16">
      <c r="I466" s="314"/>
      <c r="O466" s="225"/>
      <c r="S466" s="315"/>
    </row>
    <row r="467" spans="9:19" ht="16">
      <c r="I467" s="314"/>
      <c r="O467" s="225"/>
      <c r="S467" s="315"/>
    </row>
    <row r="468" spans="9:19" ht="16">
      <c r="I468" s="314"/>
      <c r="O468" s="225"/>
      <c r="S468" s="315"/>
    </row>
    <row r="469" spans="9:19" ht="16">
      <c r="I469" s="314"/>
      <c r="O469" s="225"/>
      <c r="S469" s="315"/>
    </row>
    <row r="470" spans="9:19" ht="16">
      <c r="I470" s="314"/>
      <c r="O470" s="225"/>
      <c r="S470" s="315"/>
    </row>
    <row r="471" spans="9:19" ht="16">
      <c r="I471" s="314"/>
      <c r="O471" s="225"/>
      <c r="S471" s="315"/>
    </row>
    <row r="472" spans="9:19" ht="16">
      <c r="I472" s="314"/>
      <c r="O472" s="225"/>
      <c r="S472" s="315"/>
    </row>
    <row r="473" spans="9:19" ht="16">
      <c r="I473" s="314"/>
      <c r="O473" s="225"/>
      <c r="S473" s="315"/>
    </row>
    <row r="474" spans="9:19" ht="16">
      <c r="I474" s="314"/>
      <c r="O474" s="225"/>
      <c r="S474" s="315"/>
    </row>
    <row r="475" spans="9:19" ht="16">
      <c r="I475" s="314"/>
      <c r="O475" s="225"/>
      <c r="S475" s="315"/>
    </row>
    <row r="476" spans="9:19" ht="16">
      <c r="I476" s="314"/>
      <c r="O476" s="225"/>
      <c r="S476" s="315"/>
    </row>
    <row r="477" spans="9:19" ht="16">
      <c r="I477" s="314"/>
      <c r="O477" s="225"/>
      <c r="S477" s="315"/>
    </row>
    <row r="478" spans="9:19" ht="16">
      <c r="I478" s="314"/>
      <c r="O478" s="225"/>
      <c r="S478" s="315"/>
    </row>
    <row r="479" spans="9:19" ht="16">
      <c r="I479" s="314"/>
      <c r="O479" s="225"/>
      <c r="S479" s="315"/>
    </row>
    <row r="480" spans="9:19" ht="16">
      <c r="I480" s="314"/>
      <c r="O480" s="225"/>
      <c r="S480" s="315"/>
    </row>
    <row r="481" spans="9:19" ht="16">
      <c r="I481" s="314"/>
      <c r="O481" s="225"/>
      <c r="S481" s="315"/>
    </row>
    <row r="482" spans="9:19" ht="16">
      <c r="I482" s="314"/>
      <c r="O482" s="225"/>
      <c r="S482" s="315"/>
    </row>
    <row r="483" spans="9:19" ht="16">
      <c r="I483" s="314"/>
      <c r="O483" s="225"/>
      <c r="S483" s="315"/>
    </row>
    <row r="484" spans="9:19" ht="16">
      <c r="I484" s="314"/>
      <c r="O484" s="225"/>
      <c r="S484" s="315"/>
    </row>
    <row r="485" spans="9:19" ht="16">
      <c r="I485" s="314"/>
      <c r="O485" s="225"/>
      <c r="S485" s="315"/>
    </row>
    <row r="486" spans="9:19" ht="16">
      <c r="I486" s="314"/>
      <c r="O486" s="225"/>
      <c r="S486" s="315"/>
    </row>
    <row r="487" spans="9:19" ht="16">
      <c r="I487" s="314"/>
      <c r="O487" s="225"/>
      <c r="S487" s="315"/>
    </row>
    <row r="488" spans="9:19" ht="16">
      <c r="I488" s="314"/>
      <c r="O488" s="225"/>
      <c r="S488" s="315"/>
    </row>
    <row r="489" spans="9:19" ht="16">
      <c r="I489" s="314"/>
      <c r="O489" s="225"/>
      <c r="S489" s="315"/>
    </row>
    <row r="490" spans="9:19" ht="16">
      <c r="I490" s="314"/>
      <c r="O490" s="225"/>
      <c r="S490" s="315"/>
    </row>
    <row r="491" spans="9:19" ht="16">
      <c r="I491" s="314"/>
      <c r="O491" s="225"/>
      <c r="S491" s="315"/>
    </row>
    <row r="492" spans="9:19" ht="16">
      <c r="I492" s="314"/>
      <c r="O492" s="225"/>
      <c r="S492" s="315"/>
    </row>
    <row r="493" spans="9:19" ht="16">
      <c r="I493" s="314"/>
      <c r="O493" s="225"/>
      <c r="S493" s="315"/>
    </row>
    <row r="494" spans="9:19" ht="16">
      <c r="I494" s="314"/>
      <c r="O494" s="225"/>
      <c r="S494" s="315"/>
    </row>
    <row r="495" spans="9:19" ht="16">
      <c r="I495" s="314"/>
      <c r="O495" s="225"/>
      <c r="S495" s="315"/>
    </row>
    <row r="496" spans="9:19" ht="16">
      <c r="I496" s="314"/>
      <c r="O496" s="225"/>
      <c r="S496" s="315"/>
    </row>
    <row r="497" spans="9:19" ht="16">
      <c r="I497" s="314"/>
      <c r="O497" s="225"/>
      <c r="S497" s="315"/>
    </row>
    <row r="498" spans="9:19" ht="16">
      <c r="I498" s="314"/>
      <c r="O498" s="225"/>
      <c r="S498" s="315"/>
    </row>
    <row r="499" spans="9:19" ht="16">
      <c r="I499" s="314"/>
      <c r="O499" s="225"/>
      <c r="S499" s="315"/>
    </row>
    <row r="500" spans="9:19" ht="16">
      <c r="I500" s="314"/>
      <c r="O500" s="225"/>
      <c r="S500" s="315"/>
    </row>
    <row r="501" spans="9:19" ht="16">
      <c r="I501" s="314"/>
      <c r="O501" s="225"/>
      <c r="S501" s="315"/>
    </row>
    <row r="502" spans="9:19" ht="16">
      <c r="I502" s="314"/>
      <c r="O502" s="225"/>
      <c r="S502" s="315"/>
    </row>
    <row r="503" spans="9:19" ht="16">
      <c r="I503" s="314"/>
      <c r="O503" s="225"/>
      <c r="S503" s="315"/>
    </row>
    <row r="504" spans="9:19" ht="16">
      <c r="I504" s="314"/>
      <c r="O504" s="225"/>
      <c r="S504" s="315"/>
    </row>
    <row r="505" spans="9:19" ht="16">
      <c r="I505" s="314"/>
      <c r="O505" s="225"/>
      <c r="S505" s="315"/>
    </row>
    <row r="506" spans="9:19" ht="16">
      <c r="I506" s="314"/>
      <c r="O506" s="225"/>
      <c r="S506" s="315"/>
    </row>
    <row r="507" spans="9:19" ht="16">
      <c r="I507" s="314"/>
      <c r="O507" s="225"/>
      <c r="S507" s="315"/>
    </row>
    <row r="508" spans="9:19" ht="16">
      <c r="I508" s="314"/>
      <c r="O508" s="225"/>
      <c r="S508" s="315"/>
    </row>
    <row r="509" spans="9:19" ht="16">
      <c r="I509" s="314"/>
      <c r="O509" s="225"/>
      <c r="S509" s="315"/>
    </row>
    <row r="510" spans="9:19" ht="16">
      <c r="I510" s="314"/>
      <c r="O510" s="225"/>
      <c r="S510" s="315"/>
    </row>
    <row r="511" spans="9:19" ht="16">
      <c r="I511" s="314"/>
      <c r="O511" s="225"/>
      <c r="S511" s="315"/>
    </row>
    <row r="512" spans="9:19" ht="16">
      <c r="I512" s="314"/>
      <c r="O512" s="225"/>
      <c r="S512" s="315"/>
    </row>
    <row r="513" spans="9:19" ht="16">
      <c r="I513" s="314"/>
      <c r="O513" s="225"/>
      <c r="S513" s="315"/>
    </row>
    <row r="514" spans="9:19" ht="16">
      <c r="I514" s="314"/>
      <c r="O514" s="225"/>
      <c r="S514" s="315"/>
    </row>
    <row r="515" spans="9:19" ht="16">
      <c r="I515" s="314"/>
      <c r="O515" s="225"/>
      <c r="S515" s="315"/>
    </row>
    <row r="516" spans="9:19" ht="16">
      <c r="I516" s="314"/>
      <c r="O516" s="225"/>
      <c r="S516" s="315"/>
    </row>
    <row r="517" spans="9:19" ht="16">
      <c r="I517" s="314"/>
      <c r="O517" s="225"/>
      <c r="S517" s="315"/>
    </row>
    <row r="518" spans="9:19" ht="16">
      <c r="I518" s="314"/>
      <c r="O518" s="225"/>
      <c r="S518" s="315"/>
    </row>
    <row r="519" spans="9:19" ht="16">
      <c r="I519" s="314"/>
      <c r="O519" s="225"/>
      <c r="S519" s="315"/>
    </row>
    <row r="520" spans="9:19" ht="16">
      <c r="I520" s="314"/>
      <c r="O520" s="225"/>
      <c r="S520" s="315"/>
    </row>
    <row r="521" spans="9:19" ht="16">
      <c r="I521" s="314"/>
      <c r="O521" s="225"/>
      <c r="S521" s="315"/>
    </row>
    <row r="522" spans="9:19" ht="16">
      <c r="I522" s="314"/>
      <c r="O522" s="225"/>
      <c r="S522" s="315"/>
    </row>
    <row r="523" spans="9:19" ht="16">
      <c r="I523" s="314"/>
      <c r="O523" s="225"/>
      <c r="S523" s="315"/>
    </row>
    <row r="524" spans="9:19" ht="16">
      <c r="I524" s="314"/>
      <c r="O524" s="225"/>
      <c r="S524" s="315"/>
    </row>
    <row r="525" spans="9:19" ht="16">
      <c r="I525" s="314"/>
      <c r="O525" s="225"/>
      <c r="S525" s="315"/>
    </row>
    <row r="526" spans="9:19" ht="16">
      <c r="I526" s="314"/>
      <c r="O526" s="225"/>
      <c r="S526" s="315"/>
    </row>
    <row r="527" spans="9:19" ht="16">
      <c r="I527" s="314"/>
      <c r="O527" s="225"/>
      <c r="S527" s="315"/>
    </row>
    <row r="528" spans="9:19" ht="16">
      <c r="I528" s="314"/>
      <c r="O528" s="225"/>
      <c r="S528" s="315"/>
    </row>
    <row r="529" spans="9:19" ht="16">
      <c r="I529" s="314"/>
      <c r="O529" s="225"/>
      <c r="S529" s="315"/>
    </row>
    <row r="530" spans="9:19" ht="16">
      <c r="I530" s="314"/>
      <c r="O530" s="225"/>
      <c r="S530" s="315"/>
    </row>
    <row r="531" spans="9:19" ht="16">
      <c r="I531" s="314"/>
      <c r="O531" s="225"/>
      <c r="S531" s="315"/>
    </row>
    <row r="532" spans="9:19" ht="16">
      <c r="I532" s="314"/>
      <c r="O532" s="225"/>
      <c r="S532" s="315"/>
    </row>
    <row r="533" spans="9:19" ht="16">
      <c r="I533" s="314"/>
      <c r="O533" s="225"/>
      <c r="S533" s="315"/>
    </row>
    <row r="534" spans="9:19" ht="16">
      <c r="I534" s="314"/>
      <c r="O534" s="225"/>
      <c r="S534" s="315"/>
    </row>
    <row r="535" spans="9:19" ht="16">
      <c r="I535" s="314"/>
      <c r="O535" s="225"/>
      <c r="S535" s="315"/>
    </row>
    <row r="536" spans="9:19" ht="16">
      <c r="I536" s="314"/>
      <c r="O536" s="225"/>
      <c r="S536" s="315"/>
    </row>
    <row r="537" spans="9:19" ht="16">
      <c r="I537" s="314"/>
      <c r="O537" s="225"/>
      <c r="S537" s="315"/>
    </row>
    <row r="538" spans="9:19" ht="16">
      <c r="I538" s="314"/>
      <c r="O538" s="225"/>
      <c r="S538" s="315"/>
    </row>
    <row r="539" spans="9:19" ht="16">
      <c r="I539" s="314"/>
      <c r="O539" s="225"/>
      <c r="S539" s="315"/>
    </row>
    <row r="540" spans="9:19" ht="16">
      <c r="I540" s="314"/>
      <c r="O540" s="225"/>
      <c r="S540" s="315"/>
    </row>
    <row r="541" spans="9:19" ht="16">
      <c r="I541" s="314"/>
      <c r="O541" s="225"/>
      <c r="S541" s="315"/>
    </row>
    <row r="542" spans="9:19" ht="16">
      <c r="I542" s="314"/>
      <c r="O542" s="225"/>
      <c r="S542" s="315"/>
    </row>
    <row r="543" spans="9:19" ht="16">
      <c r="I543" s="314"/>
      <c r="O543" s="225"/>
      <c r="S543" s="315"/>
    </row>
    <row r="544" spans="9:19" ht="16">
      <c r="I544" s="314"/>
      <c r="O544" s="225"/>
      <c r="S544" s="315"/>
    </row>
    <row r="545" spans="9:19" ht="16">
      <c r="I545" s="314"/>
      <c r="O545" s="225"/>
      <c r="S545" s="315"/>
    </row>
    <row r="546" spans="9:19" ht="16">
      <c r="I546" s="314"/>
      <c r="O546" s="225"/>
      <c r="S546" s="315"/>
    </row>
    <row r="547" spans="9:19" ht="16">
      <c r="I547" s="314"/>
      <c r="O547" s="225"/>
      <c r="S547" s="315"/>
    </row>
    <row r="548" spans="9:19" ht="16">
      <c r="I548" s="314"/>
      <c r="O548" s="225"/>
      <c r="S548" s="315"/>
    </row>
    <row r="549" spans="9:19" ht="16">
      <c r="I549" s="314"/>
      <c r="O549" s="225"/>
      <c r="S549" s="315"/>
    </row>
    <row r="550" spans="9:19" ht="16">
      <c r="I550" s="314"/>
      <c r="O550" s="225"/>
      <c r="S550" s="315"/>
    </row>
    <row r="551" spans="9:19" ht="16">
      <c r="I551" s="314"/>
      <c r="O551" s="225"/>
      <c r="S551" s="315"/>
    </row>
    <row r="552" spans="9:19" ht="16">
      <c r="I552" s="314"/>
      <c r="O552" s="225"/>
      <c r="S552" s="315"/>
    </row>
    <row r="553" spans="9:19" ht="16">
      <c r="I553" s="314"/>
      <c r="O553" s="225"/>
      <c r="S553" s="315"/>
    </row>
    <row r="554" spans="9:19" ht="16">
      <c r="I554" s="314"/>
      <c r="O554" s="225"/>
      <c r="S554" s="315"/>
    </row>
    <row r="555" spans="9:19" ht="16">
      <c r="I555" s="314"/>
      <c r="O555" s="225"/>
      <c r="S555" s="315"/>
    </row>
    <row r="556" spans="9:19" ht="16">
      <c r="I556" s="314"/>
      <c r="O556" s="225"/>
      <c r="S556" s="315"/>
    </row>
    <row r="557" spans="9:19" ht="16">
      <c r="I557" s="314"/>
      <c r="O557" s="225"/>
      <c r="S557" s="315"/>
    </row>
    <row r="558" spans="9:19" ht="16">
      <c r="I558" s="314"/>
      <c r="O558" s="225"/>
      <c r="S558" s="315"/>
    </row>
    <row r="559" spans="9:19" ht="16">
      <c r="I559" s="314"/>
      <c r="O559" s="225"/>
      <c r="S559" s="315"/>
    </row>
    <row r="560" spans="9:19" ht="16">
      <c r="I560" s="314"/>
      <c r="O560" s="225"/>
      <c r="S560" s="315"/>
    </row>
    <row r="561" spans="9:19" ht="16">
      <c r="I561" s="314"/>
      <c r="O561" s="225"/>
      <c r="S561" s="315"/>
    </row>
    <row r="562" spans="9:19" ht="16">
      <c r="I562" s="314"/>
      <c r="O562" s="225"/>
      <c r="S562" s="315"/>
    </row>
    <row r="563" spans="9:19" ht="16">
      <c r="I563" s="314"/>
      <c r="O563" s="225"/>
      <c r="S563" s="315"/>
    </row>
    <row r="564" spans="9:19" ht="16">
      <c r="I564" s="314"/>
      <c r="O564" s="225"/>
      <c r="S564" s="315"/>
    </row>
    <row r="565" spans="9:19" ht="16">
      <c r="I565" s="314"/>
      <c r="O565" s="225"/>
      <c r="S565" s="315"/>
    </row>
    <row r="566" spans="9:19" ht="16">
      <c r="I566" s="314"/>
      <c r="O566" s="225"/>
      <c r="S566" s="315"/>
    </row>
    <row r="567" spans="9:19" ht="16">
      <c r="I567" s="314"/>
      <c r="O567" s="225"/>
      <c r="S567" s="315"/>
    </row>
    <row r="568" spans="9:19" ht="16">
      <c r="I568" s="314"/>
      <c r="O568" s="225"/>
      <c r="S568" s="315"/>
    </row>
    <row r="569" spans="9:19" ht="16">
      <c r="I569" s="314"/>
      <c r="O569" s="225"/>
      <c r="S569" s="315"/>
    </row>
    <row r="570" spans="9:19" ht="16">
      <c r="I570" s="314"/>
      <c r="O570" s="225"/>
      <c r="S570" s="315"/>
    </row>
    <row r="571" spans="9:19" ht="16">
      <c r="I571" s="314"/>
      <c r="O571" s="225"/>
      <c r="S571" s="315"/>
    </row>
    <row r="572" spans="9:19" ht="16">
      <c r="I572" s="314"/>
      <c r="O572" s="225"/>
      <c r="S572" s="315"/>
    </row>
    <row r="573" spans="9:19" ht="16">
      <c r="I573" s="314"/>
      <c r="O573" s="225"/>
      <c r="S573" s="315"/>
    </row>
    <row r="574" spans="9:19" ht="16">
      <c r="I574" s="314"/>
      <c r="O574" s="225"/>
      <c r="S574" s="315"/>
    </row>
    <row r="575" spans="9:19" ht="16">
      <c r="I575" s="314"/>
      <c r="O575" s="225"/>
      <c r="S575" s="315"/>
    </row>
    <row r="576" spans="9:19" ht="16">
      <c r="I576" s="314"/>
      <c r="O576" s="225"/>
      <c r="S576" s="315"/>
    </row>
    <row r="577" spans="9:19" ht="16">
      <c r="I577" s="314"/>
      <c r="O577" s="225"/>
      <c r="S577" s="315"/>
    </row>
    <row r="578" spans="9:19" ht="16">
      <c r="I578" s="314"/>
      <c r="O578" s="225"/>
      <c r="S578" s="315"/>
    </row>
    <row r="579" spans="9:19" ht="16">
      <c r="I579" s="314"/>
      <c r="O579" s="225"/>
      <c r="S579" s="315"/>
    </row>
    <row r="580" spans="9:19" ht="16">
      <c r="I580" s="314"/>
      <c r="O580" s="225"/>
      <c r="S580" s="315"/>
    </row>
    <row r="581" spans="9:19" ht="16">
      <c r="I581" s="314"/>
      <c r="O581" s="225"/>
      <c r="S581" s="315"/>
    </row>
    <row r="582" spans="9:19" ht="16">
      <c r="I582" s="314"/>
      <c r="O582" s="225"/>
      <c r="S582" s="315"/>
    </row>
    <row r="583" spans="9:19" ht="16">
      <c r="I583" s="314"/>
      <c r="O583" s="225"/>
      <c r="S583" s="315"/>
    </row>
    <row r="584" spans="9:19" ht="16">
      <c r="I584" s="314"/>
      <c r="O584" s="225"/>
      <c r="S584" s="315"/>
    </row>
    <row r="585" spans="9:19" ht="16">
      <c r="I585" s="314"/>
      <c r="O585" s="225"/>
      <c r="S585" s="315"/>
    </row>
    <row r="586" spans="9:19" ht="16">
      <c r="I586" s="314"/>
      <c r="O586" s="225"/>
      <c r="S586" s="315"/>
    </row>
    <row r="587" spans="9:19" ht="16">
      <c r="I587" s="314"/>
      <c r="O587" s="225"/>
      <c r="S587" s="315"/>
    </row>
    <row r="588" spans="9:19" ht="16">
      <c r="I588" s="314"/>
      <c r="O588" s="225"/>
      <c r="S588" s="315"/>
    </row>
    <row r="589" spans="9:19" ht="16">
      <c r="I589" s="314"/>
      <c r="O589" s="225"/>
      <c r="S589" s="315"/>
    </row>
    <row r="590" spans="9:19" ht="16">
      <c r="I590" s="314"/>
      <c r="O590" s="225"/>
      <c r="S590" s="315"/>
    </row>
    <row r="591" spans="9:19" ht="16">
      <c r="I591" s="314"/>
      <c r="O591" s="225"/>
      <c r="S591" s="315"/>
    </row>
    <row r="592" spans="9:19" ht="16">
      <c r="I592" s="314"/>
      <c r="O592" s="225"/>
      <c r="S592" s="315"/>
    </row>
    <row r="593" spans="9:19" ht="16">
      <c r="I593" s="314"/>
      <c r="O593" s="225"/>
      <c r="S593" s="315"/>
    </row>
    <row r="594" spans="9:19" ht="16">
      <c r="I594" s="314"/>
      <c r="O594" s="225"/>
      <c r="S594" s="315"/>
    </row>
    <row r="595" spans="9:19" ht="16">
      <c r="I595" s="314"/>
      <c r="O595" s="225"/>
      <c r="S595" s="315"/>
    </row>
    <row r="596" spans="9:19" ht="16">
      <c r="I596" s="314"/>
      <c r="O596" s="225"/>
      <c r="S596" s="315"/>
    </row>
    <row r="597" spans="9:19" ht="16">
      <c r="I597" s="314"/>
      <c r="O597" s="225"/>
      <c r="S597" s="315"/>
    </row>
    <row r="598" spans="9:19" ht="16">
      <c r="I598" s="314"/>
      <c r="O598" s="225"/>
      <c r="S598" s="315"/>
    </row>
    <row r="599" spans="9:19" ht="16">
      <c r="I599" s="314"/>
      <c r="O599" s="225"/>
      <c r="S599" s="315"/>
    </row>
    <row r="600" spans="9:19" ht="16">
      <c r="I600" s="314"/>
      <c r="O600" s="225"/>
      <c r="S600" s="315"/>
    </row>
    <row r="601" spans="9:19" ht="16">
      <c r="I601" s="314"/>
      <c r="O601" s="225"/>
      <c r="S601" s="315"/>
    </row>
    <row r="602" spans="9:19" ht="16">
      <c r="I602" s="314"/>
      <c r="O602" s="225"/>
      <c r="S602" s="315"/>
    </row>
    <row r="603" spans="9:19" ht="16">
      <c r="I603" s="314"/>
      <c r="O603" s="225"/>
      <c r="S603" s="315"/>
    </row>
    <row r="604" spans="9:19" ht="16">
      <c r="I604" s="314"/>
      <c r="O604" s="225"/>
      <c r="S604" s="315"/>
    </row>
    <row r="605" spans="9:19" ht="16">
      <c r="I605" s="314"/>
      <c r="O605" s="225"/>
      <c r="S605" s="315"/>
    </row>
    <row r="606" spans="9:19" ht="16">
      <c r="I606" s="314"/>
      <c r="O606" s="225"/>
      <c r="S606" s="315"/>
    </row>
    <row r="607" spans="9:19" ht="16">
      <c r="I607" s="314"/>
      <c r="O607" s="225"/>
      <c r="S607" s="315"/>
    </row>
    <row r="608" spans="9:19" ht="16">
      <c r="I608" s="314"/>
      <c r="O608" s="225"/>
      <c r="S608" s="315"/>
    </row>
    <row r="609" spans="9:19" ht="16">
      <c r="I609" s="314"/>
      <c r="O609" s="225"/>
      <c r="S609" s="315"/>
    </row>
    <row r="610" spans="9:19" ht="16">
      <c r="I610" s="314"/>
      <c r="O610" s="225"/>
      <c r="S610" s="315"/>
    </row>
    <row r="611" spans="9:19" ht="16">
      <c r="I611" s="314"/>
      <c r="O611" s="225"/>
      <c r="S611" s="315"/>
    </row>
    <row r="612" spans="9:19" ht="16">
      <c r="I612" s="314"/>
      <c r="O612" s="225"/>
      <c r="S612" s="315"/>
    </row>
    <row r="613" spans="9:19" ht="16">
      <c r="I613" s="314"/>
      <c r="O613" s="225"/>
      <c r="S613" s="315"/>
    </row>
    <row r="614" spans="9:19" ht="16">
      <c r="I614" s="314"/>
      <c r="O614" s="225"/>
      <c r="S614" s="315"/>
    </row>
    <row r="615" spans="9:19" ht="16">
      <c r="I615" s="314"/>
      <c r="O615" s="225"/>
      <c r="S615" s="315"/>
    </row>
    <row r="616" spans="9:19" ht="16">
      <c r="I616" s="314"/>
      <c r="O616" s="225"/>
      <c r="S616" s="315"/>
    </row>
    <row r="617" spans="9:19" ht="16">
      <c r="I617" s="314"/>
      <c r="O617" s="225"/>
      <c r="S617" s="315"/>
    </row>
    <row r="618" spans="9:19" ht="16">
      <c r="I618" s="314"/>
      <c r="O618" s="225"/>
      <c r="S618" s="315"/>
    </row>
    <row r="619" spans="9:19" ht="16">
      <c r="I619" s="314"/>
      <c r="O619" s="225"/>
      <c r="S619" s="315"/>
    </row>
    <row r="620" spans="9:19" ht="16">
      <c r="I620" s="314"/>
      <c r="O620" s="225"/>
      <c r="S620" s="315"/>
    </row>
    <row r="621" spans="9:19" ht="16">
      <c r="I621" s="314"/>
      <c r="O621" s="225"/>
      <c r="S621" s="315"/>
    </row>
    <row r="622" spans="9:19" ht="16">
      <c r="I622" s="314"/>
      <c r="O622" s="225"/>
      <c r="S622" s="315"/>
    </row>
    <row r="623" spans="9:19" ht="16">
      <c r="I623" s="314"/>
      <c r="O623" s="225"/>
      <c r="S623" s="315"/>
    </row>
    <row r="624" spans="9:19" ht="16">
      <c r="I624" s="314"/>
      <c r="O624" s="225"/>
      <c r="S624" s="315"/>
    </row>
    <row r="625" spans="9:19" ht="16">
      <c r="I625" s="314"/>
      <c r="O625" s="225"/>
      <c r="S625" s="315"/>
    </row>
    <row r="626" spans="9:19" ht="16">
      <c r="I626" s="314"/>
      <c r="O626" s="225"/>
      <c r="S626" s="315"/>
    </row>
    <row r="627" spans="9:19" ht="16">
      <c r="I627" s="314"/>
      <c r="O627" s="225"/>
      <c r="S627" s="315"/>
    </row>
    <row r="628" spans="9:19" ht="16">
      <c r="I628" s="314"/>
      <c r="O628" s="225"/>
      <c r="S628" s="315"/>
    </row>
    <row r="629" spans="9:19" ht="16">
      <c r="I629" s="314"/>
      <c r="O629" s="225"/>
      <c r="S629" s="315"/>
    </row>
    <row r="630" spans="9:19" ht="16">
      <c r="I630" s="314"/>
      <c r="O630" s="225"/>
      <c r="S630" s="315"/>
    </row>
    <row r="631" spans="9:19" ht="16">
      <c r="I631" s="314"/>
      <c r="O631" s="225"/>
      <c r="S631" s="315"/>
    </row>
    <row r="632" spans="9:19" ht="16">
      <c r="I632" s="314"/>
      <c r="O632" s="225"/>
      <c r="S632" s="315"/>
    </row>
    <row r="633" spans="9:19" ht="16">
      <c r="I633" s="314"/>
      <c r="O633" s="225"/>
      <c r="S633" s="315"/>
    </row>
    <row r="634" spans="9:19" ht="16">
      <c r="I634" s="314"/>
      <c r="O634" s="225"/>
      <c r="S634" s="315"/>
    </row>
    <row r="635" spans="9:19" ht="16">
      <c r="I635" s="314"/>
      <c r="O635" s="225"/>
      <c r="S635" s="315"/>
    </row>
    <row r="636" spans="9:19" ht="16">
      <c r="I636" s="314"/>
      <c r="O636" s="225"/>
      <c r="S636" s="315"/>
    </row>
    <row r="637" spans="9:19" ht="16">
      <c r="I637" s="314"/>
      <c r="O637" s="225"/>
      <c r="S637" s="315"/>
    </row>
    <row r="638" spans="9:19" ht="16">
      <c r="I638" s="314"/>
      <c r="O638" s="225"/>
      <c r="S638" s="315"/>
    </row>
    <row r="639" spans="9:19" ht="16">
      <c r="I639" s="314"/>
      <c r="O639" s="225"/>
      <c r="S639" s="315"/>
    </row>
    <row r="640" spans="9:19" ht="16">
      <c r="I640" s="314"/>
      <c r="O640" s="225"/>
      <c r="S640" s="315"/>
    </row>
    <row r="641" spans="9:19" ht="16">
      <c r="I641" s="314"/>
      <c r="O641" s="225"/>
      <c r="S641" s="315"/>
    </row>
    <row r="642" spans="9:19" ht="16">
      <c r="I642" s="314"/>
      <c r="O642" s="225"/>
      <c r="S642" s="315"/>
    </row>
    <row r="643" spans="9:19" ht="16">
      <c r="I643" s="314"/>
      <c r="O643" s="225"/>
      <c r="S643" s="315"/>
    </row>
    <row r="644" spans="9:19" ht="16">
      <c r="I644" s="314"/>
      <c r="O644" s="225"/>
      <c r="S644" s="315"/>
    </row>
    <row r="645" spans="9:19" ht="16">
      <c r="I645" s="314"/>
      <c r="O645" s="225"/>
      <c r="S645" s="315"/>
    </row>
    <row r="646" spans="9:19" ht="16">
      <c r="I646" s="314"/>
      <c r="O646" s="225"/>
      <c r="S646" s="315"/>
    </row>
    <row r="647" spans="9:19" ht="16">
      <c r="I647" s="314"/>
      <c r="O647" s="225"/>
      <c r="S647" s="315"/>
    </row>
    <row r="648" spans="9:19" ht="16">
      <c r="I648" s="314"/>
      <c r="O648" s="225"/>
      <c r="S648" s="315"/>
    </row>
    <row r="649" spans="9:19" ht="16">
      <c r="I649" s="314"/>
      <c r="O649" s="225"/>
      <c r="S649" s="315"/>
    </row>
    <row r="650" spans="9:19" ht="16">
      <c r="I650" s="314"/>
      <c r="O650" s="225"/>
      <c r="S650" s="315"/>
    </row>
    <row r="651" spans="9:19" ht="16">
      <c r="I651" s="314"/>
      <c r="O651" s="225"/>
      <c r="S651" s="315"/>
    </row>
    <row r="652" spans="9:19" ht="16">
      <c r="I652" s="314"/>
      <c r="O652" s="225"/>
      <c r="S652" s="315"/>
    </row>
    <row r="653" spans="9:19" ht="16">
      <c r="I653" s="314"/>
      <c r="O653" s="225"/>
      <c r="S653" s="315"/>
    </row>
    <row r="654" spans="9:19" ht="16">
      <c r="I654" s="314"/>
      <c r="O654" s="225"/>
      <c r="S654" s="315"/>
    </row>
    <row r="655" spans="9:19" ht="16">
      <c r="I655" s="314"/>
      <c r="O655" s="225"/>
      <c r="S655" s="315"/>
    </row>
    <row r="656" spans="9:19" ht="16">
      <c r="I656" s="314"/>
      <c r="O656" s="225"/>
      <c r="S656" s="315"/>
    </row>
    <row r="657" spans="9:19" ht="16">
      <c r="I657" s="314"/>
      <c r="O657" s="225"/>
      <c r="S657" s="315"/>
    </row>
    <row r="658" spans="9:19" ht="16">
      <c r="I658" s="314"/>
      <c r="O658" s="225"/>
      <c r="S658" s="315"/>
    </row>
    <row r="659" spans="9:19" ht="16">
      <c r="I659" s="314"/>
      <c r="O659" s="225"/>
      <c r="S659" s="315"/>
    </row>
    <row r="660" spans="9:19" ht="16">
      <c r="I660" s="314"/>
      <c r="O660" s="225"/>
      <c r="S660" s="315"/>
    </row>
    <row r="661" spans="9:19" ht="16">
      <c r="I661" s="314"/>
      <c r="O661" s="225"/>
      <c r="S661" s="315"/>
    </row>
    <row r="662" spans="9:19" ht="16">
      <c r="I662" s="314"/>
      <c r="O662" s="225"/>
      <c r="S662" s="315"/>
    </row>
    <row r="663" spans="9:19" ht="16">
      <c r="I663" s="314"/>
      <c r="O663" s="225"/>
      <c r="S663" s="315"/>
    </row>
    <row r="664" spans="9:19" ht="16">
      <c r="I664" s="314"/>
      <c r="O664" s="225"/>
      <c r="S664" s="315"/>
    </row>
    <row r="665" spans="9:19" ht="16">
      <c r="I665" s="314"/>
      <c r="O665" s="225"/>
      <c r="S665" s="315"/>
    </row>
    <row r="666" spans="9:19" ht="16">
      <c r="I666" s="314"/>
      <c r="O666" s="225"/>
      <c r="S666" s="315"/>
    </row>
    <row r="667" spans="9:19" ht="16">
      <c r="I667" s="314"/>
      <c r="O667" s="225"/>
      <c r="S667" s="315"/>
    </row>
    <row r="668" spans="9:19" ht="16">
      <c r="I668" s="314"/>
      <c r="O668" s="225"/>
      <c r="S668" s="315"/>
    </row>
    <row r="669" spans="9:19" ht="16">
      <c r="I669" s="314"/>
      <c r="O669" s="225"/>
      <c r="S669" s="315"/>
    </row>
    <row r="670" spans="9:19" ht="16">
      <c r="I670" s="314"/>
      <c r="O670" s="225"/>
      <c r="S670" s="315"/>
    </row>
    <row r="671" spans="9:19" ht="16">
      <c r="I671" s="314"/>
      <c r="O671" s="225"/>
      <c r="S671" s="315"/>
    </row>
    <row r="672" spans="9:19" ht="16">
      <c r="I672" s="314"/>
      <c r="O672" s="225"/>
      <c r="S672" s="315"/>
    </row>
    <row r="673" spans="9:19" ht="16">
      <c r="I673" s="314"/>
      <c r="O673" s="225"/>
      <c r="S673" s="315"/>
    </row>
    <row r="674" spans="9:19" ht="16">
      <c r="I674" s="314"/>
      <c r="O674" s="225"/>
      <c r="S674" s="315"/>
    </row>
    <row r="675" spans="9:19" ht="16">
      <c r="I675" s="314"/>
      <c r="O675" s="225"/>
      <c r="S675" s="315"/>
    </row>
    <row r="676" spans="9:19" ht="16">
      <c r="I676" s="314"/>
      <c r="O676" s="225"/>
      <c r="S676" s="315"/>
    </row>
    <row r="677" spans="9:19" ht="16">
      <c r="I677" s="314"/>
      <c r="O677" s="225"/>
      <c r="S677" s="315"/>
    </row>
    <row r="678" spans="9:19" ht="16">
      <c r="I678" s="314"/>
      <c r="O678" s="225"/>
      <c r="S678" s="315"/>
    </row>
    <row r="679" spans="9:19" ht="16">
      <c r="I679" s="314"/>
      <c r="O679" s="225"/>
      <c r="S679" s="315"/>
    </row>
    <row r="680" spans="9:19" ht="16">
      <c r="I680" s="314"/>
      <c r="O680" s="225"/>
      <c r="S680" s="315"/>
    </row>
    <row r="681" spans="9:19" ht="16">
      <c r="I681" s="314"/>
      <c r="O681" s="225"/>
      <c r="S681" s="315"/>
    </row>
    <row r="682" spans="9:19" ht="16">
      <c r="I682" s="314"/>
      <c r="O682" s="225"/>
      <c r="S682" s="315"/>
    </row>
    <row r="683" spans="9:19" ht="16">
      <c r="I683" s="314"/>
      <c r="O683" s="225"/>
      <c r="S683" s="315"/>
    </row>
    <row r="684" spans="9:19" ht="16">
      <c r="I684" s="314"/>
      <c r="O684" s="225"/>
      <c r="S684" s="315"/>
    </row>
    <row r="685" spans="9:19" ht="16">
      <c r="I685" s="314"/>
      <c r="O685" s="225"/>
      <c r="S685" s="315"/>
    </row>
    <row r="686" spans="9:19" ht="16">
      <c r="I686" s="314"/>
      <c r="O686" s="225"/>
      <c r="S686" s="315"/>
    </row>
    <row r="687" spans="9:19" ht="16">
      <c r="I687" s="314"/>
      <c r="O687" s="225"/>
      <c r="S687" s="315"/>
    </row>
    <row r="688" spans="9:19" ht="16">
      <c r="I688" s="314"/>
      <c r="O688" s="225"/>
      <c r="S688" s="315"/>
    </row>
    <row r="689" spans="9:19" ht="16">
      <c r="I689" s="314"/>
      <c r="O689" s="225"/>
      <c r="S689" s="315"/>
    </row>
    <row r="690" spans="9:19" ht="16">
      <c r="I690" s="314"/>
      <c r="O690" s="225"/>
      <c r="S690" s="315"/>
    </row>
    <row r="691" spans="9:19" ht="16">
      <c r="I691" s="314"/>
      <c r="O691" s="225"/>
      <c r="S691" s="315"/>
    </row>
    <row r="692" spans="9:19" ht="16">
      <c r="I692" s="314"/>
      <c r="O692" s="225"/>
      <c r="S692" s="315"/>
    </row>
    <row r="693" spans="9:19" ht="16">
      <c r="I693" s="314"/>
      <c r="O693" s="225"/>
      <c r="S693" s="315"/>
    </row>
    <row r="694" spans="9:19" ht="16">
      <c r="I694" s="314"/>
      <c r="O694" s="225"/>
      <c r="S694" s="315"/>
    </row>
    <row r="695" spans="9:19" ht="16">
      <c r="I695" s="314"/>
      <c r="O695" s="225"/>
      <c r="S695" s="315"/>
    </row>
    <row r="696" spans="9:19" ht="16">
      <c r="I696" s="314"/>
      <c r="O696" s="225"/>
      <c r="S696" s="315"/>
    </row>
    <row r="697" spans="9:19" ht="16">
      <c r="I697" s="314"/>
      <c r="O697" s="225"/>
      <c r="S697" s="315"/>
    </row>
    <row r="698" spans="9:19" ht="16">
      <c r="I698" s="314"/>
      <c r="O698" s="225"/>
      <c r="S698" s="315"/>
    </row>
    <row r="699" spans="9:19" ht="16">
      <c r="I699" s="314"/>
      <c r="O699" s="225"/>
      <c r="S699" s="315"/>
    </row>
    <row r="700" spans="9:19" ht="16">
      <c r="I700" s="314"/>
      <c r="O700" s="225"/>
      <c r="S700" s="315"/>
    </row>
    <row r="701" spans="9:19" ht="16">
      <c r="I701" s="314"/>
      <c r="O701" s="225"/>
      <c r="S701" s="315"/>
    </row>
    <row r="702" spans="9:19" ht="16">
      <c r="I702" s="314"/>
      <c r="O702" s="225"/>
      <c r="S702" s="315"/>
    </row>
    <row r="703" spans="9:19" ht="16">
      <c r="I703" s="314"/>
      <c r="O703" s="225"/>
      <c r="S703" s="315"/>
    </row>
    <row r="704" spans="9:19" ht="16">
      <c r="I704" s="314"/>
      <c r="O704" s="225"/>
      <c r="S704" s="315"/>
    </row>
    <row r="705" spans="9:19" ht="16">
      <c r="I705" s="314"/>
      <c r="O705" s="225"/>
      <c r="S705" s="315"/>
    </row>
    <row r="706" spans="9:19" ht="16">
      <c r="I706" s="314"/>
      <c r="O706" s="225"/>
      <c r="S706" s="315"/>
    </row>
    <row r="707" spans="9:19" ht="16">
      <c r="I707" s="314"/>
      <c r="O707" s="225"/>
      <c r="S707" s="315"/>
    </row>
    <row r="708" spans="9:19" ht="16">
      <c r="I708" s="314"/>
      <c r="O708" s="225"/>
      <c r="S708" s="315"/>
    </row>
    <row r="709" spans="9:19" ht="16">
      <c r="I709" s="314"/>
      <c r="O709" s="225"/>
      <c r="S709" s="315"/>
    </row>
    <row r="710" spans="9:19" ht="16">
      <c r="I710" s="314"/>
      <c r="O710" s="225"/>
      <c r="S710" s="315"/>
    </row>
    <row r="711" spans="9:19" ht="16">
      <c r="I711" s="314"/>
      <c r="O711" s="225"/>
      <c r="S711" s="315"/>
    </row>
    <row r="712" spans="9:19" ht="16">
      <c r="I712" s="314"/>
      <c r="O712" s="225"/>
      <c r="S712" s="315"/>
    </row>
    <row r="713" spans="9:19" ht="16">
      <c r="I713" s="314"/>
      <c r="O713" s="225"/>
      <c r="S713" s="315"/>
    </row>
    <row r="714" spans="9:19" ht="16">
      <c r="I714" s="314"/>
      <c r="O714" s="225"/>
      <c r="S714" s="315"/>
    </row>
    <row r="715" spans="9:19" ht="16">
      <c r="I715" s="314"/>
      <c r="O715" s="225"/>
      <c r="S715" s="315"/>
    </row>
    <row r="716" spans="9:19" ht="16">
      <c r="I716" s="314"/>
      <c r="O716" s="225"/>
      <c r="S716" s="315"/>
    </row>
    <row r="717" spans="9:19" ht="16">
      <c r="I717" s="314"/>
      <c r="O717" s="225"/>
      <c r="S717" s="315"/>
    </row>
    <row r="718" spans="9:19" ht="16">
      <c r="I718" s="314"/>
      <c r="O718" s="225"/>
      <c r="S718" s="315"/>
    </row>
    <row r="719" spans="9:19" ht="16">
      <c r="I719" s="314"/>
      <c r="O719" s="225"/>
      <c r="S719" s="315"/>
    </row>
    <row r="720" spans="9:19" ht="16">
      <c r="I720" s="314"/>
      <c r="O720" s="225"/>
      <c r="S720" s="315"/>
    </row>
    <row r="721" spans="9:19" ht="16">
      <c r="I721" s="314"/>
      <c r="O721" s="225"/>
      <c r="S721" s="315"/>
    </row>
    <row r="722" spans="9:19" ht="16">
      <c r="I722" s="314"/>
      <c r="O722" s="225"/>
      <c r="S722" s="315"/>
    </row>
    <row r="723" spans="9:19" ht="16">
      <c r="I723" s="314"/>
      <c r="O723" s="225"/>
      <c r="S723" s="315"/>
    </row>
    <row r="724" spans="9:19" ht="16">
      <c r="I724" s="314"/>
      <c r="O724" s="225"/>
      <c r="S724" s="315"/>
    </row>
    <row r="725" spans="9:19" ht="16">
      <c r="I725" s="314"/>
      <c r="O725" s="225"/>
      <c r="S725" s="315"/>
    </row>
    <row r="726" spans="9:19" ht="16">
      <c r="I726" s="314"/>
      <c r="O726" s="225"/>
      <c r="S726" s="315"/>
    </row>
    <row r="727" spans="9:19" ht="16">
      <c r="I727" s="314"/>
      <c r="O727" s="225"/>
      <c r="S727" s="315"/>
    </row>
    <row r="728" spans="9:19" ht="16">
      <c r="I728" s="314"/>
      <c r="O728" s="225"/>
      <c r="S728" s="315"/>
    </row>
    <row r="729" spans="9:19" ht="16">
      <c r="I729" s="314"/>
      <c r="O729" s="225"/>
      <c r="S729" s="315"/>
    </row>
    <row r="730" spans="9:19" ht="16">
      <c r="I730" s="314"/>
      <c r="O730" s="225"/>
      <c r="S730" s="315"/>
    </row>
    <row r="731" spans="9:19" ht="16">
      <c r="I731" s="314"/>
      <c r="O731" s="225"/>
      <c r="S731" s="315"/>
    </row>
    <row r="732" spans="9:19" ht="16">
      <c r="I732" s="314"/>
      <c r="O732" s="225"/>
      <c r="S732" s="315"/>
    </row>
    <row r="733" spans="9:19" ht="16">
      <c r="I733" s="314"/>
      <c r="O733" s="225"/>
      <c r="S733" s="315"/>
    </row>
    <row r="734" spans="9:19" ht="16">
      <c r="I734" s="314"/>
      <c r="O734" s="225"/>
      <c r="S734" s="315"/>
    </row>
    <row r="735" spans="9:19" ht="16">
      <c r="I735" s="314"/>
      <c r="O735" s="225"/>
      <c r="S735" s="315"/>
    </row>
    <row r="736" spans="9:19" ht="16">
      <c r="I736" s="314"/>
      <c r="O736" s="225"/>
      <c r="S736" s="315"/>
    </row>
    <row r="737" spans="9:19" ht="16">
      <c r="I737" s="314"/>
      <c r="O737" s="225"/>
      <c r="S737" s="315"/>
    </row>
    <row r="738" spans="9:19" ht="16">
      <c r="I738" s="314"/>
      <c r="O738" s="225"/>
      <c r="S738" s="315"/>
    </row>
    <row r="739" spans="9:19" ht="16">
      <c r="I739" s="314"/>
      <c r="O739" s="225"/>
      <c r="S739" s="315"/>
    </row>
    <row r="740" spans="9:19" ht="16">
      <c r="I740" s="314"/>
      <c r="O740" s="225"/>
      <c r="S740" s="315"/>
    </row>
    <row r="741" spans="9:19" ht="16">
      <c r="I741" s="314"/>
      <c r="O741" s="225"/>
      <c r="S741" s="315"/>
    </row>
    <row r="742" spans="9:19" ht="16">
      <c r="I742" s="314"/>
      <c r="O742" s="225"/>
      <c r="S742" s="315"/>
    </row>
    <row r="743" spans="9:19" ht="16">
      <c r="I743" s="314"/>
      <c r="O743" s="225"/>
      <c r="S743" s="315"/>
    </row>
    <row r="744" spans="9:19" ht="16">
      <c r="I744" s="314"/>
      <c r="O744" s="225"/>
      <c r="S744" s="315"/>
    </row>
    <row r="745" spans="9:19" ht="16">
      <c r="I745" s="314"/>
      <c r="O745" s="225"/>
      <c r="S745" s="315"/>
    </row>
    <row r="746" spans="9:19" ht="16">
      <c r="I746" s="314"/>
      <c r="O746" s="225"/>
      <c r="S746" s="315"/>
    </row>
    <row r="747" spans="9:19" ht="16">
      <c r="I747" s="314"/>
      <c r="O747" s="225"/>
      <c r="S747" s="315"/>
    </row>
    <row r="748" spans="9:19" ht="16">
      <c r="I748" s="314"/>
      <c r="O748" s="225"/>
      <c r="S748" s="315"/>
    </row>
    <row r="749" spans="9:19" ht="16">
      <c r="I749" s="314"/>
      <c r="O749" s="225"/>
      <c r="S749" s="315"/>
    </row>
    <row r="750" spans="9:19" ht="16">
      <c r="I750" s="314"/>
      <c r="O750" s="225"/>
      <c r="S750" s="315"/>
    </row>
    <row r="751" spans="9:19" ht="16">
      <c r="I751" s="314"/>
      <c r="O751" s="225"/>
      <c r="S751" s="315"/>
    </row>
    <row r="752" spans="9:19" ht="16">
      <c r="I752" s="314"/>
      <c r="O752" s="225"/>
      <c r="S752" s="315"/>
    </row>
    <row r="753" spans="9:19" ht="16">
      <c r="I753" s="314"/>
      <c r="O753" s="225"/>
      <c r="S753" s="315"/>
    </row>
    <row r="754" spans="9:19" ht="16">
      <c r="I754" s="314"/>
      <c r="O754" s="225"/>
      <c r="S754" s="315"/>
    </row>
    <row r="755" spans="9:19" ht="16">
      <c r="I755" s="314"/>
      <c r="O755" s="225"/>
      <c r="S755" s="315"/>
    </row>
    <row r="756" spans="9:19" ht="16">
      <c r="I756" s="314"/>
      <c r="O756" s="225"/>
      <c r="S756" s="315"/>
    </row>
    <row r="757" spans="9:19" ht="16">
      <c r="I757" s="314"/>
      <c r="O757" s="225"/>
      <c r="S757" s="315"/>
    </row>
    <row r="758" spans="9:19" ht="16">
      <c r="I758" s="314"/>
      <c r="O758" s="225"/>
      <c r="S758" s="315"/>
    </row>
    <row r="759" spans="9:19" ht="16">
      <c r="I759" s="314"/>
      <c r="O759" s="225"/>
      <c r="S759" s="315"/>
    </row>
    <row r="760" spans="9:19" ht="16">
      <c r="I760" s="314"/>
      <c r="O760" s="225"/>
      <c r="S760" s="315"/>
    </row>
    <row r="761" spans="9:19" ht="16">
      <c r="I761" s="314"/>
      <c r="O761" s="225"/>
      <c r="S761" s="315"/>
    </row>
    <row r="762" spans="9:19" ht="16">
      <c r="I762" s="314"/>
      <c r="O762" s="225"/>
      <c r="S762" s="315"/>
    </row>
    <row r="763" spans="9:19" ht="16">
      <c r="I763" s="314"/>
      <c r="O763" s="225"/>
      <c r="S763" s="315"/>
    </row>
    <row r="764" spans="9:19" ht="16">
      <c r="I764" s="314"/>
      <c r="O764" s="225"/>
      <c r="S764" s="315"/>
    </row>
    <row r="765" spans="9:19" ht="16">
      <c r="I765" s="314"/>
      <c r="O765" s="225"/>
      <c r="S765" s="315"/>
    </row>
    <row r="766" spans="9:19" ht="16">
      <c r="I766" s="314"/>
      <c r="O766" s="225"/>
      <c r="S766" s="315"/>
    </row>
    <row r="767" spans="9:19" ht="16">
      <c r="I767" s="314"/>
      <c r="O767" s="225"/>
      <c r="S767" s="315"/>
    </row>
    <row r="768" spans="9:19" ht="16">
      <c r="I768" s="314"/>
      <c r="O768" s="225"/>
      <c r="S768" s="315"/>
    </row>
    <row r="769" spans="9:19" ht="16">
      <c r="I769" s="314"/>
      <c r="O769" s="225"/>
      <c r="S769" s="315"/>
    </row>
    <row r="770" spans="9:19" ht="16">
      <c r="I770" s="314"/>
      <c r="O770" s="225"/>
      <c r="S770" s="315"/>
    </row>
    <row r="771" spans="9:19" ht="16">
      <c r="I771" s="314"/>
      <c r="O771" s="225"/>
      <c r="S771" s="315"/>
    </row>
    <row r="772" spans="9:19" ht="16">
      <c r="I772" s="314"/>
      <c r="O772" s="225"/>
      <c r="S772" s="315"/>
    </row>
    <row r="773" spans="9:19" ht="16">
      <c r="I773" s="314"/>
      <c r="O773" s="225"/>
      <c r="S773" s="315"/>
    </row>
    <row r="774" spans="9:19" ht="16">
      <c r="I774" s="314"/>
      <c r="O774" s="225"/>
      <c r="S774" s="315"/>
    </row>
    <row r="775" spans="9:19" ht="16">
      <c r="I775" s="314"/>
      <c r="O775" s="225"/>
      <c r="S775" s="315"/>
    </row>
    <row r="776" spans="9:19" ht="16">
      <c r="I776" s="314"/>
      <c r="O776" s="225"/>
      <c r="S776" s="315"/>
    </row>
    <row r="777" spans="9:19" ht="16">
      <c r="I777" s="314"/>
      <c r="O777" s="225"/>
      <c r="S777" s="315"/>
    </row>
    <row r="778" spans="9:19" ht="16">
      <c r="I778" s="314"/>
      <c r="O778" s="225"/>
      <c r="S778" s="315"/>
    </row>
    <row r="779" spans="9:19" ht="16">
      <c r="I779" s="314"/>
      <c r="O779" s="225"/>
      <c r="S779" s="315"/>
    </row>
    <row r="780" spans="9:19" ht="16">
      <c r="I780" s="314"/>
      <c r="O780" s="225"/>
      <c r="S780" s="315"/>
    </row>
    <row r="781" spans="9:19" ht="16">
      <c r="I781" s="314"/>
      <c r="O781" s="225"/>
      <c r="S781" s="315"/>
    </row>
    <row r="782" spans="9:19" ht="16">
      <c r="I782" s="314"/>
      <c r="O782" s="225"/>
      <c r="S782" s="315"/>
    </row>
    <row r="783" spans="9:19" ht="16">
      <c r="I783" s="314"/>
      <c r="O783" s="225"/>
      <c r="S783" s="315"/>
    </row>
    <row r="784" spans="9:19" ht="16">
      <c r="I784" s="314"/>
      <c r="O784" s="225"/>
      <c r="S784" s="315"/>
    </row>
    <row r="785" spans="9:19" ht="16">
      <c r="I785" s="314"/>
      <c r="O785" s="225"/>
      <c r="S785" s="315"/>
    </row>
    <row r="786" spans="9:19" ht="16">
      <c r="I786" s="314"/>
      <c r="O786" s="225"/>
      <c r="S786" s="315"/>
    </row>
    <row r="787" spans="9:19" ht="16">
      <c r="I787" s="314"/>
      <c r="O787" s="225"/>
      <c r="S787" s="315"/>
    </row>
    <row r="788" spans="9:19" ht="16">
      <c r="I788" s="314"/>
      <c r="O788" s="225"/>
      <c r="S788" s="315"/>
    </row>
    <row r="789" spans="9:19" ht="16">
      <c r="I789" s="314"/>
      <c r="O789" s="225"/>
      <c r="S789" s="315"/>
    </row>
    <row r="790" spans="9:19" ht="16">
      <c r="I790" s="314"/>
      <c r="O790" s="225"/>
      <c r="S790" s="315"/>
    </row>
    <row r="791" spans="9:19" ht="16">
      <c r="I791" s="314"/>
      <c r="O791" s="225"/>
      <c r="S791" s="315"/>
    </row>
    <row r="792" spans="9:19" ht="16">
      <c r="I792" s="314"/>
      <c r="O792" s="225"/>
      <c r="S792" s="315"/>
    </row>
    <row r="793" spans="9:19" ht="16">
      <c r="I793" s="314"/>
      <c r="O793" s="225"/>
      <c r="S793" s="315"/>
    </row>
    <row r="794" spans="9:19" ht="16">
      <c r="I794" s="314"/>
      <c r="O794" s="225"/>
      <c r="S794" s="315"/>
    </row>
    <row r="795" spans="9:19" ht="16">
      <c r="I795" s="314"/>
      <c r="O795" s="225"/>
      <c r="S795" s="315"/>
    </row>
    <row r="796" spans="9:19" ht="16">
      <c r="I796" s="314"/>
      <c r="O796" s="225"/>
      <c r="S796" s="315"/>
    </row>
    <row r="797" spans="9:19" ht="16">
      <c r="I797" s="314"/>
      <c r="O797" s="225"/>
      <c r="S797" s="315"/>
    </row>
    <row r="798" spans="9:19" ht="16">
      <c r="I798" s="314"/>
      <c r="O798" s="225"/>
      <c r="S798" s="315"/>
    </row>
    <row r="799" spans="9:19" ht="16">
      <c r="I799" s="314"/>
      <c r="O799" s="225"/>
      <c r="S799" s="315"/>
    </row>
    <row r="800" spans="9:19" ht="16">
      <c r="I800" s="314"/>
      <c r="O800" s="225"/>
      <c r="S800" s="315"/>
    </row>
    <row r="801" spans="9:19" ht="16">
      <c r="I801" s="314"/>
      <c r="O801" s="225"/>
      <c r="S801" s="315"/>
    </row>
    <row r="802" spans="9:19" ht="16">
      <c r="I802" s="314"/>
      <c r="O802" s="225"/>
      <c r="S802" s="315"/>
    </row>
    <row r="803" spans="9:19" ht="16">
      <c r="I803" s="314"/>
      <c r="O803" s="225"/>
      <c r="S803" s="315"/>
    </row>
    <row r="804" spans="9:19" ht="16">
      <c r="I804" s="314"/>
      <c r="O804" s="225"/>
      <c r="S804" s="315"/>
    </row>
    <row r="805" spans="9:19" ht="16">
      <c r="I805" s="314"/>
      <c r="O805" s="225"/>
      <c r="S805" s="315"/>
    </row>
    <row r="806" spans="9:19" ht="16">
      <c r="I806" s="314"/>
      <c r="O806" s="225"/>
      <c r="S806" s="315"/>
    </row>
    <row r="807" spans="9:19" ht="16">
      <c r="I807" s="314"/>
      <c r="O807" s="225"/>
      <c r="S807" s="315"/>
    </row>
    <row r="808" spans="9:19" ht="16">
      <c r="I808" s="314"/>
      <c r="O808" s="225"/>
      <c r="S808" s="315"/>
    </row>
    <row r="809" spans="9:19" ht="16">
      <c r="I809" s="314"/>
      <c r="O809" s="225"/>
      <c r="S809" s="315"/>
    </row>
    <row r="810" spans="9:19" ht="16">
      <c r="I810" s="314"/>
      <c r="O810" s="225"/>
      <c r="S810" s="315"/>
    </row>
    <row r="811" spans="9:19" ht="16">
      <c r="I811" s="314"/>
      <c r="O811" s="225"/>
      <c r="S811" s="315"/>
    </row>
    <row r="812" spans="9:19" ht="16">
      <c r="I812" s="314"/>
      <c r="O812" s="225"/>
      <c r="S812" s="315"/>
    </row>
    <row r="813" spans="9:19" ht="16">
      <c r="I813" s="314"/>
      <c r="O813" s="225"/>
      <c r="S813" s="315"/>
    </row>
    <row r="814" spans="9:19" ht="16">
      <c r="I814" s="314"/>
      <c r="O814" s="225"/>
      <c r="S814" s="315"/>
    </row>
    <row r="815" spans="9:19" ht="16">
      <c r="I815" s="314"/>
      <c r="O815" s="225"/>
      <c r="S815" s="315"/>
    </row>
    <row r="816" spans="9:19" ht="16">
      <c r="I816" s="314"/>
      <c r="O816" s="225"/>
      <c r="S816" s="315"/>
    </row>
    <row r="817" spans="9:19" ht="16">
      <c r="I817" s="314"/>
      <c r="O817" s="225"/>
      <c r="S817" s="315"/>
    </row>
    <row r="818" spans="9:19" ht="16">
      <c r="I818" s="314"/>
      <c r="O818" s="225"/>
      <c r="S818" s="315"/>
    </row>
    <row r="819" spans="9:19" ht="16">
      <c r="I819" s="314"/>
      <c r="O819" s="225"/>
      <c r="S819" s="315"/>
    </row>
    <row r="820" spans="9:19" ht="16">
      <c r="I820" s="314"/>
      <c r="O820" s="225"/>
      <c r="S820" s="315"/>
    </row>
    <row r="821" spans="9:19" ht="16">
      <c r="I821" s="314"/>
      <c r="O821" s="225"/>
      <c r="S821" s="315"/>
    </row>
    <row r="822" spans="9:19" ht="16">
      <c r="I822" s="314"/>
      <c r="O822" s="225"/>
      <c r="S822" s="315"/>
    </row>
    <row r="823" spans="9:19" ht="16">
      <c r="I823" s="314"/>
      <c r="O823" s="225"/>
      <c r="S823" s="315"/>
    </row>
    <row r="824" spans="9:19" ht="16">
      <c r="I824" s="314"/>
      <c r="O824" s="225"/>
      <c r="S824" s="315"/>
    </row>
    <row r="825" spans="9:19" ht="16">
      <c r="I825" s="314"/>
      <c r="O825" s="225"/>
      <c r="S825" s="315"/>
    </row>
    <row r="826" spans="9:19" ht="16">
      <c r="I826" s="314"/>
      <c r="O826" s="225"/>
      <c r="S826" s="315"/>
    </row>
    <row r="827" spans="9:19" ht="16">
      <c r="I827" s="314"/>
      <c r="O827" s="225"/>
      <c r="S827" s="315"/>
    </row>
    <row r="828" spans="9:19" ht="16">
      <c r="I828" s="314"/>
      <c r="O828" s="225"/>
      <c r="S828" s="315"/>
    </row>
    <row r="829" spans="9:19" ht="16">
      <c r="I829" s="314"/>
      <c r="O829" s="225"/>
      <c r="S829" s="315"/>
    </row>
    <row r="830" spans="9:19" ht="16">
      <c r="I830" s="314"/>
      <c r="O830" s="225"/>
      <c r="S830" s="315"/>
    </row>
    <row r="831" spans="9:19" ht="16">
      <c r="I831" s="314"/>
      <c r="O831" s="225"/>
      <c r="S831" s="315"/>
    </row>
    <row r="832" spans="9:19" ht="16">
      <c r="I832" s="314"/>
      <c r="O832" s="225"/>
      <c r="S832" s="315"/>
    </row>
    <row r="833" spans="9:19" ht="16">
      <c r="I833" s="314"/>
      <c r="O833" s="225"/>
      <c r="S833" s="315"/>
    </row>
    <row r="834" spans="9:19" ht="16">
      <c r="I834" s="314"/>
      <c r="O834" s="225"/>
      <c r="S834" s="315"/>
    </row>
    <row r="835" spans="9:19" ht="16">
      <c r="I835" s="314"/>
      <c r="O835" s="225"/>
      <c r="S835" s="315"/>
    </row>
    <row r="836" spans="9:19" ht="16">
      <c r="I836" s="314"/>
      <c r="O836" s="225"/>
      <c r="S836" s="315"/>
    </row>
    <row r="837" spans="9:19" ht="16">
      <c r="I837" s="314"/>
      <c r="O837" s="225"/>
      <c r="S837" s="315"/>
    </row>
    <row r="838" spans="9:19" ht="16">
      <c r="I838" s="314"/>
      <c r="O838" s="225"/>
      <c r="S838" s="315"/>
    </row>
    <row r="839" spans="9:19" ht="16">
      <c r="I839" s="314"/>
      <c r="O839" s="225"/>
      <c r="S839" s="315"/>
    </row>
    <row r="840" spans="9:19" ht="16">
      <c r="I840" s="314"/>
      <c r="O840" s="225"/>
      <c r="S840" s="315"/>
    </row>
    <row r="841" spans="9:19" ht="16">
      <c r="I841" s="314"/>
      <c r="O841" s="225"/>
      <c r="S841" s="315"/>
    </row>
    <row r="842" spans="9:19" ht="16">
      <c r="I842" s="314"/>
      <c r="O842" s="225"/>
      <c r="S842" s="315"/>
    </row>
    <row r="843" spans="9:19" ht="16">
      <c r="I843" s="314"/>
      <c r="O843" s="225"/>
      <c r="S843" s="315"/>
    </row>
    <row r="844" spans="9:19" ht="16">
      <c r="I844" s="314"/>
      <c r="O844" s="225"/>
      <c r="S844" s="315"/>
    </row>
    <row r="845" spans="9:19" ht="16">
      <c r="I845" s="314"/>
      <c r="O845" s="225"/>
      <c r="S845" s="315"/>
    </row>
    <row r="846" spans="9:19" ht="16">
      <c r="I846" s="314"/>
      <c r="O846" s="225"/>
      <c r="S846" s="315"/>
    </row>
    <row r="847" spans="9:19" ht="16">
      <c r="I847" s="314"/>
      <c r="O847" s="225"/>
      <c r="S847" s="315"/>
    </row>
    <row r="848" spans="9:19" ht="16">
      <c r="I848" s="314"/>
      <c r="O848" s="225"/>
      <c r="S848" s="315"/>
    </row>
    <row r="849" spans="9:19" ht="16">
      <c r="I849" s="314"/>
      <c r="O849" s="225"/>
      <c r="S849" s="315"/>
    </row>
    <row r="850" spans="9:19" ht="16">
      <c r="I850" s="314"/>
      <c r="O850" s="225"/>
      <c r="S850" s="315"/>
    </row>
    <row r="851" spans="9:19" ht="16">
      <c r="I851" s="314"/>
      <c r="O851" s="225"/>
      <c r="S851" s="315"/>
    </row>
    <row r="852" spans="9:19" ht="16">
      <c r="I852" s="314"/>
      <c r="O852" s="225"/>
      <c r="S852" s="315"/>
    </row>
    <row r="853" spans="9:19" ht="16">
      <c r="I853" s="314"/>
      <c r="O853" s="225"/>
      <c r="S853" s="315"/>
    </row>
    <row r="854" spans="9:19" ht="16">
      <c r="I854" s="314"/>
      <c r="O854" s="225"/>
      <c r="S854" s="315"/>
    </row>
    <row r="855" spans="9:19" ht="16">
      <c r="I855" s="314"/>
      <c r="O855" s="225"/>
      <c r="S855" s="315"/>
    </row>
    <row r="856" spans="9:19" ht="16">
      <c r="I856" s="314"/>
      <c r="O856" s="225"/>
      <c r="S856" s="315"/>
    </row>
    <row r="857" spans="9:19" ht="16">
      <c r="I857" s="314"/>
      <c r="O857" s="225"/>
      <c r="S857" s="315"/>
    </row>
    <row r="858" spans="9:19" ht="16">
      <c r="I858" s="314"/>
      <c r="O858" s="225"/>
      <c r="S858" s="315"/>
    </row>
    <row r="859" spans="9:19" ht="16">
      <c r="I859" s="314"/>
      <c r="O859" s="225"/>
      <c r="S859" s="315"/>
    </row>
    <row r="860" spans="9:19" ht="16">
      <c r="I860" s="314"/>
      <c r="O860" s="225"/>
      <c r="S860" s="315"/>
    </row>
    <row r="861" spans="9:19" ht="16">
      <c r="I861" s="314"/>
      <c r="O861" s="225"/>
      <c r="S861" s="315"/>
    </row>
    <row r="862" spans="9:19" ht="16">
      <c r="I862" s="314"/>
      <c r="O862" s="225"/>
      <c r="S862" s="315"/>
    </row>
    <row r="863" spans="9:19" ht="16">
      <c r="I863" s="314"/>
      <c r="O863" s="225"/>
      <c r="S863" s="315"/>
    </row>
    <row r="864" spans="9:19" ht="16">
      <c r="I864" s="314"/>
      <c r="O864" s="225"/>
      <c r="S864" s="315"/>
    </row>
    <row r="865" spans="9:19" ht="16">
      <c r="I865" s="314"/>
      <c r="O865" s="225"/>
      <c r="S865" s="315"/>
    </row>
    <row r="866" spans="9:19" ht="16">
      <c r="I866" s="314"/>
      <c r="O866" s="225"/>
      <c r="S866" s="315"/>
    </row>
    <row r="867" spans="9:19" ht="16">
      <c r="I867" s="314"/>
      <c r="O867" s="225"/>
      <c r="S867" s="315"/>
    </row>
    <row r="868" spans="9:19" ht="16">
      <c r="I868" s="314"/>
      <c r="O868" s="225"/>
      <c r="S868" s="315"/>
    </row>
    <row r="869" spans="9:19" ht="16">
      <c r="I869" s="314"/>
      <c r="O869" s="225"/>
      <c r="S869" s="315"/>
    </row>
    <row r="870" spans="9:19" ht="16">
      <c r="I870" s="314"/>
      <c r="O870" s="225"/>
      <c r="S870" s="315"/>
    </row>
    <row r="871" spans="9:19" ht="16">
      <c r="I871" s="314"/>
      <c r="O871" s="225"/>
      <c r="S871" s="315"/>
    </row>
    <row r="872" spans="9:19" ht="16">
      <c r="I872" s="314"/>
      <c r="O872" s="225"/>
      <c r="S872" s="315"/>
    </row>
    <row r="873" spans="9:19" ht="16">
      <c r="I873" s="314"/>
      <c r="O873" s="225"/>
      <c r="S873" s="315"/>
    </row>
    <row r="874" spans="9:19" ht="16">
      <c r="I874" s="314"/>
      <c r="O874" s="225"/>
      <c r="S874" s="315"/>
    </row>
    <row r="875" spans="9:19" ht="16">
      <c r="I875" s="314"/>
      <c r="O875" s="225"/>
      <c r="S875" s="315"/>
    </row>
    <row r="876" spans="9:19" ht="16">
      <c r="I876" s="314"/>
      <c r="O876" s="225"/>
      <c r="S876" s="315"/>
    </row>
    <row r="877" spans="9:19" ht="16">
      <c r="I877" s="314"/>
      <c r="O877" s="225"/>
      <c r="S877" s="315"/>
    </row>
    <row r="878" spans="9:19" ht="16">
      <c r="I878" s="314"/>
      <c r="O878" s="225"/>
      <c r="S878" s="315"/>
    </row>
    <row r="879" spans="9:19" ht="16">
      <c r="I879" s="314"/>
      <c r="O879" s="225"/>
      <c r="S879" s="315"/>
    </row>
    <row r="880" spans="9:19" ht="16">
      <c r="I880" s="314"/>
      <c r="O880" s="225"/>
      <c r="S880" s="315"/>
    </row>
    <row r="881" spans="9:19" ht="16">
      <c r="I881" s="314"/>
      <c r="O881" s="225"/>
      <c r="S881" s="315"/>
    </row>
    <row r="882" spans="9:19" ht="16">
      <c r="I882" s="314"/>
      <c r="O882" s="225"/>
      <c r="S882" s="315"/>
    </row>
    <row r="883" spans="9:19" ht="16">
      <c r="I883" s="314"/>
      <c r="O883" s="225"/>
      <c r="S883" s="315"/>
    </row>
    <row r="884" spans="9:19" ht="16">
      <c r="I884" s="314"/>
      <c r="O884" s="225"/>
      <c r="S884" s="315"/>
    </row>
    <row r="885" spans="9:19" ht="16">
      <c r="I885" s="314"/>
      <c r="O885" s="225"/>
      <c r="S885" s="315"/>
    </row>
    <row r="886" spans="9:19" ht="16">
      <c r="I886" s="314"/>
      <c r="O886" s="225"/>
      <c r="S886" s="315"/>
    </row>
    <row r="887" spans="9:19" ht="16">
      <c r="I887" s="314"/>
      <c r="O887" s="225"/>
      <c r="S887" s="315"/>
    </row>
    <row r="888" spans="9:19" ht="16">
      <c r="I888" s="314"/>
      <c r="O888" s="225"/>
      <c r="S888" s="315"/>
    </row>
    <row r="889" spans="9:19" ht="16">
      <c r="I889" s="314"/>
      <c r="O889" s="225"/>
      <c r="S889" s="315"/>
    </row>
    <row r="890" spans="9:19" ht="16">
      <c r="I890" s="314"/>
      <c r="O890" s="225"/>
      <c r="S890" s="315"/>
    </row>
    <row r="891" spans="9:19" ht="16">
      <c r="I891" s="314"/>
      <c r="O891" s="225"/>
      <c r="S891" s="315"/>
    </row>
    <row r="892" spans="9:19" ht="16">
      <c r="I892" s="314"/>
      <c r="O892" s="225"/>
      <c r="S892" s="315"/>
    </row>
    <row r="893" spans="9:19" ht="16">
      <c r="I893" s="314"/>
      <c r="O893" s="225"/>
      <c r="S893" s="315"/>
    </row>
    <row r="894" spans="9:19" ht="16">
      <c r="I894" s="314"/>
      <c r="O894" s="225"/>
      <c r="S894" s="315"/>
    </row>
    <row r="895" spans="9:19" ht="16">
      <c r="I895" s="314"/>
      <c r="O895" s="225"/>
      <c r="S895" s="315"/>
    </row>
    <row r="896" spans="9:19" ht="16">
      <c r="I896" s="314"/>
      <c r="O896" s="225"/>
      <c r="S896" s="315"/>
    </row>
    <row r="897" spans="9:19" ht="16">
      <c r="I897" s="314"/>
      <c r="O897" s="225"/>
      <c r="S897" s="315"/>
    </row>
    <row r="898" spans="9:19" ht="16">
      <c r="I898" s="314"/>
      <c r="O898" s="225"/>
      <c r="S898" s="315"/>
    </row>
    <row r="899" spans="9:19" ht="16">
      <c r="I899" s="314"/>
      <c r="O899" s="225"/>
      <c r="S899" s="315"/>
    </row>
    <row r="900" spans="9:19" ht="16">
      <c r="I900" s="314"/>
      <c r="O900" s="225"/>
      <c r="S900" s="315"/>
    </row>
    <row r="901" spans="9:19" ht="16">
      <c r="I901" s="314"/>
      <c r="O901" s="225"/>
      <c r="S901" s="315"/>
    </row>
    <row r="902" spans="9:19" ht="16">
      <c r="I902" s="314"/>
      <c r="O902" s="225"/>
      <c r="S902" s="315"/>
    </row>
    <row r="903" spans="9:19" ht="16">
      <c r="I903" s="314"/>
      <c r="O903" s="225"/>
      <c r="S903" s="315"/>
    </row>
    <row r="904" spans="9:19" ht="16">
      <c r="I904" s="314"/>
      <c r="O904" s="225"/>
      <c r="S904" s="315"/>
    </row>
    <row r="905" spans="9:19" ht="16">
      <c r="I905" s="314"/>
      <c r="O905" s="225"/>
      <c r="S905" s="315"/>
    </row>
    <row r="906" spans="9:19" ht="16">
      <c r="I906" s="314"/>
      <c r="O906" s="225"/>
      <c r="S906" s="315"/>
    </row>
    <row r="907" spans="9:19" ht="16">
      <c r="I907" s="314"/>
      <c r="O907" s="225"/>
      <c r="S907" s="315"/>
    </row>
    <row r="908" spans="9:19" ht="16">
      <c r="I908" s="314"/>
      <c r="O908" s="225"/>
      <c r="S908" s="315"/>
    </row>
    <row r="909" spans="9:19" ht="16">
      <c r="I909" s="314"/>
      <c r="O909" s="225"/>
      <c r="S909" s="315"/>
    </row>
    <row r="910" spans="9:19" ht="16">
      <c r="I910" s="314"/>
      <c r="O910" s="225"/>
      <c r="S910" s="315"/>
    </row>
    <row r="911" spans="9:19" ht="16">
      <c r="I911" s="314"/>
      <c r="O911" s="225"/>
      <c r="S911" s="315"/>
    </row>
    <row r="912" spans="9:19" ht="16">
      <c r="I912" s="314"/>
      <c r="O912" s="225"/>
      <c r="S912" s="315"/>
    </row>
    <row r="913" spans="9:19" ht="16">
      <c r="I913" s="314"/>
      <c r="O913" s="225"/>
      <c r="S913" s="315"/>
    </row>
    <row r="914" spans="9:19" ht="16">
      <c r="I914" s="314"/>
      <c r="O914" s="225"/>
      <c r="S914" s="315"/>
    </row>
    <row r="915" spans="9:19" ht="16">
      <c r="I915" s="314"/>
      <c r="O915" s="225"/>
      <c r="S915" s="315"/>
    </row>
    <row r="916" spans="9:19" ht="16">
      <c r="I916" s="314"/>
      <c r="O916" s="225"/>
      <c r="S916" s="315"/>
    </row>
    <row r="917" spans="9:19" ht="16">
      <c r="I917" s="314"/>
      <c r="O917" s="225"/>
      <c r="S917" s="315"/>
    </row>
    <row r="918" spans="9:19" ht="16">
      <c r="I918" s="314"/>
      <c r="O918" s="225"/>
      <c r="S918" s="315"/>
    </row>
    <row r="919" spans="9:19" ht="16">
      <c r="I919" s="314"/>
      <c r="O919" s="225"/>
      <c r="S919" s="315"/>
    </row>
    <row r="920" spans="9:19" ht="16">
      <c r="I920" s="314"/>
      <c r="O920" s="225"/>
      <c r="S920" s="315"/>
    </row>
    <row r="921" spans="9:19" ht="16">
      <c r="I921" s="314"/>
      <c r="O921" s="225"/>
      <c r="S921" s="315"/>
    </row>
    <row r="922" spans="9:19" ht="16">
      <c r="I922" s="314"/>
      <c r="O922" s="225"/>
      <c r="S922" s="315"/>
    </row>
    <row r="923" spans="9:19" ht="16">
      <c r="I923" s="314"/>
      <c r="O923" s="225"/>
      <c r="S923" s="315"/>
    </row>
    <row r="924" spans="9:19" ht="16">
      <c r="I924" s="314"/>
      <c r="O924" s="225"/>
      <c r="S924" s="315"/>
    </row>
    <row r="925" spans="9:19" ht="16">
      <c r="I925" s="314"/>
      <c r="O925" s="225"/>
      <c r="S925" s="315"/>
    </row>
    <row r="926" spans="9:19" ht="16">
      <c r="I926" s="314"/>
      <c r="O926" s="225"/>
      <c r="S926" s="315"/>
    </row>
    <row r="927" spans="9:19" ht="16">
      <c r="I927" s="314"/>
      <c r="O927" s="225"/>
      <c r="S927" s="315"/>
    </row>
    <row r="928" spans="9:19" ht="16">
      <c r="I928" s="314"/>
      <c r="O928" s="225"/>
      <c r="S928" s="315"/>
    </row>
    <row r="929" spans="9:19" ht="16">
      <c r="I929" s="314"/>
      <c r="O929" s="225"/>
      <c r="S929" s="315"/>
    </row>
    <row r="930" spans="9:19" ht="16">
      <c r="I930" s="314"/>
      <c r="O930" s="225"/>
      <c r="S930" s="315"/>
    </row>
    <row r="931" spans="9:19" ht="16">
      <c r="I931" s="314"/>
      <c r="O931" s="225"/>
      <c r="S931" s="315"/>
    </row>
    <row r="932" spans="9:19" ht="16">
      <c r="I932" s="314"/>
      <c r="O932" s="225"/>
      <c r="S932" s="315"/>
    </row>
    <row r="933" spans="9:19" ht="16">
      <c r="I933" s="314"/>
      <c r="O933" s="225"/>
      <c r="S933" s="315"/>
    </row>
    <row r="934" spans="9:19" ht="16">
      <c r="I934" s="314"/>
      <c r="O934" s="225"/>
      <c r="S934" s="315"/>
    </row>
    <row r="935" spans="9:19" ht="16">
      <c r="I935" s="314"/>
      <c r="O935" s="225"/>
      <c r="S935" s="315"/>
    </row>
    <row r="936" spans="9:19" ht="16">
      <c r="I936" s="314"/>
      <c r="O936" s="225"/>
      <c r="S936" s="315"/>
    </row>
    <row r="937" spans="9:19" ht="16">
      <c r="I937" s="314"/>
      <c r="O937" s="225"/>
      <c r="S937" s="315"/>
    </row>
    <row r="938" spans="9:19" ht="16">
      <c r="I938" s="314"/>
      <c r="O938" s="225"/>
      <c r="S938" s="315"/>
    </row>
    <row r="939" spans="9:19" ht="16">
      <c r="I939" s="314"/>
      <c r="O939" s="225"/>
      <c r="S939" s="315"/>
    </row>
    <row r="940" spans="9:19" ht="16">
      <c r="I940" s="314"/>
      <c r="O940" s="225"/>
      <c r="S940" s="315"/>
    </row>
    <row r="941" spans="9:19" ht="16">
      <c r="I941" s="314"/>
      <c r="O941" s="225"/>
      <c r="S941" s="315"/>
    </row>
    <row r="942" spans="9:19" ht="16">
      <c r="I942" s="314"/>
      <c r="O942" s="225"/>
      <c r="S942" s="315"/>
    </row>
    <row r="943" spans="9:19" ht="16">
      <c r="I943" s="314"/>
      <c r="O943" s="225"/>
      <c r="S943" s="315"/>
    </row>
    <row r="944" spans="9:19" ht="16">
      <c r="I944" s="314"/>
      <c r="O944" s="225"/>
      <c r="S944" s="315"/>
    </row>
    <row r="945" spans="9:19" ht="16">
      <c r="I945" s="314"/>
      <c r="O945" s="225"/>
      <c r="S945" s="315"/>
    </row>
    <row r="946" spans="9:19" ht="16">
      <c r="I946" s="314"/>
      <c r="O946" s="225"/>
      <c r="S946" s="315"/>
    </row>
    <row r="947" spans="9:19" ht="16">
      <c r="I947" s="314"/>
      <c r="O947" s="225"/>
      <c r="S947" s="315"/>
    </row>
    <row r="948" spans="9:19" ht="16">
      <c r="I948" s="314"/>
      <c r="O948" s="225"/>
      <c r="S948" s="315"/>
    </row>
    <row r="949" spans="9:19" ht="16">
      <c r="I949" s="314"/>
      <c r="O949" s="225"/>
      <c r="S949" s="315"/>
    </row>
    <row r="950" spans="9:19" ht="16">
      <c r="I950" s="314"/>
      <c r="O950" s="225"/>
      <c r="S950" s="315"/>
    </row>
    <row r="951" spans="9:19" ht="16">
      <c r="I951" s="314"/>
      <c r="O951" s="225"/>
      <c r="S951" s="315"/>
    </row>
    <row r="952" spans="9:19" ht="16">
      <c r="I952" s="314"/>
      <c r="O952" s="225"/>
      <c r="S952" s="315"/>
    </row>
    <row r="953" spans="9:19" ht="16">
      <c r="I953" s="314"/>
      <c r="O953" s="225"/>
      <c r="S953" s="315"/>
    </row>
    <row r="954" spans="9:19" ht="16">
      <c r="I954" s="314"/>
      <c r="O954" s="225"/>
      <c r="S954" s="315"/>
    </row>
    <row r="955" spans="9:19" ht="16">
      <c r="I955" s="314"/>
      <c r="O955" s="225"/>
      <c r="S955" s="315"/>
    </row>
    <row r="956" spans="9:19" ht="16">
      <c r="I956" s="314"/>
      <c r="O956" s="225"/>
      <c r="S956" s="315"/>
    </row>
    <row r="957" spans="9:19" ht="16">
      <c r="I957" s="314"/>
      <c r="O957" s="225"/>
      <c r="S957" s="315"/>
    </row>
    <row r="958" spans="9:19" ht="16">
      <c r="I958" s="314"/>
      <c r="O958" s="225"/>
      <c r="S958" s="315"/>
    </row>
    <row r="959" spans="9:19" ht="16">
      <c r="I959" s="314"/>
      <c r="O959" s="225"/>
      <c r="S959" s="315"/>
    </row>
    <row r="960" spans="9:19" ht="16">
      <c r="I960" s="314"/>
      <c r="O960" s="225"/>
      <c r="S960" s="315"/>
    </row>
    <row r="961" spans="9:19" ht="16">
      <c r="I961" s="314"/>
      <c r="O961" s="225"/>
      <c r="S961" s="315"/>
    </row>
    <row r="962" spans="9:19" ht="16">
      <c r="I962" s="314"/>
      <c r="O962" s="225"/>
      <c r="S962" s="315"/>
    </row>
    <row r="963" spans="9:19" ht="16">
      <c r="I963" s="314"/>
      <c r="O963" s="225"/>
      <c r="S963" s="315"/>
    </row>
    <row r="964" spans="9:19" ht="16">
      <c r="I964" s="314"/>
      <c r="O964" s="225"/>
      <c r="S964" s="315"/>
    </row>
    <row r="965" spans="9:19" ht="16">
      <c r="I965" s="314"/>
      <c r="O965" s="225"/>
      <c r="S965" s="315"/>
    </row>
    <row r="966" spans="9:19" ht="16">
      <c r="I966" s="314"/>
      <c r="O966" s="225"/>
      <c r="S966" s="315"/>
    </row>
    <row r="967" spans="9:19" ht="16">
      <c r="I967" s="314"/>
      <c r="O967" s="225"/>
      <c r="S967" s="315"/>
    </row>
    <row r="968" spans="9:19" ht="16">
      <c r="I968" s="314"/>
      <c r="O968" s="225"/>
      <c r="S968" s="315"/>
    </row>
    <row r="969" spans="9:19" ht="16">
      <c r="I969" s="314"/>
      <c r="O969" s="225"/>
      <c r="S969" s="315"/>
    </row>
    <row r="970" spans="9:19" ht="16">
      <c r="I970" s="314"/>
      <c r="O970" s="225"/>
      <c r="S970" s="315"/>
    </row>
    <row r="971" spans="9:19" ht="16">
      <c r="I971" s="314"/>
      <c r="O971" s="225"/>
      <c r="S971" s="315"/>
    </row>
    <row r="972" spans="9:19" ht="16">
      <c r="I972" s="314"/>
      <c r="O972" s="225"/>
      <c r="S972" s="315"/>
    </row>
    <row r="973" spans="9:19" ht="16">
      <c r="I973" s="314"/>
      <c r="O973" s="225"/>
      <c r="S973" s="315"/>
    </row>
    <row r="974" spans="9:19" ht="16">
      <c r="I974" s="314"/>
      <c r="O974" s="225"/>
      <c r="S974" s="315"/>
    </row>
    <row r="975" spans="9:19" ht="16">
      <c r="I975" s="314"/>
      <c r="O975" s="225"/>
      <c r="S975" s="315"/>
    </row>
    <row r="976" spans="9:19" ht="16">
      <c r="I976" s="314"/>
      <c r="O976" s="225"/>
      <c r="S976" s="315"/>
    </row>
    <row r="977" spans="9:19" ht="16">
      <c r="I977" s="314"/>
      <c r="O977" s="225"/>
      <c r="S977" s="315"/>
    </row>
    <row r="978" spans="9:19" ht="16">
      <c r="I978" s="314"/>
      <c r="O978" s="225"/>
      <c r="S978" s="315"/>
    </row>
    <row r="979" spans="9:19" ht="16">
      <c r="I979" s="314"/>
      <c r="O979" s="225"/>
      <c r="S979" s="315"/>
    </row>
    <row r="980" spans="9:19" ht="16">
      <c r="I980" s="314"/>
      <c r="O980" s="225"/>
      <c r="S980" s="315"/>
    </row>
    <row r="981" spans="9:19" ht="16">
      <c r="I981" s="314"/>
      <c r="O981" s="225"/>
      <c r="S981" s="315"/>
    </row>
    <row r="982" spans="9:19" ht="16">
      <c r="I982" s="314"/>
      <c r="O982" s="225"/>
      <c r="S982" s="315"/>
    </row>
    <row r="983" spans="9:19" ht="16">
      <c r="I983" s="314"/>
      <c r="O983" s="225"/>
      <c r="S983" s="315"/>
    </row>
    <row r="984" spans="9:19" ht="16">
      <c r="I984" s="314"/>
      <c r="O984" s="225"/>
      <c r="S984" s="315"/>
    </row>
    <row r="985" spans="9:19" ht="16">
      <c r="I985" s="314"/>
      <c r="O985" s="225"/>
      <c r="S985" s="315"/>
    </row>
    <row r="986" spans="9:19" ht="16">
      <c r="I986" s="314"/>
      <c r="O986" s="225"/>
      <c r="S986" s="315"/>
    </row>
    <row r="987" spans="9:19" ht="16">
      <c r="I987" s="314"/>
      <c r="O987" s="225"/>
      <c r="S987" s="315"/>
    </row>
    <row r="988" spans="9:19" ht="16">
      <c r="I988" s="314"/>
      <c r="O988" s="225"/>
      <c r="S988" s="315"/>
    </row>
    <row r="989" spans="9:19" ht="16">
      <c r="I989" s="314"/>
      <c r="O989" s="225"/>
      <c r="S989" s="315"/>
    </row>
    <row r="990" spans="9:19" ht="16">
      <c r="I990" s="314"/>
      <c r="O990" s="225"/>
      <c r="S990" s="315"/>
    </row>
    <row r="991" spans="9:19" ht="16">
      <c r="I991" s="314"/>
      <c r="O991" s="225"/>
      <c r="S991" s="315"/>
    </row>
    <row r="992" spans="9:19" ht="16">
      <c r="I992" s="314"/>
      <c r="O992" s="225"/>
      <c r="S992" s="315"/>
    </row>
    <row r="993" spans="9:19" ht="16">
      <c r="I993" s="314"/>
      <c r="O993" s="225"/>
      <c r="S993" s="315"/>
    </row>
    <row r="994" spans="9:19" ht="16">
      <c r="I994" s="314"/>
      <c r="O994" s="225"/>
      <c r="S994" s="315"/>
    </row>
    <row r="995" spans="9:19" ht="16">
      <c r="I995" s="314"/>
      <c r="O995" s="225"/>
      <c r="S995" s="315"/>
    </row>
    <row r="996" spans="9:19" ht="16">
      <c r="I996" s="314"/>
      <c r="O996" s="225"/>
      <c r="S996" s="315"/>
    </row>
    <row r="997" spans="9:19" ht="16">
      <c r="I997" s="314"/>
      <c r="O997" s="225"/>
      <c r="S997" s="315"/>
    </row>
    <row r="998" spans="9:19" ht="16">
      <c r="I998" s="314"/>
      <c r="O998" s="225"/>
      <c r="S998" s="315"/>
    </row>
    <row r="999" spans="9:19" ht="16">
      <c r="I999" s="314"/>
      <c r="O999" s="225"/>
      <c r="S999" s="315"/>
    </row>
    <row r="1000" spans="9:19" ht="16">
      <c r="I1000" s="314"/>
      <c r="O1000" s="225"/>
      <c r="S1000" s="315"/>
    </row>
    <row r="1001" spans="9:19" ht="16">
      <c r="I1001" s="314"/>
      <c r="O1001" s="225"/>
      <c r="S1001" s="315"/>
    </row>
    <row r="1002" spans="9:19" ht="16">
      <c r="I1002" s="314"/>
      <c r="O1002" s="225"/>
      <c r="S1002" s="315"/>
    </row>
    <row r="1003" spans="9:19" ht="16">
      <c r="I1003" s="314"/>
      <c r="S1003" s="316"/>
    </row>
    <row r="1004" spans="9:19" ht="16">
      <c r="I1004" s="314"/>
      <c r="S1004" s="316"/>
    </row>
    <row r="1005" spans="9:19" ht="16">
      <c r="I1005" s="314"/>
      <c r="S1005" s="316"/>
    </row>
    <row r="1006" spans="9:19" ht="16">
      <c r="I1006" s="314"/>
      <c r="S1006" s="316"/>
    </row>
  </sheetData>
  <mergeCells count="5">
    <mergeCell ref="A1:S1"/>
    <mergeCell ref="I2:S4"/>
    <mergeCell ref="B6:E6"/>
    <mergeCell ref="G7:H7"/>
    <mergeCell ref="Q194:S194"/>
  </mergeCells>
  <conditionalFormatting sqref="D2">
    <cfRule type="notContainsBlanks" dxfId="11" priority="1">
      <formula>LEN(TRIM(D2))&gt;0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W1022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5" defaultRowHeight="15" customHeight="1"/>
  <cols>
    <col min="1" max="1" width="2" customWidth="1"/>
    <col min="2" max="2" width="13.6640625" customWidth="1"/>
    <col min="3" max="4" width="12.33203125" customWidth="1"/>
    <col min="5" max="5" width="21.1640625" customWidth="1"/>
    <col min="6" max="6" width="16.83203125" customWidth="1"/>
    <col min="7" max="7" width="68" customWidth="1"/>
    <col min="8" max="8" width="6.83203125" customWidth="1"/>
    <col min="9" max="9" width="5.5" customWidth="1"/>
    <col min="10" max="10" width="12.5" customWidth="1"/>
    <col min="11" max="11" width="10.6640625" customWidth="1"/>
    <col min="12" max="12" width="4.5" customWidth="1"/>
    <col min="13" max="13" width="12.33203125" customWidth="1"/>
    <col min="14" max="14" width="5.5" customWidth="1"/>
    <col min="15" max="15" width="4.1640625" customWidth="1"/>
    <col min="16" max="16" width="14" customWidth="1"/>
    <col min="17" max="17" width="4.83203125" customWidth="1"/>
    <col min="18" max="18" width="17.6640625" customWidth="1"/>
    <col min="19" max="19" width="20.1640625" customWidth="1"/>
    <col min="20" max="20" width="6.1640625" customWidth="1"/>
    <col min="21" max="21" width="37.5" customWidth="1"/>
    <col min="22" max="22" width="23.33203125" customWidth="1"/>
  </cols>
  <sheetData>
    <row r="1" spans="1:23" ht="60.75" customHeight="1">
      <c r="A1" s="173" t="s">
        <v>3441</v>
      </c>
      <c r="B1" s="297">
        <v>0</v>
      </c>
      <c r="C1" s="297"/>
      <c r="D1" s="297"/>
      <c r="E1" s="297"/>
      <c r="F1" s="317">
        <f ca="1">MONTH(TODAY())</f>
        <v>1</v>
      </c>
      <c r="G1" s="317"/>
      <c r="H1" s="297"/>
      <c r="I1" s="297"/>
      <c r="J1" s="297"/>
      <c r="K1" s="1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1"/>
    </row>
    <row r="2" spans="1:23" ht="16">
      <c r="A2" s="1"/>
      <c r="B2" s="318" t="s">
        <v>1</v>
      </c>
      <c r="C2" s="319">
        <v>900000</v>
      </c>
      <c r="D2" s="319"/>
      <c r="E2" s="320">
        <f>C3/C2</f>
        <v>0.71193333333333331</v>
      </c>
      <c r="G2" s="49"/>
      <c r="H2" s="90"/>
      <c r="I2" s="90"/>
      <c r="J2" s="90"/>
      <c r="K2" s="90"/>
      <c r="L2" s="90"/>
      <c r="M2" s="321"/>
      <c r="N2" s="90"/>
      <c r="O2" s="90"/>
      <c r="P2" s="90"/>
      <c r="Q2" s="90"/>
      <c r="R2" s="90"/>
      <c r="S2" s="90"/>
      <c r="T2" s="90"/>
      <c r="U2" s="90"/>
      <c r="V2" s="90"/>
      <c r="W2" s="1"/>
    </row>
    <row r="3" spans="1:23" ht="16">
      <c r="A3" s="1"/>
      <c r="B3" s="322" t="s">
        <v>2</v>
      </c>
      <c r="C3" s="319">
        <f>SUM(K8:K264)</f>
        <v>640740</v>
      </c>
      <c r="D3" s="319"/>
      <c r="E3" s="323" t="s">
        <v>3</v>
      </c>
      <c r="F3" s="324"/>
      <c r="G3" s="324"/>
      <c r="H3" s="299"/>
      <c r="I3" s="90"/>
      <c r="J3" s="299"/>
      <c r="K3" s="299"/>
      <c r="L3" s="299"/>
      <c r="M3" s="325"/>
      <c r="N3" s="299"/>
      <c r="O3" s="299"/>
      <c r="P3" s="299"/>
      <c r="Q3" s="299"/>
      <c r="R3" s="299"/>
      <c r="S3" s="299"/>
      <c r="T3" s="299"/>
      <c r="U3" s="299"/>
      <c r="V3" s="299"/>
      <c r="W3" s="1"/>
    </row>
    <row r="4" spans="1:23">
      <c r="A4" s="1"/>
      <c r="B4" s="326" t="s">
        <v>2218</v>
      </c>
      <c r="C4" s="326">
        <f ca="1">(E5-TODAY())</f>
        <v>-126</v>
      </c>
      <c r="D4" s="326"/>
      <c r="E4" s="17"/>
      <c r="F4" s="327"/>
      <c r="G4" s="49"/>
      <c r="H4" s="90"/>
      <c r="J4" s="90"/>
      <c r="L4" s="90"/>
      <c r="M4" s="321"/>
      <c r="N4" s="90"/>
      <c r="O4" s="90"/>
      <c r="P4" s="90"/>
      <c r="Q4" s="90"/>
      <c r="R4" s="90"/>
      <c r="S4" s="90"/>
      <c r="T4" s="90"/>
      <c r="U4" s="90"/>
      <c r="V4" s="90"/>
      <c r="W4" s="1"/>
    </row>
    <row r="5" spans="1:23" ht="16">
      <c r="A5" s="1"/>
      <c r="B5" s="328" t="s">
        <v>6</v>
      </c>
      <c r="C5" s="329">
        <f ca="1">TODAY()</f>
        <v>46026</v>
      </c>
      <c r="D5" s="328"/>
      <c r="E5" s="330">
        <v>45900</v>
      </c>
      <c r="F5" s="90"/>
      <c r="G5" s="299"/>
      <c r="H5" s="90"/>
      <c r="I5" s="90"/>
      <c r="J5" s="300"/>
      <c r="K5" s="300"/>
      <c r="L5" s="90"/>
      <c r="M5" s="321"/>
      <c r="N5" s="301"/>
      <c r="O5" s="302"/>
      <c r="P5" s="303"/>
      <c r="Q5" s="90"/>
      <c r="R5" s="304"/>
      <c r="S5" s="304"/>
      <c r="T5" s="90"/>
      <c r="U5" s="305"/>
      <c r="V5" s="305"/>
      <c r="W5" s="1"/>
    </row>
    <row r="6" spans="1:23" ht="22">
      <c r="A6" s="1"/>
      <c r="B6" s="549" t="s">
        <v>2734</v>
      </c>
      <c r="C6" s="537"/>
      <c r="D6" s="537"/>
      <c r="E6" s="537"/>
      <c r="F6" s="537"/>
      <c r="G6" s="26"/>
      <c r="H6" s="23"/>
      <c r="I6" s="23"/>
      <c r="J6" s="23"/>
      <c r="K6" s="23"/>
      <c r="L6" s="23"/>
      <c r="M6" s="331"/>
      <c r="N6" s="23"/>
      <c r="O6" s="24"/>
      <c r="P6" s="211"/>
      <c r="Q6" s="23"/>
      <c r="R6" s="332"/>
      <c r="S6" s="127"/>
      <c r="T6" s="26"/>
      <c r="U6" s="306"/>
      <c r="V6" s="306"/>
      <c r="W6" s="1"/>
    </row>
    <row r="7" spans="1:23" ht="14.25" customHeight="1">
      <c r="A7" s="98"/>
      <c r="B7" s="38" t="s">
        <v>18</v>
      </c>
      <c r="C7" s="38" t="s">
        <v>3442</v>
      </c>
      <c r="D7" s="38" t="s">
        <v>19</v>
      </c>
      <c r="E7" s="38" t="s">
        <v>20</v>
      </c>
      <c r="F7" s="38" t="s">
        <v>21</v>
      </c>
      <c r="G7" s="38" t="s">
        <v>2018</v>
      </c>
      <c r="H7" s="538" t="s">
        <v>22</v>
      </c>
      <c r="I7" s="528"/>
      <c r="J7" s="40"/>
      <c r="K7" s="41" t="s">
        <v>23</v>
      </c>
      <c r="L7" s="42"/>
      <c r="M7" s="333"/>
      <c r="N7" s="43"/>
      <c r="O7" s="44"/>
      <c r="P7" s="213"/>
      <c r="Q7" s="45"/>
      <c r="R7" s="128"/>
      <c r="S7" s="307" t="s">
        <v>3443</v>
      </c>
      <c r="T7" s="47"/>
      <c r="U7" s="307"/>
      <c r="V7" s="307"/>
      <c r="W7" s="100" t="s">
        <v>24</v>
      </c>
    </row>
    <row r="8" spans="1:23" ht="16.5" customHeight="1">
      <c r="A8" s="1"/>
      <c r="B8" s="71" t="s">
        <v>3444</v>
      </c>
      <c r="C8" s="53" t="s">
        <v>3445</v>
      </c>
      <c r="D8" s="53" t="s">
        <v>262</v>
      </c>
      <c r="E8" s="53" t="s">
        <v>3446</v>
      </c>
      <c r="F8" s="53" t="s">
        <v>3447</v>
      </c>
      <c r="G8" s="53" t="s">
        <v>3448</v>
      </c>
      <c r="H8" s="131" t="s">
        <v>30</v>
      </c>
      <c r="I8" s="69">
        <v>10</v>
      </c>
      <c r="J8" s="70">
        <v>650</v>
      </c>
      <c r="K8" s="54">
        <f t="shared" ref="K8:K56" si="0">I8*J8</f>
        <v>6500</v>
      </c>
      <c r="L8" s="55" t="b">
        <v>1</v>
      </c>
      <c r="M8" s="56">
        <v>10820251043</v>
      </c>
      <c r="N8" s="57" t="b">
        <v>1</v>
      </c>
      <c r="O8" s="58" t="s">
        <v>39</v>
      </c>
      <c r="P8" s="226">
        <v>45870</v>
      </c>
      <c r="Q8" s="191" t="b">
        <v>1</v>
      </c>
      <c r="R8" s="308" t="s">
        <v>3138</v>
      </c>
      <c r="S8" s="297"/>
      <c r="T8" s="57" t="b">
        <v>1</v>
      </c>
      <c r="U8" s="310" t="s">
        <v>3449</v>
      </c>
      <c r="V8" s="307"/>
      <c r="W8" s="54"/>
    </row>
    <row r="9" spans="1:23" ht="16.5" customHeight="1">
      <c r="A9" s="18"/>
      <c r="B9" s="71" t="s">
        <v>3450</v>
      </c>
      <c r="C9" s="151" t="s">
        <v>3451</v>
      </c>
      <c r="D9" s="151" t="s">
        <v>397</v>
      </c>
      <c r="E9" s="151" t="s">
        <v>3452</v>
      </c>
      <c r="F9" s="151" t="s">
        <v>2260</v>
      </c>
      <c r="G9" s="151" t="s">
        <v>1367</v>
      </c>
      <c r="H9" s="131" t="s">
        <v>30</v>
      </c>
      <c r="I9" s="334">
        <v>7</v>
      </c>
      <c r="J9" s="335">
        <v>995</v>
      </c>
      <c r="K9" s="54">
        <f t="shared" si="0"/>
        <v>6965</v>
      </c>
      <c r="L9" s="55" t="b">
        <v>1</v>
      </c>
      <c r="M9" s="56">
        <v>20820251024</v>
      </c>
      <c r="N9" s="57" t="b">
        <v>1</v>
      </c>
      <c r="O9" s="58"/>
      <c r="P9" s="215"/>
      <c r="Q9" s="191" t="b">
        <v>1</v>
      </c>
      <c r="R9" s="308" t="s">
        <v>3138</v>
      </c>
      <c r="S9" s="297" t="s">
        <v>3453</v>
      </c>
      <c r="T9" s="57" t="b">
        <v>1</v>
      </c>
      <c r="U9" s="310" t="s">
        <v>3454</v>
      </c>
      <c r="V9" s="307"/>
      <c r="W9" s="54"/>
    </row>
    <row r="10" spans="1:23" ht="16.5" customHeight="1">
      <c r="A10" s="18"/>
      <c r="B10" s="71" t="s">
        <v>3450</v>
      </c>
      <c r="C10" s="151" t="s">
        <v>3451</v>
      </c>
      <c r="D10" s="151" t="s">
        <v>397</v>
      </c>
      <c r="E10" s="151" t="s">
        <v>3452</v>
      </c>
      <c r="F10" s="151" t="s">
        <v>2260</v>
      </c>
      <c r="G10" s="151" t="s">
        <v>1367</v>
      </c>
      <c r="H10" s="131" t="s">
        <v>30</v>
      </c>
      <c r="I10" s="334">
        <v>7</v>
      </c>
      <c r="J10" s="335">
        <v>995</v>
      </c>
      <c r="K10" s="54">
        <f t="shared" si="0"/>
        <v>6965</v>
      </c>
      <c r="L10" s="55" t="b">
        <v>1</v>
      </c>
      <c r="M10" s="56">
        <v>20820251024</v>
      </c>
      <c r="N10" s="57" t="b">
        <v>1</v>
      </c>
      <c r="O10" s="58"/>
      <c r="P10" s="215"/>
      <c r="Q10" s="191" t="b">
        <v>1</v>
      </c>
      <c r="R10" s="308" t="s">
        <v>3138</v>
      </c>
      <c r="S10" s="297" t="s">
        <v>3455</v>
      </c>
      <c r="T10" s="57" t="b">
        <v>1</v>
      </c>
      <c r="U10" s="310" t="s">
        <v>3456</v>
      </c>
      <c r="V10" s="307"/>
      <c r="W10" s="54"/>
    </row>
    <row r="11" spans="1:23" ht="16.5" customHeight="1">
      <c r="A11" s="18"/>
      <c r="B11" s="71" t="s">
        <v>3457</v>
      </c>
      <c r="C11" s="151" t="s">
        <v>3458</v>
      </c>
      <c r="D11" s="151" t="s">
        <v>51</v>
      </c>
      <c r="E11" s="151" t="s">
        <v>201</v>
      </c>
      <c r="F11" s="151" t="s">
        <v>202</v>
      </c>
      <c r="G11" s="151" t="s">
        <v>3459</v>
      </c>
      <c r="H11" s="131" t="s">
        <v>30</v>
      </c>
      <c r="I11" s="151">
        <v>10</v>
      </c>
      <c r="J11" s="335">
        <v>775</v>
      </c>
      <c r="K11" s="54">
        <f t="shared" si="0"/>
        <v>7750</v>
      </c>
      <c r="L11" s="55" t="b">
        <v>1</v>
      </c>
      <c r="M11" s="56" t="s">
        <v>529</v>
      </c>
      <c r="N11" s="57" t="b">
        <v>1</v>
      </c>
      <c r="O11" s="58"/>
      <c r="P11" s="215"/>
      <c r="Q11" s="191" t="b">
        <v>1</v>
      </c>
      <c r="R11" s="308" t="s">
        <v>3138</v>
      </c>
      <c r="S11" s="297"/>
      <c r="T11" s="57" t="b">
        <v>1</v>
      </c>
      <c r="U11" s="310" t="s">
        <v>3460</v>
      </c>
      <c r="V11" s="307"/>
      <c r="W11" s="54"/>
    </row>
    <row r="12" spans="1:23" ht="16">
      <c r="A12" s="162"/>
      <c r="B12" s="71" t="s">
        <v>3457</v>
      </c>
      <c r="C12" s="151" t="s">
        <v>3458</v>
      </c>
      <c r="D12" s="151" t="s">
        <v>51</v>
      </c>
      <c r="E12" s="151" t="s">
        <v>201</v>
      </c>
      <c r="F12" s="151" t="s">
        <v>202</v>
      </c>
      <c r="G12" s="151" t="s">
        <v>512</v>
      </c>
      <c r="H12" s="131" t="s">
        <v>30</v>
      </c>
      <c r="I12" s="151">
        <v>4</v>
      </c>
      <c r="J12" s="335">
        <v>725</v>
      </c>
      <c r="K12" s="54">
        <f t="shared" si="0"/>
        <v>2900</v>
      </c>
      <c r="L12" s="55" t="b">
        <v>1</v>
      </c>
      <c r="M12" s="56" t="s">
        <v>529</v>
      </c>
      <c r="N12" s="57" t="b">
        <v>1</v>
      </c>
      <c r="O12" s="58"/>
      <c r="P12" s="215"/>
      <c r="Q12" s="191" t="b">
        <v>1</v>
      </c>
      <c r="R12" s="308" t="s">
        <v>3138</v>
      </c>
      <c r="S12" s="297" t="s">
        <v>3461</v>
      </c>
      <c r="T12" s="57" t="b">
        <v>1</v>
      </c>
      <c r="U12" s="310" t="s">
        <v>3462</v>
      </c>
      <c r="V12" s="307"/>
      <c r="W12" s="54"/>
    </row>
    <row r="13" spans="1:23" ht="16">
      <c r="A13" s="162"/>
      <c r="B13" s="71" t="s">
        <v>3457</v>
      </c>
      <c r="C13" s="151" t="s">
        <v>3458</v>
      </c>
      <c r="D13" s="151" t="s">
        <v>51</v>
      </c>
      <c r="E13" s="151" t="s">
        <v>201</v>
      </c>
      <c r="F13" s="151" t="s">
        <v>202</v>
      </c>
      <c r="G13" s="151" t="s">
        <v>236</v>
      </c>
      <c r="H13" s="131" t="s">
        <v>30</v>
      </c>
      <c r="I13" s="151">
        <v>12</v>
      </c>
      <c r="J13" s="335">
        <v>225</v>
      </c>
      <c r="K13" s="54">
        <f t="shared" si="0"/>
        <v>2700</v>
      </c>
      <c r="L13" s="55" t="b">
        <v>1</v>
      </c>
      <c r="M13" s="56" t="s">
        <v>529</v>
      </c>
      <c r="N13" s="57" t="b">
        <v>1</v>
      </c>
      <c r="O13" s="58"/>
      <c r="P13" s="215"/>
      <c r="Q13" s="191" t="b">
        <v>1</v>
      </c>
      <c r="R13" s="308" t="s">
        <v>3138</v>
      </c>
      <c r="S13" s="297" t="s">
        <v>3461</v>
      </c>
      <c r="T13" s="57" t="b">
        <v>1</v>
      </c>
      <c r="U13" s="310" t="s">
        <v>3462</v>
      </c>
      <c r="V13" s="307"/>
      <c r="W13" s="54"/>
    </row>
    <row r="14" spans="1:23" ht="16">
      <c r="A14" s="162"/>
      <c r="B14" s="71" t="s">
        <v>3463</v>
      </c>
      <c r="C14" s="151" t="s">
        <v>3445</v>
      </c>
      <c r="D14" s="151" t="s">
        <v>262</v>
      </c>
      <c r="E14" s="151" t="s">
        <v>3446</v>
      </c>
      <c r="F14" s="151" t="s">
        <v>3447</v>
      </c>
      <c r="G14" s="151" t="s">
        <v>3464</v>
      </c>
      <c r="H14" s="131" t="s">
        <v>30</v>
      </c>
      <c r="I14" s="151">
        <v>12</v>
      </c>
      <c r="J14" s="335">
        <v>750</v>
      </c>
      <c r="K14" s="336">
        <f t="shared" si="0"/>
        <v>9000</v>
      </c>
      <c r="L14" s="55" t="b">
        <v>1</v>
      </c>
      <c r="M14" s="56">
        <v>40820250926</v>
      </c>
      <c r="N14" s="57" t="b">
        <v>1</v>
      </c>
      <c r="O14" s="58"/>
      <c r="P14" s="215"/>
      <c r="Q14" s="191" t="b">
        <v>1</v>
      </c>
      <c r="R14" s="308" t="s">
        <v>3138</v>
      </c>
      <c r="S14" s="297" t="s">
        <v>3465</v>
      </c>
      <c r="T14" s="57" t="b">
        <v>1</v>
      </c>
      <c r="U14" s="310" t="s">
        <v>3466</v>
      </c>
      <c r="V14" s="307"/>
      <c r="W14" s="54"/>
    </row>
    <row r="15" spans="1:23" ht="16">
      <c r="A15" s="162"/>
      <c r="B15" s="71" t="s">
        <v>3463</v>
      </c>
      <c r="C15" s="151" t="s">
        <v>3445</v>
      </c>
      <c r="D15" s="151" t="s">
        <v>262</v>
      </c>
      <c r="E15" s="151" t="s">
        <v>3446</v>
      </c>
      <c r="F15" s="151" t="s">
        <v>3447</v>
      </c>
      <c r="G15" s="151" t="s">
        <v>3467</v>
      </c>
      <c r="H15" s="131" t="s">
        <v>30</v>
      </c>
      <c r="I15" s="151">
        <v>4</v>
      </c>
      <c r="J15" s="335">
        <v>600</v>
      </c>
      <c r="K15" s="336">
        <f t="shared" si="0"/>
        <v>2400</v>
      </c>
      <c r="L15" s="55" t="b">
        <v>1</v>
      </c>
      <c r="M15" s="56">
        <v>40820250926</v>
      </c>
      <c r="N15" s="57" t="b">
        <v>1</v>
      </c>
      <c r="O15" s="58"/>
      <c r="P15" s="215"/>
      <c r="Q15" s="191" t="b">
        <v>1</v>
      </c>
      <c r="R15" s="308" t="s">
        <v>3138</v>
      </c>
      <c r="S15" s="297" t="s">
        <v>3465</v>
      </c>
      <c r="T15" s="57" t="b">
        <v>1</v>
      </c>
      <c r="U15" s="310" t="s">
        <v>3466</v>
      </c>
      <c r="V15" s="307"/>
      <c r="W15" s="54"/>
    </row>
    <row r="16" spans="1:23" ht="14.25" customHeight="1">
      <c r="A16" s="162"/>
      <c r="B16" s="71" t="s">
        <v>3463</v>
      </c>
      <c r="C16" s="151" t="s">
        <v>3445</v>
      </c>
      <c r="D16" s="151" t="s">
        <v>262</v>
      </c>
      <c r="E16" s="151" t="s">
        <v>3446</v>
      </c>
      <c r="F16" s="151" t="s">
        <v>3447</v>
      </c>
      <c r="G16" s="151" t="s">
        <v>3468</v>
      </c>
      <c r="H16" s="131" t="s">
        <v>30</v>
      </c>
      <c r="I16" s="151">
        <v>8</v>
      </c>
      <c r="J16" s="335">
        <v>250</v>
      </c>
      <c r="K16" s="336">
        <f t="shared" si="0"/>
        <v>2000</v>
      </c>
      <c r="L16" s="55" t="b">
        <v>1</v>
      </c>
      <c r="M16" s="56">
        <v>40820250926</v>
      </c>
      <c r="N16" s="57" t="b">
        <v>1</v>
      </c>
      <c r="O16" s="58"/>
      <c r="P16" s="215"/>
      <c r="Q16" s="191" t="b">
        <v>1</v>
      </c>
      <c r="R16" s="308" t="s">
        <v>3138</v>
      </c>
      <c r="S16" s="297" t="s">
        <v>3465</v>
      </c>
      <c r="T16" s="57" t="b">
        <v>1</v>
      </c>
      <c r="U16" s="310" t="s">
        <v>3466</v>
      </c>
      <c r="V16" s="307"/>
      <c r="W16" s="54"/>
    </row>
    <row r="17" spans="1:23" ht="16">
      <c r="A17" s="162"/>
      <c r="B17" s="71" t="s">
        <v>3463</v>
      </c>
      <c r="C17" s="151" t="s">
        <v>3445</v>
      </c>
      <c r="D17" s="151" t="s">
        <v>262</v>
      </c>
      <c r="E17" s="151" t="s">
        <v>3446</v>
      </c>
      <c r="F17" s="151" t="s">
        <v>3447</v>
      </c>
      <c r="G17" s="151" t="s">
        <v>3469</v>
      </c>
      <c r="H17" s="131" t="s">
        <v>30</v>
      </c>
      <c r="I17" s="151">
        <v>2</v>
      </c>
      <c r="J17" s="335">
        <v>600</v>
      </c>
      <c r="K17" s="336">
        <f t="shared" si="0"/>
        <v>1200</v>
      </c>
      <c r="L17" s="55" t="b">
        <v>1</v>
      </c>
      <c r="M17" s="56">
        <v>40820250926</v>
      </c>
      <c r="N17" s="57" t="b">
        <v>1</v>
      </c>
      <c r="O17" s="58"/>
      <c r="P17" s="215"/>
      <c r="Q17" s="191" t="b">
        <v>1</v>
      </c>
      <c r="R17" s="308" t="s">
        <v>3138</v>
      </c>
      <c r="S17" s="297" t="s">
        <v>3465</v>
      </c>
      <c r="T17" s="57" t="b">
        <v>1</v>
      </c>
      <c r="U17" s="310" t="s">
        <v>3466</v>
      </c>
      <c r="V17" s="307"/>
      <c r="W17" s="54"/>
    </row>
    <row r="18" spans="1:23" ht="16">
      <c r="A18" s="162"/>
      <c r="B18" s="71" t="s">
        <v>3463</v>
      </c>
      <c r="C18" s="151" t="s">
        <v>3445</v>
      </c>
      <c r="D18" s="151" t="s">
        <v>262</v>
      </c>
      <c r="E18" s="151" t="s">
        <v>3446</v>
      </c>
      <c r="F18" s="151" t="s">
        <v>3447</v>
      </c>
      <c r="G18" s="151" t="s">
        <v>3470</v>
      </c>
      <c r="H18" s="131" t="s">
        <v>30</v>
      </c>
      <c r="I18" s="151">
        <v>3</v>
      </c>
      <c r="J18" s="335">
        <v>500</v>
      </c>
      <c r="K18" s="336">
        <f t="shared" si="0"/>
        <v>1500</v>
      </c>
      <c r="L18" s="55" t="b">
        <v>1</v>
      </c>
      <c r="M18" s="56">
        <v>40820250926</v>
      </c>
      <c r="N18" s="57" t="b">
        <v>1</v>
      </c>
      <c r="O18" s="58"/>
      <c r="P18" s="215"/>
      <c r="Q18" s="191" t="b">
        <v>1</v>
      </c>
      <c r="R18" s="308" t="s">
        <v>3138</v>
      </c>
      <c r="S18" s="297" t="s">
        <v>3465</v>
      </c>
      <c r="T18" s="57" t="b">
        <v>1</v>
      </c>
      <c r="U18" s="310" t="s">
        <v>3466</v>
      </c>
      <c r="V18" s="307"/>
      <c r="W18" s="54"/>
    </row>
    <row r="19" spans="1:23" ht="16">
      <c r="A19" s="162"/>
      <c r="B19" s="71" t="s">
        <v>3463</v>
      </c>
      <c r="C19" s="151" t="s">
        <v>3445</v>
      </c>
      <c r="D19" s="151" t="s">
        <v>262</v>
      </c>
      <c r="E19" s="151" t="s">
        <v>3446</v>
      </c>
      <c r="F19" s="151" t="s">
        <v>3447</v>
      </c>
      <c r="G19" s="151" t="s">
        <v>3471</v>
      </c>
      <c r="H19" s="131" t="s">
        <v>30</v>
      </c>
      <c r="I19" s="151">
        <v>3</v>
      </c>
      <c r="J19" s="335">
        <v>500</v>
      </c>
      <c r="K19" s="336">
        <f t="shared" si="0"/>
        <v>1500</v>
      </c>
      <c r="L19" s="55" t="b">
        <v>1</v>
      </c>
      <c r="M19" s="56">
        <v>40820250926</v>
      </c>
      <c r="N19" s="57" t="b">
        <v>1</v>
      </c>
      <c r="O19" s="58"/>
      <c r="P19" s="215"/>
      <c r="Q19" s="191" t="b">
        <v>1</v>
      </c>
      <c r="R19" s="308" t="s">
        <v>3138</v>
      </c>
      <c r="S19" s="297" t="s">
        <v>3465</v>
      </c>
      <c r="T19" s="57" t="b">
        <v>1</v>
      </c>
      <c r="U19" s="310" t="s">
        <v>3466</v>
      </c>
      <c r="V19" s="307"/>
      <c r="W19" s="54"/>
    </row>
    <row r="20" spans="1:23" ht="16">
      <c r="A20" s="162"/>
      <c r="B20" s="71" t="s">
        <v>3463</v>
      </c>
      <c r="C20" s="151" t="s">
        <v>3472</v>
      </c>
      <c r="D20" s="151" t="s">
        <v>418</v>
      </c>
      <c r="E20" s="151" t="s">
        <v>84</v>
      </c>
      <c r="F20" s="151" t="s">
        <v>3473</v>
      </c>
      <c r="G20" s="53" t="s">
        <v>3448</v>
      </c>
      <c r="H20" s="131" t="s">
        <v>30</v>
      </c>
      <c r="I20" s="151">
        <v>10</v>
      </c>
      <c r="J20" s="335">
        <v>650</v>
      </c>
      <c r="K20" s="54">
        <f t="shared" si="0"/>
        <v>6500</v>
      </c>
      <c r="L20" s="55" t="b">
        <v>1</v>
      </c>
      <c r="M20" s="56">
        <v>40820250928</v>
      </c>
      <c r="N20" s="57" t="b">
        <v>1</v>
      </c>
      <c r="O20" s="58" t="s">
        <v>39</v>
      </c>
      <c r="P20" s="215" t="s">
        <v>3463</v>
      </c>
      <c r="Q20" s="191" t="b">
        <v>1</v>
      </c>
      <c r="R20" s="308" t="s">
        <v>3138</v>
      </c>
      <c r="S20" s="297"/>
      <c r="T20" s="57" t="b">
        <v>1</v>
      </c>
      <c r="U20" s="310" t="s">
        <v>3474</v>
      </c>
      <c r="V20" s="307"/>
      <c r="W20" s="54"/>
    </row>
    <row r="21" spans="1:23" ht="16">
      <c r="A21" s="162"/>
      <c r="B21" s="71" t="s">
        <v>3475</v>
      </c>
      <c r="C21" s="151" t="s">
        <v>3476</v>
      </c>
      <c r="D21" s="151" t="s">
        <v>1886</v>
      </c>
      <c r="E21" s="151" t="s">
        <v>434</v>
      </c>
      <c r="F21" s="151" t="s">
        <v>1754</v>
      </c>
      <c r="G21" s="151" t="s">
        <v>3477</v>
      </c>
      <c r="H21" s="131" t="s">
        <v>30</v>
      </c>
      <c r="I21" s="151">
        <v>1</v>
      </c>
      <c r="J21" s="335">
        <v>2100</v>
      </c>
      <c r="K21" s="54">
        <f t="shared" si="0"/>
        <v>2100</v>
      </c>
      <c r="L21" s="55" t="b">
        <v>1</v>
      </c>
      <c r="M21" s="56">
        <v>50820250915</v>
      </c>
      <c r="N21" s="57" t="b">
        <v>1</v>
      </c>
      <c r="O21" s="58"/>
      <c r="P21" s="215" t="s">
        <v>3478</v>
      </c>
      <c r="Q21" s="191" t="b">
        <v>1</v>
      </c>
      <c r="R21" s="308" t="s">
        <v>3138</v>
      </c>
      <c r="S21" s="297"/>
      <c r="T21" s="57" t="b">
        <v>1</v>
      </c>
      <c r="U21" s="310" t="s">
        <v>3479</v>
      </c>
      <c r="V21" s="307"/>
      <c r="W21" s="54"/>
    </row>
    <row r="22" spans="1:23" ht="16">
      <c r="A22" s="162"/>
      <c r="B22" s="71" t="s">
        <v>3475</v>
      </c>
      <c r="C22" s="53" t="s">
        <v>3480</v>
      </c>
      <c r="D22" s="53" t="s">
        <v>418</v>
      </c>
      <c r="E22" s="53" t="s">
        <v>565</v>
      </c>
      <c r="F22" s="53" t="s">
        <v>3481</v>
      </c>
      <c r="G22" s="53" t="s">
        <v>3448</v>
      </c>
      <c r="H22" s="131" t="s">
        <v>30</v>
      </c>
      <c r="I22" s="151">
        <v>10</v>
      </c>
      <c r="J22" s="335">
        <v>650</v>
      </c>
      <c r="K22" s="54">
        <f t="shared" si="0"/>
        <v>6500</v>
      </c>
      <c r="L22" s="55" t="b">
        <v>1</v>
      </c>
      <c r="M22" s="56">
        <v>50820250924</v>
      </c>
      <c r="N22" s="57" t="b">
        <v>1</v>
      </c>
      <c r="O22" s="58" t="s">
        <v>39</v>
      </c>
      <c r="P22" s="226">
        <v>45874</v>
      </c>
      <c r="Q22" s="191" t="b">
        <v>1</v>
      </c>
      <c r="R22" s="308" t="s">
        <v>3138</v>
      </c>
      <c r="S22" s="297"/>
      <c r="T22" s="57" t="b">
        <v>1</v>
      </c>
      <c r="U22" s="310" t="s">
        <v>3482</v>
      </c>
      <c r="V22" s="307"/>
      <c r="W22" s="54"/>
    </row>
    <row r="23" spans="1:23" ht="16">
      <c r="A23" s="162"/>
      <c r="B23" s="71" t="s">
        <v>3475</v>
      </c>
      <c r="C23" s="151" t="s">
        <v>3483</v>
      </c>
      <c r="D23" s="151" t="s">
        <v>26</v>
      </c>
      <c r="E23" s="151" t="s">
        <v>1976</v>
      </c>
      <c r="F23" s="151" t="s">
        <v>1977</v>
      </c>
      <c r="G23" s="151" t="s">
        <v>663</v>
      </c>
      <c r="H23" s="131" t="s">
        <v>30</v>
      </c>
      <c r="I23" s="151">
        <v>5</v>
      </c>
      <c r="J23" s="335">
        <v>875</v>
      </c>
      <c r="K23" s="54">
        <f t="shared" si="0"/>
        <v>4375</v>
      </c>
      <c r="L23" s="55" t="b">
        <v>1</v>
      </c>
      <c r="M23" s="56">
        <v>50820250949</v>
      </c>
      <c r="N23" s="57" t="b">
        <v>1</v>
      </c>
      <c r="O23" s="58"/>
      <c r="P23" s="215"/>
      <c r="Q23" s="191" t="b">
        <v>1</v>
      </c>
      <c r="R23" s="308" t="s">
        <v>3138</v>
      </c>
      <c r="S23" s="297" t="s">
        <v>3484</v>
      </c>
      <c r="T23" s="57" t="b">
        <v>1</v>
      </c>
      <c r="U23" s="310" t="s">
        <v>3485</v>
      </c>
      <c r="V23" s="307"/>
      <c r="W23" s="54"/>
    </row>
    <row r="24" spans="1:23" ht="16">
      <c r="A24" s="162"/>
      <c r="B24" s="71" t="s">
        <v>3486</v>
      </c>
      <c r="C24" s="151" t="s">
        <v>3487</v>
      </c>
      <c r="D24" s="151" t="s">
        <v>51</v>
      </c>
      <c r="E24" s="151" t="s">
        <v>89</v>
      </c>
      <c r="F24" s="151" t="s">
        <v>3488</v>
      </c>
      <c r="G24" s="151" t="s">
        <v>3489</v>
      </c>
      <c r="H24" s="131" t="s">
        <v>30</v>
      </c>
      <c r="I24" s="151">
        <v>20</v>
      </c>
      <c r="J24" s="335">
        <v>180</v>
      </c>
      <c r="K24" s="54">
        <f t="shared" si="0"/>
        <v>3600</v>
      </c>
      <c r="L24" s="55" t="b">
        <v>1</v>
      </c>
      <c r="M24" s="56">
        <v>60820251358</v>
      </c>
      <c r="N24" s="57" t="b">
        <v>1</v>
      </c>
      <c r="O24" s="58"/>
      <c r="P24" s="215"/>
      <c r="Q24" s="191" t="b">
        <v>1</v>
      </c>
      <c r="R24" s="308" t="s">
        <v>3138</v>
      </c>
      <c r="S24" s="297"/>
      <c r="T24" s="57" t="b">
        <v>1</v>
      </c>
      <c r="U24" s="310" t="s">
        <v>3490</v>
      </c>
      <c r="V24" s="307"/>
      <c r="W24" s="54"/>
    </row>
    <row r="25" spans="1:23" ht="16">
      <c r="A25" s="162"/>
      <c r="B25" s="71" t="s">
        <v>3486</v>
      </c>
      <c r="C25" s="151" t="s">
        <v>3483</v>
      </c>
      <c r="D25" s="151" t="s">
        <v>26</v>
      </c>
      <c r="E25" s="151" t="s">
        <v>1976</v>
      </c>
      <c r="F25" s="151" t="s">
        <v>1977</v>
      </c>
      <c r="G25" s="151" t="s">
        <v>3491</v>
      </c>
      <c r="H25" s="131" t="s">
        <v>30</v>
      </c>
      <c r="I25" s="151">
        <v>1</v>
      </c>
      <c r="J25" s="335">
        <v>2350</v>
      </c>
      <c r="K25" s="54">
        <f t="shared" si="0"/>
        <v>2350</v>
      </c>
      <c r="L25" s="55" t="b">
        <v>1</v>
      </c>
      <c r="M25" s="56">
        <v>60820251702</v>
      </c>
      <c r="N25" s="57" t="b">
        <v>1</v>
      </c>
      <c r="O25" s="58"/>
      <c r="P25" s="215"/>
      <c r="Q25" s="191" t="b">
        <v>1</v>
      </c>
      <c r="R25" s="308" t="s">
        <v>3138</v>
      </c>
      <c r="S25" s="297" t="s">
        <v>3492</v>
      </c>
      <c r="T25" s="57" t="b">
        <v>1</v>
      </c>
      <c r="U25" s="310" t="s">
        <v>3493</v>
      </c>
      <c r="V25" s="307"/>
      <c r="W25" s="54"/>
    </row>
    <row r="26" spans="1:23" ht="16">
      <c r="A26" s="162"/>
      <c r="B26" s="71" t="s">
        <v>3486</v>
      </c>
      <c r="C26" s="151" t="s">
        <v>3483</v>
      </c>
      <c r="D26" s="151" t="s">
        <v>26</v>
      </c>
      <c r="E26" s="151" t="s">
        <v>1976</v>
      </c>
      <c r="F26" s="151" t="s">
        <v>1977</v>
      </c>
      <c r="G26" s="151" t="s">
        <v>2957</v>
      </c>
      <c r="H26" s="131" t="s">
        <v>30</v>
      </c>
      <c r="I26" s="151">
        <v>1</v>
      </c>
      <c r="J26" s="335">
        <v>1750</v>
      </c>
      <c r="K26" s="54">
        <f t="shared" si="0"/>
        <v>1750</v>
      </c>
      <c r="L26" s="55" t="b">
        <v>1</v>
      </c>
      <c r="M26" s="56">
        <v>60820251702</v>
      </c>
      <c r="N26" s="57" t="b">
        <v>1</v>
      </c>
      <c r="O26" s="58"/>
      <c r="P26" s="215"/>
      <c r="Q26" s="191" t="b">
        <v>1</v>
      </c>
      <c r="R26" s="308" t="s">
        <v>3138</v>
      </c>
      <c r="S26" s="297" t="s">
        <v>3492</v>
      </c>
      <c r="T26" s="57" t="b">
        <v>1</v>
      </c>
      <c r="U26" s="310" t="s">
        <v>3493</v>
      </c>
      <c r="V26" s="307"/>
      <c r="W26" s="54"/>
    </row>
    <row r="27" spans="1:23" ht="16">
      <c r="A27" s="162"/>
      <c r="B27" s="71" t="s">
        <v>3486</v>
      </c>
      <c r="C27" s="151" t="s">
        <v>3483</v>
      </c>
      <c r="D27" s="151" t="s">
        <v>26</v>
      </c>
      <c r="E27" s="151" t="s">
        <v>1976</v>
      </c>
      <c r="F27" s="151" t="s">
        <v>1977</v>
      </c>
      <c r="G27" s="151" t="s">
        <v>58</v>
      </c>
      <c r="H27" s="131" t="s">
        <v>30</v>
      </c>
      <c r="I27" s="151">
        <v>84</v>
      </c>
      <c r="J27" s="335">
        <v>42.5</v>
      </c>
      <c r="K27" s="54">
        <f t="shared" si="0"/>
        <v>3570</v>
      </c>
      <c r="L27" s="55" t="b">
        <v>1</v>
      </c>
      <c r="M27" s="56">
        <v>60820251702</v>
      </c>
      <c r="N27" s="57" t="b">
        <v>1</v>
      </c>
      <c r="O27" s="58"/>
      <c r="P27" s="215"/>
      <c r="Q27" s="191" t="b">
        <v>1</v>
      </c>
      <c r="R27" s="308" t="s">
        <v>3138</v>
      </c>
      <c r="S27" s="297" t="s">
        <v>3492</v>
      </c>
      <c r="T27" s="57" t="b">
        <v>1</v>
      </c>
      <c r="U27" s="310" t="s">
        <v>3493</v>
      </c>
      <c r="V27" s="307"/>
      <c r="W27" s="54"/>
    </row>
    <row r="28" spans="1:23" ht="16">
      <c r="A28" s="162"/>
      <c r="B28" s="132" t="s">
        <v>3494</v>
      </c>
      <c r="C28" s="53" t="s">
        <v>3495</v>
      </c>
      <c r="D28" s="53" t="s">
        <v>104</v>
      </c>
      <c r="E28" s="53" t="s">
        <v>158</v>
      </c>
      <c r="F28" s="53" t="s">
        <v>3496</v>
      </c>
      <c r="G28" s="151" t="s">
        <v>3497</v>
      </c>
      <c r="H28" s="131" t="s">
        <v>30</v>
      </c>
      <c r="I28" s="151">
        <v>20</v>
      </c>
      <c r="J28" s="335">
        <v>150</v>
      </c>
      <c r="K28" s="54">
        <f t="shared" si="0"/>
        <v>3000</v>
      </c>
      <c r="L28" s="55" t="b">
        <v>1</v>
      </c>
      <c r="M28" s="56">
        <v>60820252122</v>
      </c>
      <c r="N28" s="57" t="b">
        <v>1</v>
      </c>
      <c r="O28" s="58"/>
      <c r="P28" s="215"/>
      <c r="Q28" s="191" t="b">
        <v>1</v>
      </c>
      <c r="R28" s="308" t="s">
        <v>3138</v>
      </c>
      <c r="S28" s="297" t="s">
        <v>3498</v>
      </c>
      <c r="T28" s="57" t="b">
        <v>1</v>
      </c>
      <c r="U28" s="310" t="s">
        <v>3499</v>
      </c>
      <c r="V28" s="307"/>
      <c r="W28" s="54"/>
    </row>
    <row r="29" spans="1:23" ht="16">
      <c r="A29" s="162"/>
      <c r="B29" s="132" t="s">
        <v>3494</v>
      </c>
      <c r="C29" s="53" t="s">
        <v>3495</v>
      </c>
      <c r="D29" s="53" t="s">
        <v>104</v>
      </c>
      <c r="E29" s="53" t="s">
        <v>158</v>
      </c>
      <c r="F29" s="53" t="s">
        <v>3496</v>
      </c>
      <c r="G29" s="151" t="s">
        <v>304</v>
      </c>
      <c r="H29" s="131" t="s">
        <v>30</v>
      </c>
      <c r="I29" s="151">
        <v>72</v>
      </c>
      <c r="J29" s="335">
        <v>60</v>
      </c>
      <c r="K29" s="54">
        <f t="shared" si="0"/>
        <v>4320</v>
      </c>
      <c r="L29" s="55" t="b">
        <v>1</v>
      </c>
      <c r="M29" s="56">
        <v>60820251805</v>
      </c>
      <c r="N29" s="57" t="b">
        <v>1</v>
      </c>
      <c r="O29" s="58"/>
      <c r="P29" s="215"/>
      <c r="Q29" s="191" t="b">
        <v>1</v>
      </c>
      <c r="R29" s="308" t="s">
        <v>3138</v>
      </c>
      <c r="S29" s="297" t="s">
        <v>3498</v>
      </c>
      <c r="T29" s="57" t="b">
        <v>1</v>
      </c>
      <c r="U29" s="310" t="s">
        <v>3499</v>
      </c>
      <c r="V29" s="307"/>
      <c r="W29" s="54"/>
    </row>
    <row r="30" spans="1:23" ht="16">
      <c r="A30" s="162"/>
      <c r="B30" s="132" t="s">
        <v>3494</v>
      </c>
      <c r="C30" s="53" t="s">
        <v>3495</v>
      </c>
      <c r="D30" s="53" t="s">
        <v>104</v>
      </c>
      <c r="E30" s="53" t="s">
        <v>158</v>
      </c>
      <c r="F30" s="53" t="s">
        <v>3496</v>
      </c>
      <c r="G30" s="151" t="s">
        <v>1700</v>
      </c>
      <c r="H30" s="131" t="s">
        <v>30</v>
      </c>
      <c r="I30" s="151">
        <v>100</v>
      </c>
      <c r="J30" s="335">
        <v>16</v>
      </c>
      <c r="K30" s="54">
        <f t="shared" si="0"/>
        <v>1600</v>
      </c>
      <c r="L30" s="55" t="b">
        <v>1</v>
      </c>
      <c r="M30" s="56">
        <v>60820251805</v>
      </c>
      <c r="N30" s="57" t="b">
        <v>1</v>
      </c>
      <c r="O30" s="58"/>
      <c r="P30" s="215"/>
      <c r="Q30" s="191" t="b">
        <v>1</v>
      </c>
      <c r="R30" s="308" t="s">
        <v>3138</v>
      </c>
      <c r="S30" s="297" t="s">
        <v>3498</v>
      </c>
      <c r="T30" s="57" t="b">
        <v>1</v>
      </c>
      <c r="U30" s="310" t="s">
        <v>3499</v>
      </c>
      <c r="V30" s="307"/>
      <c r="W30" s="54"/>
    </row>
    <row r="31" spans="1:23" ht="16">
      <c r="A31" s="162"/>
      <c r="B31" s="132" t="s">
        <v>3494</v>
      </c>
      <c r="C31" s="53" t="s">
        <v>3495</v>
      </c>
      <c r="D31" s="53" t="s">
        <v>104</v>
      </c>
      <c r="E31" s="53" t="s">
        <v>158</v>
      </c>
      <c r="F31" s="53" t="s">
        <v>3496</v>
      </c>
      <c r="G31" s="151" t="s">
        <v>3500</v>
      </c>
      <c r="H31" s="131" t="s">
        <v>30</v>
      </c>
      <c r="I31" s="151">
        <v>50</v>
      </c>
      <c r="J31" s="335">
        <v>130</v>
      </c>
      <c r="K31" s="54">
        <f t="shared" si="0"/>
        <v>6500</v>
      </c>
      <c r="L31" s="55" t="b">
        <v>1</v>
      </c>
      <c r="M31" s="56">
        <v>60820251805</v>
      </c>
      <c r="N31" s="57" t="b">
        <v>1</v>
      </c>
      <c r="O31" s="58"/>
      <c r="P31" s="215"/>
      <c r="Q31" s="191" t="b">
        <v>1</v>
      </c>
      <c r="R31" s="308" t="s">
        <v>3138</v>
      </c>
      <c r="S31" s="297" t="s">
        <v>3498</v>
      </c>
      <c r="T31" s="57" t="b">
        <v>1</v>
      </c>
      <c r="U31" s="310" t="s">
        <v>3499</v>
      </c>
      <c r="V31" s="307"/>
      <c r="W31" s="54"/>
    </row>
    <row r="32" spans="1:23" ht="16">
      <c r="A32" s="162"/>
      <c r="B32" s="132" t="s">
        <v>3501</v>
      </c>
      <c r="C32" s="53" t="s">
        <v>3487</v>
      </c>
      <c r="D32" s="53" t="s">
        <v>51</v>
      </c>
      <c r="E32" s="53" t="s">
        <v>89</v>
      </c>
      <c r="F32" s="53" t="s">
        <v>2090</v>
      </c>
      <c r="G32" s="151" t="s">
        <v>304</v>
      </c>
      <c r="H32" s="131" t="s">
        <v>30</v>
      </c>
      <c r="I32" s="151">
        <v>24</v>
      </c>
      <c r="J32" s="335">
        <v>60</v>
      </c>
      <c r="K32" s="54">
        <f t="shared" si="0"/>
        <v>1440</v>
      </c>
      <c r="L32" s="55" t="b">
        <v>1</v>
      </c>
      <c r="M32" s="56">
        <v>60820252124</v>
      </c>
      <c r="N32" s="57" t="b">
        <v>1</v>
      </c>
      <c r="O32" s="58"/>
      <c r="P32" s="215"/>
      <c r="Q32" s="191" t="b">
        <v>1</v>
      </c>
      <c r="R32" s="308" t="s">
        <v>3138</v>
      </c>
      <c r="S32" s="297" t="s">
        <v>3502</v>
      </c>
      <c r="T32" s="57" t="b">
        <v>1</v>
      </c>
      <c r="U32" s="310" t="s">
        <v>3503</v>
      </c>
      <c r="V32" s="307"/>
      <c r="W32" s="54"/>
    </row>
    <row r="33" spans="1:23" ht="13.5" customHeight="1">
      <c r="A33" s="162"/>
      <c r="B33" s="132" t="s">
        <v>3501</v>
      </c>
      <c r="C33" s="53" t="s">
        <v>3487</v>
      </c>
      <c r="D33" s="53" t="s">
        <v>51</v>
      </c>
      <c r="E33" s="53" t="s">
        <v>89</v>
      </c>
      <c r="F33" s="53" t="s">
        <v>2090</v>
      </c>
      <c r="G33" s="151" t="s">
        <v>1700</v>
      </c>
      <c r="H33" s="131" t="s">
        <v>30</v>
      </c>
      <c r="I33" s="151">
        <v>100</v>
      </c>
      <c r="J33" s="335">
        <v>16</v>
      </c>
      <c r="K33" s="54">
        <f t="shared" si="0"/>
        <v>1600</v>
      </c>
      <c r="L33" s="55" t="b">
        <v>1</v>
      </c>
      <c r="M33" s="56">
        <v>70820251733</v>
      </c>
      <c r="N33" s="57" t="b">
        <v>1</v>
      </c>
      <c r="O33" s="58"/>
      <c r="P33" s="215"/>
      <c r="Q33" s="191" t="b">
        <v>1</v>
      </c>
      <c r="R33" s="308" t="s">
        <v>3138</v>
      </c>
      <c r="S33" s="297" t="s">
        <v>3502</v>
      </c>
      <c r="T33" s="57" t="b">
        <v>1</v>
      </c>
      <c r="U33" s="310" t="s">
        <v>3503</v>
      </c>
      <c r="V33" s="307"/>
      <c r="W33" s="54"/>
    </row>
    <row r="34" spans="1:23" ht="13.5" customHeight="1">
      <c r="A34" s="162"/>
      <c r="B34" s="132" t="s">
        <v>3501</v>
      </c>
      <c r="C34" s="53" t="s">
        <v>3487</v>
      </c>
      <c r="D34" s="53" t="s">
        <v>51</v>
      </c>
      <c r="E34" s="53" t="s">
        <v>89</v>
      </c>
      <c r="F34" s="53" t="s">
        <v>2090</v>
      </c>
      <c r="G34" s="151" t="s">
        <v>760</v>
      </c>
      <c r="H34" s="131" t="s">
        <v>30</v>
      </c>
      <c r="I34" s="151">
        <v>10</v>
      </c>
      <c r="J34" s="335">
        <v>150</v>
      </c>
      <c r="K34" s="54">
        <f t="shared" si="0"/>
        <v>1500</v>
      </c>
      <c r="L34" s="55" t="b">
        <v>1</v>
      </c>
      <c r="M34" s="56">
        <v>70820251733</v>
      </c>
      <c r="N34" s="57" t="b">
        <v>1</v>
      </c>
      <c r="O34" s="58"/>
      <c r="P34" s="215"/>
      <c r="Q34" s="191" t="b">
        <v>1</v>
      </c>
      <c r="R34" s="308" t="s">
        <v>3138</v>
      </c>
      <c r="S34" s="297" t="s">
        <v>3504</v>
      </c>
      <c r="T34" s="57" t="b">
        <v>1</v>
      </c>
      <c r="U34" s="310" t="s">
        <v>3505</v>
      </c>
      <c r="V34" s="307"/>
      <c r="W34" s="54"/>
    </row>
    <row r="35" spans="1:23" ht="13.5" customHeight="1">
      <c r="A35" s="162"/>
      <c r="B35" s="132" t="s">
        <v>3501</v>
      </c>
      <c r="C35" s="53" t="s">
        <v>3487</v>
      </c>
      <c r="D35" s="53" t="s">
        <v>51</v>
      </c>
      <c r="E35" s="53" t="s">
        <v>89</v>
      </c>
      <c r="F35" s="53" t="s">
        <v>2090</v>
      </c>
      <c r="G35" s="151" t="s">
        <v>663</v>
      </c>
      <c r="H35" s="131" t="s">
        <v>30</v>
      </c>
      <c r="I35" s="151">
        <v>10</v>
      </c>
      <c r="J35" s="335">
        <v>875</v>
      </c>
      <c r="K35" s="54">
        <f t="shared" si="0"/>
        <v>8750</v>
      </c>
      <c r="L35" s="55" t="b">
        <v>1</v>
      </c>
      <c r="M35" s="56">
        <v>70820251733</v>
      </c>
      <c r="N35" s="57" t="b">
        <v>1</v>
      </c>
      <c r="O35" s="58"/>
      <c r="P35" s="215"/>
      <c r="Q35" s="191" t="b">
        <v>1</v>
      </c>
      <c r="R35" s="308" t="s">
        <v>3138</v>
      </c>
      <c r="S35" s="297" t="s">
        <v>3504</v>
      </c>
      <c r="T35" s="57" t="b">
        <v>1</v>
      </c>
      <c r="U35" s="310" t="s">
        <v>3505</v>
      </c>
      <c r="V35" s="307"/>
      <c r="W35" s="54"/>
    </row>
    <row r="36" spans="1:23" ht="13.5" customHeight="1">
      <c r="A36" s="162"/>
      <c r="B36" s="132" t="s">
        <v>3494</v>
      </c>
      <c r="C36" s="53" t="s">
        <v>3506</v>
      </c>
      <c r="D36" s="53" t="s">
        <v>55</v>
      </c>
      <c r="E36" s="53">
        <v>41</v>
      </c>
      <c r="F36" s="53" t="s">
        <v>3507</v>
      </c>
      <c r="G36" s="151" t="s">
        <v>3508</v>
      </c>
      <c r="H36" s="131" t="s">
        <v>30</v>
      </c>
      <c r="I36" s="151">
        <v>40</v>
      </c>
      <c r="J36" s="335">
        <v>150</v>
      </c>
      <c r="K36" s="54">
        <f t="shared" si="0"/>
        <v>6000</v>
      </c>
      <c r="L36" s="55" t="b">
        <v>1</v>
      </c>
      <c r="M36" s="56">
        <v>60820252126</v>
      </c>
      <c r="N36" s="57" t="b">
        <v>1</v>
      </c>
      <c r="O36" s="58"/>
      <c r="P36" s="215"/>
      <c r="Q36" s="191" t="b">
        <v>1</v>
      </c>
      <c r="R36" s="308" t="s">
        <v>3138</v>
      </c>
      <c r="S36" s="297" t="s">
        <v>3509</v>
      </c>
      <c r="T36" s="57" t="b">
        <v>1</v>
      </c>
      <c r="U36" s="310" t="s">
        <v>3510</v>
      </c>
      <c r="V36" s="307"/>
      <c r="W36" s="54"/>
    </row>
    <row r="37" spans="1:23" ht="16">
      <c r="A37" s="162"/>
      <c r="B37" s="71" t="s">
        <v>3494</v>
      </c>
      <c r="C37" s="151" t="s">
        <v>3487</v>
      </c>
      <c r="D37" s="151" t="s">
        <v>474</v>
      </c>
      <c r="E37" s="151" t="s">
        <v>89</v>
      </c>
      <c r="F37" s="151" t="s">
        <v>2090</v>
      </c>
      <c r="G37" s="151" t="s">
        <v>3511</v>
      </c>
      <c r="H37" s="131" t="s">
        <v>30</v>
      </c>
      <c r="I37" s="151">
        <v>12</v>
      </c>
      <c r="J37" s="335">
        <v>200</v>
      </c>
      <c r="K37" s="54">
        <f t="shared" si="0"/>
        <v>2400</v>
      </c>
      <c r="L37" s="55" t="b">
        <v>1</v>
      </c>
      <c r="M37" s="56">
        <v>70820251812</v>
      </c>
      <c r="N37" s="57" t="b">
        <v>1</v>
      </c>
      <c r="O37" s="58"/>
      <c r="P37" s="215"/>
      <c r="Q37" s="191" t="b">
        <v>1</v>
      </c>
      <c r="R37" s="308" t="s">
        <v>3138</v>
      </c>
      <c r="S37" s="297" t="s">
        <v>3504</v>
      </c>
      <c r="T37" s="57" t="b">
        <v>1</v>
      </c>
      <c r="U37" s="310" t="s">
        <v>3505</v>
      </c>
      <c r="V37" s="307"/>
      <c r="W37" s="54"/>
    </row>
    <row r="38" spans="1:23" ht="16">
      <c r="A38" s="162"/>
      <c r="B38" s="71" t="s">
        <v>3494</v>
      </c>
      <c r="C38" s="151" t="s">
        <v>3451</v>
      </c>
      <c r="D38" s="151" t="s">
        <v>397</v>
      </c>
      <c r="E38" s="151" t="s">
        <v>3452</v>
      </c>
      <c r="F38" s="151" t="s">
        <v>2260</v>
      </c>
      <c r="G38" s="53" t="s">
        <v>3512</v>
      </c>
      <c r="H38" s="131" t="s">
        <v>30</v>
      </c>
      <c r="I38" s="151">
        <v>3</v>
      </c>
      <c r="J38" s="335">
        <v>2100</v>
      </c>
      <c r="K38" s="54">
        <f t="shared" si="0"/>
        <v>6300</v>
      </c>
      <c r="L38" s="55" t="b">
        <v>1</v>
      </c>
      <c r="M38" s="56">
        <v>70820251812</v>
      </c>
      <c r="N38" s="57" t="b">
        <v>1</v>
      </c>
      <c r="O38" s="58"/>
      <c r="P38" s="215"/>
      <c r="Q38" s="191" t="b">
        <v>1</v>
      </c>
      <c r="R38" s="308" t="s">
        <v>3138</v>
      </c>
      <c r="S38" s="297" t="s">
        <v>3513</v>
      </c>
      <c r="T38" s="57" t="b">
        <v>1</v>
      </c>
      <c r="U38" s="310" t="s">
        <v>3514</v>
      </c>
      <c r="V38" s="307"/>
      <c r="W38" s="54"/>
    </row>
    <row r="39" spans="1:23" ht="15.75" customHeight="1">
      <c r="A39" s="162"/>
      <c r="B39" s="132" t="s">
        <v>3494</v>
      </c>
      <c r="C39" s="151" t="s">
        <v>3451</v>
      </c>
      <c r="D39" s="151" t="s">
        <v>397</v>
      </c>
      <c r="E39" s="151" t="s">
        <v>3452</v>
      </c>
      <c r="F39" s="151" t="s">
        <v>2260</v>
      </c>
      <c r="G39" s="151" t="s">
        <v>255</v>
      </c>
      <c r="H39" s="131" t="s">
        <v>30</v>
      </c>
      <c r="I39" s="151">
        <v>20</v>
      </c>
      <c r="J39" s="335">
        <v>130</v>
      </c>
      <c r="K39" s="54">
        <f t="shared" si="0"/>
        <v>2600</v>
      </c>
      <c r="L39" s="55" t="b">
        <v>1</v>
      </c>
      <c r="M39" s="56">
        <v>70820251812</v>
      </c>
      <c r="N39" s="57" t="b">
        <v>1</v>
      </c>
      <c r="O39" s="58"/>
      <c r="P39" s="215"/>
      <c r="Q39" s="191" t="b">
        <v>1</v>
      </c>
      <c r="R39" s="308" t="s">
        <v>3138</v>
      </c>
      <c r="S39" s="173" t="s">
        <v>3515</v>
      </c>
      <c r="T39" s="57" t="b">
        <v>1</v>
      </c>
      <c r="U39" s="310" t="s">
        <v>3516</v>
      </c>
      <c r="V39" s="307"/>
      <c r="W39" s="54"/>
    </row>
    <row r="40" spans="1:23" ht="15.75" customHeight="1">
      <c r="A40" s="162"/>
      <c r="B40" s="132" t="s">
        <v>3494</v>
      </c>
      <c r="C40" s="151" t="s">
        <v>3517</v>
      </c>
      <c r="D40" s="151" t="s">
        <v>51</v>
      </c>
      <c r="E40" s="151" t="s">
        <v>61</v>
      </c>
      <c r="F40" s="151" t="s">
        <v>476</v>
      </c>
      <c r="G40" s="151" t="s">
        <v>58</v>
      </c>
      <c r="H40" s="131" t="s">
        <v>30</v>
      </c>
      <c r="I40" s="151">
        <v>252</v>
      </c>
      <c r="J40" s="335">
        <v>42.5</v>
      </c>
      <c r="K40" s="54">
        <f t="shared" si="0"/>
        <v>10710</v>
      </c>
      <c r="L40" s="55" t="b">
        <v>1</v>
      </c>
      <c r="M40" s="56">
        <v>70820251824</v>
      </c>
      <c r="N40" s="57" t="b">
        <v>1</v>
      </c>
      <c r="O40" s="58"/>
      <c r="P40" s="215"/>
      <c r="Q40" s="191" t="b">
        <v>1</v>
      </c>
      <c r="R40" s="308" t="s">
        <v>3138</v>
      </c>
      <c r="S40" s="297" t="s">
        <v>3518</v>
      </c>
      <c r="T40" s="57" t="b">
        <v>1</v>
      </c>
      <c r="U40" s="310" t="s">
        <v>3519</v>
      </c>
      <c r="V40" s="307"/>
      <c r="W40" s="54"/>
    </row>
    <row r="41" spans="1:23" ht="15.75" customHeight="1">
      <c r="A41" s="162"/>
      <c r="B41" s="132" t="s">
        <v>3520</v>
      </c>
      <c r="C41" s="151" t="s">
        <v>3521</v>
      </c>
      <c r="D41" s="151" t="s">
        <v>144</v>
      </c>
      <c r="E41" s="151" t="s">
        <v>1602</v>
      </c>
      <c r="F41" s="151" t="s">
        <v>3522</v>
      </c>
      <c r="G41" s="53" t="s">
        <v>3448</v>
      </c>
      <c r="H41" s="131" t="s">
        <v>30</v>
      </c>
      <c r="I41" s="151">
        <v>10</v>
      </c>
      <c r="J41" s="335">
        <v>650</v>
      </c>
      <c r="K41" s="54">
        <f t="shared" si="0"/>
        <v>6500</v>
      </c>
      <c r="L41" s="55" t="b">
        <v>1</v>
      </c>
      <c r="M41" s="56">
        <v>80820250819</v>
      </c>
      <c r="N41" s="57" t="b">
        <v>1</v>
      </c>
      <c r="O41" s="58" t="s">
        <v>39</v>
      </c>
      <c r="P41" s="226">
        <v>45877</v>
      </c>
      <c r="Q41" s="191" t="b">
        <v>1</v>
      </c>
      <c r="R41" s="308" t="s">
        <v>3138</v>
      </c>
      <c r="S41" s="297"/>
      <c r="T41" s="57" t="b">
        <v>1</v>
      </c>
      <c r="U41" s="310" t="s">
        <v>3523</v>
      </c>
      <c r="V41" s="307"/>
      <c r="W41" s="54"/>
    </row>
    <row r="42" spans="1:23" ht="15.75" customHeight="1">
      <c r="A42" s="162"/>
      <c r="B42" s="132" t="s">
        <v>3520</v>
      </c>
      <c r="C42" s="151" t="s">
        <v>3458</v>
      </c>
      <c r="D42" s="151" t="s">
        <v>51</v>
      </c>
      <c r="E42" s="151" t="s">
        <v>201</v>
      </c>
      <c r="F42" s="151" t="s">
        <v>202</v>
      </c>
      <c r="G42" s="151" t="s">
        <v>3524</v>
      </c>
      <c r="H42" s="131" t="s">
        <v>30</v>
      </c>
      <c r="I42" s="151">
        <v>5</v>
      </c>
      <c r="J42" s="335">
        <v>1000</v>
      </c>
      <c r="K42" s="54">
        <f t="shared" si="0"/>
        <v>5000</v>
      </c>
      <c r="L42" s="55" t="b">
        <v>1</v>
      </c>
      <c r="M42" s="56">
        <v>80820250831</v>
      </c>
      <c r="N42" s="57" t="b">
        <v>1</v>
      </c>
      <c r="O42" s="58"/>
      <c r="P42" s="215"/>
      <c r="Q42" s="191" t="b">
        <v>1</v>
      </c>
      <c r="R42" s="308" t="s">
        <v>3138</v>
      </c>
      <c r="S42" s="297" t="s">
        <v>3525</v>
      </c>
      <c r="T42" s="57" t="b">
        <v>1</v>
      </c>
      <c r="U42" s="310" t="s">
        <v>3526</v>
      </c>
      <c r="V42" s="307"/>
      <c r="W42" s="54"/>
    </row>
    <row r="43" spans="1:23" ht="15.75" customHeight="1">
      <c r="A43" s="162"/>
      <c r="B43" s="71" t="s">
        <v>3520</v>
      </c>
      <c r="C43" s="151" t="s">
        <v>3527</v>
      </c>
      <c r="D43" s="151" t="s">
        <v>51</v>
      </c>
      <c r="E43" s="151" t="s">
        <v>338</v>
      </c>
      <c r="F43" s="151" t="s">
        <v>3528</v>
      </c>
      <c r="G43" s="151" t="s">
        <v>3529</v>
      </c>
      <c r="H43" s="131" t="s">
        <v>30</v>
      </c>
      <c r="I43" s="151">
        <v>5</v>
      </c>
      <c r="J43" s="335">
        <v>300</v>
      </c>
      <c r="K43" s="54">
        <f t="shared" si="0"/>
        <v>1500</v>
      </c>
      <c r="L43" s="55" t="b">
        <v>1</v>
      </c>
      <c r="M43" s="56">
        <v>80820251810</v>
      </c>
      <c r="N43" s="57" t="b">
        <v>1</v>
      </c>
      <c r="O43" s="58" t="s">
        <v>2968</v>
      </c>
      <c r="P43" s="215"/>
      <c r="Q43" s="191" t="b">
        <v>1</v>
      </c>
      <c r="R43" s="308" t="s">
        <v>3138</v>
      </c>
      <c r="S43" s="297" t="s">
        <v>3530</v>
      </c>
      <c r="T43" s="57" t="b">
        <v>1</v>
      </c>
      <c r="U43" s="310" t="s">
        <v>3531</v>
      </c>
      <c r="V43" s="307"/>
      <c r="W43" s="54"/>
    </row>
    <row r="44" spans="1:23" ht="15.75" customHeight="1">
      <c r="A44" s="162"/>
      <c r="B44" s="71" t="s">
        <v>3520</v>
      </c>
      <c r="C44" s="151" t="s">
        <v>3532</v>
      </c>
      <c r="D44" s="151" t="s">
        <v>51</v>
      </c>
      <c r="E44" s="151" t="s">
        <v>52</v>
      </c>
      <c r="F44" s="151" t="s">
        <v>1710</v>
      </c>
      <c r="G44" s="53" t="s">
        <v>3448</v>
      </c>
      <c r="H44" s="131" t="s">
        <v>30</v>
      </c>
      <c r="I44" s="53">
        <v>10</v>
      </c>
      <c r="J44" s="188">
        <v>650</v>
      </c>
      <c r="K44" s="54">
        <f t="shared" si="0"/>
        <v>6500</v>
      </c>
      <c r="L44" s="55" t="b">
        <v>1</v>
      </c>
      <c r="M44" s="56">
        <v>80820251815</v>
      </c>
      <c r="N44" s="57" t="b">
        <v>1</v>
      </c>
      <c r="O44" s="58" t="s">
        <v>39</v>
      </c>
      <c r="P44" s="215"/>
      <c r="Q44" s="191" t="b">
        <v>1</v>
      </c>
      <c r="R44" s="308" t="s">
        <v>3138</v>
      </c>
      <c r="S44" s="297"/>
      <c r="T44" s="57" t="b">
        <v>1</v>
      </c>
      <c r="U44" s="310" t="s">
        <v>3533</v>
      </c>
      <c r="V44" s="307"/>
      <c r="W44" s="54"/>
    </row>
    <row r="45" spans="1:23" ht="15.75" customHeight="1">
      <c r="A45" s="162"/>
      <c r="B45" s="71" t="s">
        <v>3520</v>
      </c>
      <c r="C45" s="151" t="s">
        <v>3534</v>
      </c>
      <c r="D45" s="151" t="s">
        <v>418</v>
      </c>
      <c r="E45" s="151" t="s">
        <v>1069</v>
      </c>
      <c r="F45" s="151" t="s">
        <v>420</v>
      </c>
      <c r="G45" s="53" t="s">
        <v>1266</v>
      </c>
      <c r="H45" s="131" t="s">
        <v>30</v>
      </c>
      <c r="I45" s="53">
        <v>2</v>
      </c>
      <c r="J45" s="188">
        <v>7250</v>
      </c>
      <c r="K45" s="54">
        <f t="shared" si="0"/>
        <v>14500</v>
      </c>
      <c r="L45" s="55" t="b">
        <v>1</v>
      </c>
      <c r="M45" s="56">
        <v>80820251815</v>
      </c>
      <c r="N45" s="57" t="b">
        <v>1</v>
      </c>
      <c r="O45" s="58"/>
      <c r="P45" s="215"/>
      <c r="Q45" s="191" t="b">
        <v>1</v>
      </c>
      <c r="R45" s="308" t="s">
        <v>3138</v>
      </c>
      <c r="S45" s="297"/>
      <c r="T45" s="57" t="b">
        <v>1</v>
      </c>
      <c r="U45" s="310" t="s">
        <v>3535</v>
      </c>
      <c r="V45" s="307"/>
      <c r="W45" s="54"/>
    </row>
    <row r="46" spans="1:23" ht="15.75" customHeight="1">
      <c r="A46" s="162"/>
      <c r="B46" s="71" t="s">
        <v>3520</v>
      </c>
      <c r="C46" s="151" t="s">
        <v>3534</v>
      </c>
      <c r="D46" s="151" t="s">
        <v>418</v>
      </c>
      <c r="E46" s="151" t="s">
        <v>1069</v>
      </c>
      <c r="F46" s="151" t="s">
        <v>420</v>
      </c>
      <c r="G46" s="151" t="s">
        <v>3536</v>
      </c>
      <c r="H46" s="131" t="s">
        <v>30</v>
      </c>
      <c r="I46" s="53">
        <v>12</v>
      </c>
      <c r="J46" s="188">
        <v>645</v>
      </c>
      <c r="K46" s="54">
        <f t="shared" si="0"/>
        <v>7740</v>
      </c>
      <c r="L46" s="55" t="b">
        <v>1</v>
      </c>
      <c r="M46" s="56">
        <v>80820251815</v>
      </c>
      <c r="N46" s="57" t="b">
        <v>1</v>
      </c>
      <c r="O46" s="58"/>
      <c r="P46" s="215"/>
      <c r="Q46" s="191" t="b">
        <v>1</v>
      </c>
      <c r="R46" s="308" t="s">
        <v>3138</v>
      </c>
      <c r="S46" s="173" t="s">
        <v>3537</v>
      </c>
      <c r="T46" s="57" t="b">
        <v>1</v>
      </c>
      <c r="U46" s="310" t="s">
        <v>3538</v>
      </c>
      <c r="V46" s="307"/>
      <c r="W46" s="54"/>
    </row>
    <row r="47" spans="1:23" ht="16">
      <c r="A47" s="162"/>
      <c r="B47" s="71" t="s">
        <v>3520</v>
      </c>
      <c r="C47" s="151" t="s">
        <v>3534</v>
      </c>
      <c r="D47" s="151" t="s">
        <v>418</v>
      </c>
      <c r="E47" s="151" t="s">
        <v>1069</v>
      </c>
      <c r="F47" s="151" t="s">
        <v>420</v>
      </c>
      <c r="G47" s="151" t="s">
        <v>3539</v>
      </c>
      <c r="H47" s="131" t="s">
        <v>30</v>
      </c>
      <c r="I47" s="151">
        <v>1</v>
      </c>
      <c r="J47" s="335">
        <v>5750</v>
      </c>
      <c r="K47" s="54">
        <f t="shared" si="0"/>
        <v>5750</v>
      </c>
      <c r="L47" s="55" t="b">
        <v>1</v>
      </c>
      <c r="M47" s="56">
        <v>80820251815</v>
      </c>
      <c r="N47" s="57" t="b">
        <v>1</v>
      </c>
      <c r="O47" s="58"/>
      <c r="P47" s="215"/>
      <c r="Q47" s="191" t="b">
        <v>1</v>
      </c>
      <c r="R47" s="308" t="s">
        <v>3138</v>
      </c>
      <c r="S47" s="297"/>
      <c r="T47" s="57" t="b">
        <v>1</v>
      </c>
      <c r="U47" s="310" t="s">
        <v>3540</v>
      </c>
      <c r="V47" s="307"/>
      <c r="W47" s="54"/>
    </row>
    <row r="48" spans="1:23" ht="16">
      <c r="A48" s="162"/>
      <c r="B48" s="71" t="s">
        <v>3520</v>
      </c>
      <c r="C48" s="151" t="s">
        <v>3534</v>
      </c>
      <c r="D48" s="151" t="s">
        <v>418</v>
      </c>
      <c r="E48" s="151" t="s">
        <v>1069</v>
      </c>
      <c r="F48" s="151" t="s">
        <v>420</v>
      </c>
      <c r="G48" s="151" t="s">
        <v>72</v>
      </c>
      <c r="H48" s="131" t="s">
        <v>30</v>
      </c>
      <c r="I48" s="151">
        <v>1</v>
      </c>
      <c r="J48" s="335">
        <v>6750</v>
      </c>
      <c r="K48" s="54">
        <f t="shared" si="0"/>
        <v>6750</v>
      </c>
      <c r="L48" s="55" t="b">
        <v>1</v>
      </c>
      <c r="M48" s="56">
        <v>80820251815</v>
      </c>
      <c r="N48" s="57" t="b">
        <v>1</v>
      </c>
      <c r="O48" s="58"/>
      <c r="P48" s="215"/>
      <c r="Q48" s="191" t="b">
        <v>1</v>
      </c>
      <c r="R48" s="308" t="s">
        <v>3138</v>
      </c>
      <c r="S48" s="297"/>
      <c r="T48" s="57" t="b">
        <v>1</v>
      </c>
      <c r="U48" s="310" t="s">
        <v>3540</v>
      </c>
      <c r="V48" s="307"/>
      <c r="W48" s="54"/>
    </row>
    <row r="49" spans="1:23" ht="16">
      <c r="A49" s="162"/>
      <c r="B49" s="71" t="s">
        <v>3520</v>
      </c>
      <c r="C49" s="151" t="s">
        <v>3541</v>
      </c>
      <c r="D49" s="151" t="s">
        <v>51</v>
      </c>
      <c r="E49" s="151" t="s">
        <v>372</v>
      </c>
      <c r="F49" s="151" t="s">
        <v>373</v>
      </c>
      <c r="G49" s="151" t="s">
        <v>101</v>
      </c>
      <c r="H49" s="131" t="s">
        <v>30</v>
      </c>
      <c r="I49" s="151">
        <v>5</v>
      </c>
      <c r="J49" s="335">
        <v>975</v>
      </c>
      <c r="K49" s="54">
        <f t="shared" si="0"/>
        <v>4875</v>
      </c>
      <c r="L49" s="55" t="b">
        <v>1</v>
      </c>
      <c r="M49" s="56">
        <v>80820252148</v>
      </c>
      <c r="N49" s="57" t="b">
        <v>1</v>
      </c>
      <c r="O49" s="58"/>
      <c r="P49" s="215" t="s">
        <v>529</v>
      </c>
      <c r="Q49" s="191" t="b">
        <v>1</v>
      </c>
      <c r="R49" s="308" t="s">
        <v>3138</v>
      </c>
      <c r="S49" s="297" t="s">
        <v>3542</v>
      </c>
      <c r="T49" s="57" t="b">
        <v>1</v>
      </c>
      <c r="U49" s="310" t="s">
        <v>3543</v>
      </c>
      <c r="V49" s="307"/>
      <c r="W49" s="54"/>
    </row>
    <row r="50" spans="1:23" ht="16">
      <c r="A50" s="162"/>
      <c r="B50" s="71" t="s">
        <v>3520</v>
      </c>
      <c r="C50" s="151" t="s">
        <v>3541</v>
      </c>
      <c r="D50" s="151" t="s">
        <v>51</v>
      </c>
      <c r="E50" s="151" t="s">
        <v>372</v>
      </c>
      <c r="F50" s="151" t="s">
        <v>373</v>
      </c>
      <c r="G50" s="334" t="s">
        <v>1367</v>
      </c>
      <c r="H50" s="131" t="s">
        <v>30</v>
      </c>
      <c r="I50" s="151">
        <v>5</v>
      </c>
      <c r="J50" s="335">
        <v>995</v>
      </c>
      <c r="K50" s="54">
        <f t="shared" si="0"/>
        <v>4975</v>
      </c>
      <c r="L50" s="55" t="b">
        <v>1</v>
      </c>
      <c r="M50" s="56">
        <v>80820252148</v>
      </c>
      <c r="N50" s="57" t="b">
        <v>1</v>
      </c>
      <c r="O50" s="58"/>
      <c r="P50" s="215"/>
      <c r="Q50" s="191" t="b">
        <v>1</v>
      </c>
      <c r="R50" s="308" t="s">
        <v>3138</v>
      </c>
      <c r="S50" s="297"/>
      <c r="T50" s="57" t="b">
        <v>1</v>
      </c>
      <c r="U50" s="310" t="s">
        <v>3544</v>
      </c>
      <c r="V50" s="307"/>
      <c r="W50" s="54"/>
    </row>
    <row r="51" spans="1:23" ht="16">
      <c r="A51" s="162"/>
      <c r="B51" s="71" t="s">
        <v>3545</v>
      </c>
      <c r="C51" s="151" t="s">
        <v>3458</v>
      </c>
      <c r="D51" s="151" t="s">
        <v>51</v>
      </c>
      <c r="E51" s="151" t="s">
        <v>201</v>
      </c>
      <c r="F51" s="151" t="s">
        <v>202</v>
      </c>
      <c r="G51" s="53" t="s">
        <v>68</v>
      </c>
      <c r="H51" s="131" t="s">
        <v>30</v>
      </c>
      <c r="I51" s="151">
        <v>2</v>
      </c>
      <c r="J51" s="335">
        <v>2350</v>
      </c>
      <c r="K51" s="54">
        <f t="shared" si="0"/>
        <v>4700</v>
      </c>
      <c r="L51" s="55" t="b">
        <v>1</v>
      </c>
      <c r="M51" s="56">
        <v>110820250907</v>
      </c>
      <c r="N51" s="57" t="b">
        <v>1</v>
      </c>
      <c r="O51" s="58"/>
      <c r="P51" s="215"/>
      <c r="Q51" s="191" t="b">
        <v>1</v>
      </c>
      <c r="R51" s="308" t="s">
        <v>3138</v>
      </c>
      <c r="S51" s="297" t="s">
        <v>3546</v>
      </c>
      <c r="T51" s="57" t="b">
        <v>1</v>
      </c>
      <c r="U51" s="310" t="s">
        <v>3547</v>
      </c>
      <c r="V51" s="307"/>
      <c r="W51" s="54"/>
    </row>
    <row r="52" spans="1:23" ht="16">
      <c r="A52" s="162"/>
      <c r="B52" s="71" t="s">
        <v>3545</v>
      </c>
      <c r="C52" s="151" t="s">
        <v>3548</v>
      </c>
      <c r="D52" s="151" t="s">
        <v>51</v>
      </c>
      <c r="E52" s="151" t="s">
        <v>137</v>
      </c>
      <c r="F52" s="151" t="s">
        <v>3549</v>
      </c>
      <c r="G52" s="53" t="s">
        <v>3512</v>
      </c>
      <c r="H52" s="131" t="s">
        <v>30</v>
      </c>
      <c r="I52" s="151">
        <v>2</v>
      </c>
      <c r="J52" s="335">
        <v>2100</v>
      </c>
      <c r="K52" s="54">
        <f t="shared" si="0"/>
        <v>4200</v>
      </c>
      <c r="L52" s="55" t="b">
        <v>1</v>
      </c>
      <c r="M52" s="56">
        <v>110820251020</v>
      </c>
      <c r="N52" s="57" t="b">
        <v>1</v>
      </c>
      <c r="O52" s="58"/>
      <c r="P52" s="215"/>
      <c r="Q52" s="191" t="b">
        <v>1</v>
      </c>
      <c r="R52" s="308" t="s">
        <v>3138</v>
      </c>
      <c r="S52" s="297" t="s">
        <v>3550</v>
      </c>
      <c r="T52" s="57" t="b">
        <v>1</v>
      </c>
      <c r="U52" s="310" t="s">
        <v>3551</v>
      </c>
      <c r="V52" s="307"/>
      <c r="W52" s="54"/>
    </row>
    <row r="53" spans="1:23" ht="16">
      <c r="A53" s="162"/>
      <c r="B53" s="71" t="s">
        <v>3545</v>
      </c>
      <c r="C53" s="151" t="s">
        <v>3552</v>
      </c>
      <c r="D53" s="151" t="s">
        <v>51</v>
      </c>
      <c r="E53" s="151" t="s">
        <v>66</v>
      </c>
      <c r="F53" s="151" t="s">
        <v>67</v>
      </c>
      <c r="G53" s="151" t="s">
        <v>68</v>
      </c>
      <c r="H53" s="131" t="s">
        <v>30</v>
      </c>
      <c r="I53" s="151">
        <v>3</v>
      </c>
      <c r="J53" s="335">
        <v>2350</v>
      </c>
      <c r="K53" s="54">
        <f t="shared" si="0"/>
        <v>7050</v>
      </c>
      <c r="L53" s="55" t="b">
        <v>1</v>
      </c>
      <c r="M53" s="56">
        <v>110820251622</v>
      </c>
      <c r="N53" s="57" t="b">
        <v>1</v>
      </c>
      <c r="O53" s="58"/>
      <c r="P53" s="215"/>
      <c r="Q53" s="191" t="b">
        <v>1</v>
      </c>
      <c r="R53" s="308" t="s">
        <v>3138</v>
      </c>
      <c r="S53" s="297" t="s">
        <v>3553</v>
      </c>
      <c r="T53" s="57" t="b">
        <v>1</v>
      </c>
      <c r="U53" s="310" t="s">
        <v>3554</v>
      </c>
      <c r="V53" s="307"/>
      <c r="W53" s="54"/>
    </row>
    <row r="54" spans="1:23" ht="16">
      <c r="A54" s="162"/>
      <c r="B54" s="220" t="s">
        <v>3545</v>
      </c>
      <c r="C54" s="175" t="s">
        <v>3472</v>
      </c>
      <c r="D54" s="175" t="s">
        <v>418</v>
      </c>
      <c r="E54" s="175" t="s">
        <v>84</v>
      </c>
      <c r="F54" s="175" t="s">
        <v>3069</v>
      </c>
      <c r="G54" s="175" t="s">
        <v>3555</v>
      </c>
      <c r="H54" s="161" t="s">
        <v>30</v>
      </c>
      <c r="I54" s="175">
        <v>50</v>
      </c>
      <c r="J54" s="234">
        <v>95</v>
      </c>
      <c r="K54" s="235">
        <f t="shared" si="0"/>
        <v>4750</v>
      </c>
      <c r="L54" s="55" t="b">
        <v>1</v>
      </c>
      <c r="M54" s="56">
        <v>110820251718</v>
      </c>
      <c r="N54" s="57" t="b">
        <v>1</v>
      </c>
      <c r="O54" s="58"/>
      <c r="P54" s="215"/>
      <c r="Q54" s="191" t="b">
        <v>1</v>
      </c>
      <c r="R54" s="308" t="s">
        <v>3138</v>
      </c>
      <c r="S54" s="297"/>
      <c r="T54" s="57" t="b">
        <v>1</v>
      </c>
      <c r="U54" s="310" t="s">
        <v>3556</v>
      </c>
      <c r="V54" s="307"/>
      <c r="W54" s="54"/>
    </row>
    <row r="55" spans="1:23" ht="16">
      <c r="A55" s="162"/>
      <c r="B55" s="71" t="s">
        <v>3545</v>
      </c>
      <c r="C55" s="151" t="s">
        <v>3534</v>
      </c>
      <c r="D55" s="151" t="s">
        <v>418</v>
      </c>
      <c r="E55" s="151" t="s">
        <v>1069</v>
      </c>
      <c r="F55" s="151" t="s">
        <v>420</v>
      </c>
      <c r="G55" s="151" t="s">
        <v>3557</v>
      </c>
      <c r="H55" s="131" t="s">
        <v>30</v>
      </c>
      <c r="I55" s="151">
        <v>25</v>
      </c>
      <c r="J55" s="335">
        <v>270</v>
      </c>
      <c r="K55" s="54">
        <f t="shared" si="0"/>
        <v>6750</v>
      </c>
      <c r="L55" s="55" t="b">
        <v>1</v>
      </c>
      <c r="M55" s="56">
        <v>110820251730</v>
      </c>
      <c r="N55" s="57" t="b">
        <v>1</v>
      </c>
      <c r="O55" s="58"/>
      <c r="P55" s="215"/>
      <c r="Q55" s="191" t="b">
        <v>1</v>
      </c>
      <c r="R55" s="308" t="s">
        <v>3138</v>
      </c>
      <c r="S55" s="297"/>
      <c r="T55" s="57" t="b">
        <v>1</v>
      </c>
      <c r="U55" s="310" t="s">
        <v>3558</v>
      </c>
      <c r="V55" s="307"/>
      <c r="W55" s="54"/>
    </row>
    <row r="56" spans="1:23" ht="16">
      <c r="A56" s="162"/>
      <c r="B56" s="71" t="s">
        <v>3545</v>
      </c>
      <c r="C56" s="151" t="s">
        <v>3534</v>
      </c>
      <c r="D56" s="151" t="s">
        <v>418</v>
      </c>
      <c r="E56" s="151" t="s">
        <v>1069</v>
      </c>
      <c r="F56" s="151" t="s">
        <v>420</v>
      </c>
      <c r="G56" s="151" t="s">
        <v>3559</v>
      </c>
      <c r="H56" s="131" t="s">
        <v>30</v>
      </c>
      <c r="I56" s="151">
        <v>25</v>
      </c>
      <c r="J56" s="335">
        <v>570</v>
      </c>
      <c r="K56" s="54">
        <f t="shared" si="0"/>
        <v>14250</v>
      </c>
      <c r="L56" s="55" t="b">
        <v>1</v>
      </c>
      <c r="M56" s="56">
        <v>110820251730</v>
      </c>
      <c r="N56" s="57" t="b">
        <v>1</v>
      </c>
      <c r="O56" s="58" t="s">
        <v>529</v>
      </c>
      <c r="P56" s="215"/>
      <c r="Q56" s="191" t="b">
        <v>1</v>
      </c>
      <c r="R56" s="308" t="s">
        <v>3138</v>
      </c>
      <c r="S56" s="173" t="s">
        <v>3560</v>
      </c>
      <c r="T56" s="57" t="b">
        <v>1</v>
      </c>
      <c r="U56" s="310" t="s">
        <v>3561</v>
      </c>
      <c r="V56" s="307"/>
      <c r="W56" s="54"/>
    </row>
    <row r="57" spans="1:23" ht="16">
      <c r="A57" s="162"/>
      <c r="B57" s="71" t="s">
        <v>3545</v>
      </c>
      <c r="C57" s="151" t="s">
        <v>3534</v>
      </c>
      <c r="D57" s="151" t="s">
        <v>418</v>
      </c>
      <c r="E57" s="151" t="s">
        <v>1069</v>
      </c>
      <c r="F57" s="151" t="s">
        <v>420</v>
      </c>
      <c r="G57" s="334" t="s">
        <v>3562</v>
      </c>
      <c r="H57" s="131" t="s">
        <v>30</v>
      </c>
      <c r="I57" s="151">
        <v>1</v>
      </c>
      <c r="J57" s="335">
        <v>850</v>
      </c>
      <c r="K57" s="335">
        <v>850</v>
      </c>
      <c r="L57" s="55" t="b">
        <v>1</v>
      </c>
      <c r="M57" s="56">
        <v>110820251730</v>
      </c>
      <c r="N57" s="57" t="b">
        <v>1</v>
      </c>
      <c r="O57" s="58"/>
      <c r="P57" s="215"/>
      <c r="Q57" s="191" t="b">
        <v>1</v>
      </c>
      <c r="R57" s="308" t="s">
        <v>3138</v>
      </c>
      <c r="S57" s="173" t="s">
        <v>3560</v>
      </c>
      <c r="T57" s="57" t="b">
        <v>1</v>
      </c>
      <c r="U57" s="310" t="s">
        <v>3563</v>
      </c>
      <c r="V57" s="307"/>
      <c r="W57" s="54"/>
    </row>
    <row r="58" spans="1:23" ht="16">
      <c r="A58" s="162"/>
      <c r="B58" s="71" t="s">
        <v>3564</v>
      </c>
      <c r="C58" s="151" t="s">
        <v>3541</v>
      </c>
      <c r="D58" s="151" t="s">
        <v>51</v>
      </c>
      <c r="E58" s="151" t="s">
        <v>372</v>
      </c>
      <c r="F58" s="151" t="s">
        <v>373</v>
      </c>
      <c r="G58" s="131" t="s">
        <v>3565</v>
      </c>
      <c r="H58" s="131" t="s">
        <v>30</v>
      </c>
      <c r="I58" s="151">
        <v>10</v>
      </c>
      <c r="J58" s="335">
        <v>650</v>
      </c>
      <c r="K58" s="54">
        <f t="shared" ref="K58:K106" si="1">I58*J58</f>
        <v>6500</v>
      </c>
      <c r="L58" s="55" t="b">
        <v>1</v>
      </c>
      <c r="M58" s="56">
        <v>120820251116</v>
      </c>
      <c r="N58" s="57" t="b">
        <v>1</v>
      </c>
      <c r="O58" s="58" t="s">
        <v>39</v>
      </c>
      <c r="P58" s="215" t="s">
        <v>3566</v>
      </c>
      <c r="Q58" s="191" t="b">
        <v>1</v>
      </c>
      <c r="R58" s="308" t="s">
        <v>3138</v>
      </c>
      <c r="S58" s="297"/>
      <c r="T58" s="57" t="b">
        <v>1</v>
      </c>
      <c r="U58" s="310" t="s">
        <v>3567</v>
      </c>
      <c r="V58" s="307"/>
      <c r="W58" s="54"/>
    </row>
    <row r="59" spans="1:23" ht="16">
      <c r="A59" s="162"/>
      <c r="B59" s="71" t="s">
        <v>3564</v>
      </c>
      <c r="C59" s="151" t="s">
        <v>3568</v>
      </c>
      <c r="D59" s="151" t="s">
        <v>438</v>
      </c>
      <c r="E59" s="151" t="s">
        <v>439</v>
      </c>
      <c r="F59" s="151" t="s">
        <v>944</v>
      </c>
      <c r="G59" s="151" t="s">
        <v>663</v>
      </c>
      <c r="H59" s="131" t="s">
        <v>30</v>
      </c>
      <c r="I59" s="151">
        <v>5</v>
      </c>
      <c r="J59" s="335">
        <v>875</v>
      </c>
      <c r="K59" s="54">
        <f t="shared" si="1"/>
        <v>4375</v>
      </c>
      <c r="L59" s="55" t="b">
        <v>1</v>
      </c>
      <c r="M59" s="56">
        <v>120820251325</v>
      </c>
      <c r="N59" s="57" t="b">
        <v>1</v>
      </c>
      <c r="O59" s="58" t="s">
        <v>1581</v>
      </c>
      <c r="P59" s="215"/>
      <c r="Q59" s="191" t="b">
        <v>1</v>
      </c>
      <c r="R59" s="308" t="s">
        <v>3138</v>
      </c>
      <c r="S59" s="297" t="s">
        <v>3569</v>
      </c>
      <c r="T59" s="57" t="b">
        <v>1</v>
      </c>
      <c r="U59" s="310" t="s">
        <v>3570</v>
      </c>
      <c r="V59" s="307"/>
      <c r="W59" s="54"/>
    </row>
    <row r="60" spans="1:23" ht="16">
      <c r="A60" s="162"/>
      <c r="B60" s="71" t="s">
        <v>3564</v>
      </c>
      <c r="C60" s="151" t="s">
        <v>3568</v>
      </c>
      <c r="D60" s="151" t="s">
        <v>438</v>
      </c>
      <c r="E60" s="151" t="s">
        <v>439</v>
      </c>
      <c r="F60" s="151" t="s">
        <v>944</v>
      </c>
      <c r="G60" s="131" t="s">
        <v>3571</v>
      </c>
      <c r="H60" s="131" t="s">
        <v>30</v>
      </c>
      <c r="I60" s="151">
        <v>5</v>
      </c>
      <c r="J60" s="335">
        <v>725</v>
      </c>
      <c r="K60" s="54">
        <f t="shared" si="1"/>
        <v>3625</v>
      </c>
      <c r="L60" s="55" t="b">
        <v>1</v>
      </c>
      <c r="M60" s="56">
        <v>120820251037</v>
      </c>
      <c r="N60" s="57" t="b">
        <v>1</v>
      </c>
      <c r="O60" s="58"/>
      <c r="P60" s="215"/>
      <c r="Q60" s="191" t="b">
        <v>1</v>
      </c>
      <c r="R60" s="308" t="s">
        <v>3138</v>
      </c>
      <c r="S60" s="297" t="s">
        <v>3572</v>
      </c>
      <c r="T60" s="57" t="b">
        <v>1</v>
      </c>
      <c r="U60" s="310" t="s">
        <v>3573</v>
      </c>
      <c r="V60" s="307"/>
      <c r="W60" s="54"/>
    </row>
    <row r="61" spans="1:23" ht="16">
      <c r="A61" s="162"/>
      <c r="B61" s="71" t="s">
        <v>3574</v>
      </c>
      <c r="C61" s="151" t="s">
        <v>3534</v>
      </c>
      <c r="D61" s="151" t="s">
        <v>418</v>
      </c>
      <c r="E61" s="151" t="s">
        <v>1069</v>
      </c>
      <c r="F61" s="151" t="s">
        <v>420</v>
      </c>
      <c r="G61" s="53" t="s">
        <v>2520</v>
      </c>
      <c r="H61" s="131" t="s">
        <v>30</v>
      </c>
      <c r="I61" s="151">
        <v>20</v>
      </c>
      <c r="J61" s="335">
        <v>275</v>
      </c>
      <c r="K61" s="54">
        <f t="shared" si="1"/>
        <v>5500</v>
      </c>
      <c r="L61" s="55" t="b">
        <v>1</v>
      </c>
      <c r="M61" s="56">
        <v>130820251724</v>
      </c>
      <c r="N61" s="57" t="b">
        <v>1</v>
      </c>
      <c r="O61" s="58"/>
      <c r="P61" s="215"/>
      <c r="Q61" s="191" t="b">
        <v>1</v>
      </c>
      <c r="R61" s="308" t="s">
        <v>3138</v>
      </c>
      <c r="S61" s="173" t="s">
        <v>3575</v>
      </c>
      <c r="T61" s="57" t="b">
        <v>1</v>
      </c>
      <c r="U61" s="310" t="s">
        <v>3576</v>
      </c>
      <c r="V61" s="307"/>
      <c r="W61" s="54"/>
    </row>
    <row r="62" spans="1:23" ht="16">
      <c r="A62" s="162"/>
      <c r="B62" s="71" t="s">
        <v>3574</v>
      </c>
      <c r="C62" s="151" t="s">
        <v>3577</v>
      </c>
      <c r="D62" s="151" t="s">
        <v>46</v>
      </c>
      <c r="E62" s="151" t="s">
        <v>47</v>
      </c>
      <c r="F62" s="151" t="s">
        <v>2676</v>
      </c>
      <c r="G62" s="151" t="s">
        <v>3578</v>
      </c>
      <c r="H62" s="131" t="s">
        <v>30</v>
      </c>
      <c r="I62" s="151">
        <v>2</v>
      </c>
      <c r="J62" s="335">
        <v>5750</v>
      </c>
      <c r="K62" s="54">
        <f t="shared" si="1"/>
        <v>11500</v>
      </c>
      <c r="L62" s="55" t="b">
        <v>1</v>
      </c>
      <c r="M62" s="56">
        <v>130820251724</v>
      </c>
      <c r="N62" s="57" t="b">
        <v>1</v>
      </c>
      <c r="O62" s="58"/>
      <c r="P62" s="215"/>
      <c r="Q62" s="191" t="b">
        <v>1</v>
      </c>
      <c r="R62" s="308" t="s">
        <v>3138</v>
      </c>
      <c r="S62" s="297"/>
      <c r="T62" s="57" t="b">
        <v>1</v>
      </c>
      <c r="U62" s="310" t="s">
        <v>3579</v>
      </c>
      <c r="V62" s="307"/>
      <c r="W62" s="54"/>
    </row>
    <row r="63" spans="1:23" ht="16">
      <c r="A63" s="162"/>
      <c r="B63" s="71" t="s">
        <v>3574</v>
      </c>
      <c r="C63" s="151" t="s">
        <v>3577</v>
      </c>
      <c r="D63" s="151" t="s">
        <v>46</v>
      </c>
      <c r="E63" s="151" t="s">
        <v>47</v>
      </c>
      <c r="F63" s="151" t="s">
        <v>2676</v>
      </c>
      <c r="G63" s="151" t="s">
        <v>72</v>
      </c>
      <c r="H63" s="131" t="s">
        <v>30</v>
      </c>
      <c r="I63" s="334">
        <v>1</v>
      </c>
      <c r="J63" s="335">
        <v>2250</v>
      </c>
      <c r="K63" s="54">
        <f t="shared" si="1"/>
        <v>2250</v>
      </c>
      <c r="L63" s="55" t="b">
        <v>1</v>
      </c>
      <c r="M63" s="56">
        <v>130820251724</v>
      </c>
      <c r="N63" s="57" t="b">
        <v>1</v>
      </c>
      <c r="O63" s="58"/>
      <c r="P63" s="215"/>
      <c r="Q63" s="191" t="b">
        <v>1</v>
      </c>
      <c r="R63" s="308" t="s">
        <v>3138</v>
      </c>
      <c r="S63" s="337"/>
      <c r="T63" s="57" t="b">
        <v>1</v>
      </c>
      <c r="U63" s="310" t="s">
        <v>3579</v>
      </c>
      <c r="V63" s="307"/>
      <c r="W63" s="54"/>
    </row>
    <row r="64" spans="1:23" ht="16">
      <c r="A64" s="162"/>
      <c r="B64" s="71" t="s">
        <v>3580</v>
      </c>
      <c r="C64" s="53" t="s">
        <v>3495</v>
      </c>
      <c r="D64" s="53" t="s">
        <v>104</v>
      </c>
      <c r="E64" s="53" t="s">
        <v>158</v>
      </c>
      <c r="F64" s="53" t="s">
        <v>3496</v>
      </c>
      <c r="G64" s="53" t="s">
        <v>3448</v>
      </c>
      <c r="H64" s="131" t="s">
        <v>30</v>
      </c>
      <c r="I64" s="151">
        <v>10</v>
      </c>
      <c r="J64" s="335">
        <v>650</v>
      </c>
      <c r="K64" s="54">
        <f t="shared" si="1"/>
        <v>6500</v>
      </c>
      <c r="L64" s="55" t="b">
        <v>1</v>
      </c>
      <c r="M64" s="56">
        <v>140820251030</v>
      </c>
      <c r="N64" s="57" t="b">
        <v>1</v>
      </c>
      <c r="O64" s="58" t="s">
        <v>39</v>
      </c>
      <c r="P64" s="215" t="s">
        <v>3580</v>
      </c>
      <c r="Q64" s="191" t="b">
        <v>1</v>
      </c>
      <c r="R64" s="308" t="s">
        <v>3138</v>
      </c>
      <c r="S64" s="337"/>
      <c r="T64" s="57" t="b">
        <v>1</v>
      </c>
      <c r="U64" s="310" t="s">
        <v>3581</v>
      </c>
      <c r="V64" s="307"/>
      <c r="W64" s="54"/>
    </row>
    <row r="65" spans="1:23" ht="16">
      <c r="A65" s="162"/>
      <c r="B65" s="71" t="s">
        <v>3580</v>
      </c>
      <c r="C65" s="53" t="s">
        <v>3495</v>
      </c>
      <c r="D65" s="53" t="s">
        <v>104</v>
      </c>
      <c r="E65" s="53" t="s">
        <v>158</v>
      </c>
      <c r="F65" s="53" t="s">
        <v>3496</v>
      </c>
      <c r="G65" s="53" t="s">
        <v>3448</v>
      </c>
      <c r="H65" s="131" t="s">
        <v>30</v>
      </c>
      <c r="I65" s="151">
        <v>10</v>
      </c>
      <c r="J65" s="335">
        <v>650</v>
      </c>
      <c r="K65" s="54">
        <f t="shared" si="1"/>
        <v>6500</v>
      </c>
      <c r="L65" s="55" t="b">
        <v>1</v>
      </c>
      <c r="M65" s="56">
        <v>140820251030</v>
      </c>
      <c r="N65" s="57" t="b">
        <v>1</v>
      </c>
      <c r="O65" s="58" t="s">
        <v>39</v>
      </c>
      <c r="P65" s="215" t="s">
        <v>3580</v>
      </c>
      <c r="Q65" s="191" t="b">
        <v>1</v>
      </c>
      <c r="R65" s="308" t="s">
        <v>3138</v>
      </c>
      <c r="S65" s="337"/>
      <c r="T65" s="57" t="b">
        <v>1</v>
      </c>
      <c r="U65" s="310" t="s">
        <v>3582</v>
      </c>
      <c r="V65" s="307"/>
      <c r="W65" s="54"/>
    </row>
    <row r="66" spans="1:23" ht="16">
      <c r="A66" s="162"/>
      <c r="B66" s="71" t="s">
        <v>3580</v>
      </c>
      <c r="C66" s="151" t="s">
        <v>3583</v>
      </c>
      <c r="D66" s="151" t="s">
        <v>26</v>
      </c>
      <c r="E66" s="151" t="s">
        <v>158</v>
      </c>
      <c r="F66" s="151" t="s">
        <v>3584</v>
      </c>
      <c r="G66" s="131" t="s">
        <v>58</v>
      </c>
      <c r="H66" s="131" t="s">
        <v>30</v>
      </c>
      <c r="I66" s="151">
        <v>84</v>
      </c>
      <c r="J66" s="335">
        <v>42.5</v>
      </c>
      <c r="K66" s="54">
        <f t="shared" si="1"/>
        <v>3570</v>
      </c>
      <c r="L66" s="55" t="b">
        <v>1</v>
      </c>
      <c r="M66" s="56">
        <v>140820251122</v>
      </c>
      <c r="N66" s="57" t="b">
        <v>1</v>
      </c>
      <c r="O66" s="58"/>
      <c r="P66" s="215"/>
      <c r="Q66" s="191" t="b">
        <v>1</v>
      </c>
      <c r="R66" s="308" t="s">
        <v>3138</v>
      </c>
      <c r="S66" s="337"/>
      <c r="T66" s="57" t="b">
        <v>1</v>
      </c>
      <c r="U66" s="310" t="s">
        <v>3585</v>
      </c>
      <c r="V66" s="307"/>
      <c r="W66" s="54"/>
    </row>
    <row r="67" spans="1:23" ht="16">
      <c r="A67" s="162"/>
      <c r="B67" s="71" t="s">
        <v>3580</v>
      </c>
      <c r="C67" s="151" t="s">
        <v>3445</v>
      </c>
      <c r="D67" s="151" t="s">
        <v>262</v>
      </c>
      <c r="E67" s="151" t="s">
        <v>3446</v>
      </c>
      <c r="F67" s="151" t="s">
        <v>3447</v>
      </c>
      <c r="G67" s="131" t="s">
        <v>58</v>
      </c>
      <c r="H67" s="131" t="s">
        <v>30</v>
      </c>
      <c r="I67" s="151">
        <v>84</v>
      </c>
      <c r="J67" s="335">
        <v>42.5</v>
      </c>
      <c r="K67" s="54">
        <f t="shared" si="1"/>
        <v>3570</v>
      </c>
      <c r="L67" s="55" t="b">
        <v>1</v>
      </c>
      <c r="M67" s="56">
        <v>140820251158</v>
      </c>
      <c r="N67" s="57" t="b">
        <v>1</v>
      </c>
      <c r="O67" s="58"/>
      <c r="P67" s="215"/>
      <c r="Q67" s="191" t="b">
        <v>1</v>
      </c>
      <c r="R67" s="308" t="s">
        <v>3138</v>
      </c>
      <c r="S67" s="337"/>
      <c r="T67" s="57" t="b">
        <v>1</v>
      </c>
      <c r="U67" s="310" t="s">
        <v>3586</v>
      </c>
      <c r="V67" s="307"/>
      <c r="W67" s="54"/>
    </row>
    <row r="68" spans="1:23" ht="16">
      <c r="A68" s="162"/>
      <c r="B68" s="71" t="s">
        <v>3580</v>
      </c>
      <c r="C68" s="151" t="s">
        <v>3458</v>
      </c>
      <c r="D68" s="151" t="s">
        <v>51</v>
      </c>
      <c r="E68" s="151" t="s">
        <v>201</v>
      </c>
      <c r="F68" s="151" t="s">
        <v>202</v>
      </c>
      <c r="G68" s="131" t="s">
        <v>663</v>
      </c>
      <c r="H68" s="131" t="s">
        <v>30</v>
      </c>
      <c r="I68" s="151">
        <v>5</v>
      </c>
      <c r="J68" s="335">
        <v>875</v>
      </c>
      <c r="K68" s="54">
        <f t="shared" si="1"/>
        <v>4375</v>
      </c>
      <c r="L68" s="55" t="b">
        <v>1</v>
      </c>
      <c r="M68" s="56">
        <v>140820251200</v>
      </c>
      <c r="N68" s="57" t="b">
        <v>1</v>
      </c>
      <c r="O68" s="58" t="s">
        <v>1581</v>
      </c>
      <c r="P68" s="215"/>
      <c r="Q68" s="191" t="b">
        <v>1</v>
      </c>
      <c r="R68" s="308" t="s">
        <v>3138</v>
      </c>
      <c r="S68" s="297" t="s">
        <v>3587</v>
      </c>
      <c r="T68" s="57" t="b">
        <v>1</v>
      </c>
      <c r="U68" s="310" t="s">
        <v>3588</v>
      </c>
      <c r="V68" s="307"/>
      <c r="W68" s="54"/>
    </row>
    <row r="69" spans="1:23" ht="16">
      <c r="A69" s="162"/>
      <c r="B69" s="71" t="s">
        <v>3580</v>
      </c>
      <c r="C69" s="151" t="s">
        <v>3589</v>
      </c>
      <c r="D69" s="151" t="s">
        <v>397</v>
      </c>
      <c r="E69" s="151" t="s">
        <v>213</v>
      </c>
      <c r="F69" s="151" t="s">
        <v>859</v>
      </c>
      <c r="G69" s="131" t="s">
        <v>1700</v>
      </c>
      <c r="H69" s="131" t="s">
        <v>30</v>
      </c>
      <c r="I69" s="151">
        <v>500</v>
      </c>
      <c r="J69" s="335">
        <v>16.5</v>
      </c>
      <c r="K69" s="54">
        <f t="shared" si="1"/>
        <v>8250</v>
      </c>
      <c r="L69" s="55" t="b">
        <v>1</v>
      </c>
      <c r="M69" s="56">
        <v>140820251656</v>
      </c>
      <c r="N69" s="57" t="b">
        <v>1</v>
      </c>
      <c r="O69" s="58" t="s">
        <v>1581</v>
      </c>
      <c r="P69" s="215"/>
      <c r="Q69" s="191" t="b">
        <v>1</v>
      </c>
      <c r="R69" s="308" t="s">
        <v>3138</v>
      </c>
      <c r="S69" s="297" t="s">
        <v>3590</v>
      </c>
      <c r="T69" s="57" t="b">
        <v>1</v>
      </c>
      <c r="U69" s="310" t="s">
        <v>3591</v>
      </c>
      <c r="V69" s="307"/>
      <c r="W69" s="54"/>
    </row>
    <row r="70" spans="1:23" ht="16">
      <c r="A70" s="162"/>
      <c r="B70" s="71" t="s">
        <v>3580</v>
      </c>
      <c r="C70" s="151" t="s">
        <v>3592</v>
      </c>
      <c r="D70" s="151" t="s">
        <v>104</v>
      </c>
      <c r="E70" s="151" t="s">
        <v>2336</v>
      </c>
      <c r="F70" s="151" t="s">
        <v>674</v>
      </c>
      <c r="G70" s="131" t="s">
        <v>3571</v>
      </c>
      <c r="H70" s="131" t="s">
        <v>30</v>
      </c>
      <c r="I70" s="151">
        <v>5</v>
      </c>
      <c r="J70" s="335">
        <v>725</v>
      </c>
      <c r="K70" s="54">
        <f t="shared" si="1"/>
        <v>3625</v>
      </c>
      <c r="L70" s="55" t="b">
        <v>1</v>
      </c>
      <c r="M70" s="56">
        <v>140820251659</v>
      </c>
      <c r="N70" s="57" t="b">
        <v>1</v>
      </c>
      <c r="O70" s="58" t="s">
        <v>1581</v>
      </c>
      <c r="P70" s="215"/>
      <c r="Q70" s="191" t="b">
        <v>1</v>
      </c>
      <c r="R70" s="308" t="s">
        <v>3138</v>
      </c>
      <c r="S70" s="297" t="s">
        <v>3593</v>
      </c>
      <c r="T70" s="57" t="b">
        <v>1</v>
      </c>
      <c r="U70" s="310" t="s">
        <v>3594</v>
      </c>
      <c r="V70" s="307"/>
      <c r="W70" s="54"/>
    </row>
    <row r="71" spans="1:23" ht="14.25" customHeight="1">
      <c r="A71" s="162"/>
      <c r="B71" s="71" t="s">
        <v>3580</v>
      </c>
      <c r="C71" s="151" t="s">
        <v>3595</v>
      </c>
      <c r="D71" s="151" t="s">
        <v>55</v>
      </c>
      <c r="E71" s="151" t="s">
        <v>56</v>
      </c>
      <c r="F71" s="151" t="s">
        <v>57</v>
      </c>
      <c r="G71" s="131" t="s">
        <v>304</v>
      </c>
      <c r="H71" s="131" t="s">
        <v>30</v>
      </c>
      <c r="I71" s="151">
        <v>24</v>
      </c>
      <c r="J71" s="335">
        <v>60</v>
      </c>
      <c r="K71" s="54">
        <f t="shared" si="1"/>
        <v>1440</v>
      </c>
      <c r="L71" s="55" t="b">
        <v>1</v>
      </c>
      <c r="M71" s="56">
        <v>140820251700</v>
      </c>
      <c r="N71" s="57" t="b">
        <v>1</v>
      </c>
      <c r="O71" s="58" t="s">
        <v>1581</v>
      </c>
      <c r="P71" s="215"/>
      <c r="Q71" s="191" t="b">
        <v>1</v>
      </c>
      <c r="R71" s="308" t="s">
        <v>3138</v>
      </c>
      <c r="S71" s="297" t="s">
        <v>3596</v>
      </c>
      <c r="T71" s="57" t="b">
        <v>1</v>
      </c>
      <c r="U71" s="310" t="s">
        <v>3597</v>
      </c>
      <c r="V71" s="307"/>
      <c r="W71" s="54"/>
    </row>
    <row r="72" spans="1:23" ht="16">
      <c r="A72" s="101"/>
      <c r="B72" s="71" t="s">
        <v>3598</v>
      </c>
      <c r="C72" s="151" t="s">
        <v>3592</v>
      </c>
      <c r="D72" s="151" t="s">
        <v>104</v>
      </c>
      <c r="E72" s="151" t="s">
        <v>2336</v>
      </c>
      <c r="F72" s="151" t="s">
        <v>674</v>
      </c>
      <c r="G72" s="131" t="s">
        <v>3571</v>
      </c>
      <c r="H72" s="131" t="s">
        <v>30</v>
      </c>
      <c r="I72" s="151">
        <v>5</v>
      </c>
      <c r="J72" s="335">
        <v>725</v>
      </c>
      <c r="K72" s="54">
        <f t="shared" si="1"/>
        <v>3625</v>
      </c>
      <c r="L72" s="55" t="b">
        <v>1</v>
      </c>
      <c r="M72" s="56">
        <v>150820251734</v>
      </c>
      <c r="N72" s="57" t="b">
        <v>1</v>
      </c>
      <c r="O72" s="58"/>
      <c r="P72" s="215"/>
      <c r="Q72" s="191" t="b">
        <v>1</v>
      </c>
      <c r="R72" s="308" t="s">
        <v>3138</v>
      </c>
      <c r="S72" s="297" t="s">
        <v>3599</v>
      </c>
      <c r="T72" s="57" t="b">
        <v>1</v>
      </c>
      <c r="U72" s="310" t="s">
        <v>3600</v>
      </c>
      <c r="V72" s="307"/>
      <c r="W72" s="54"/>
    </row>
    <row r="73" spans="1:23" ht="16">
      <c r="A73" s="101"/>
      <c r="B73" s="71" t="s">
        <v>3598</v>
      </c>
      <c r="C73" s="151" t="s">
        <v>3601</v>
      </c>
      <c r="D73" s="151" t="s">
        <v>523</v>
      </c>
      <c r="E73" s="151" t="s">
        <v>524</v>
      </c>
      <c r="F73" s="151" t="s">
        <v>525</v>
      </c>
      <c r="G73" s="53" t="s">
        <v>374</v>
      </c>
      <c r="H73" s="131" t="s">
        <v>30</v>
      </c>
      <c r="I73" s="151">
        <v>50</v>
      </c>
      <c r="J73" s="335">
        <v>30</v>
      </c>
      <c r="K73" s="54">
        <f t="shared" si="1"/>
        <v>1500</v>
      </c>
      <c r="L73" s="55" t="b">
        <v>1</v>
      </c>
      <c r="M73" s="56">
        <v>150820251735</v>
      </c>
      <c r="N73" s="57" t="b">
        <v>1</v>
      </c>
      <c r="O73" s="58" t="s">
        <v>1581</v>
      </c>
      <c r="P73" s="215"/>
      <c r="Q73" s="191" t="b">
        <v>1</v>
      </c>
      <c r="R73" s="308" t="s">
        <v>3138</v>
      </c>
      <c r="S73" s="297" t="s">
        <v>3602</v>
      </c>
      <c r="T73" s="57" t="b">
        <v>1</v>
      </c>
      <c r="U73" s="310" t="s">
        <v>3603</v>
      </c>
      <c r="V73" s="307"/>
      <c r="W73" s="54"/>
    </row>
    <row r="74" spans="1:23" ht="16">
      <c r="A74" s="162"/>
      <c r="B74" s="71" t="s">
        <v>3598</v>
      </c>
      <c r="C74" s="151" t="s">
        <v>3487</v>
      </c>
      <c r="D74" s="151" t="s">
        <v>51</v>
      </c>
      <c r="E74" s="151" t="s">
        <v>89</v>
      </c>
      <c r="F74" s="151" t="s">
        <v>1699</v>
      </c>
      <c r="G74" s="53" t="s">
        <v>1367</v>
      </c>
      <c r="H74" s="131" t="s">
        <v>30</v>
      </c>
      <c r="I74" s="151">
        <v>5</v>
      </c>
      <c r="J74" s="335">
        <v>975</v>
      </c>
      <c r="K74" s="54">
        <f t="shared" si="1"/>
        <v>4875</v>
      </c>
      <c r="L74" s="55" t="b">
        <v>1</v>
      </c>
      <c r="M74" s="56">
        <v>150820251735</v>
      </c>
      <c r="N74" s="57" t="b">
        <v>1</v>
      </c>
      <c r="O74" s="58" t="s">
        <v>1581</v>
      </c>
      <c r="P74" s="215"/>
      <c r="Q74" s="191" t="b">
        <v>1</v>
      </c>
      <c r="R74" s="308" t="s">
        <v>3138</v>
      </c>
      <c r="S74" s="297" t="s">
        <v>3604</v>
      </c>
      <c r="T74" s="57" t="b">
        <v>1</v>
      </c>
      <c r="U74" s="310" t="s">
        <v>3605</v>
      </c>
      <c r="V74" s="307"/>
      <c r="W74" s="54"/>
    </row>
    <row r="75" spans="1:23" ht="16">
      <c r="A75" s="162"/>
      <c r="B75" s="71" t="s">
        <v>3598</v>
      </c>
      <c r="C75" s="151" t="s">
        <v>3487</v>
      </c>
      <c r="D75" s="151" t="s">
        <v>51</v>
      </c>
      <c r="E75" s="151" t="s">
        <v>89</v>
      </c>
      <c r="F75" s="151" t="s">
        <v>1699</v>
      </c>
      <c r="G75" s="338" t="s">
        <v>3606</v>
      </c>
      <c r="H75" s="131" t="s">
        <v>30</v>
      </c>
      <c r="I75" s="151">
        <v>100</v>
      </c>
      <c r="J75" s="335">
        <v>130</v>
      </c>
      <c r="K75" s="54">
        <f t="shared" si="1"/>
        <v>13000</v>
      </c>
      <c r="L75" s="55" t="b">
        <v>1</v>
      </c>
      <c r="M75" s="56">
        <v>150820251735</v>
      </c>
      <c r="N75" s="57" t="b">
        <v>1</v>
      </c>
      <c r="O75" s="58" t="s">
        <v>1581</v>
      </c>
      <c r="P75" s="215"/>
      <c r="Q75" s="191" t="b">
        <v>1</v>
      </c>
      <c r="R75" s="308" t="s">
        <v>3138</v>
      </c>
      <c r="S75" s="297" t="s">
        <v>3604</v>
      </c>
      <c r="T75" s="57" t="b">
        <v>1</v>
      </c>
      <c r="U75" s="310" t="s">
        <v>3605</v>
      </c>
      <c r="V75" s="307"/>
      <c r="W75" s="54"/>
    </row>
    <row r="76" spans="1:23" ht="16">
      <c r="A76" s="162"/>
      <c r="B76" s="71" t="s">
        <v>3607</v>
      </c>
      <c r="C76" s="151" t="s">
        <v>3517</v>
      </c>
      <c r="D76" s="151" t="s">
        <v>51</v>
      </c>
      <c r="E76" s="151" t="s">
        <v>61</v>
      </c>
      <c r="F76" s="151" t="s">
        <v>3608</v>
      </c>
      <c r="G76" s="53" t="s">
        <v>1181</v>
      </c>
      <c r="H76" s="131" t="s">
        <v>30</v>
      </c>
      <c r="I76" s="151">
        <v>4</v>
      </c>
      <c r="J76" s="335">
        <v>150</v>
      </c>
      <c r="K76" s="54">
        <f t="shared" si="1"/>
        <v>600</v>
      </c>
      <c r="L76" s="55" t="b">
        <v>1</v>
      </c>
      <c r="M76" s="56">
        <v>150820251735</v>
      </c>
      <c r="N76" s="57" t="b">
        <v>1</v>
      </c>
      <c r="O76" s="58" t="s">
        <v>1581</v>
      </c>
      <c r="P76" s="215"/>
      <c r="Q76" s="191" t="b">
        <v>1</v>
      </c>
      <c r="R76" s="308" t="s">
        <v>3138</v>
      </c>
      <c r="S76" s="297" t="s">
        <v>3609</v>
      </c>
      <c r="T76" s="57" t="b">
        <v>1</v>
      </c>
      <c r="U76" s="310" t="s">
        <v>3610</v>
      </c>
      <c r="V76" s="307" t="s">
        <v>3611</v>
      </c>
      <c r="W76" s="54"/>
    </row>
    <row r="77" spans="1:23" ht="16">
      <c r="A77" s="162"/>
      <c r="B77" s="71" t="s">
        <v>3607</v>
      </c>
      <c r="C77" s="151" t="s">
        <v>3517</v>
      </c>
      <c r="D77" s="151" t="s">
        <v>51</v>
      </c>
      <c r="E77" s="151" t="s">
        <v>61</v>
      </c>
      <c r="F77" s="151" t="s">
        <v>3608</v>
      </c>
      <c r="G77" s="53" t="s">
        <v>1181</v>
      </c>
      <c r="H77" s="131" t="s">
        <v>30</v>
      </c>
      <c r="I77" s="151">
        <v>6</v>
      </c>
      <c r="J77" s="335">
        <v>150</v>
      </c>
      <c r="K77" s="54">
        <f t="shared" si="1"/>
        <v>900</v>
      </c>
      <c r="L77" s="55" t="b">
        <v>1</v>
      </c>
      <c r="M77" s="56">
        <v>150820251735</v>
      </c>
      <c r="N77" s="57" t="b">
        <v>1</v>
      </c>
      <c r="O77" s="58"/>
      <c r="P77" s="215"/>
      <c r="Q77" s="191" t="b">
        <v>1</v>
      </c>
      <c r="R77" s="308" t="s">
        <v>3138</v>
      </c>
      <c r="S77" s="173" t="s">
        <v>3612</v>
      </c>
      <c r="T77" s="57" t="b">
        <v>1</v>
      </c>
      <c r="U77" s="310" t="s">
        <v>3613</v>
      </c>
      <c r="V77" s="307"/>
      <c r="W77" s="54"/>
    </row>
    <row r="78" spans="1:23" ht="16">
      <c r="A78" s="162"/>
      <c r="B78" s="71" t="s">
        <v>3607</v>
      </c>
      <c r="C78" s="151" t="s">
        <v>3517</v>
      </c>
      <c r="D78" s="151" t="s">
        <v>51</v>
      </c>
      <c r="E78" s="151" t="s">
        <v>61</v>
      </c>
      <c r="F78" s="151" t="s">
        <v>3608</v>
      </c>
      <c r="G78" s="151" t="s">
        <v>3614</v>
      </c>
      <c r="H78" s="131" t="s">
        <v>30</v>
      </c>
      <c r="I78" s="151">
        <v>100</v>
      </c>
      <c r="J78" s="335">
        <v>70</v>
      </c>
      <c r="K78" s="54">
        <f t="shared" si="1"/>
        <v>7000</v>
      </c>
      <c r="L78" s="55" t="b">
        <v>1</v>
      </c>
      <c r="M78" s="56">
        <v>150820251735</v>
      </c>
      <c r="N78" s="57" t="b">
        <v>1</v>
      </c>
      <c r="O78" s="58" t="s">
        <v>529</v>
      </c>
      <c r="P78" s="215"/>
      <c r="Q78" s="191" t="b">
        <v>1</v>
      </c>
      <c r="R78" s="308" t="s">
        <v>3138</v>
      </c>
      <c r="S78" s="297" t="s">
        <v>3615</v>
      </c>
      <c r="T78" s="57" t="b">
        <v>1</v>
      </c>
      <c r="U78" s="310" t="s">
        <v>3616</v>
      </c>
      <c r="V78" s="307"/>
      <c r="W78" s="54"/>
    </row>
    <row r="79" spans="1:23" ht="16">
      <c r="A79" s="162" t="s">
        <v>3617</v>
      </c>
      <c r="B79" s="71" t="s">
        <v>3618</v>
      </c>
      <c r="C79" s="151" t="s">
        <v>3619</v>
      </c>
      <c r="D79" s="151" t="s">
        <v>3620</v>
      </c>
      <c r="E79" s="151" t="s">
        <v>751</v>
      </c>
      <c r="F79" s="151" t="s">
        <v>2538</v>
      </c>
      <c r="G79" s="53" t="s">
        <v>3448</v>
      </c>
      <c r="H79" s="131" t="s">
        <v>30</v>
      </c>
      <c r="I79" s="151">
        <v>10</v>
      </c>
      <c r="J79" s="335">
        <v>650</v>
      </c>
      <c r="K79" s="54">
        <f t="shared" si="1"/>
        <v>6500</v>
      </c>
      <c r="L79" s="55" t="b">
        <v>1</v>
      </c>
      <c r="M79" s="56">
        <v>180820250849</v>
      </c>
      <c r="N79" s="57" t="b">
        <v>1</v>
      </c>
      <c r="O79" s="58" t="s">
        <v>39</v>
      </c>
      <c r="P79" s="226">
        <v>45887</v>
      </c>
      <c r="Q79" s="191" t="b">
        <v>1</v>
      </c>
      <c r="R79" s="308" t="s">
        <v>3138</v>
      </c>
      <c r="S79" s="337"/>
      <c r="T79" s="57" t="b">
        <v>1</v>
      </c>
      <c r="U79" s="310" t="s">
        <v>3621</v>
      </c>
      <c r="V79" s="307"/>
      <c r="W79" s="54"/>
    </row>
    <row r="80" spans="1:23" ht="16">
      <c r="A80" s="162"/>
      <c r="B80" s="71" t="s">
        <v>3618</v>
      </c>
      <c r="C80" s="151" t="s">
        <v>3458</v>
      </c>
      <c r="D80" s="151" t="s">
        <v>51</v>
      </c>
      <c r="E80" s="151" t="s">
        <v>201</v>
      </c>
      <c r="F80" s="151" t="s">
        <v>202</v>
      </c>
      <c r="G80" s="53" t="s">
        <v>3622</v>
      </c>
      <c r="H80" s="131" t="s">
        <v>30</v>
      </c>
      <c r="I80" s="151">
        <v>20</v>
      </c>
      <c r="J80" s="335">
        <v>300</v>
      </c>
      <c r="K80" s="54">
        <f t="shared" si="1"/>
        <v>6000</v>
      </c>
      <c r="L80" s="55" t="b">
        <v>1</v>
      </c>
      <c r="M80" s="56">
        <v>180820250849</v>
      </c>
      <c r="N80" s="57" t="b">
        <v>1</v>
      </c>
      <c r="O80" s="58"/>
      <c r="P80" s="215"/>
      <c r="Q80" s="191" t="b">
        <v>1</v>
      </c>
      <c r="R80" s="308" t="s">
        <v>3138</v>
      </c>
      <c r="S80" s="173" t="s">
        <v>3623</v>
      </c>
      <c r="T80" s="57" t="b">
        <v>1</v>
      </c>
      <c r="U80" s="310" t="s">
        <v>3624</v>
      </c>
      <c r="V80" s="307"/>
      <c r="W80" s="54"/>
    </row>
    <row r="81" spans="1:23" ht="15.75" customHeight="1">
      <c r="A81" s="162"/>
      <c r="B81" s="71" t="s">
        <v>3618</v>
      </c>
      <c r="C81" s="151" t="s">
        <v>3458</v>
      </c>
      <c r="D81" s="151" t="s">
        <v>51</v>
      </c>
      <c r="E81" s="151" t="s">
        <v>201</v>
      </c>
      <c r="F81" s="151" t="s">
        <v>202</v>
      </c>
      <c r="G81" s="53" t="s">
        <v>1181</v>
      </c>
      <c r="H81" s="131" t="s">
        <v>30</v>
      </c>
      <c r="I81" s="151">
        <v>20</v>
      </c>
      <c r="J81" s="335">
        <v>150</v>
      </c>
      <c r="K81" s="54">
        <f t="shared" si="1"/>
        <v>3000</v>
      </c>
      <c r="L81" s="55" t="b">
        <v>1</v>
      </c>
      <c r="M81" s="56">
        <v>180820250849</v>
      </c>
      <c r="N81" s="57" t="b">
        <v>1</v>
      </c>
      <c r="O81" s="58"/>
      <c r="P81" s="215"/>
      <c r="Q81" s="191" t="b">
        <v>1</v>
      </c>
      <c r="R81" s="308" t="s">
        <v>3138</v>
      </c>
      <c r="S81" s="173" t="s">
        <v>3623</v>
      </c>
      <c r="T81" s="57" t="b">
        <v>1</v>
      </c>
      <c r="U81" s="310" t="s">
        <v>3624</v>
      </c>
      <c r="V81" s="307"/>
      <c r="W81" s="54"/>
    </row>
    <row r="82" spans="1:23" ht="16">
      <c r="A82" s="162"/>
      <c r="B82" s="71" t="s">
        <v>3618</v>
      </c>
      <c r="C82" s="151" t="s">
        <v>3458</v>
      </c>
      <c r="D82" s="151" t="s">
        <v>51</v>
      </c>
      <c r="E82" s="151" t="s">
        <v>201</v>
      </c>
      <c r="F82" s="151" t="s">
        <v>202</v>
      </c>
      <c r="G82" s="53" t="s">
        <v>3448</v>
      </c>
      <c r="H82" s="131" t="s">
        <v>30</v>
      </c>
      <c r="I82" s="151">
        <v>10</v>
      </c>
      <c r="J82" s="335">
        <v>650</v>
      </c>
      <c r="K82" s="54">
        <f t="shared" si="1"/>
        <v>6500</v>
      </c>
      <c r="L82" s="55" t="b">
        <v>1</v>
      </c>
      <c r="M82" s="56">
        <v>180820250849</v>
      </c>
      <c r="N82" s="57" t="b">
        <v>1</v>
      </c>
      <c r="O82" s="58" t="s">
        <v>39</v>
      </c>
      <c r="P82" s="226">
        <v>45887</v>
      </c>
      <c r="Q82" s="191" t="b">
        <v>1</v>
      </c>
      <c r="R82" s="308" t="s">
        <v>3138</v>
      </c>
      <c r="S82" s="337"/>
      <c r="T82" s="57" t="b">
        <v>1</v>
      </c>
      <c r="U82" s="310" t="s">
        <v>3625</v>
      </c>
      <c r="V82" s="307"/>
      <c r="W82" s="54"/>
    </row>
    <row r="83" spans="1:23" ht="14.25" customHeight="1">
      <c r="A83" s="162"/>
      <c r="B83" s="71" t="s">
        <v>3618</v>
      </c>
      <c r="C83" s="151" t="s">
        <v>3552</v>
      </c>
      <c r="D83" s="151" t="s">
        <v>51</v>
      </c>
      <c r="E83" s="151" t="s">
        <v>66</v>
      </c>
      <c r="F83" s="151" t="s">
        <v>67</v>
      </c>
      <c r="G83" s="53" t="s">
        <v>3448</v>
      </c>
      <c r="H83" s="131" t="s">
        <v>30</v>
      </c>
      <c r="I83" s="151">
        <v>10</v>
      </c>
      <c r="J83" s="335">
        <v>650</v>
      </c>
      <c r="K83" s="54">
        <f t="shared" si="1"/>
        <v>6500</v>
      </c>
      <c r="L83" s="55" t="b">
        <v>1</v>
      </c>
      <c r="M83" s="56">
        <v>180820250849</v>
      </c>
      <c r="N83" s="57" t="b">
        <v>1</v>
      </c>
      <c r="O83" s="58" t="s">
        <v>39</v>
      </c>
      <c r="P83" s="226">
        <v>45887</v>
      </c>
      <c r="Q83" s="191" t="b">
        <v>1</v>
      </c>
      <c r="R83" s="308" t="s">
        <v>3138</v>
      </c>
      <c r="S83" s="337"/>
      <c r="T83" s="57" t="b">
        <v>1</v>
      </c>
      <c r="U83" s="310" t="s">
        <v>3626</v>
      </c>
      <c r="V83" s="307"/>
      <c r="W83" s="54"/>
    </row>
    <row r="84" spans="1:23" ht="16">
      <c r="A84" s="162"/>
      <c r="B84" s="71" t="s">
        <v>3618</v>
      </c>
      <c r="C84" s="53" t="s">
        <v>3487</v>
      </c>
      <c r="D84" s="53" t="s">
        <v>51</v>
      </c>
      <c r="E84" s="53" t="s">
        <v>89</v>
      </c>
      <c r="F84" s="53" t="s">
        <v>2090</v>
      </c>
      <c r="G84" s="53" t="s">
        <v>3622</v>
      </c>
      <c r="H84" s="131" t="s">
        <v>30</v>
      </c>
      <c r="I84" s="53">
        <v>20</v>
      </c>
      <c r="J84" s="188">
        <v>300</v>
      </c>
      <c r="K84" s="54">
        <f t="shared" si="1"/>
        <v>6000</v>
      </c>
      <c r="L84" s="55" t="b">
        <v>1</v>
      </c>
      <c r="M84" s="56">
        <v>180820250849</v>
      </c>
      <c r="N84" s="57" t="b">
        <v>1</v>
      </c>
      <c r="O84" s="58"/>
      <c r="P84" s="215" t="s">
        <v>3627</v>
      </c>
      <c r="Q84" s="191" t="b">
        <v>1</v>
      </c>
      <c r="R84" s="308" t="s">
        <v>3138</v>
      </c>
      <c r="S84" s="173" t="s">
        <v>3628</v>
      </c>
      <c r="T84" s="57" t="b">
        <v>1</v>
      </c>
      <c r="U84" s="310" t="s">
        <v>3629</v>
      </c>
      <c r="V84" s="307"/>
      <c r="W84" s="54"/>
    </row>
    <row r="85" spans="1:23" ht="16">
      <c r="A85" s="162"/>
      <c r="B85" s="71" t="s">
        <v>3618</v>
      </c>
      <c r="C85" s="151" t="s">
        <v>3534</v>
      </c>
      <c r="D85" s="151" t="s">
        <v>418</v>
      </c>
      <c r="E85" s="151" t="s">
        <v>1069</v>
      </c>
      <c r="F85" s="151" t="s">
        <v>420</v>
      </c>
      <c r="G85" s="53" t="s">
        <v>3448</v>
      </c>
      <c r="H85" s="131" t="s">
        <v>30</v>
      </c>
      <c r="I85" s="53">
        <v>10</v>
      </c>
      <c r="J85" s="188">
        <v>650</v>
      </c>
      <c r="K85" s="54">
        <f t="shared" si="1"/>
        <v>6500</v>
      </c>
      <c r="L85" s="55" t="b">
        <v>1</v>
      </c>
      <c r="M85" s="56">
        <v>180820250915</v>
      </c>
      <c r="N85" s="57" t="b">
        <v>1</v>
      </c>
      <c r="O85" s="58" t="s">
        <v>39</v>
      </c>
      <c r="P85" s="226">
        <v>45887</v>
      </c>
      <c r="Q85" s="191" t="b">
        <v>1</v>
      </c>
      <c r="R85" s="308" t="s">
        <v>3138</v>
      </c>
      <c r="S85" s="173"/>
      <c r="T85" s="57" t="b">
        <v>1</v>
      </c>
      <c r="U85" s="310" t="s">
        <v>3581</v>
      </c>
      <c r="V85" s="307"/>
      <c r="W85" s="54"/>
    </row>
    <row r="86" spans="1:23" ht="16">
      <c r="A86" s="162"/>
      <c r="B86" s="71" t="s">
        <v>3618</v>
      </c>
      <c r="C86" s="151" t="s">
        <v>3534</v>
      </c>
      <c r="D86" s="151" t="s">
        <v>418</v>
      </c>
      <c r="E86" s="151" t="s">
        <v>1069</v>
      </c>
      <c r="F86" s="151" t="s">
        <v>420</v>
      </c>
      <c r="G86" s="53" t="s">
        <v>1181</v>
      </c>
      <c r="H86" s="131" t="s">
        <v>30</v>
      </c>
      <c r="I86" s="151">
        <v>15</v>
      </c>
      <c r="J86" s="335">
        <v>150</v>
      </c>
      <c r="K86" s="54">
        <f t="shared" si="1"/>
        <v>2250</v>
      </c>
      <c r="L86" s="55" t="b">
        <v>1</v>
      </c>
      <c r="M86" s="56">
        <v>180820250915</v>
      </c>
      <c r="N86" s="57" t="b">
        <v>1</v>
      </c>
      <c r="O86" s="58"/>
      <c r="P86" s="215"/>
      <c r="Q86" s="191" t="b">
        <v>1</v>
      </c>
      <c r="R86" s="308" t="s">
        <v>3138</v>
      </c>
      <c r="S86" s="173" t="s">
        <v>3630</v>
      </c>
      <c r="T86" s="57" t="b">
        <v>1</v>
      </c>
      <c r="U86" s="310" t="s">
        <v>3631</v>
      </c>
      <c r="V86" s="307"/>
      <c r="W86" s="54"/>
    </row>
    <row r="87" spans="1:23" ht="16">
      <c r="A87" s="162"/>
      <c r="B87" s="71" t="s">
        <v>3618</v>
      </c>
      <c r="C87" s="151" t="s">
        <v>3534</v>
      </c>
      <c r="D87" s="151" t="s">
        <v>418</v>
      </c>
      <c r="E87" s="151" t="s">
        <v>1069</v>
      </c>
      <c r="F87" s="151" t="s">
        <v>420</v>
      </c>
      <c r="G87" s="53" t="s">
        <v>3622</v>
      </c>
      <c r="H87" s="131" t="s">
        <v>30</v>
      </c>
      <c r="I87" s="151">
        <v>15</v>
      </c>
      <c r="J87" s="335">
        <v>300</v>
      </c>
      <c r="K87" s="54">
        <f t="shared" si="1"/>
        <v>4500</v>
      </c>
      <c r="L87" s="55" t="b">
        <v>1</v>
      </c>
      <c r="M87" s="56">
        <v>180820250915</v>
      </c>
      <c r="N87" s="57" t="b">
        <v>1</v>
      </c>
      <c r="O87" s="58"/>
      <c r="P87" s="215"/>
      <c r="Q87" s="191" t="b">
        <v>1</v>
      </c>
      <c r="R87" s="308" t="s">
        <v>3138</v>
      </c>
      <c r="S87" s="173" t="s">
        <v>3630</v>
      </c>
      <c r="T87" s="57" t="b">
        <v>1</v>
      </c>
      <c r="U87" s="310" t="s">
        <v>3631</v>
      </c>
      <c r="V87" s="307"/>
      <c r="W87" s="54"/>
    </row>
    <row r="88" spans="1:23" ht="16">
      <c r="A88" s="162"/>
      <c r="B88" s="132" t="s">
        <v>3618</v>
      </c>
      <c r="C88" s="151" t="s">
        <v>3632</v>
      </c>
      <c r="D88" s="151" t="s">
        <v>104</v>
      </c>
      <c r="E88" s="151" t="s">
        <v>486</v>
      </c>
      <c r="F88" s="151" t="s">
        <v>241</v>
      </c>
      <c r="G88" s="80" t="s">
        <v>3448</v>
      </c>
      <c r="H88" s="131" t="s">
        <v>30</v>
      </c>
      <c r="I88" s="151">
        <v>10</v>
      </c>
      <c r="J88" s="335">
        <v>650</v>
      </c>
      <c r="K88" s="54">
        <f t="shared" si="1"/>
        <v>6500</v>
      </c>
      <c r="L88" s="55" t="b">
        <v>1</v>
      </c>
      <c r="M88" s="56">
        <v>180820250915</v>
      </c>
      <c r="N88" s="57" t="b">
        <v>1</v>
      </c>
      <c r="O88" s="58" t="s">
        <v>39</v>
      </c>
      <c r="P88" s="226">
        <v>45887</v>
      </c>
      <c r="Q88" s="191" t="b">
        <v>1</v>
      </c>
      <c r="R88" s="308" t="s">
        <v>3138</v>
      </c>
      <c r="S88" s="337"/>
      <c r="T88" s="57" t="b">
        <v>1</v>
      </c>
      <c r="U88" s="310" t="s">
        <v>3633</v>
      </c>
      <c r="V88" s="307"/>
      <c r="W88" s="54"/>
    </row>
    <row r="89" spans="1:23" ht="16">
      <c r="A89" s="162"/>
      <c r="B89" s="132" t="s">
        <v>3618</v>
      </c>
      <c r="C89" s="151" t="s">
        <v>3632</v>
      </c>
      <c r="D89" s="151" t="s">
        <v>104</v>
      </c>
      <c r="E89" s="151" t="s">
        <v>486</v>
      </c>
      <c r="F89" s="151" t="s">
        <v>241</v>
      </c>
      <c r="G89" s="53" t="s">
        <v>2083</v>
      </c>
      <c r="H89" s="131" t="s">
        <v>30</v>
      </c>
      <c r="I89" s="151">
        <v>1</v>
      </c>
      <c r="J89" s="335">
        <v>2350</v>
      </c>
      <c r="K89" s="54">
        <f t="shared" si="1"/>
        <v>2350</v>
      </c>
      <c r="L89" s="55" t="b">
        <v>1</v>
      </c>
      <c r="M89" s="56">
        <v>180820250915</v>
      </c>
      <c r="N89" s="57" t="b">
        <v>1</v>
      </c>
      <c r="O89" s="58" t="s">
        <v>1581</v>
      </c>
      <c r="P89" s="215"/>
      <c r="Q89" s="191" t="b">
        <v>1</v>
      </c>
      <c r="R89" s="308" t="s">
        <v>3138</v>
      </c>
      <c r="S89" s="297" t="s">
        <v>3634</v>
      </c>
      <c r="T89" s="57" t="b">
        <v>1</v>
      </c>
      <c r="U89" s="310" t="s">
        <v>3635</v>
      </c>
      <c r="V89" s="307"/>
      <c r="W89" s="54"/>
    </row>
    <row r="90" spans="1:23" ht="16">
      <c r="A90" s="162"/>
      <c r="B90" s="132" t="s">
        <v>3618</v>
      </c>
      <c r="C90" s="151" t="s">
        <v>3458</v>
      </c>
      <c r="D90" s="151" t="s">
        <v>51</v>
      </c>
      <c r="E90" s="151" t="s">
        <v>201</v>
      </c>
      <c r="F90" s="151" t="s">
        <v>202</v>
      </c>
      <c r="G90" s="80" t="s">
        <v>3555</v>
      </c>
      <c r="H90" s="131" t="s">
        <v>30</v>
      </c>
      <c r="I90" s="151">
        <v>100</v>
      </c>
      <c r="J90" s="335">
        <v>95</v>
      </c>
      <c r="K90" s="54">
        <f t="shared" si="1"/>
        <v>9500</v>
      </c>
      <c r="L90" s="55" t="b">
        <v>1</v>
      </c>
      <c r="M90" s="56">
        <v>180820250959</v>
      </c>
      <c r="N90" s="57" t="b">
        <v>1</v>
      </c>
      <c r="O90" s="58" t="s">
        <v>1581</v>
      </c>
      <c r="P90" s="215"/>
      <c r="Q90" s="191" t="b">
        <v>1</v>
      </c>
      <c r="R90" s="308" t="s">
        <v>3138</v>
      </c>
      <c r="S90" s="297" t="s">
        <v>3636</v>
      </c>
      <c r="T90" s="57" t="b">
        <v>1</v>
      </c>
      <c r="U90" s="310" t="s">
        <v>3637</v>
      </c>
      <c r="V90" s="307"/>
      <c r="W90" s="54"/>
    </row>
    <row r="91" spans="1:23" ht="16">
      <c r="A91" s="162"/>
      <c r="B91" s="132" t="s">
        <v>3618</v>
      </c>
      <c r="C91" s="151" t="s">
        <v>3458</v>
      </c>
      <c r="D91" s="151" t="s">
        <v>51</v>
      </c>
      <c r="E91" s="151" t="s">
        <v>201</v>
      </c>
      <c r="F91" s="151" t="s">
        <v>202</v>
      </c>
      <c r="G91" s="53" t="s">
        <v>321</v>
      </c>
      <c r="H91" s="131" t="s">
        <v>30</v>
      </c>
      <c r="I91" s="151">
        <v>168</v>
      </c>
      <c r="J91" s="335">
        <v>42.5</v>
      </c>
      <c r="K91" s="54">
        <f t="shared" si="1"/>
        <v>7140</v>
      </c>
      <c r="L91" s="55" t="b">
        <v>1</v>
      </c>
      <c r="M91" s="56">
        <v>180820250959</v>
      </c>
      <c r="N91" s="57" t="b">
        <v>1</v>
      </c>
      <c r="O91" s="58" t="s">
        <v>1581</v>
      </c>
      <c r="P91" s="215"/>
      <c r="Q91" s="191" t="b">
        <v>1</v>
      </c>
      <c r="R91" s="308" t="s">
        <v>3138</v>
      </c>
      <c r="S91" s="297" t="s">
        <v>3638</v>
      </c>
      <c r="T91" s="57" t="b">
        <v>1</v>
      </c>
      <c r="U91" s="310" t="s">
        <v>3639</v>
      </c>
      <c r="V91" s="307"/>
      <c r="W91" s="54"/>
    </row>
    <row r="92" spans="1:23" ht="16">
      <c r="A92" s="162"/>
      <c r="B92" s="132" t="s">
        <v>3640</v>
      </c>
      <c r="C92" s="151" t="s">
        <v>3641</v>
      </c>
      <c r="D92" s="151" t="s">
        <v>51</v>
      </c>
      <c r="E92" s="151" t="s">
        <v>335</v>
      </c>
      <c r="F92" s="151" t="s">
        <v>339</v>
      </c>
      <c r="G92" s="151" t="s">
        <v>3642</v>
      </c>
      <c r="H92" s="131" t="s">
        <v>30</v>
      </c>
      <c r="I92" s="151">
        <v>100</v>
      </c>
      <c r="J92" s="335">
        <v>270</v>
      </c>
      <c r="K92" s="54">
        <f t="shared" si="1"/>
        <v>27000</v>
      </c>
      <c r="L92" s="55" t="b">
        <v>1</v>
      </c>
      <c r="M92" s="56">
        <v>190820251012</v>
      </c>
      <c r="N92" s="57" t="b">
        <v>1</v>
      </c>
      <c r="O92" s="215"/>
      <c r="P92" s="339"/>
      <c r="Q92" s="191" t="b">
        <v>1</v>
      </c>
      <c r="R92" s="308" t="s">
        <v>3138</v>
      </c>
      <c r="S92" s="297" t="s">
        <v>3643</v>
      </c>
      <c r="T92" s="57" t="b">
        <v>1</v>
      </c>
      <c r="U92" s="310" t="s">
        <v>3644</v>
      </c>
      <c r="V92" s="307"/>
      <c r="W92" s="54"/>
    </row>
    <row r="93" spans="1:23" ht="16">
      <c r="A93" s="162"/>
      <c r="B93" s="132" t="s">
        <v>3640</v>
      </c>
      <c r="C93" s="151" t="s">
        <v>3517</v>
      </c>
      <c r="D93" s="151" t="s">
        <v>51</v>
      </c>
      <c r="E93" s="151" t="s">
        <v>61</v>
      </c>
      <c r="F93" s="151" t="s">
        <v>476</v>
      </c>
      <c r="G93" s="131" t="s">
        <v>3642</v>
      </c>
      <c r="H93" s="131" t="s">
        <v>30</v>
      </c>
      <c r="I93" s="151">
        <v>100</v>
      </c>
      <c r="J93" s="335">
        <v>255</v>
      </c>
      <c r="K93" s="54">
        <f t="shared" si="1"/>
        <v>25500</v>
      </c>
      <c r="L93" s="55" t="b">
        <v>1</v>
      </c>
      <c r="M93" s="56">
        <v>190820251013</v>
      </c>
      <c r="N93" s="57" t="b">
        <v>1</v>
      </c>
      <c r="O93" s="58"/>
      <c r="P93" s="215"/>
      <c r="Q93" s="191" t="b">
        <v>1</v>
      </c>
      <c r="R93" s="308" t="s">
        <v>3138</v>
      </c>
      <c r="S93" s="297" t="s">
        <v>3645</v>
      </c>
      <c r="T93" s="57" t="b">
        <v>1</v>
      </c>
      <c r="U93" s="310" t="s">
        <v>3646</v>
      </c>
      <c r="V93" s="307"/>
      <c r="W93" s="54"/>
    </row>
    <row r="94" spans="1:23" ht="16">
      <c r="A94" s="162"/>
      <c r="B94" s="132" t="s">
        <v>3640</v>
      </c>
      <c r="C94" s="151" t="s">
        <v>3532</v>
      </c>
      <c r="D94" s="151" t="s">
        <v>51</v>
      </c>
      <c r="E94" s="151" t="s">
        <v>52</v>
      </c>
      <c r="F94" s="151" t="s">
        <v>2653</v>
      </c>
      <c r="G94" s="131" t="s">
        <v>3647</v>
      </c>
      <c r="H94" s="131" t="s">
        <v>30</v>
      </c>
      <c r="I94" s="151">
        <v>16</v>
      </c>
      <c r="J94" s="335">
        <v>300</v>
      </c>
      <c r="K94" s="54">
        <f t="shared" si="1"/>
        <v>4800</v>
      </c>
      <c r="L94" s="55" t="b">
        <v>1</v>
      </c>
      <c r="M94" s="56">
        <v>190820251024</v>
      </c>
      <c r="N94" s="57" t="b">
        <v>1</v>
      </c>
      <c r="O94" s="58"/>
      <c r="P94" s="215"/>
      <c r="Q94" s="191" t="b">
        <v>1</v>
      </c>
      <c r="R94" s="308" t="s">
        <v>3138</v>
      </c>
      <c r="S94" s="297" t="s">
        <v>3648</v>
      </c>
      <c r="T94" s="57" t="b">
        <v>1</v>
      </c>
      <c r="U94" s="310" t="s">
        <v>3649</v>
      </c>
      <c r="V94" s="307"/>
      <c r="W94" s="54"/>
    </row>
    <row r="95" spans="1:23" ht="16">
      <c r="A95" s="162"/>
      <c r="B95" s="132" t="s">
        <v>3640</v>
      </c>
      <c r="C95" s="151" t="s">
        <v>3650</v>
      </c>
      <c r="D95" s="151" t="s">
        <v>171</v>
      </c>
      <c r="E95" s="151" t="s">
        <v>137</v>
      </c>
      <c r="F95" s="151" t="s">
        <v>3651</v>
      </c>
      <c r="G95" s="151" t="s">
        <v>3652</v>
      </c>
      <c r="H95" s="131" t="s">
        <v>30</v>
      </c>
      <c r="I95" s="151">
        <v>100</v>
      </c>
      <c r="J95" s="335">
        <v>120</v>
      </c>
      <c r="K95" s="54">
        <f t="shared" si="1"/>
        <v>12000</v>
      </c>
      <c r="L95" s="55" t="b">
        <v>1</v>
      </c>
      <c r="M95" s="56">
        <v>190820251024</v>
      </c>
      <c r="N95" s="57" t="b">
        <v>1</v>
      </c>
      <c r="O95" s="58"/>
      <c r="P95" s="215"/>
      <c r="Q95" s="191" t="b">
        <v>1</v>
      </c>
      <c r="R95" s="308" t="s">
        <v>3138</v>
      </c>
      <c r="S95" s="297" t="s">
        <v>3653</v>
      </c>
      <c r="T95" s="57" t="b">
        <v>1</v>
      </c>
      <c r="U95" s="310" t="s">
        <v>3654</v>
      </c>
      <c r="V95" s="307"/>
      <c r="W95" s="54"/>
    </row>
    <row r="96" spans="1:23" ht="16">
      <c r="A96" s="162"/>
      <c r="B96" s="132" t="s">
        <v>3640</v>
      </c>
      <c r="C96" s="151" t="s">
        <v>3650</v>
      </c>
      <c r="D96" s="151" t="s">
        <v>171</v>
      </c>
      <c r="E96" s="151" t="s">
        <v>137</v>
      </c>
      <c r="F96" s="151" t="s">
        <v>3651</v>
      </c>
      <c r="G96" s="151" t="s">
        <v>3655</v>
      </c>
      <c r="H96" s="131" t="s">
        <v>30</v>
      </c>
      <c r="I96" s="151">
        <v>100</v>
      </c>
      <c r="J96" s="335">
        <v>5</v>
      </c>
      <c r="K96" s="54">
        <f t="shared" si="1"/>
        <v>500</v>
      </c>
      <c r="L96" s="55" t="b">
        <v>1</v>
      </c>
      <c r="M96" s="56">
        <v>190820251024</v>
      </c>
      <c r="N96" s="57" t="b">
        <v>1</v>
      </c>
      <c r="O96" s="58"/>
      <c r="P96" s="215"/>
      <c r="Q96" s="191" t="b">
        <v>1</v>
      </c>
      <c r="R96" s="308" t="s">
        <v>3138</v>
      </c>
      <c r="S96" s="297" t="s">
        <v>3653</v>
      </c>
      <c r="T96" s="57" t="b">
        <v>1</v>
      </c>
      <c r="U96" s="310" t="s">
        <v>3654</v>
      </c>
      <c r="V96" s="307"/>
      <c r="W96" s="54"/>
    </row>
    <row r="97" spans="1:23" ht="16">
      <c r="A97" s="162"/>
      <c r="B97" s="132" t="s">
        <v>3656</v>
      </c>
      <c r="C97" s="151" t="s">
        <v>3641</v>
      </c>
      <c r="D97" s="151" t="s">
        <v>51</v>
      </c>
      <c r="E97" s="151" t="s">
        <v>335</v>
      </c>
      <c r="F97" s="151" t="s">
        <v>339</v>
      </c>
      <c r="G97" s="53" t="s">
        <v>3657</v>
      </c>
      <c r="H97" s="131" t="s">
        <v>30</v>
      </c>
      <c r="I97" s="340">
        <v>1</v>
      </c>
      <c r="J97" s="341">
        <v>7750</v>
      </c>
      <c r="K97" s="54">
        <f t="shared" si="1"/>
        <v>7750</v>
      </c>
      <c r="L97" s="55" t="b">
        <v>1</v>
      </c>
      <c r="M97" s="56">
        <v>200820251032</v>
      </c>
      <c r="N97" s="57" t="b">
        <v>1</v>
      </c>
      <c r="O97" s="58"/>
      <c r="P97" s="215"/>
      <c r="Q97" s="191" t="b">
        <v>1</v>
      </c>
      <c r="R97" s="308" t="s">
        <v>3138</v>
      </c>
      <c r="S97" s="297"/>
      <c r="T97" s="57" t="b">
        <v>1</v>
      </c>
      <c r="U97" s="310" t="s">
        <v>3658</v>
      </c>
      <c r="V97" s="307"/>
      <c r="W97" s="54"/>
    </row>
    <row r="98" spans="1:23" ht="16">
      <c r="A98" s="162"/>
      <c r="B98" s="132" t="s">
        <v>3656</v>
      </c>
      <c r="C98" s="151" t="s">
        <v>3641</v>
      </c>
      <c r="D98" s="151" t="s">
        <v>51</v>
      </c>
      <c r="E98" s="151" t="s">
        <v>335</v>
      </c>
      <c r="F98" s="151" t="s">
        <v>339</v>
      </c>
      <c r="G98" s="53" t="s">
        <v>3659</v>
      </c>
      <c r="H98" s="131" t="s">
        <v>30</v>
      </c>
      <c r="I98" s="151">
        <v>1</v>
      </c>
      <c r="J98" s="335">
        <v>7750</v>
      </c>
      <c r="K98" s="54">
        <f t="shared" si="1"/>
        <v>7750</v>
      </c>
      <c r="L98" s="55" t="b">
        <v>1</v>
      </c>
      <c r="M98" s="56">
        <v>200820251032</v>
      </c>
      <c r="N98" s="57" t="b">
        <v>1</v>
      </c>
      <c r="O98" s="58"/>
      <c r="P98" s="215"/>
      <c r="Q98" s="191" t="b">
        <v>1</v>
      </c>
      <c r="R98" s="308" t="s">
        <v>3138</v>
      </c>
      <c r="S98" s="297"/>
      <c r="T98" s="57" t="b">
        <v>1</v>
      </c>
      <c r="U98" s="310" t="s">
        <v>3658</v>
      </c>
      <c r="V98" s="307"/>
      <c r="W98" s="54"/>
    </row>
    <row r="99" spans="1:23" ht="16">
      <c r="A99" s="162"/>
      <c r="B99" s="132" t="s">
        <v>3656</v>
      </c>
      <c r="C99" s="151" t="s">
        <v>3641</v>
      </c>
      <c r="D99" s="151" t="s">
        <v>51</v>
      </c>
      <c r="E99" s="151" t="s">
        <v>335</v>
      </c>
      <c r="F99" s="151" t="s">
        <v>339</v>
      </c>
      <c r="G99" s="151" t="s">
        <v>3660</v>
      </c>
      <c r="H99" s="131" t="s">
        <v>30</v>
      </c>
      <c r="I99" s="151">
        <v>1</v>
      </c>
      <c r="J99" s="335">
        <v>4500</v>
      </c>
      <c r="K99" s="54">
        <f t="shared" si="1"/>
        <v>4500</v>
      </c>
      <c r="L99" s="55" t="b">
        <v>1</v>
      </c>
      <c r="M99" s="56">
        <v>200820251032</v>
      </c>
      <c r="N99" s="57" t="b">
        <v>1</v>
      </c>
      <c r="O99" s="58"/>
      <c r="P99" s="215"/>
      <c r="Q99" s="191" t="b">
        <v>1</v>
      </c>
      <c r="R99" s="308" t="s">
        <v>3138</v>
      </c>
      <c r="S99" s="297" t="s">
        <v>3661</v>
      </c>
      <c r="T99" s="57" t="b">
        <v>1</v>
      </c>
      <c r="U99" s="310" t="s">
        <v>3662</v>
      </c>
      <c r="V99" s="307"/>
      <c r="W99" s="54"/>
    </row>
    <row r="100" spans="1:23" ht="16">
      <c r="A100" s="162"/>
      <c r="B100" s="132" t="s">
        <v>3656</v>
      </c>
      <c r="C100" s="151" t="s">
        <v>3663</v>
      </c>
      <c r="D100" s="151" t="s">
        <v>2152</v>
      </c>
      <c r="E100" s="151" t="s">
        <v>137</v>
      </c>
      <c r="F100" s="151" t="s">
        <v>3664</v>
      </c>
      <c r="G100" s="340" t="s">
        <v>68</v>
      </c>
      <c r="H100" s="131" t="s">
        <v>30</v>
      </c>
      <c r="I100" s="151">
        <v>2</v>
      </c>
      <c r="J100" s="335">
        <v>2350</v>
      </c>
      <c r="K100" s="54">
        <f t="shared" si="1"/>
        <v>4700</v>
      </c>
      <c r="L100" s="55" t="b">
        <v>1</v>
      </c>
      <c r="M100" s="56">
        <v>200820251652</v>
      </c>
      <c r="N100" s="57" t="b">
        <v>1</v>
      </c>
      <c r="O100" s="58"/>
      <c r="P100" s="215"/>
      <c r="Q100" s="191" t="b">
        <v>1</v>
      </c>
      <c r="R100" s="308" t="s">
        <v>3138</v>
      </c>
      <c r="S100" s="297" t="s">
        <v>3665</v>
      </c>
      <c r="T100" s="57" t="b">
        <v>1</v>
      </c>
      <c r="U100" s="310" t="s">
        <v>3666</v>
      </c>
      <c r="V100" s="307"/>
      <c r="W100" s="54"/>
    </row>
    <row r="101" spans="1:23" ht="16">
      <c r="A101" s="162"/>
      <c r="B101" s="132" t="s">
        <v>3667</v>
      </c>
      <c r="C101" s="151" t="s">
        <v>3445</v>
      </c>
      <c r="D101" s="151" t="s">
        <v>262</v>
      </c>
      <c r="E101" s="151" t="s">
        <v>3446</v>
      </c>
      <c r="F101" s="151" t="s">
        <v>3447</v>
      </c>
      <c r="G101" s="340" t="s">
        <v>3668</v>
      </c>
      <c r="H101" s="131" t="s">
        <v>30</v>
      </c>
      <c r="I101" s="151">
        <v>29</v>
      </c>
      <c r="J101" s="335">
        <v>640</v>
      </c>
      <c r="K101" s="54">
        <f t="shared" si="1"/>
        <v>18560</v>
      </c>
      <c r="L101" s="55" t="b">
        <v>1</v>
      </c>
      <c r="M101" s="56">
        <v>210820251144</v>
      </c>
      <c r="N101" s="57" t="b">
        <v>1</v>
      </c>
      <c r="O101" s="58"/>
      <c r="P101" s="215"/>
      <c r="Q101" s="191" t="b">
        <v>1</v>
      </c>
      <c r="R101" s="308" t="s">
        <v>3138</v>
      </c>
      <c r="S101" s="297" t="s">
        <v>3669</v>
      </c>
      <c r="T101" s="57" t="b">
        <v>1</v>
      </c>
      <c r="U101" s="310" t="s">
        <v>3670</v>
      </c>
      <c r="V101" s="307"/>
      <c r="W101" s="54"/>
    </row>
    <row r="102" spans="1:23" ht="16">
      <c r="A102" s="162"/>
      <c r="B102" s="132" t="s">
        <v>3667</v>
      </c>
      <c r="C102" s="151" t="s">
        <v>3445</v>
      </c>
      <c r="D102" s="151" t="s">
        <v>262</v>
      </c>
      <c r="E102" s="151" t="s">
        <v>3446</v>
      </c>
      <c r="F102" s="151" t="s">
        <v>3447</v>
      </c>
      <c r="G102" s="340" t="s">
        <v>68</v>
      </c>
      <c r="H102" s="131" t="s">
        <v>30</v>
      </c>
      <c r="I102" s="151">
        <v>1</v>
      </c>
      <c r="J102" s="335">
        <v>2350</v>
      </c>
      <c r="K102" s="54">
        <f t="shared" si="1"/>
        <v>2350</v>
      </c>
      <c r="L102" s="55" t="b">
        <v>1</v>
      </c>
      <c r="M102" s="56">
        <v>210820251151</v>
      </c>
      <c r="N102" s="57" t="b">
        <v>1</v>
      </c>
      <c r="O102" s="58"/>
      <c r="P102" s="215"/>
      <c r="Q102" s="191" t="b">
        <v>1</v>
      </c>
      <c r="R102" s="308" t="s">
        <v>3138</v>
      </c>
      <c r="S102" s="297" t="s">
        <v>3671</v>
      </c>
      <c r="T102" s="57" t="b">
        <v>1</v>
      </c>
      <c r="U102" s="310" t="s">
        <v>3672</v>
      </c>
      <c r="V102" s="307"/>
      <c r="W102" s="54"/>
    </row>
    <row r="103" spans="1:23" ht="16">
      <c r="A103" s="162"/>
      <c r="B103" s="71" t="s">
        <v>3667</v>
      </c>
      <c r="C103" s="151" t="s">
        <v>3445</v>
      </c>
      <c r="D103" s="151" t="s">
        <v>262</v>
      </c>
      <c r="E103" s="151" t="s">
        <v>3446</v>
      </c>
      <c r="F103" s="151" t="s">
        <v>3447</v>
      </c>
      <c r="G103" s="340" t="s">
        <v>3673</v>
      </c>
      <c r="H103" s="131" t="s">
        <v>30</v>
      </c>
      <c r="I103" s="151">
        <v>1</v>
      </c>
      <c r="J103" s="335">
        <v>300</v>
      </c>
      <c r="K103" s="54">
        <f t="shared" si="1"/>
        <v>300</v>
      </c>
      <c r="L103" s="55" t="b">
        <v>1</v>
      </c>
      <c r="M103" s="56">
        <v>210820251412</v>
      </c>
      <c r="N103" s="57" t="b">
        <v>1</v>
      </c>
      <c r="O103" s="58"/>
      <c r="P103" s="215"/>
      <c r="Q103" s="191" t="b">
        <v>1</v>
      </c>
      <c r="R103" s="308" t="s">
        <v>3138</v>
      </c>
      <c r="S103" s="297" t="s">
        <v>3674</v>
      </c>
      <c r="T103" s="57" t="b">
        <v>1</v>
      </c>
      <c r="U103" s="310" t="s">
        <v>3675</v>
      </c>
      <c r="V103" s="307"/>
      <c r="W103" s="54"/>
    </row>
    <row r="104" spans="1:23" ht="16">
      <c r="A104" s="162"/>
      <c r="B104" s="71" t="s">
        <v>3667</v>
      </c>
      <c r="C104" s="151" t="s">
        <v>3445</v>
      </c>
      <c r="D104" s="151" t="s">
        <v>262</v>
      </c>
      <c r="E104" s="151" t="s">
        <v>3446</v>
      </c>
      <c r="F104" s="151" t="s">
        <v>3447</v>
      </c>
      <c r="G104" s="151" t="s">
        <v>3571</v>
      </c>
      <c r="H104" s="131" t="s">
        <v>30</v>
      </c>
      <c r="I104" s="151">
        <v>10</v>
      </c>
      <c r="J104" s="335">
        <v>725</v>
      </c>
      <c r="K104" s="54">
        <f t="shared" si="1"/>
        <v>7250</v>
      </c>
      <c r="L104" s="55" t="b">
        <v>1</v>
      </c>
      <c r="M104" s="56">
        <v>210820251412</v>
      </c>
      <c r="N104" s="57" t="b">
        <v>1</v>
      </c>
      <c r="O104" s="58"/>
      <c r="P104" s="215"/>
      <c r="Q104" s="191" t="b">
        <v>1</v>
      </c>
      <c r="R104" s="308" t="s">
        <v>3138</v>
      </c>
      <c r="S104" s="297" t="s">
        <v>3671</v>
      </c>
      <c r="T104" s="57" t="b">
        <v>1</v>
      </c>
      <c r="U104" s="310" t="s">
        <v>3672</v>
      </c>
      <c r="V104" s="307"/>
      <c r="W104" s="54"/>
    </row>
    <row r="105" spans="1:23" ht="13.5" customHeight="1">
      <c r="A105" s="162"/>
      <c r="B105" s="71" t="s">
        <v>3676</v>
      </c>
      <c r="C105" s="53" t="s">
        <v>3506</v>
      </c>
      <c r="D105" s="53" t="s">
        <v>55</v>
      </c>
      <c r="E105" s="53">
        <v>41</v>
      </c>
      <c r="F105" s="53" t="s">
        <v>3677</v>
      </c>
      <c r="G105" s="53" t="s">
        <v>3512</v>
      </c>
      <c r="H105" s="131" t="s">
        <v>30</v>
      </c>
      <c r="I105" s="151">
        <v>3</v>
      </c>
      <c r="J105" s="335">
        <v>2100</v>
      </c>
      <c r="K105" s="54">
        <f t="shared" si="1"/>
        <v>6300</v>
      </c>
      <c r="L105" s="55" t="b">
        <v>1</v>
      </c>
      <c r="M105" s="56" t="s">
        <v>529</v>
      </c>
      <c r="N105" s="57" t="b">
        <v>1</v>
      </c>
      <c r="O105" s="58"/>
      <c r="P105" s="215"/>
      <c r="Q105" s="191" t="b">
        <v>1</v>
      </c>
      <c r="R105" s="308" t="s">
        <v>3138</v>
      </c>
      <c r="S105" s="297" t="s">
        <v>3678</v>
      </c>
      <c r="T105" s="57" t="b">
        <v>1</v>
      </c>
      <c r="U105" s="310" t="s">
        <v>3679</v>
      </c>
      <c r="V105" s="307"/>
      <c r="W105" s="54"/>
    </row>
    <row r="106" spans="1:23" ht="16">
      <c r="A106" s="162"/>
      <c r="B106" s="71" t="s">
        <v>3676</v>
      </c>
      <c r="C106" s="53" t="s">
        <v>3506</v>
      </c>
      <c r="D106" s="53" t="s">
        <v>55</v>
      </c>
      <c r="E106" s="53">
        <v>41</v>
      </c>
      <c r="F106" s="53" t="s">
        <v>3677</v>
      </c>
      <c r="G106" s="334" t="s">
        <v>3642</v>
      </c>
      <c r="H106" s="131" t="s">
        <v>30</v>
      </c>
      <c r="I106" s="151">
        <v>25</v>
      </c>
      <c r="J106" s="335">
        <v>270</v>
      </c>
      <c r="K106" s="54">
        <f t="shared" si="1"/>
        <v>6750</v>
      </c>
      <c r="L106" s="55" t="b">
        <v>1</v>
      </c>
      <c r="M106" s="56" t="s">
        <v>529</v>
      </c>
      <c r="N106" s="57" t="b">
        <v>1</v>
      </c>
      <c r="O106" s="58"/>
      <c r="P106" s="215"/>
      <c r="Q106" s="191" t="b">
        <v>1</v>
      </c>
      <c r="R106" s="308" t="s">
        <v>3138</v>
      </c>
      <c r="S106" s="297" t="s">
        <v>3680</v>
      </c>
      <c r="T106" s="57" t="b">
        <v>1</v>
      </c>
      <c r="U106" s="310" t="s">
        <v>3681</v>
      </c>
      <c r="V106" s="307"/>
      <c r="W106" s="54"/>
    </row>
    <row r="107" spans="1:23" ht="16">
      <c r="A107" s="162"/>
      <c r="B107" s="71" t="s">
        <v>3676</v>
      </c>
      <c r="C107" s="53" t="s">
        <v>3506</v>
      </c>
      <c r="D107" s="53" t="s">
        <v>55</v>
      </c>
      <c r="E107" s="53">
        <v>41</v>
      </c>
      <c r="F107" s="53" t="s">
        <v>3677</v>
      </c>
      <c r="G107" s="334" t="s">
        <v>3562</v>
      </c>
      <c r="H107" s="131" t="s">
        <v>30</v>
      </c>
      <c r="I107" s="151">
        <v>1</v>
      </c>
      <c r="J107" s="335">
        <v>750</v>
      </c>
      <c r="K107" s="335">
        <v>750</v>
      </c>
      <c r="L107" s="55" t="b">
        <v>1</v>
      </c>
      <c r="M107" s="56"/>
      <c r="N107" s="57" t="b">
        <v>1</v>
      </c>
      <c r="O107" s="58"/>
      <c r="P107" s="215"/>
      <c r="Q107" s="191" t="b">
        <v>1</v>
      </c>
      <c r="R107" s="308" t="s">
        <v>3138</v>
      </c>
      <c r="S107" s="297" t="s">
        <v>3680</v>
      </c>
      <c r="T107" s="57" t="b">
        <v>1</v>
      </c>
      <c r="U107" s="310" t="s">
        <v>3682</v>
      </c>
      <c r="V107" s="307"/>
      <c r="W107" s="54"/>
    </row>
    <row r="108" spans="1:23" ht="16">
      <c r="A108" s="162"/>
      <c r="B108" s="71" t="s">
        <v>3676</v>
      </c>
      <c r="C108" s="53" t="s">
        <v>3506</v>
      </c>
      <c r="D108" s="53" t="s">
        <v>55</v>
      </c>
      <c r="E108" s="53">
        <v>41</v>
      </c>
      <c r="F108" s="53" t="s">
        <v>3677</v>
      </c>
      <c r="G108" s="151" t="s">
        <v>3683</v>
      </c>
      <c r="H108" s="131" t="s">
        <v>30</v>
      </c>
      <c r="I108" s="151">
        <v>25</v>
      </c>
      <c r="J108" s="335">
        <v>145</v>
      </c>
      <c r="K108" s="54">
        <f t="shared" ref="K108:K112" si="2">I108*J108</f>
        <v>3625</v>
      </c>
      <c r="L108" s="55" t="b">
        <v>1</v>
      </c>
      <c r="M108" s="56" t="s">
        <v>529</v>
      </c>
      <c r="N108" s="57" t="b">
        <v>1</v>
      </c>
      <c r="O108" s="58"/>
      <c r="P108" s="215"/>
      <c r="Q108" s="191" t="b">
        <v>1</v>
      </c>
      <c r="R108" s="342" t="s">
        <v>3684</v>
      </c>
      <c r="S108" s="297" t="s">
        <v>3685</v>
      </c>
      <c r="T108" s="57" t="b">
        <v>1</v>
      </c>
      <c r="U108" s="310" t="s">
        <v>3686</v>
      </c>
      <c r="V108" s="307"/>
      <c r="W108" s="54"/>
    </row>
    <row r="109" spans="1:23" ht="16">
      <c r="A109" s="162"/>
      <c r="B109" s="71" t="s">
        <v>3676</v>
      </c>
      <c r="C109" s="151" t="s">
        <v>3458</v>
      </c>
      <c r="D109" s="151" t="s">
        <v>51</v>
      </c>
      <c r="E109" s="151" t="s">
        <v>201</v>
      </c>
      <c r="F109" s="151" t="s">
        <v>202</v>
      </c>
      <c r="G109" s="151" t="s">
        <v>3687</v>
      </c>
      <c r="H109" s="131" t="s">
        <v>30</v>
      </c>
      <c r="I109" s="151">
        <v>2</v>
      </c>
      <c r="J109" s="335">
        <v>975</v>
      </c>
      <c r="K109" s="54">
        <f t="shared" si="2"/>
        <v>1950</v>
      </c>
      <c r="L109" s="55" t="b">
        <v>1</v>
      </c>
      <c r="M109" s="56"/>
      <c r="N109" s="57" t="b">
        <v>1</v>
      </c>
      <c r="O109" s="58"/>
      <c r="P109" s="215"/>
      <c r="Q109" s="191" t="b">
        <v>1</v>
      </c>
      <c r="R109" s="308" t="s">
        <v>3138</v>
      </c>
      <c r="S109" s="297" t="s">
        <v>3688</v>
      </c>
      <c r="T109" s="57" t="b">
        <v>1</v>
      </c>
      <c r="U109" s="310" t="s">
        <v>3689</v>
      </c>
      <c r="V109" s="307"/>
      <c r="W109" s="54"/>
    </row>
    <row r="110" spans="1:23" ht="16">
      <c r="A110" s="162"/>
      <c r="B110" s="71" t="s">
        <v>3676</v>
      </c>
      <c r="C110" s="151" t="s">
        <v>3690</v>
      </c>
      <c r="D110" s="151" t="s">
        <v>104</v>
      </c>
      <c r="E110" s="151" t="s">
        <v>516</v>
      </c>
      <c r="F110" s="151" t="s">
        <v>517</v>
      </c>
      <c r="G110" s="53" t="s">
        <v>3448</v>
      </c>
      <c r="H110" s="131" t="s">
        <v>30</v>
      </c>
      <c r="I110" s="151">
        <v>10</v>
      </c>
      <c r="J110" s="335">
        <v>650</v>
      </c>
      <c r="K110" s="54">
        <f t="shared" si="2"/>
        <v>6500</v>
      </c>
      <c r="L110" s="55" t="b">
        <v>1</v>
      </c>
      <c r="M110" s="56"/>
      <c r="N110" s="57" t="b">
        <v>1</v>
      </c>
      <c r="O110" s="58"/>
      <c r="P110" s="215"/>
      <c r="Q110" s="191" t="b">
        <v>1</v>
      </c>
      <c r="R110" s="308" t="s">
        <v>3138</v>
      </c>
      <c r="S110" s="297"/>
      <c r="T110" s="57" t="b">
        <v>1</v>
      </c>
      <c r="U110" s="310" t="s">
        <v>3691</v>
      </c>
      <c r="V110" s="307"/>
      <c r="W110" s="54"/>
    </row>
    <row r="111" spans="1:23" ht="16">
      <c r="A111" s="162"/>
      <c r="B111" s="71" t="s">
        <v>3692</v>
      </c>
      <c r="C111" s="151" t="s">
        <v>3532</v>
      </c>
      <c r="D111" s="151" t="s">
        <v>51</v>
      </c>
      <c r="E111" s="151" t="s">
        <v>52</v>
      </c>
      <c r="F111" s="151" t="s">
        <v>1710</v>
      </c>
      <c r="G111" s="151" t="s">
        <v>3693</v>
      </c>
      <c r="H111" s="131" t="s">
        <v>30</v>
      </c>
      <c r="I111" s="151">
        <v>5</v>
      </c>
      <c r="J111" s="335">
        <v>125</v>
      </c>
      <c r="K111" s="54">
        <f t="shared" si="2"/>
        <v>625</v>
      </c>
      <c r="L111" s="55" t="b">
        <v>1</v>
      </c>
      <c r="M111" s="56"/>
      <c r="N111" s="57" t="b">
        <v>1</v>
      </c>
      <c r="O111" s="58"/>
      <c r="P111" s="215"/>
      <c r="Q111" s="191" t="b">
        <v>1</v>
      </c>
      <c r="R111" s="308" t="s">
        <v>3138</v>
      </c>
      <c r="S111" s="297" t="s">
        <v>3694</v>
      </c>
      <c r="T111" s="57" t="b">
        <v>1</v>
      </c>
      <c r="U111" s="310" t="s">
        <v>3695</v>
      </c>
      <c r="V111" s="307"/>
      <c r="W111" s="54"/>
    </row>
    <row r="112" spans="1:23" ht="16">
      <c r="A112" s="162"/>
      <c r="B112" s="71" t="s">
        <v>3692</v>
      </c>
      <c r="C112" s="151" t="s">
        <v>3532</v>
      </c>
      <c r="D112" s="151" t="s">
        <v>51</v>
      </c>
      <c r="E112" s="151" t="s">
        <v>52</v>
      </c>
      <c r="F112" s="151" t="s">
        <v>1710</v>
      </c>
      <c r="G112" s="151" t="s">
        <v>3696</v>
      </c>
      <c r="H112" s="131" t="s">
        <v>30</v>
      </c>
      <c r="I112" s="151">
        <v>5</v>
      </c>
      <c r="J112" s="335">
        <v>175</v>
      </c>
      <c r="K112" s="54">
        <f t="shared" si="2"/>
        <v>875</v>
      </c>
      <c r="L112" s="55" t="b">
        <v>1</v>
      </c>
      <c r="M112" s="56"/>
      <c r="N112" s="57" t="b">
        <v>1</v>
      </c>
      <c r="O112" s="58"/>
      <c r="P112" s="215"/>
      <c r="Q112" s="191" t="b">
        <v>1</v>
      </c>
      <c r="R112" s="308" t="s">
        <v>3138</v>
      </c>
      <c r="S112" s="297" t="s">
        <v>3694</v>
      </c>
      <c r="T112" s="57" t="b">
        <v>1</v>
      </c>
      <c r="U112" s="310" t="s">
        <v>3695</v>
      </c>
      <c r="V112" s="307"/>
      <c r="W112" s="54"/>
    </row>
    <row r="113" spans="1:23" ht="16">
      <c r="A113" s="162"/>
      <c r="B113" s="71" t="s">
        <v>3692</v>
      </c>
      <c r="C113" s="151" t="s">
        <v>3697</v>
      </c>
      <c r="D113" s="151" t="s">
        <v>194</v>
      </c>
      <c r="E113" s="151" t="s">
        <v>3698</v>
      </c>
      <c r="F113" s="151" t="s">
        <v>3699</v>
      </c>
      <c r="G113" s="53" t="s">
        <v>3448</v>
      </c>
      <c r="H113" s="131" t="s">
        <v>30</v>
      </c>
      <c r="I113" s="151">
        <v>10</v>
      </c>
      <c r="J113" s="335">
        <v>650</v>
      </c>
      <c r="K113" s="54">
        <v>6500</v>
      </c>
      <c r="L113" s="55" t="b">
        <v>1</v>
      </c>
      <c r="M113" s="56"/>
      <c r="N113" s="57" t="b">
        <v>1</v>
      </c>
      <c r="O113" s="58"/>
      <c r="P113" s="215"/>
      <c r="Q113" s="191" t="b">
        <v>1</v>
      </c>
      <c r="R113" s="308" t="s">
        <v>3138</v>
      </c>
      <c r="S113" s="297"/>
      <c r="T113" s="57" t="b">
        <v>1</v>
      </c>
      <c r="U113" s="310" t="s">
        <v>3700</v>
      </c>
      <c r="V113" s="307"/>
      <c r="W113" s="54"/>
    </row>
    <row r="114" spans="1:23" ht="15" customHeight="1">
      <c r="A114" s="162"/>
      <c r="B114" s="71" t="s">
        <v>3701</v>
      </c>
      <c r="C114" s="151" t="s">
        <v>3532</v>
      </c>
      <c r="D114" s="151" t="s">
        <v>51</v>
      </c>
      <c r="E114" s="151" t="s">
        <v>52</v>
      </c>
      <c r="F114" s="151" t="s">
        <v>3702</v>
      </c>
      <c r="G114" s="151" t="s">
        <v>3703</v>
      </c>
      <c r="H114" s="131" t="s">
        <v>30</v>
      </c>
      <c r="I114" s="151">
        <v>2</v>
      </c>
      <c r="J114" s="335">
        <v>18000</v>
      </c>
      <c r="K114" s="54">
        <f t="shared" ref="K114:K197" si="3">I114*J114</f>
        <v>36000</v>
      </c>
      <c r="L114" s="55" t="b">
        <v>1</v>
      </c>
      <c r="M114" s="56"/>
      <c r="N114" s="57" t="b">
        <v>1</v>
      </c>
      <c r="O114" s="58"/>
      <c r="P114" s="215"/>
      <c r="Q114" s="191" t="b">
        <v>1</v>
      </c>
      <c r="R114" s="308" t="s">
        <v>3138</v>
      </c>
      <c r="S114" s="297"/>
      <c r="T114" s="57" t="b">
        <v>1</v>
      </c>
      <c r="U114" s="310" t="s">
        <v>3704</v>
      </c>
      <c r="V114" s="307"/>
      <c r="W114" s="54"/>
    </row>
    <row r="115" spans="1:23" ht="14.25" customHeight="1">
      <c r="A115" s="162"/>
      <c r="B115" s="71" t="s">
        <v>3705</v>
      </c>
      <c r="C115" s="151" t="s">
        <v>3706</v>
      </c>
      <c r="D115" s="151" t="s">
        <v>41</v>
      </c>
      <c r="E115" s="151" t="s">
        <v>1549</v>
      </c>
      <c r="F115" s="151" t="s">
        <v>607</v>
      </c>
      <c r="G115" s="151" t="s">
        <v>3707</v>
      </c>
      <c r="H115" s="131" t="s">
        <v>30</v>
      </c>
      <c r="I115" s="151">
        <v>9</v>
      </c>
      <c r="J115" s="335">
        <v>1450</v>
      </c>
      <c r="K115" s="54">
        <f t="shared" si="3"/>
        <v>13050</v>
      </c>
      <c r="L115" s="55" t="b">
        <v>1</v>
      </c>
      <c r="M115" s="56"/>
      <c r="N115" s="57" t="b">
        <v>1</v>
      </c>
      <c r="O115" s="58"/>
      <c r="P115" s="215"/>
      <c r="Q115" s="191" t="b">
        <v>1</v>
      </c>
      <c r="R115" s="308" t="s">
        <v>3138</v>
      </c>
      <c r="S115" s="297" t="s">
        <v>3708</v>
      </c>
      <c r="T115" s="57" t="b">
        <v>1</v>
      </c>
      <c r="U115" s="310" t="s">
        <v>3709</v>
      </c>
      <c r="V115" s="307"/>
      <c r="W115" s="54"/>
    </row>
    <row r="116" spans="1:23" ht="16">
      <c r="A116" s="162"/>
      <c r="B116" s="71" t="s">
        <v>3705</v>
      </c>
      <c r="C116" s="151" t="s">
        <v>3641</v>
      </c>
      <c r="D116" s="151" t="s">
        <v>51</v>
      </c>
      <c r="E116" s="151" t="s">
        <v>335</v>
      </c>
      <c r="F116" s="151" t="s">
        <v>457</v>
      </c>
      <c r="G116" s="151" t="s">
        <v>3710</v>
      </c>
      <c r="H116" s="131" t="s">
        <v>30</v>
      </c>
      <c r="I116" s="151">
        <v>1</v>
      </c>
      <c r="J116" s="335">
        <v>5750</v>
      </c>
      <c r="K116" s="54">
        <f t="shared" si="3"/>
        <v>5750</v>
      </c>
      <c r="L116" s="55" t="b">
        <v>1</v>
      </c>
      <c r="M116" s="56"/>
      <c r="N116" s="57" t="b">
        <v>1</v>
      </c>
      <c r="O116" s="58"/>
      <c r="P116" s="215"/>
      <c r="Q116" s="191" t="b">
        <v>1</v>
      </c>
      <c r="R116" s="342" t="s">
        <v>3684</v>
      </c>
      <c r="S116" s="173" t="s">
        <v>3711</v>
      </c>
      <c r="T116" s="57" t="b">
        <v>1</v>
      </c>
      <c r="U116" s="310" t="s">
        <v>3712</v>
      </c>
      <c r="V116" s="307"/>
      <c r="W116" s="54"/>
    </row>
    <row r="117" spans="1:23" ht="16">
      <c r="A117" s="162"/>
      <c r="B117" s="71" t="s">
        <v>3705</v>
      </c>
      <c r="C117" s="151" t="s">
        <v>3713</v>
      </c>
      <c r="D117" s="151" t="s">
        <v>26</v>
      </c>
      <c r="E117" s="151" t="s">
        <v>220</v>
      </c>
      <c r="F117" s="151" t="s">
        <v>221</v>
      </c>
      <c r="G117" s="53" t="s">
        <v>3512</v>
      </c>
      <c r="H117" s="131" t="s">
        <v>30</v>
      </c>
      <c r="I117" s="151">
        <v>2</v>
      </c>
      <c r="J117" s="335">
        <v>2100</v>
      </c>
      <c r="K117" s="54">
        <f t="shared" si="3"/>
        <v>4200</v>
      </c>
      <c r="L117" s="55" t="b">
        <v>1</v>
      </c>
      <c r="M117" s="56" t="s">
        <v>529</v>
      </c>
      <c r="N117" s="57" t="b">
        <v>1</v>
      </c>
      <c r="O117" s="58"/>
      <c r="P117" s="215"/>
      <c r="Q117" s="191" t="b">
        <v>1</v>
      </c>
      <c r="R117" s="308" t="s">
        <v>3138</v>
      </c>
      <c r="S117" s="297" t="s">
        <v>3714</v>
      </c>
      <c r="T117" s="57" t="b">
        <v>1</v>
      </c>
      <c r="U117" s="310" t="s">
        <v>3715</v>
      </c>
      <c r="V117" s="307"/>
      <c r="W117" s="54"/>
    </row>
    <row r="118" spans="1:23" ht="16">
      <c r="A118" s="162"/>
      <c r="B118" s="71" t="s">
        <v>3716</v>
      </c>
      <c r="C118" s="151" t="s">
        <v>3595</v>
      </c>
      <c r="D118" s="151" t="s">
        <v>55</v>
      </c>
      <c r="E118" s="151" t="s">
        <v>56</v>
      </c>
      <c r="F118" s="151" t="s">
        <v>57</v>
      </c>
      <c r="G118" s="151" t="s">
        <v>236</v>
      </c>
      <c r="H118" s="131" t="s">
        <v>30</v>
      </c>
      <c r="I118" s="151">
        <v>6</v>
      </c>
      <c r="J118" s="335">
        <v>375</v>
      </c>
      <c r="K118" s="54">
        <f t="shared" si="3"/>
        <v>2250</v>
      </c>
      <c r="L118" s="55" t="b">
        <v>1</v>
      </c>
      <c r="M118" s="56" t="s">
        <v>529</v>
      </c>
      <c r="N118" s="57" t="b">
        <v>1</v>
      </c>
      <c r="O118" s="58"/>
      <c r="P118" s="215"/>
      <c r="Q118" s="191" t="b">
        <v>1</v>
      </c>
      <c r="R118" s="308" t="s">
        <v>3138</v>
      </c>
      <c r="S118" s="297" t="s">
        <v>3717</v>
      </c>
      <c r="T118" s="57" t="b">
        <v>1</v>
      </c>
      <c r="U118" s="310" t="s">
        <v>3718</v>
      </c>
      <c r="V118" s="307"/>
      <c r="W118" s="54"/>
    </row>
    <row r="119" spans="1:23" ht="16">
      <c r="A119" s="162"/>
      <c r="B119" s="71" t="s">
        <v>3719</v>
      </c>
      <c r="C119" s="151" t="s">
        <v>3517</v>
      </c>
      <c r="D119" s="151" t="s">
        <v>51</v>
      </c>
      <c r="E119" s="151" t="s">
        <v>61</v>
      </c>
      <c r="F119" s="151" t="s">
        <v>476</v>
      </c>
      <c r="G119" s="151" t="s">
        <v>3720</v>
      </c>
      <c r="H119" s="131" t="s">
        <v>30</v>
      </c>
      <c r="I119" s="151">
        <v>1</v>
      </c>
      <c r="J119" s="335">
        <v>850</v>
      </c>
      <c r="K119" s="54">
        <f t="shared" si="3"/>
        <v>850</v>
      </c>
      <c r="L119" s="55" t="b">
        <v>1</v>
      </c>
      <c r="M119" s="56" t="s">
        <v>529</v>
      </c>
      <c r="N119" s="57" t="b">
        <v>1</v>
      </c>
      <c r="O119" s="58"/>
      <c r="P119" s="215"/>
      <c r="Q119" s="191" t="b">
        <v>1</v>
      </c>
      <c r="R119" s="308" t="s">
        <v>3138</v>
      </c>
      <c r="S119" s="297"/>
      <c r="T119" s="57" t="b">
        <v>1</v>
      </c>
      <c r="U119" s="310" t="s">
        <v>3721</v>
      </c>
      <c r="V119" s="307"/>
      <c r="W119" s="54"/>
    </row>
    <row r="120" spans="1:23" ht="16">
      <c r="A120" s="162"/>
      <c r="B120" s="71"/>
      <c r="C120" s="151"/>
      <c r="D120" s="151"/>
      <c r="E120" s="151"/>
      <c r="F120" s="151"/>
      <c r="G120" s="151"/>
      <c r="H120" s="131" t="s">
        <v>30</v>
      </c>
      <c r="I120" s="151"/>
      <c r="J120" s="335"/>
      <c r="K120" s="54">
        <f t="shared" si="3"/>
        <v>0</v>
      </c>
      <c r="L120" s="55" t="b">
        <v>0</v>
      </c>
      <c r="M120" s="56"/>
      <c r="N120" s="57" t="b">
        <v>0</v>
      </c>
      <c r="O120" s="58"/>
      <c r="P120" s="215"/>
      <c r="Q120" s="191" t="b">
        <v>0</v>
      </c>
      <c r="R120" s="128"/>
      <c r="S120" s="337"/>
      <c r="T120" s="57" t="b">
        <v>0</v>
      </c>
      <c r="U120" s="307"/>
      <c r="V120" s="307"/>
      <c r="W120" s="54"/>
    </row>
    <row r="121" spans="1:23" ht="16">
      <c r="A121" s="162"/>
      <c r="B121" s="71"/>
      <c r="C121" s="151"/>
      <c r="D121" s="151"/>
      <c r="E121" s="151"/>
      <c r="F121" s="151"/>
      <c r="G121" s="151"/>
      <c r="H121" s="131" t="s">
        <v>30</v>
      </c>
      <c r="I121" s="151"/>
      <c r="J121" s="335"/>
      <c r="K121" s="54">
        <f t="shared" si="3"/>
        <v>0</v>
      </c>
      <c r="L121" s="55" t="b">
        <v>0</v>
      </c>
      <c r="M121" s="56"/>
      <c r="N121" s="57" t="b">
        <v>0</v>
      </c>
      <c r="O121" s="58"/>
      <c r="P121" s="215"/>
      <c r="Q121" s="191" t="b">
        <v>0</v>
      </c>
      <c r="R121" s="128"/>
      <c r="S121" s="337"/>
      <c r="T121" s="57" t="b">
        <v>0</v>
      </c>
      <c r="U121" s="307"/>
      <c r="V121" s="307"/>
      <c r="W121" s="54"/>
    </row>
    <row r="122" spans="1:23" ht="16">
      <c r="A122" s="162"/>
      <c r="B122" s="71"/>
      <c r="C122" s="151"/>
      <c r="D122" s="151"/>
      <c r="E122" s="151"/>
      <c r="F122" s="151"/>
      <c r="G122" s="151"/>
      <c r="H122" s="131" t="s">
        <v>30</v>
      </c>
      <c r="I122" s="151"/>
      <c r="J122" s="335"/>
      <c r="K122" s="54">
        <f t="shared" si="3"/>
        <v>0</v>
      </c>
      <c r="L122" s="55" t="b">
        <v>0</v>
      </c>
      <c r="M122" s="56"/>
      <c r="N122" s="57" t="b">
        <v>0</v>
      </c>
      <c r="O122" s="58"/>
      <c r="P122" s="215"/>
      <c r="Q122" s="191" t="b">
        <v>0</v>
      </c>
      <c r="R122" s="128"/>
      <c r="S122" s="337"/>
      <c r="T122" s="57" t="b">
        <v>0</v>
      </c>
      <c r="U122" s="307"/>
      <c r="V122" s="307"/>
      <c r="W122" s="54"/>
    </row>
    <row r="123" spans="1:23" ht="16">
      <c r="A123" s="162"/>
      <c r="B123" s="71"/>
      <c r="C123" s="151"/>
      <c r="D123" s="151"/>
      <c r="E123" s="151"/>
      <c r="F123" s="151"/>
      <c r="G123" s="151"/>
      <c r="H123" s="131" t="s">
        <v>30</v>
      </c>
      <c r="I123" s="151"/>
      <c r="J123" s="335"/>
      <c r="K123" s="54">
        <f t="shared" si="3"/>
        <v>0</v>
      </c>
      <c r="L123" s="55" t="b">
        <v>0</v>
      </c>
      <c r="M123" s="56"/>
      <c r="N123" s="57" t="b">
        <v>0</v>
      </c>
      <c r="O123" s="58"/>
      <c r="P123" s="215"/>
      <c r="Q123" s="191" t="b">
        <v>0</v>
      </c>
      <c r="R123" s="128"/>
      <c r="S123" s="337"/>
      <c r="T123" s="57" t="b">
        <v>0</v>
      </c>
      <c r="U123" s="307"/>
      <c r="V123" s="307"/>
      <c r="W123" s="54"/>
    </row>
    <row r="124" spans="1:23" ht="16">
      <c r="A124" s="162"/>
      <c r="B124" s="71"/>
      <c r="C124" s="151"/>
      <c r="D124" s="151"/>
      <c r="E124" s="151"/>
      <c r="F124" s="151"/>
      <c r="G124" s="151"/>
      <c r="H124" s="131" t="s">
        <v>30</v>
      </c>
      <c r="I124" s="151"/>
      <c r="J124" s="335"/>
      <c r="K124" s="54">
        <f t="shared" si="3"/>
        <v>0</v>
      </c>
      <c r="L124" s="55" t="b">
        <v>0</v>
      </c>
      <c r="M124" s="56"/>
      <c r="N124" s="57" t="b">
        <v>0</v>
      </c>
      <c r="O124" s="58"/>
      <c r="P124" s="215"/>
      <c r="Q124" s="191" t="b">
        <v>0</v>
      </c>
      <c r="R124" s="128"/>
      <c r="S124" s="337"/>
      <c r="T124" s="57" t="b">
        <v>0</v>
      </c>
      <c r="U124" s="307"/>
      <c r="V124" s="307"/>
      <c r="W124" s="54"/>
    </row>
    <row r="125" spans="1:23" ht="16">
      <c r="A125" s="162"/>
      <c r="B125" s="71"/>
      <c r="C125" s="151"/>
      <c r="D125" s="151"/>
      <c r="E125" s="151"/>
      <c r="F125" s="151"/>
      <c r="G125" s="151"/>
      <c r="H125" s="131" t="s">
        <v>30</v>
      </c>
      <c r="I125" s="151"/>
      <c r="J125" s="335"/>
      <c r="K125" s="54">
        <f t="shared" si="3"/>
        <v>0</v>
      </c>
      <c r="L125" s="55" t="b">
        <v>0</v>
      </c>
      <c r="M125" s="56"/>
      <c r="N125" s="57" t="b">
        <v>0</v>
      </c>
      <c r="O125" s="58"/>
      <c r="P125" s="215"/>
      <c r="Q125" s="191" t="b">
        <v>0</v>
      </c>
      <c r="R125" s="128"/>
      <c r="S125" s="337"/>
      <c r="T125" s="57" t="b">
        <v>0</v>
      </c>
      <c r="U125" s="307"/>
      <c r="V125" s="307"/>
      <c r="W125" s="54"/>
    </row>
    <row r="126" spans="1:23" ht="16">
      <c r="A126" s="162"/>
      <c r="B126" s="71"/>
      <c r="C126" s="151"/>
      <c r="D126" s="151"/>
      <c r="E126" s="151"/>
      <c r="F126" s="151"/>
      <c r="G126" s="151"/>
      <c r="H126" s="131" t="s">
        <v>30</v>
      </c>
      <c r="I126" s="151"/>
      <c r="J126" s="335"/>
      <c r="K126" s="54">
        <f t="shared" si="3"/>
        <v>0</v>
      </c>
      <c r="L126" s="55" t="b">
        <v>0</v>
      </c>
      <c r="M126" s="56"/>
      <c r="N126" s="57" t="b">
        <v>0</v>
      </c>
      <c r="O126" s="58"/>
      <c r="P126" s="215"/>
      <c r="Q126" s="191" t="b">
        <v>0</v>
      </c>
      <c r="R126" s="128"/>
      <c r="S126" s="337"/>
      <c r="T126" s="57" t="b">
        <v>0</v>
      </c>
      <c r="U126" s="307"/>
      <c r="V126" s="307"/>
      <c r="W126" s="54"/>
    </row>
    <row r="127" spans="1:23" ht="16">
      <c r="A127" s="162"/>
      <c r="B127" s="71"/>
      <c r="C127" s="151"/>
      <c r="D127" s="151"/>
      <c r="E127" s="151"/>
      <c r="F127" s="151"/>
      <c r="G127" s="80"/>
      <c r="H127" s="131" t="s">
        <v>30</v>
      </c>
      <c r="I127" s="151"/>
      <c r="J127" s="335"/>
      <c r="K127" s="54">
        <f t="shared" si="3"/>
        <v>0</v>
      </c>
      <c r="L127" s="55" t="b">
        <v>0</v>
      </c>
      <c r="M127" s="56"/>
      <c r="N127" s="57" t="b">
        <v>0</v>
      </c>
      <c r="O127" s="58"/>
      <c r="P127" s="215"/>
      <c r="Q127" s="191" t="b">
        <v>0</v>
      </c>
      <c r="R127" s="128"/>
      <c r="S127" s="337"/>
      <c r="T127" s="57" t="b">
        <v>0</v>
      </c>
      <c r="U127" s="307"/>
      <c r="V127" s="307"/>
      <c r="W127" s="54"/>
    </row>
    <row r="128" spans="1:23" ht="16">
      <c r="A128" s="162"/>
      <c r="B128" s="71"/>
      <c r="C128" s="151"/>
      <c r="D128" s="151"/>
      <c r="E128" s="151"/>
      <c r="F128" s="151"/>
      <c r="G128" s="151"/>
      <c r="H128" s="131" t="s">
        <v>30</v>
      </c>
      <c r="I128" s="151"/>
      <c r="J128" s="151"/>
      <c r="K128" s="54">
        <f t="shared" si="3"/>
        <v>0</v>
      </c>
      <c r="L128" s="55" t="b">
        <v>0</v>
      </c>
      <c r="M128" s="56"/>
      <c r="N128" s="57" t="b">
        <v>0</v>
      </c>
      <c r="O128" s="58"/>
      <c r="P128" s="215"/>
      <c r="Q128" s="191" t="b">
        <v>0</v>
      </c>
      <c r="R128" s="128"/>
      <c r="S128" s="337"/>
      <c r="T128" s="57" t="b">
        <v>0</v>
      </c>
      <c r="U128" s="307"/>
      <c r="V128" s="307"/>
      <c r="W128" s="54"/>
    </row>
    <row r="129" spans="1:23" ht="16">
      <c r="A129" s="162"/>
      <c r="B129" s="71"/>
      <c r="C129" s="343"/>
      <c r="D129" s="343"/>
      <c r="E129" s="151"/>
      <c r="F129" s="151"/>
      <c r="G129" s="151"/>
      <c r="H129" s="131" t="s">
        <v>30</v>
      </c>
      <c r="I129" s="151"/>
      <c r="J129" s="335"/>
      <c r="K129" s="54">
        <f t="shared" si="3"/>
        <v>0</v>
      </c>
      <c r="L129" s="55" t="b">
        <v>0</v>
      </c>
      <c r="M129" s="56"/>
      <c r="N129" s="57" t="b">
        <v>0</v>
      </c>
      <c r="O129" s="58"/>
      <c r="P129" s="215"/>
      <c r="Q129" s="191" t="b">
        <v>0</v>
      </c>
      <c r="R129" s="128"/>
      <c r="S129" s="337"/>
      <c r="T129" s="57" t="b">
        <v>0</v>
      </c>
      <c r="U129" s="307"/>
      <c r="V129" s="307"/>
      <c r="W129" s="54"/>
    </row>
    <row r="130" spans="1:23" ht="16">
      <c r="A130" s="162"/>
      <c r="B130" s="71"/>
      <c r="C130" s="151"/>
      <c r="D130" s="151"/>
      <c r="E130" s="151"/>
      <c r="F130" s="151"/>
      <c r="G130" s="151"/>
      <c r="H130" s="131" t="s">
        <v>30</v>
      </c>
      <c r="I130" s="151"/>
      <c r="J130" s="335"/>
      <c r="K130" s="54">
        <f t="shared" si="3"/>
        <v>0</v>
      </c>
      <c r="L130" s="55" t="b">
        <v>0</v>
      </c>
      <c r="M130" s="56"/>
      <c r="N130" s="57" t="b">
        <v>0</v>
      </c>
      <c r="O130" s="58"/>
      <c r="P130" s="215"/>
      <c r="Q130" s="191" t="b">
        <v>0</v>
      </c>
      <c r="R130" s="128"/>
      <c r="S130" s="337"/>
      <c r="T130" s="57" t="b">
        <v>0</v>
      </c>
      <c r="U130" s="307"/>
      <c r="V130" s="307"/>
      <c r="W130" s="54"/>
    </row>
    <row r="131" spans="1:23" ht="16">
      <c r="A131" s="162"/>
      <c r="B131" s="71"/>
      <c r="C131" s="151"/>
      <c r="D131" s="151"/>
      <c r="E131" s="151"/>
      <c r="F131" s="151"/>
      <c r="G131" s="151"/>
      <c r="H131" s="131" t="s">
        <v>30</v>
      </c>
      <c r="I131" s="151"/>
      <c r="J131" s="335"/>
      <c r="K131" s="54">
        <f t="shared" si="3"/>
        <v>0</v>
      </c>
      <c r="L131" s="55" t="b">
        <v>0</v>
      </c>
      <c r="M131" s="56"/>
      <c r="N131" s="57" t="b">
        <v>0</v>
      </c>
      <c r="O131" s="58"/>
      <c r="P131" s="215"/>
      <c r="Q131" s="191" t="b">
        <v>0</v>
      </c>
      <c r="R131" s="128"/>
      <c r="S131" s="337"/>
      <c r="T131" s="57" t="b">
        <v>0</v>
      </c>
      <c r="U131" s="307"/>
      <c r="V131" s="307"/>
      <c r="W131" s="54"/>
    </row>
    <row r="132" spans="1:23" ht="16">
      <c r="A132" s="162"/>
      <c r="B132" s="71"/>
      <c r="C132" s="151"/>
      <c r="D132" s="151"/>
      <c r="E132" s="151"/>
      <c r="F132" s="151"/>
      <c r="G132" s="151"/>
      <c r="H132" s="131" t="s">
        <v>30</v>
      </c>
      <c r="I132" s="151"/>
      <c r="J132" s="335"/>
      <c r="K132" s="54">
        <f t="shared" si="3"/>
        <v>0</v>
      </c>
      <c r="L132" s="55" t="b">
        <v>0</v>
      </c>
      <c r="M132" s="56"/>
      <c r="N132" s="57" t="b">
        <v>0</v>
      </c>
      <c r="O132" s="58"/>
      <c r="P132" s="215"/>
      <c r="Q132" s="191" t="b">
        <v>0</v>
      </c>
      <c r="R132" s="128"/>
      <c r="S132" s="337"/>
      <c r="T132" s="57" t="b">
        <v>0</v>
      </c>
      <c r="U132" s="307"/>
      <c r="V132" s="307"/>
      <c r="W132" s="54"/>
    </row>
    <row r="133" spans="1:23" ht="16">
      <c r="A133" s="162"/>
      <c r="B133" s="71"/>
      <c r="C133" s="151"/>
      <c r="D133" s="151"/>
      <c r="E133" s="151"/>
      <c r="F133" s="151"/>
      <c r="G133" s="151"/>
      <c r="H133" s="131" t="s">
        <v>30</v>
      </c>
      <c r="I133" s="151"/>
      <c r="J133" s="335"/>
      <c r="K133" s="54">
        <f t="shared" si="3"/>
        <v>0</v>
      </c>
      <c r="L133" s="55" t="b">
        <v>0</v>
      </c>
      <c r="M133" s="56"/>
      <c r="N133" s="57" t="b">
        <v>0</v>
      </c>
      <c r="O133" s="58"/>
      <c r="P133" s="215"/>
      <c r="Q133" s="191" t="b">
        <v>0</v>
      </c>
      <c r="R133" s="128"/>
      <c r="S133" s="337"/>
      <c r="T133" s="57" t="b">
        <v>0</v>
      </c>
      <c r="U133" s="307"/>
      <c r="V133" s="307"/>
      <c r="W133" s="54"/>
    </row>
    <row r="134" spans="1:23" ht="16">
      <c r="A134" s="162"/>
      <c r="B134" s="71"/>
      <c r="C134" s="151"/>
      <c r="D134" s="151"/>
      <c r="E134" s="151"/>
      <c r="F134" s="151"/>
      <c r="G134" s="151"/>
      <c r="H134" s="131" t="s">
        <v>30</v>
      </c>
      <c r="I134" s="151"/>
      <c r="J134" s="335"/>
      <c r="K134" s="54">
        <f t="shared" si="3"/>
        <v>0</v>
      </c>
      <c r="L134" s="55" t="b">
        <v>0</v>
      </c>
      <c r="M134" s="56"/>
      <c r="N134" s="57" t="b">
        <v>0</v>
      </c>
      <c r="O134" s="58"/>
      <c r="P134" s="215"/>
      <c r="Q134" s="191" t="b">
        <v>0</v>
      </c>
      <c r="R134" s="128"/>
      <c r="S134" s="337"/>
      <c r="T134" s="57" t="b">
        <v>0</v>
      </c>
      <c r="U134" s="307"/>
      <c r="V134" s="307"/>
      <c r="W134" s="54"/>
    </row>
    <row r="135" spans="1:23" ht="16">
      <c r="A135" s="162"/>
      <c r="B135" s="71"/>
      <c r="C135" s="151"/>
      <c r="D135" s="151"/>
      <c r="E135" s="151"/>
      <c r="F135" s="151"/>
      <c r="G135" s="151"/>
      <c r="H135" s="131" t="s">
        <v>30</v>
      </c>
      <c r="I135" s="151"/>
      <c r="J135" s="335"/>
      <c r="K135" s="54">
        <f t="shared" si="3"/>
        <v>0</v>
      </c>
      <c r="L135" s="55" t="b">
        <v>0</v>
      </c>
      <c r="M135" s="56"/>
      <c r="N135" s="57" t="b">
        <v>0</v>
      </c>
      <c r="O135" s="58"/>
      <c r="P135" s="215"/>
      <c r="Q135" s="191" t="b">
        <v>0</v>
      </c>
      <c r="R135" s="128"/>
      <c r="S135" s="337"/>
      <c r="T135" s="57" t="b">
        <v>0</v>
      </c>
      <c r="U135" s="307"/>
      <c r="V135" s="307"/>
      <c r="W135" s="54"/>
    </row>
    <row r="136" spans="1:23" ht="16">
      <c r="A136" s="162"/>
      <c r="B136" s="71"/>
      <c r="C136" s="151"/>
      <c r="D136" s="151"/>
      <c r="E136" s="151"/>
      <c r="F136" s="151"/>
      <c r="G136" s="151"/>
      <c r="H136" s="131" t="s">
        <v>30</v>
      </c>
      <c r="I136" s="151"/>
      <c r="J136" s="335"/>
      <c r="K136" s="54">
        <f t="shared" si="3"/>
        <v>0</v>
      </c>
      <c r="L136" s="55" t="b">
        <v>0</v>
      </c>
      <c r="M136" s="56"/>
      <c r="N136" s="57" t="b">
        <v>0</v>
      </c>
      <c r="O136" s="58"/>
      <c r="P136" s="215"/>
      <c r="Q136" s="191" t="b">
        <v>0</v>
      </c>
      <c r="R136" s="128"/>
      <c r="S136" s="337"/>
      <c r="T136" s="57" t="b">
        <v>0</v>
      </c>
      <c r="U136" s="307"/>
      <c r="V136" s="307"/>
      <c r="W136" s="54"/>
    </row>
    <row r="137" spans="1:23" ht="16">
      <c r="A137" s="162"/>
      <c r="B137" s="132"/>
      <c r="C137" s="151"/>
      <c r="D137" s="151"/>
      <c r="E137" s="151"/>
      <c r="F137" s="151"/>
      <c r="G137" s="151"/>
      <c r="H137" s="131" t="s">
        <v>30</v>
      </c>
      <c r="I137" s="151"/>
      <c r="J137" s="335"/>
      <c r="K137" s="54">
        <f t="shared" si="3"/>
        <v>0</v>
      </c>
      <c r="L137" s="55" t="b">
        <v>0</v>
      </c>
      <c r="M137" s="56"/>
      <c r="N137" s="57" t="b">
        <v>0</v>
      </c>
      <c r="O137" s="58"/>
      <c r="P137" s="215"/>
      <c r="Q137" s="191" t="b">
        <v>0</v>
      </c>
      <c r="R137" s="128"/>
      <c r="S137" s="337"/>
      <c r="T137" s="57" t="b">
        <v>0</v>
      </c>
      <c r="U137" s="307"/>
      <c r="V137" s="307"/>
      <c r="W137" s="54"/>
    </row>
    <row r="138" spans="1:23" ht="16">
      <c r="A138" s="162"/>
      <c r="B138" s="132"/>
      <c r="C138" s="151"/>
      <c r="D138" s="151"/>
      <c r="E138" s="151"/>
      <c r="F138" s="151"/>
      <c r="G138" s="151"/>
      <c r="H138" s="131" t="s">
        <v>30</v>
      </c>
      <c r="I138" s="151"/>
      <c r="J138" s="335"/>
      <c r="K138" s="54">
        <f t="shared" si="3"/>
        <v>0</v>
      </c>
      <c r="L138" s="55" t="b">
        <v>0</v>
      </c>
      <c r="M138" s="56"/>
      <c r="N138" s="57" t="b">
        <v>0</v>
      </c>
      <c r="O138" s="58"/>
      <c r="P138" s="215"/>
      <c r="Q138" s="191" t="b">
        <v>0</v>
      </c>
      <c r="R138" s="128"/>
      <c r="S138" s="337"/>
      <c r="T138" s="57" t="b">
        <v>0</v>
      </c>
      <c r="U138" s="307"/>
      <c r="V138" s="307"/>
      <c r="W138" s="54"/>
    </row>
    <row r="139" spans="1:23" ht="16">
      <c r="A139" s="162"/>
      <c r="B139" s="132"/>
      <c r="C139" s="151"/>
      <c r="D139" s="151"/>
      <c r="E139" s="151"/>
      <c r="F139" s="151"/>
      <c r="G139" s="151"/>
      <c r="H139" s="131" t="s">
        <v>30</v>
      </c>
      <c r="I139" s="151"/>
      <c r="J139" s="335"/>
      <c r="K139" s="54">
        <f t="shared" si="3"/>
        <v>0</v>
      </c>
      <c r="L139" s="55" t="b">
        <v>0</v>
      </c>
      <c r="M139" s="56"/>
      <c r="N139" s="57" t="b">
        <v>0</v>
      </c>
      <c r="O139" s="58"/>
      <c r="P139" s="215"/>
      <c r="Q139" s="191" t="b">
        <v>0</v>
      </c>
      <c r="R139" s="128"/>
      <c r="S139" s="337"/>
      <c r="T139" s="57" t="b">
        <v>0</v>
      </c>
      <c r="U139" s="307"/>
      <c r="V139" s="307"/>
      <c r="W139" s="54"/>
    </row>
    <row r="140" spans="1:23" ht="16">
      <c r="A140" s="162"/>
      <c r="B140" s="132"/>
      <c r="C140" s="151"/>
      <c r="D140" s="151"/>
      <c r="E140" s="151"/>
      <c r="F140" s="151"/>
      <c r="G140" s="334"/>
      <c r="H140" s="131" t="s">
        <v>30</v>
      </c>
      <c r="I140" s="151"/>
      <c r="J140" s="335"/>
      <c r="K140" s="54">
        <f t="shared" si="3"/>
        <v>0</v>
      </c>
      <c r="L140" s="55" t="b">
        <v>0</v>
      </c>
      <c r="M140" s="56"/>
      <c r="N140" s="57" t="b">
        <v>0</v>
      </c>
      <c r="O140" s="58"/>
      <c r="P140" s="215"/>
      <c r="Q140" s="191" t="b">
        <v>0</v>
      </c>
      <c r="R140" s="128"/>
      <c r="S140" s="337"/>
      <c r="T140" s="57" t="b">
        <v>0</v>
      </c>
      <c r="U140" s="307"/>
      <c r="V140" s="307"/>
      <c r="W140" s="54"/>
    </row>
    <row r="141" spans="1:23" ht="16">
      <c r="A141" s="162"/>
      <c r="B141" s="132"/>
      <c r="C141" s="151"/>
      <c r="D141" s="151"/>
      <c r="E141" s="151"/>
      <c r="F141" s="151"/>
      <c r="G141" s="334"/>
      <c r="H141" s="131" t="s">
        <v>30</v>
      </c>
      <c r="I141" s="151"/>
      <c r="J141" s="335"/>
      <c r="K141" s="54">
        <f t="shared" si="3"/>
        <v>0</v>
      </c>
      <c r="L141" s="55" t="b">
        <v>0</v>
      </c>
      <c r="M141" s="56"/>
      <c r="N141" s="57" t="b">
        <v>0</v>
      </c>
      <c r="O141" s="58"/>
      <c r="P141" s="215"/>
      <c r="Q141" s="191" t="b">
        <v>0</v>
      </c>
      <c r="R141" s="128"/>
      <c r="S141" s="337"/>
      <c r="T141" s="57" t="b">
        <v>0</v>
      </c>
      <c r="U141" s="307"/>
      <c r="V141" s="307"/>
      <c r="W141" s="54"/>
    </row>
    <row r="142" spans="1:23" ht="16">
      <c r="A142" s="162"/>
      <c r="B142" s="132"/>
      <c r="C142" s="151"/>
      <c r="D142" s="151"/>
      <c r="E142" s="151"/>
      <c r="F142" s="151"/>
      <c r="G142" s="334"/>
      <c r="H142" s="131" t="s">
        <v>30</v>
      </c>
      <c r="I142" s="151"/>
      <c r="J142" s="335"/>
      <c r="K142" s="54">
        <f t="shared" si="3"/>
        <v>0</v>
      </c>
      <c r="L142" s="55" t="b">
        <v>0</v>
      </c>
      <c r="M142" s="56"/>
      <c r="N142" s="57" t="b">
        <v>0</v>
      </c>
      <c r="O142" s="58"/>
      <c r="P142" s="215"/>
      <c r="Q142" s="191" t="b">
        <v>0</v>
      </c>
      <c r="R142" s="128"/>
      <c r="S142" s="337"/>
      <c r="T142" s="57" t="b">
        <v>0</v>
      </c>
      <c r="U142" s="307"/>
      <c r="V142" s="307"/>
      <c r="W142" s="54"/>
    </row>
    <row r="143" spans="1:23" ht="16">
      <c r="A143" s="162"/>
      <c r="B143" s="71"/>
      <c r="C143" s="151"/>
      <c r="D143" s="151"/>
      <c r="E143" s="151"/>
      <c r="F143" s="151"/>
      <c r="G143" s="53"/>
      <c r="H143" s="131" t="s">
        <v>30</v>
      </c>
      <c r="I143" s="151"/>
      <c r="J143" s="335"/>
      <c r="K143" s="54">
        <f t="shared" si="3"/>
        <v>0</v>
      </c>
      <c r="L143" s="55" t="b">
        <v>0</v>
      </c>
      <c r="M143" s="56"/>
      <c r="N143" s="57" t="b">
        <v>0</v>
      </c>
      <c r="O143" s="58"/>
      <c r="P143" s="215"/>
      <c r="Q143" s="191" t="b">
        <v>0</v>
      </c>
      <c r="R143" s="128"/>
      <c r="S143" s="337"/>
      <c r="T143" s="57" t="b">
        <v>0</v>
      </c>
      <c r="U143" s="307"/>
      <c r="V143" s="307"/>
      <c r="W143" s="54"/>
    </row>
    <row r="144" spans="1:23" ht="16">
      <c r="A144" s="162"/>
      <c r="B144" s="71"/>
      <c r="C144" s="151"/>
      <c r="D144" s="151"/>
      <c r="E144" s="151"/>
      <c r="F144" s="151"/>
      <c r="G144" s="53"/>
      <c r="H144" s="131" t="s">
        <v>30</v>
      </c>
      <c r="I144" s="151"/>
      <c r="J144" s="335"/>
      <c r="K144" s="54">
        <f t="shared" si="3"/>
        <v>0</v>
      </c>
      <c r="L144" s="55" t="b">
        <v>0</v>
      </c>
      <c r="M144" s="56"/>
      <c r="N144" s="57" t="b">
        <v>0</v>
      </c>
      <c r="O144" s="58"/>
      <c r="P144" s="215"/>
      <c r="Q144" s="191" t="b">
        <v>0</v>
      </c>
      <c r="R144" s="128"/>
      <c r="S144" s="337"/>
      <c r="T144" s="57" t="b">
        <v>0</v>
      </c>
      <c r="U144" s="307"/>
      <c r="V144" s="307"/>
      <c r="W144" s="54"/>
    </row>
    <row r="145" spans="1:23" ht="16">
      <c r="A145" s="162"/>
      <c r="B145" s="71"/>
      <c r="C145" s="151"/>
      <c r="D145" s="151"/>
      <c r="E145" s="151"/>
      <c r="F145" s="151"/>
      <c r="G145" s="151"/>
      <c r="H145" s="131" t="s">
        <v>30</v>
      </c>
      <c r="I145" s="151"/>
      <c r="J145" s="335"/>
      <c r="K145" s="54">
        <f t="shared" si="3"/>
        <v>0</v>
      </c>
      <c r="L145" s="55" t="b">
        <v>0</v>
      </c>
      <c r="M145" s="56"/>
      <c r="N145" s="57" t="b">
        <v>0</v>
      </c>
      <c r="O145" s="58"/>
      <c r="P145" s="215"/>
      <c r="Q145" s="191" t="b">
        <v>0</v>
      </c>
      <c r="R145" s="128"/>
      <c r="S145" s="337"/>
      <c r="T145" s="57" t="b">
        <v>0</v>
      </c>
      <c r="U145" s="307"/>
      <c r="V145" s="307"/>
      <c r="W145" s="54"/>
    </row>
    <row r="146" spans="1:23" ht="16">
      <c r="A146" s="162"/>
      <c r="B146" s="71"/>
      <c r="C146" s="151"/>
      <c r="D146" s="151"/>
      <c r="E146" s="151"/>
      <c r="F146" s="151"/>
      <c r="G146" s="151"/>
      <c r="H146" s="131" t="s">
        <v>30</v>
      </c>
      <c r="I146" s="151"/>
      <c r="J146" s="335"/>
      <c r="K146" s="54">
        <f t="shared" si="3"/>
        <v>0</v>
      </c>
      <c r="L146" s="55" t="b">
        <v>0</v>
      </c>
      <c r="M146" s="56"/>
      <c r="N146" s="57" t="b">
        <v>0</v>
      </c>
      <c r="O146" s="58"/>
      <c r="P146" s="215"/>
      <c r="Q146" s="191" t="b">
        <v>0</v>
      </c>
      <c r="R146" s="128"/>
      <c r="S146" s="337"/>
      <c r="T146" s="57" t="b">
        <v>0</v>
      </c>
      <c r="U146" s="307"/>
      <c r="V146" s="307"/>
      <c r="W146" s="54"/>
    </row>
    <row r="147" spans="1:23" ht="16">
      <c r="A147" s="162"/>
      <c r="B147" s="71"/>
      <c r="C147" s="151"/>
      <c r="D147" s="151"/>
      <c r="E147" s="151"/>
      <c r="F147" s="151"/>
      <c r="G147" s="151"/>
      <c r="H147" s="131" t="s">
        <v>30</v>
      </c>
      <c r="I147" s="151"/>
      <c r="J147" s="335"/>
      <c r="K147" s="54">
        <f t="shared" si="3"/>
        <v>0</v>
      </c>
      <c r="L147" s="55" t="b">
        <v>0</v>
      </c>
      <c r="M147" s="56"/>
      <c r="N147" s="57" t="b">
        <v>0</v>
      </c>
      <c r="O147" s="58"/>
      <c r="P147" s="215"/>
      <c r="Q147" s="191" t="b">
        <v>0</v>
      </c>
      <c r="R147" s="128"/>
      <c r="S147" s="337"/>
      <c r="T147" s="57" t="b">
        <v>0</v>
      </c>
      <c r="U147" s="307"/>
      <c r="V147" s="307"/>
      <c r="W147" s="54"/>
    </row>
    <row r="148" spans="1:23" ht="16">
      <c r="A148" s="162"/>
      <c r="B148" s="71"/>
      <c r="C148" s="151"/>
      <c r="D148" s="151"/>
      <c r="E148" s="151"/>
      <c r="F148" s="151"/>
      <c r="G148" s="151"/>
      <c r="H148" s="131" t="s">
        <v>30</v>
      </c>
      <c r="I148" s="151"/>
      <c r="J148" s="335"/>
      <c r="K148" s="54">
        <f t="shared" si="3"/>
        <v>0</v>
      </c>
      <c r="L148" s="55" t="b">
        <v>0</v>
      </c>
      <c r="M148" s="56"/>
      <c r="N148" s="57" t="b">
        <v>0</v>
      </c>
      <c r="O148" s="58"/>
      <c r="P148" s="215"/>
      <c r="Q148" s="191" t="b">
        <v>0</v>
      </c>
      <c r="R148" s="128"/>
      <c r="S148" s="337"/>
      <c r="T148" s="57" t="b">
        <v>0</v>
      </c>
      <c r="U148" s="307"/>
      <c r="V148" s="307"/>
      <c r="W148" s="54"/>
    </row>
    <row r="149" spans="1:23" ht="16">
      <c r="A149" s="162"/>
      <c r="B149" s="71"/>
      <c r="C149" s="151"/>
      <c r="D149" s="151"/>
      <c r="E149" s="151"/>
      <c r="F149" s="151"/>
      <c r="G149" s="151"/>
      <c r="H149" s="131" t="s">
        <v>30</v>
      </c>
      <c r="I149" s="151"/>
      <c r="J149" s="335"/>
      <c r="K149" s="54">
        <f t="shared" si="3"/>
        <v>0</v>
      </c>
      <c r="L149" s="55" t="b">
        <v>0</v>
      </c>
      <c r="M149" s="56"/>
      <c r="N149" s="57" t="b">
        <v>0</v>
      </c>
      <c r="O149" s="58"/>
      <c r="P149" s="215"/>
      <c r="Q149" s="191" t="b">
        <v>0</v>
      </c>
      <c r="R149" s="128"/>
      <c r="S149" s="337"/>
      <c r="T149" s="57" t="b">
        <v>0</v>
      </c>
      <c r="U149" s="307"/>
      <c r="V149" s="307"/>
      <c r="W149" s="54"/>
    </row>
    <row r="150" spans="1:23" ht="16">
      <c r="A150" s="162"/>
      <c r="B150" s="71"/>
      <c r="C150" s="151"/>
      <c r="D150" s="151"/>
      <c r="E150" s="151"/>
      <c r="F150" s="151"/>
      <c r="G150" s="151"/>
      <c r="H150" s="131" t="s">
        <v>30</v>
      </c>
      <c r="I150" s="151"/>
      <c r="J150" s="335"/>
      <c r="K150" s="54">
        <f t="shared" si="3"/>
        <v>0</v>
      </c>
      <c r="L150" s="55" t="b">
        <v>0</v>
      </c>
      <c r="M150" s="56"/>
      <c r="N150" s="57" t="b">
        <v>0</v>
      </c>
      <c r="O150" s="58"/>
      <c r="P150" s="215"/>
      <c r="Q150" s="191" t="b">
        <v>0</v>
      </c>
      <c r="R150" s="128"/>
      <c r="S150" s="337"/>
      <c r="T150" s="57" t="b">
        <v>0</v>
      </c>
      <c r="U150" s="307"/>
      <c r="V150" s="307"/>
      <c r="W150" s="54"/>
    </row>
    <row r="151" spans="1:23" ht="16">
      <c r="A151" s="162"/>
      <c r="B151" s="71"/>
      <c r="C151" s="151"/>
      <c r="D151" s="151"/>
      <c r="E151" s="151"/>
      <c r="F151" s="151"/>
      <c r="G151" s="151"/>
      <c r="H151" s="131" t="s">
        <v>30</v>
      </c>
      <c r="I151" s="151"/>
      <c r="J151" s="335"/>
      <c r="K151" s="54">
        <f t="shared" si="3"/>
        <v>0</v>
      </c>
      <c r="L151" s="55" t="b">
        <v>0</v>
      </c>
      <c r="M151" s="56"/>
      <c r="N151" s="57" t="b">
        <v>0</v>
      </c>
      <c r="O151" s="58"/>
      <c r="P151" s="215"/>
      <c r="Q151" s="191" t="b">
        <v>0</v>
      </c>
      <c r="R151" s="128"/>
      <c r="S151" s="337"/>
      <c r="T151" s="57" t="b">
        <v>0</v>
      </c>
      <c r="U151" s="307"/>
      <c r="V151" s="307"/>
      <c r="W151" s="54"/>
    </row>
    <row r="152" spans="1:23" ht="16">
      <c r="A152" s="162"/>
      <c r="B152" s="71"/>
      <c r="C152" s="151"/>
      <c r="D152" s="53"/>
      <c r="E152" s="53"/>
      <c r="F152" s="53"/>
      <c r="G152" s="53"/>
      <c r="H152" s="131" t="s">
        <v>30</v>
      </c>
      <c r="I152" s="151"/>
      <c r="J152" s="335"/>
      <c r="K152" s="54">
        <f t="shared" si="3"/>
        <v>0</v>
      </c>
      <c r="L152" s="55" t="b">
        <v>0</v>
      </c>
      <c r="M152" s="56"/>
      <c r="N152" s="57" t="b">
        <v>0</v>
      </c>
      <c r="O152" s="58"/>
      <c r="P152" s="215"/>
      <c r="Q152" s="191" t="b">
        <v>0</v>
      </c>
      <c r="R152" s="128"/>
      <c r="S152" s="337"/>
      <c r="T152" s="57" t="b">
        <v>0</v>
      </c>
      <c r="U152" s="307"/>
      <c r="V152" s="307"/>
      <c r="W152" s="54"/>
    </row>
    <row r="153" spans="1:23" ht="16">
      <c r="A153" s="162"/>
      <c r="B153" s="71"/>
      <c r="C153" s="53"/>
      <c r="D153" s="53"/>
      <c r="E153" s="53"/>
      <c r="F153" s="53"/>
      <c r="G153" s="151"/>
      <c r="H153" s="131" t="s">
        <v>30</v>
      </c>
      <c r="I153" s="151"/>
      <c r="J153" s="335"/>
      <c r="K153" s="54">
        <f t="shared" si="3"/>
        <v>0</v>
      </c>
      <c r="L153" s="55" t="b">
        <v>0</v>
      </c>
      <c r="M153" s="56"/>
      <c r="N153" s="57" t="b">
        <v>0</v>
      </c>
      <c r="O153" s="58"/>
      <c r="P153" s="215"/>
      <c r="Q153" s="191" t="b">
        <v>0</v>
      </c>
      <c r="R153" s="128"/>
      <c r="S153" s="337"/>
      <c r="T153" s="57" t="b">
        <v>0</v>
      </c>
      <c r="U153" s="307"/>
      <c r="V153" s="307"/>
      <c r="W153" s="54"/>
    </row>
    <row r="154" spans="1:23" ht="16">
      <c r="A154" s="162"/>
      <c r="B154" s="71"/>
      <c r="C154" s="53"/>
      <c r="D154" s="53"/>
      <c r="E154" s="53"/>
      <c r="F154" s="53"/>
      <c r="G154" s="53"/>
      <c r="H154" s="131" t="s">
        <v>30</v>
      </c>
      <c r="I154" s="151"/>
      <c r="J154" s="335"/>
      <c r="K154" s="54">
        <f t="shared" si="3"/>
        <v>0</v>
      </c>
      <c r="L154" s="55" t="b">
        <v>0</v>
      </c>
      <c r="M154" s="56"/>
      <c r="N154" s="57" t="b">
        <v>0</v>
      </c>
      <c r="O154" s="58"/>
      <c r="P154" s="215"/>
      <c r="Q154" s="191" t="b">
        <v>0</v>
      </c>
      <c r="R154" s="128"/>
      <c r="S154" s="337"/>
      <c r="T154" s="57" t="b">
        <v>0</v>
      </c>
      <c r="U154" s="307"/>
      <c r="V154" s="307"/>
      <c r="W154" s="54"/>
    </row>
    <row r="155" spans="1:23" ht="16">
      <c r="A155" s="162"/>
      <c r="B155" s="71"/>
      <c r="C155" s="53"/>
      <c r="D155" s="53"/>
      <c r="E155" s="53"/>
      <c r="F155" s="53"/>
      <c r="G155" s="53"/>
      <c r="H155" s="131" t="s">
        <v>30</v>
      </c>
      <c r="I155" s="151"/>
      <c r="J155" s="335"/>
      <c r="K155" s="54">
        <f t="shared" si="3"/>
        <v>0</v>
      </c>
      <c r="L155" s="55" t="b">
        <v>0</v>
      </c>
      <c r="M155" s="56"/>
      <c r="N155" s="57" t="b">
        <v>0</v>
      </c>
      <c r="O155" s="58"/>
      <c r="P155" s="215"/>
      <c r="Q155" s="191" t="b">
        <v>0</v>
      </c>
      <c r="R155" s="128"/>
      <c r="S155" s="337"/>
      <c r="T155" s="57" t="b">
        <v>0</v>
      </c>
      <c r="U155" s="307"/>
      <c r="V155" s="307"/>
      <c r="W155" s="54"/>
    </row>
    <row r="156" spans="1:23" ht="16">
      <c r="A156" s="162"/>
      <c r="B156" s="71"/>
      <c r="C156" s="53"/>
      <c r="D156" s="53"/>
      <c r="E156" s="53"/>
      <c r="F156" s="53"/>
      <c r="G156" s="53"/>
      <c r="H156" s="131" t="s">
        <v>30</v>
      </c>
      <c r="I156" s="151"/>
      <c r="J156" s="335"/>
      <c r="K156" s="54">
        <f t="shared" si="3"/>
        <v>0</v>
      </c>
      <c r="L156" s="55" t="b">
        <v>0</v>
      </c>
      <c r="M156" s="56"/>
      <c r="N156" s="57" t="b">
        <v>0</v>
      </c>
      <c r="O156" s="58"/>
      <c r="P156" s="215"/>
      <c r="Q156" s="191" t="b">
        <v>0</v>
      </c>
      <c r="R156" s="128"/>
      <c r="S156" s="337"/>
      <c r="T156" s="57" t="b">
        <v>0</v>
      </c>
      <c r="U156" s="307"/>
      <c r="V156" s="307"/>
      <c r="W156" s="54"/>
    </row>
    <row r="157" spans="1:23" ht="16">
      <c r="A157" s="162"/>
      <c r="B157" s="71"/>
      <c r="C157" s="53"/>
      <c r="D157" s="53"/>
      <c r="E157" s="53"/>
      <c r="F157" s="53"/>
      <c r="G157" s="53"/>
      <c r="H157" s="131" t="s">
        <v>30</v>
      </c>
      <c r="I157" s="151"/>
      <c r="J157" s="335"/>
      <c r="K157" s="54">
        <f t="shared" si="3"/>
        <v>0</v>
      </c>
      <c r="L157" s="55" t="b">
        <v>0</v>
      </c>
      <c r="M157" s="56"/>
      <c r="N157" s="57" t="b">
        <v>0</v>
      </c>
      <c r="O157" s="58"/>
      <c r="P157" s="215"/>
      <c r="Q157" s="191" t="b">
        <v>0</v>
      </c>
      <c r="R157" s="128"/>
      <c r="S157" s="337"/>
      <c r="T157" s="57" t="b">
        <v>0</v>
      </c>
      <c r="U157" s="307"/>
      <c r="V157" s="307"/>
      <c r="W157" s="54"/>
    </row>
    <row r="158" spans="1:23" ht="16">
      <c r="A158" s="162"/>
      <c r="B158" s="71"/>
      <c r="C158" s="53"/>
      <c r="D158" s="53"/>
      <c r="E158" s="53"/>
      <c r="F158" s="53"/>
      <c r="G158" s="53"/>
      <c r="H158" s="131" t="s">
        <v>30</v>
      </c>
      <c r="I158" s="151"/>
      <c r="J158" s="335"/>
      <c r="K158" s="54">
        <f t="shared" si="3"/>
        <v>0</v>
      </c>
      <c r="L158" s="55" t="b">
        <v>0</v>
      </c>
      <c r="M158" s="56"/>
      <c r="N158" s="57" t="b">
        <v>0</v>
      </c>
      <c r="O158" s="58"/>
      <c r="P158" s="215"/>
      <c r="Q158" s="191" t="b">
        <v>0</v>
      </c>
      <c r="R158" s="128"/>
      <c r="S158" s="337"/>
      <c r="T158" s="57" t="b">
        <v>0</v>
      </c>
      <c r="U158" s="307"/>
      <c r="V158" s="307"/>
      <c r="W158" s="54"/>
    </row>
    <row r="159" spans="1:23" ht="16">
      <c r="A159" s="162"/>
      <c r="B159" s="71"/>
      <c r="C159" s="151"/>
      <c r="D159" s="151"/>
      <c r="E159" s="151"/>
      <c r="F159" s="151"/>
      <c r="G159" s="53"/>
      <c r="H159" s="131" t="s">
        <v>30</v>
      </c>
      <c r="I159" s="151"/>
      <c r="J159" s="335"/>
      <c r="K159" s="54">
        <f t="shared" si="3"/>
        <v>0</v>
      </c>
      <c r="L159" s="55" t="b">
        <v>0</v>
      </c>
      <c r="M159" s="56"/>
      <c r="N159" s="57" t="b">
        <v>0</v>
      </c>
      <c r="O159" s="58"/>
      <c r="P159" s="215"/>
      <c r="Q159" s="191" t="b">
        <v>0</v>
      </c>
      <c r="R159" s="128"/>
      <c r="S159" s="337"/>
      <c r="T159" s="57" t="b">
        <v>0</v>
      </c>
      <c r="U159" s="307"/>
      <c r="V159" s="307"/>
      <c r="W159" s="54"/>
    </row>
    <row r="160" spans="1:23" ht="16">
      <c r="A160" s="162"/>
      <c r="B160" s="71"/>
      <c r="C160" s="151"/>
      <c r="D160" s="151"/>
      <c r="E160" s="151"/>
      <c r="F160" s="151"/>
      <c r="G160" s="53"/>
      <c r="H160" s="131" t="s">
        <v>30</v>
      </c>
      <c r="I160" s="151"/>
      <c r="J160" s="335"/>
      <c r="K160" s="54">
        <f t="shared" si="3"/>
        <v>0</v>
      </c>
      <c r="L160" s="55" t="b">
        <v>0</v>
      </c>
      <c r="M160" s="56"/>
      <c r="N160" s="57" t="b">
        <v>0</v>
      </c>
      <c r="O160" s="58"/>
      <c r="P160" s="215"/>
      <c r="Q160" s="191" t="b">
        <v>0</v>
      </c>
      <c r="R160" s="128"/>
      <c r="S160" s="337"/>
      <c r="T160" s="57" t="b">
        <v>0</v>
      </c>
      <c r="U160" s="307"/>
      <c r="V160" s="307"/>
      <c r="W160" s="54"/>
    </row>
    <row r="161" spans="1:23" ht="16">
      <c r="A161" s="162"/>
      <c r="B161" s="71"/>
      <c r="C161" s="151"/>
      <c r="D161" s="151"/>
      <c r="E161" s="151"/>
      <c r="F161" s="151"/>
      <c r="G161" s="53"/>
      <c r="H161" s="131" t="s">
        <v>30</v>
      </c>
      <c r="I161" s="151"/>
      <c r="J161" s="335"/>
      <c r="K161" s="54">
        <f t="shared" si="3"/>
        <v>0</v>
      </c>
      <c r="L161" s="55" t="b">
        <v>0</v>
      </c>
      <c r="M161" s="56"/>
      <c r="N161" s="57" t="b">
        <v>0</v>
      </c>
      <c r="O161" s="58"/>
      <c r="P161" s="215"/>
      <c r="Q161" s="191" t="b">
        <v>0</v>
      </c>
      <c r="R161" s="128"/>
      <c r="S161" s="337"/>
      <c r="T161" s="57" t="b">
        <v>0</v>
      </c>
      <c r="U161" s="307"/>
      <c r="V161" s="307"/>
      <c r="W161" s="54"/>
    </row>
    <row r="162" spans="1:23" ht="16">
      <c r="A162" s="162"/>
      <c r="B162" s="71"/>
      <c r="C162" s="151"/>
      <c r="D162" s="151"/>
      <c r="E162" s="151"/>
      <c r="F162" s="151"/>
      <c r="G162" s="53"/>
      <c r="H162" s="131" t="s">
        <v>30</v>
      </c>
      <c r="I162" s="151"/>
      <c r="J162" s="335"/>
      <c r="K162" s="54">
        <f t="shared" si="3"/>
        <v>0</v>
      </c>
      <c r="L162" s="55" t="b">
        <v>0</v>
      </c>
      <c r="M162" s="56"/>
      <c r="N162" s="57" t="b">
        <v>0</v>
      </c>
      <c r="O162" s="58"/>
      <c r="P162" s="215"/>
      <c r="Q162" s="191" t="b">
        <v>0</v>
      </c>
      <c r="R162" s="128"/>
      <c r="S162" s="337"/>
      <c r="T162" s="57" t="b">
        <v>0</v>
      </c>
      <c r="U162" s="307"/>
      <c r="V162" s="307"/>
      <c r="W162" s="54"/>
    </row>
    <row r="163" spans="1:23" ht="16">
      <c r="A163" s="162"/>
      <c r="B163" s="71"/>
      <c r="C163" s="151"/>
      <c r="D163" s="151"/>
      <c r="E163" s="151"/>
      <c r="F163" s="151"/>
      <c r="G163" s="53"/>
      <c r="H163" s="131" t="s">
        <v>30</v>
      </c>
      <c r="I163" s="151"/>
      <c r="J163" s="335"/>
      <c r="K163" s="54">
        <f t="shared" si="3"/>
        <v>0</v>
      </c>
      <c r="L163" s="55" t="b">
        <v>0</v>
      </c>
      <c r="M163" s="56"/>
      <c r="N163" s="57" t="b">
        <v>0</v>
      </c>
      <c r="O163" s="58"/>
      <c r="P163" s="215"/>
      <c r="Q163" s="191" t="b">
        <v>0</v>
      </c>
      <c r="R163" s="128"/>
      <c r="S163" s="337"/>
      <c r="T163" s="57" t="b">
        <v>0</v>
      </c>
      <c r="U163" s="307"/>
      <c r="V163" s="307"/>
      <c r="W163" s="54"/>
    </row>
    <row r="164" spans="1:23" ht="16">
      <c r="A164" s="162"/>
      <c r="B164" s="71"/>
      <c r="C164" s="53"/>
      <c r="D164" s="53"/>
      <c r="E164" s="53"/>
      <c r="F164" s="53"/>
      <c r="G164" s="53"/>
      <c r="H164" s="131" t="s">
        <v>30</v>
      </c>
      <c r="I164" s="151"/>
      <c r="J164" s="335"/>
      <c r="K164" s="54">
        <f t="shared" si="3"/>
        <v>0</v>
      </c>
      <c r="L164" s="55" t="b">
        <v>0</v>
      </c>
      <c r="M164" s="56"/>
      <c r="N164" s="57" t="b">
        <v>0</v>
      </c>
      <c r="O164" s="58"/>
      <c r="P164" s="215"/>
      <c r="Q164" s="191" t="b">
        <v>0</v>
      </c>
      <c r="R164" s="128"/>
      <c r="S164" s="337"/>
      <c r="T164" s="57" t="b">
        <v>0</v>
      </c>
      <c r="U164" s="307"/>
      <c r="V164" s="307"/>
      <c r="W164" s="54"/>
    </row>
    <row r="165" spans="1:23" ht="14.25" customHeight="1">
      <c r="A165" s="162"/>
      <c r="B165" s="71"/>
      <c r="C165" s="53"/>
      <c r="D165" s="53"/>
      <c r="E165" s="53"/>
      <c r="F165" s="53"/>
      <c r="G165" s="53"/>
      <c r="H165" s="131" t="s">
        <v>30</v>
      </c>
      <c r="I165" s="151"/>
      <c r="J165" s="335"/>
      <c r="K165" s="54">
        <f t="shared" si="3"/>
        <v>0</v>
      </c>
      <c r="L165" s="55" t="b">
        <v>0</v>
      </c>
      <c r="M165" s="56"/>
      <c r="N165" s="57" t="b">
        <v>0</v>
      </c>
      <c r="O165" s="58"/>
      <c r="P165" s="215"/>
      <c r="Q165" s="191" t="b">
        <v>0</v>
      </c>
      <c r="R165" s="128"/>
      <c r="S165" s="337"/>
      <c r="T165" s="57" t="b">
        <v>0</v>
      </c>
      <c r="U165" s="307"/>
      <c r="V165" s="307"/>
      <c r="W165" s="54"/>
    </row>
    <row r="166" spans="1:23" ht="16">
      <c r="A166" s="162"/>
      <c r="B166" s="71"/>
      <c r="C166" s="53"/>
      <c r="D166" s="53"/>
      <c r="E166" s="53"/>
      <c r="F166" s="53"/>
      <c r="G166" s="344"/>
      <c r="H166" s="131" t="s">
        <v>30</v>
      </c>
      <c r="I166" s="151"/>
      <c r="J166" s="335"/>
      <c r="K166" s="54">
        <f t="shared" si="3"/>
        <v>0</v>
      </c>
      <c r="L166" s="55" t="b">
        <v>0</v>
      </c>
      <c r="M166" s="56"/>
      <c r="N166" s="57" t="b">
        <v>0</v>
      </c>
      <c r="O166" s="58"/>
      <c r="P166" s="215"/>
      <c r="Q166" s="191" t="b">
        <v>0</v>
      </c>
      <c r="R166" s="128"/>
      <c r="S166" s="337"/>
      <c r="T166" s="57" t="b">
        <v>0</v>
      </c>
      <c r="U166" s="307"/>
      <c r="V166" s="307"/>
      <c r="W166" s="54"/>
    </row>
    <row r="167" spans="1:23" ht="16">
      <c r="A167" s="162"/>
      <c r="B167" s="71"/>
      <c r="C167" s="53"/>
      <c r="D167" s="53"/>
      <c r="E167" s="53"/>
      <c r="F167" s="53"/>
      <c r="G167" s="53"/>
      <c r="H167" s="131" t="s">
        <v>30</v>
      </c>
      <c r="I167" s="151"/>
      <c r="J167" s="335"/>
      <c r="K167" s="54">
        <f t="shared" si="3"/>
        <v>0</v>
      </c>
      <c r="L167" s="55" t="b">
        <v>0</v>
      </c>
      <c r="M167" s="56"/>
      <c r="N167" s="57" t="b">
        <v>0</v>
      </c>
      <c r="O167" s="58"/>
      <c r="P167" s="215"/>
      <c r="Q167" s="191" t="b">
        <v>0</v>
      </c>
      <c r="R167" s="128"/>
      <c r="S167" s="337"/>
      <c r="T167" s="57" t="b">
        <v>0</v>
      </c>
      <c r="U167" s="307"/>
      <c r="V167" s="307"/>
      <c r="W167" s="54"/>
    </row>
    <row r="168" spans="1:23" ht="16">
      <c r="A168" s="162"/>
      <c r="B168" s="71"/>
      <c r="C168" s="151"/>
      <c r="D168" s="53"/>
      <c r="E168" s="53"/>
      <c r="F168" s="53"/>
      <c r="G168" s="53"/>
      <c r="H168" s="131" t="s">
        <v>30</v>
      </c>
      <c r="I168" s="151"/>
      <c r="J168" s="335"/>
      <c r="K168" s="54">
        <f t="shared" si="3"/>
        <v>0</v>
      </c>
      <c r="L168" s="55" t="b">
        <v>0</v>
      </c>
      <c r="M168" s="56"/>
      <c r="N168" s="57" t="b">
        <v>0</v>
      </c>
      <c r="O168" s="58"/>
      <c r="P168" s="215"/>
      <c r="Q168" s="191" t="b">
        <v>0</v>
      </c>
      <c r="R168" s="128"/>
      <c r="S168" s="337"/>
      <c r="T168" s="57" t="b">
        <v>0</v>
      </c>
      <c r="U168" s="307"/>
      <c r="V168" s="307"/>
      <c r="W168" s="54"/>
    </row>
    <row r="169" spans="1:23" ht="16">
      <c r="A169" s="162"/>
      <c r="B169" s="71"/>
      <c r="C169" s="151"/>
      <c r="D169" s="53"/>
      <c r="E169" s="53"/>
      <c r="F169" s="53"/>
      <c r="G169" s="53"/>
      <c r="H169" s="131" t="s">
        <v>30</v>
      </c>
      <c r="I169" s="151"/>
      <c r="J169" s="335"/>
      <c r="K169" s="54">
        <f t="shared" si="3"/>
        <v>0</v>
      </c>
      <c r="L169" s="55" t="b">
        <v>0</v>
      </c>
      <c r="M169" s="56"/>
      <c r="N169" s="57" t="b">
        <v>0</v>
      </c>
      <c r="O169" s="58"/>
      <c r="P169" s="215"/>
      <c r="Q169" s="191" t="b">
        <v>0</v>
      </c>
      <c r="R169" s="128"/>
      <c r="S169" s="337"/>
      <c r="T169" s="57" t="b">
        <v>0</v>
      </c>
      <c r="U169" s="307"/>
      <c r="V169" s="307"/>
      <c r="W169" s="54"/>
    </row>
    <row r="170" spans="1:23" ht="16">
      <c r="A170" s="162"/>
      <c r="B170" s="71"/>
      <c r="C170" s="53"/>
      <c r="D170" s="53"/>
      <c r="E170" s="53"/>
      <c r="F170" s="53"/>
      <c r="G170" s="53"/>
      <c r="H170" s="131" t="s">
        <v>30</v>
      </c>
      <c r="I170" s="151"/>
      <c r="J170" s="335"/>
      <c r="K170" s="54">
        <f t="shared" si="3"/>
        <v>0</v>
      </c>
      <c r="L170" s="55" t="b">
        <v>0</v>
      </c>
      <c r="M170" s="56"/>
      <c r="N170" s="57" t="b">
        <v>0</v>
      </c>
      <c r="O170" s="58"/>
      <c r="P170" s="215"/>
      <c r="Q170" s="191" t="b">
        <v>0</v>
      </c>
      <c r="R170" s="128"/>
      <c r="S170" s="337"/>
      <c r="T170" s="57" t="b">
        <v>0</v>
      </c>
      <c r="U170" s="307"/>
      <c r="V170" s="307"/>
      <c r="W170" s="54"/>
    </row>
    <row r="171" spans="1:23" ht="16">
      <c r="A171" s="162"/>
      <c r="B171" s="71"/>
      <c r="C171" s="53"/>
      <c r="D171" s="53"/>
      <c r="E171" s="53"/>
      <c r="F171" s="53"/>
      <c r="G171" s="53"/>
      <c r="H171" s="131" t="s">
        <v>30</v>
      </c>
      <c r="I171" s="151"/>
      <c r="J171" s="335"/>
      <c r="K171" s="54">
        <f t="shared" si="3"/>
        <v>0</v>
      </c>
      <c r="L171" s="55" t="b">
        <v>0</v>
      </c>
      <c r="M171" s="56"/>
      <c r="N171" s="57" t="b">
        <v>0</v>
      </c>
      <c r="O171" s="58"/>
      <c r="P171" s="215"/>
      <c r="Q171" s="191" t="b">
        <v>0</v>
      </c>
      <c r="R171" s="128"/>
      <c r="S171" s="337"/>
      <c r="T171" s="57" t="b">
        <v>0</v>
      </c>
      <c r="U171" s="307"/>
      <c r="V171" s="307"/>
      <c r="W171" s="54"/>
    </row>
    <row r="172" spans="1:23" ht="16">
      <c r="A172" s="162"/>
      <c r="B172" s="71"/>
      <c r="C172" s="53"/>
      <c r="D172" s="53"/>
      <c r="E172" s="53"/>
      <c r="F172" s="53"/>
      <c r="G172" s="53"/>
      <c r="H172" s="131" t="s">
        <v>30</v>
      </c>
      <c r="I172" s="151"/>
      <c r="J172" s="335"/>
      <c r="K172" s="54">
        <f t="shared" si="3"/>
        <v>0</v>
      </c>
      <c r="L172" s="55" t="b">
        <v>0</v>
      </c>
      <c r="M172" s="56"/>
      <c r="N172" s="57" t="b">
        <v>0</v>
      </c>
      <c r="O172" s="58"/>
      <c r="P172" s="215"/>
      <c r="Q172" s="191" t="b">
        <v>0</v>
      </c>
      <c r="R172" s="128"/>
      <c r="S172" s="337"/>
      <c r="T172" s="57" t="b">
        <v>0</v>
      </c>
      <c r="U172" s="307"/>
      <c r="V172" s="307"/>
      <c r="W172" s="54"/>
    </row>
    <row r="173" spans="1:23" ht="16">
      <c r="A173" s="162"/>
      <c r="B173" s="71"/>
      <c r="C173" s="53"/>
      <c r="D173" s="53"/>
      <c r="E173" s="53"/>
      <c r="F173" s="53"/>
      <c r="G173" s="53"/>
      <c r="H173" s="131" t="s">
        <v>30</v>
      </c>
      <c r="I173" s="151"/>
      <c r="J173" s="335"/>
      <c r="K173" s="54">
        <f t="shared" si="3"/>
        <v>0</v>
      </c>
      <c r="L173" s="55" t="b">
        <v>0</v>
      </c>
      <c r="M173" s="56"/>
      <c r="N173" s="57" t="b">
        <v>0</v>
      </c>
      <c r="O173" s="58"/>
      <c r="P173" s="215"/>
      <c r="Q173" s="191" t="b">
        <v>0</v>
      </c>
      <c r="R173" s="128"/>
      <c r="S173" s="337"/>
      <c r="T173" s="57" t="b">
        <v>0</v>
      </c>
      <c r="U173" s="307"/>
      <c r="V173" s="307"/>
      <c r="W173" s="54"/>
    </row>
    <row r="174" spans="1:23" ht="16">
      <c r="A174" s="162"/>
      <c r="B174" s="71"/>
      <c r="C174" s="53"/>
      <c r="D174" s="53"/>
      <c r="E174" s="53"/>
      <c r="F174" s="53"/>
      <c r="G174" s="53"/>
      <c r="H174" s="131" t="s">
        <v>30</v>
      </c>
      <c r="I174" s="151"/>
      <c r="J174" s="335"/>
      <c r="K174" s="54">
        <f t="shared" si="3"/>
        <v>0</v>
      </c>
      <c r="L174" s="55" t="b">
        <v>0</v>
      </c>
      <c r="M174" s="56"/>
      <c r="N174" s="57" t="b">
        <v>0</v>
      </c>
      <c r="O174" s="58"/>
      <c r="P174" s="215"/>
      <c r="Q174" s="191" t="b">
        <v>0</v>
      </c>
      <c r="R174" s="128"/>
      <c r="S174" s="337"/>
      <c r="T174" s="57" t="b">
        <v>0</v>
      </c>
      <c r="U174" s="307"/>
      <c r="V174" s="307"/>
      <c r="W174" s="54"/>
    </row>
    <row r="175" spans="1:23" ht="16">
      <c r="A175" s="162"/>
      <c r="B175" s="71"/>
      <c r="C175" s="53"/>
      <c r="D175" s="53"/>
      <c r="E175" s="53"/>
      <c r="F175" s="53"/>
      <c r="G175" s="53"/>
      <c r="H175" s="131" t="s">
        <v>30</v>
      </c>
      <c r="I175" s="151"/>
      <c r="J175" s="335"/>
      <c r="K175" s="54">
        <f t="shared" si="3"/>
        <v>0</v>
      </c>
      <c r="L175" s="55" t="b">
        <v>0</v>
      </c>
      <c r="M175" s="56"/>
      <c r="N175" s="57" t="b">
        <v>0</v>
      </c>
      <c r="O175" s="58"/>
      <c r="P175" s="215"/>
      <c r="Q175" s="191" t="b">
        <v>0</v>
      </c>
      <c r="R175" s="128"/>
      <c r="S175" s="337"/>
      <c r="T175" s="57" t="b">
        <v>0</v>
      </c>
      <c r="U175" s="307"/>
      <c r="V175" s="307"/>
      <c r="W175" s="54"/>
    </row>
    <row r="176" spans="1:23" ht="16">
      <c r="A176" s="162"/>
      <c r="B176" s="71"/>
      <c r="C176" s="53"/>
      <c r="D176" s="53"/>
      <c r="E176" s="53"/>
      <c r="F176" s="53"/>
      <c r="G176" s="53"/>
      <c r="H176" s="131" t="s">
        <v>30</v>
      </c>
      <c r="I176" s="151"/>
      <c r="J176" s="335"/>
      <c r="K176" s="54">
        <f t="shared" si="3"/>
        <v>0</v>
      </c>
      <c r="L176" s="55" t="b">
        <v>0</v>
      </c>
      <c r="M176" s="56"/>
      <c r="N176" s="57" t="b">
        <v>0</v>
      </c>
      <c r="O176" s="58"/>
      <c r="P176" s="215"/>
      <c r="Q176" s="191" t="b">
        <v>0</v>
      </c>
      <c r="R176" s="128"/>
      <c r="S176" s="337"/>
      <c r="T176" s="57" t="b">
        <v>0</v>
      </c>
      <c r="U176" s="307"/>
      <c r="V176" s="307"/>
      <c r="W176" s="54"/>
    </row>
    <row r="177" spans="1:23" ht="16">
      <c r="A177" s="162"/>
      <c r="B177" s="71"/>
      <c r="C177" s="53"/>
      <c r="D177" s="53"/>
      <c r="E177" s="53"/>
      <c r="F177" s="53"/>
      <c r="G177" s="53"/>
      <c r="H177" s="131" t="s">
        <v>30</v>
      </c>
      <c r="I177" s="151"/>
      <c r="J177" s="335"/>
      <c r="K177" s="54">
        <f t="shared" si="3"/>
        <v>0</v>
      </c>
      <c r="L177" s="55" t="b">
        <v>0</v>
      </c>
      <c r="M177" s="56"/>
      <c r="N177" s="57" t="b">
        <v>0</v>
      </c>
      <c r="O177" s="58"/>
      <c r="P177" s="215"/>
      <c r="Q177" s="191" t="b">
        <v>0</v>
      </c>
      <c r="R177" s="128"/>
      <c r="S177" s="337"/>
      <c r="T177" s="57" t="b">
        <v>0</v>
      </c>
      <c r="U177" s="307"/>
      <c r="V177" s="307"/>
      <c r="W177" s="54"/>
    </row>
    <row r="178" spans="1:23" ht="16">
      <c r="A178" s="162"/>
      <c r="B178" s="71"/>
      <c r="C178" s="53"/>
      <c r="D178" s="53"/>
      <c r="E178" s="53"/>
      <c r="F178" s="53"/>
      <c r="G178" s="53"/>
      <c r="H178" s="131" t="s">
        <v>30</v>
      </c>
      <c r="I178" s="151"/>
      <c r="J178" s="335"/>
      <c r="K178" s="54">
        <f t="shared" si="3"/>
        <v>0</v>
      </c>
      <c r="L178" s="55" t="b">
        <v>0</v>
      </c>
      <c r="M178" s="56"/>
      <c r="N178" s="57" t="b">
        <v>0</v>
      </c>
      <c r="O178" s="58"/>
      <c r="P178" s="215"/>
      <c r="Q178" s="191" t="b">
        <v>0</v>
      </c>
      <c r="R178" s="128"/>
      <c r="S178" s="337"/>
      <c r="T178" s="57" t="b">
        <v>0</v>
      </c>
      <c r="U178" s="307"/>
      <c r="V178" s="307"/>
      <c r="W178" s="54"/>
    </row>
    <row r="179" spans="1:23" ht="16">
      <c r="A179" s="162"/>
      <c r="B179" s="71"/>
      <c r="C179" s="53"/>
      <c r="D179" s="53"/>
      <c r="E179" s="53"/>
      <c r="F179" s="53"/>
      <c r="G179" s="53"/>
      <c r="H179" s="131" t="s">
        <v>30</v>
      </c>
      <c r="I179" s="151"/>
      <c r="J179" s="335"/>
      <c r="K179" s="54">
        <f t="shared" si="3"/>
        <v>0</v>
      </c>
      <c r="L179" s="55" t="b">
        <v>0</v>
      </c>
      <c r="M179" s="56"/>
      <c r="N179" s="57" t="b">
        <v>0</v>
      </c>
      <c r="O179" s="58"/>
      <c r="P179" s="215"/>
      <c r="Q179" s="191" t="b">
        <v>0</v>
      </c>
      <c r="R179" s="128"/>
      <c r="S179" s="337"/>
      <c r="T179" s="57" t="b">
        <v>0</v>
      </c>
      <c r="U179" s="307"/>
      <c r="V179" s="307"/>
      <c r="W179" s="54"/>
    </row>
    <row r="180" spans="1:23" ht="16">
      <c r="A180" s="162"/>
      <c r="B180" s="71"/>
      <c r="C180" s="53"/>
      <c r="D180" s="53"/>
      <c r="E180" s="53"/>
      <c r="F180" s="53"/>
      <c r="G180" s="53"/>
      <c r="H180" s="131" t="s">
        <v>30</v>
      </c>
      <c r="I180" s="151"/>
      <c r="J180" s="335"/>
      <c r="K180" s="54">
        <f t="shared" si="3"/>
        <v>0</v>
      </c>
      <c r="L180" s="55" t="b">
        <v>0</v>
      </c>
      <c r="M180" s="56"/>
      <c r="N180" s="57" t="b">
        <v>0</v>
      </c>
      <c r="O180" s="58"/>
      <c r="P180" s="215"/>
      <c r="Q180" s="191" t="b">
        <v>0</v>
      </c>
      <c r="R180" s="128"/>
      <c r="S180" s="337"/>
      <c r="T180" s="57" t="b">
        <v>0</v>
      </c>
      <c r="U180" s="307"/>
      <c r="V180" s="307"/>
      <c r="W180" s="54"/>
    </row>
    <row r="181" spans="1:23" ht="16">
      <c r="A181" s="162"/>
      <c r="B181" s="132"/>
      <c r="C181" s="53"/>
      <c r="D181" s="53"/>
      <c r="E181" s="53"/>
      <c r="F181" s="53"/>
      <c r="G181" s="53"/>
      <c r="H181" s="131" t="s">
        <v>30</v>
      </c>
      <c r="I181" s="151"/>
      <c r="J181" s="335"/>
      <c r="K181" s="54">
        <f t="shared" si="3"/>
        <v>0</v>
      </c>
      <c r="L181" s="55" t="b">
        <v>0</v>
      </c>
      <c r="M181" s="56"/>
      <c r="N181" s="57" t="b">
        <v>0</v>
      </c>
      <c r="O181" s="58"/>
      <c r="P181" s="215"/>
      <c r="Q181" s="191" t="b">
        <v>0</v>
      </c>
      <c r="R181" s="128"/>
      <c r="S181" s="337"/>
      <c r="T181" s="57" t="b">
        <v>0</v>
      </c>
      <c r="U181" s="307"/>
      <c r="V181" s="307"/>
      <c r="W181" s="54"/>
    </row>
    <row r="182" spans="1:23" ht="16">
      <c r="A182" s="162"/>
      <c r="B182" s="132"/>
      <c r="C182" s="53"/>
      <c r="D182" s="53"/>
      <c r="E182" s="53"/>
      <c r="F182" s="53"/>
      <c r="G182" s="53"/>
      <c r="H182" s="131" t="s">
        <v>30</v>
      </c>
      <c r="I182" s="151"/>
      <c r="J182" s="335"/>
      <c r="K182" s="54">
        <f t="shared" si="3"/>
        <v>0</v>
      </c>
      <c r="L182" s="55" t="b">
        <v>0</v>
      </c>
      <c r="M182" s="56"/>
      <c r="N182" s="57" t="b">
        <v>0</v>
      </c>
      <c r="O182" s="58"/>
      <c r="P182" s="215"/>
      <c r="Q182" s="191" t="b">
        <v>0</v>
      </c>
      <c r="R182" s="128"/>
      <c r="S182" s="337"/>
      <c r="T182" s="57" t="b">
        <v>0</v>
      </c>
      <c r="U182" s="307"/>
      <c r="V182" s="307"/>
      <c r="W182" s="54"/>
    </row>
    <row r="183" spans="1:23" ht="16">
      <c r="A183" s="162"/>
      <c r="B183" s="132"/>
      <c r="C183" s="53"/>
      <c r="D183" s="53"/>
      <c r="E183" s="53"/>
      <c r="F183" s="53"/>
      <c r="G183" s="53"/>
      <c r="H183" s="131" t="s">
        <v>30</v>
      </c>
      <c r="I183" s="151"/>
      <c r="J183" s="335"/>
      <c r="K183" s="54">
        <f t="shared" si="3"/>
        <v>0</v>
      </c>
      <c r="L183" s="55" t="b">
        <v>0</v>
      </c>
      <c r="M183" s="56"/>
      <c r="N183" s="57" t="b">
        <v>0</v>
      </c>
      <c r="O183" s="58"/>
      <c r="P183" s="215"/>
      <c r="Q183" s="191" t="b">
        <v>0</v>
      </c>
      <c r="R183" s="128"/>
      <c r="S183" s="337"/>
      <c r="T183" s="57" t="b">
        <v>0</v>
      </c>
      <c r="U183" s="307"/>
      <c r="V183" s="307"/>
      <c r="W183" s="54"/>
    </row>
    <row r="184" spans="1:23" ht="16">
      <c r="A184" s="162"/>
      <c r="B184" s="132"/>
      <c r="C184" s="53"/>
      <c r="D184" s="53"/>
      <c r="E184" s="53"/>
      <c r="F184" s="53"/>
      <c r="G184" s="53"/>
      <c r="H184" s="131" t="s">
        <v>30</v>
      </c>
      <c r="I184" s="151"/>
      <c r="J184" s="335"/>
      <c r="K184" s="54">
        <f t="shared" si="3"/>
        <v>0</v>
      </c>
      <c r="L184" s="55" t="b">
        <v>0</v>
      </c>
      <c r="M184" s="56"/>
      <c r="N184" s="57" t="b">
        <v>0</v>
      </c>
      <c r="O184" s="58"/>
      <c r="P184" s="215"/>
      <c r="Q184" s="191" t="b">
        <v>0</v>
      </c>
      <c r="R184" s="128"/>
      <c r="S184" s="337"/>
      <c r="T184" s="57" t="b">
        <v>0</v>
      </c>
      <c r="U184" s="307"/>
      <c r="V184" s="307"/>
      <c r="W184" s="54"/>
    </row>
    <row r="185" spans="1:23" ht="16">
      <c r="A185" s="162"/>
      <c r="B185" s="132"/>
      <c r="C185" s="53"/>
      <c r="D185" s="53"/>
      <c r="E185" s="53"/>
      <c r="F185" s="53"/>
      <c r="G185" s="53"/>
      <c r="H185" s="131" t="s">
        <v>30</v>
      </c>
      <c r="I185" s="151"/>
      <c r="J185" s="335"/>
      <c r="K185" s="54">
        <f t="shared" si="3"/>
        <v>0</v>
      </c>
      <c r="L185" s="55" t="b">
        <v>0</v>
      </c>
      <c r="M185" s="56"/>
      <c r="N185" s="57" t="b">
        <v>0</v>
      </c>
      <c r="O185" s="58"/>
      <c r="P185" s="215"/>
      <c r="Q185" s="191" t="b">
        <v>0</v>
      </c>
      <c r="R185" s="128"/>
      <c r="S185" s="337"/>
      <c r="T185" s="57" t="b">
        <v>0</v>
      </c>
      <c r="U185" s="307"/>
      <c r="V185" s="307"/>
      <c r="W185" s="54"/>
    </row>
    <row r="186" spans="1:23" ht="16">
      <c r="A186" s="162"/>
      <c r="B186" s="132"/>
      <c r="C186" s="53"/>
      <c r="D186" s="53"/>
      <c r="E186" s="53"/>
      <c r="F186" s="53"/>
      <c r="G186" s="53"/>
      <c r="H186" s="131" t="s">
        <v>30</v>
      </c>
      <c r="I186" s="151"/>
      <c r="J186" s="335"/>
      <c r="K186" s="54">
        <f t="shared" si="3"/>
        <v>0</v>
      </c>
      <c r="L186" s="55" t="b">
        <v>0</v>
      </c>
      <c r="M186" s="56"/>
      <c r="N186" s="57" t="b">
        <v>0</v>
      </c>
      <c r="O186" s="58"/>
      <c r="P186" s="215"/>
      <c r="Q186" s="191" t="b">
        <v>0</v>
      </c>
      <c r="R186" s="128"/>
      <c r="S186" s="337"/>
      <c r="T186" s="57" t="b">
        <v>0</v>
      </c>
      <c r="U186" s="307"/>
      <c r="V186" s="307"/>
      <c r="W186" s="54"/>
    </row>
    <row r="187" spans="1:23" ht="16">
      <c r="A187" s="162"/>
      <c r="B187" s="132"/>
      <c r="C187" s="53"/>
      <c r="D187" s="53"/>
      <c r="E187" s="53"/>
      <c r="F187" s="53"/>
      <c r="G187" s="53"/>
      <c r="H187" s="131" t="s">
        <v>30</v>
      </c>
      <c r="I187" s="151"/>
      <c r="J187" s="335"/>
      <c r="K187" s="54">
        <f t="shared" si="3"/>
        <v>0</v>
      </c>
      <c r="L187" s="55" t="b">
        <v>0</v>
      </c>
      <c r="M187" s="56"/>
      <c r="N187" s="57" t="b">
        <v>0</v>
      </c>
      <c r="O187" s="58"/>
      <c r="P187" s="215"/>
      <c r="Q187" s="191" t="b">
        <v>0</v>
      </c>
      <c r="R187" s="128"/>
      <c r="S187" s="337"/>
      <c r="T187" s="57" t="b">
        <v>0</v>
      </c>
      <c r="U187" s="307"/>
      <c r="V187" s="307"/>
      <c r="W187" s="54"/>
    </row>
    <row r="188" spans="1:23" ht="16">
      <c r="A188" s="162"/>
      <c r="B188" s="132"/>
      <c r="C188" s="53"/>
      <c r="D188" s="53"/>
      <c r="E188" s="53"/>
      <c r="F188" s="53"/>
      <c r="G188" s="53"/>
      <c r="H188" s="131" t="s">
        <v>30</v>
      </c>
      <c r="I188" s="151"/>
      <c r="J188" s="335"/>
      <c r="K188" s="54">
        <f t="shared" si="3"/>
        <v>0</v>
      </c>
      <c r="L188" s="55" t="b">
        <v>0</v>
      </c>
      <c r="M188" s="56"/>
      <c r="N188" s="57" t="b">
        <v>0</v>
      </c>
      <c r="O188" s="58"/>
      <c r="P188" s="215"/>
      <c r="Q188" s="191" t="b">
        <v>0</v>
      </c>
      <c r="R188" s="128"/>
      <c r="S188" s="337"/>
      <c r="T188" s="57" t="b">
        <v>0</v>
      </c>
      <c r="U188" s="307"/>
      <c r="V188" s="307"/>
      <c r="W188" s="54"/>
    </row>
    <row r="189" spans="1:23" ht="16">
      <c r="A189" s="162"/>
      <c r="B189" s="132"/>
      <c r="C189" s="53"/>
      <c r="D189" s="53"/>
      <c r="E189" s="53"/>
      <c r="F189" s="53"/>
      <c r="G189" s="53"/>
      <c r="H189" s="131" t="s">
        <v>30</v>
      </c>
      <c r="I189" s="151"/>
      <c r="J189" s="335"/>
      <c r="K189" s="54">
        <f t="shared" si="3"/>
        <v>0</v>
      </c>
      <c r="L189" s="55" t="b">
        <v>0</v>
      </c>
      <c r="M189" s="56"/>
      <c r="N189" s="57" t="b">
        <v>0</v>
      </c>
      <c r="O189" s="58"/>
      <c r="P189" s="215"/>
      <c r="Q189" s="191" t="b">
        <v>0</v>
      </c>
      <c r="R189" s="128"/>
      <c r="S189" s="337"/>
      <c r="T189" s="57" t="b">
        <v>0</v>
      </c>
      <c r="U189" s="307"/>
      <c r="V189" s="307"/>
      <c r="W189" s="54"/>
    </row>
    <row r="190" spans="1:23" ht="16">
      <c r="A190" s="162"/>
      <c r="B190" s="132"/>
      <c r="C190" s="53"/>
      <c r="D190" s="53"/>
      <c r="E190" s="53"/>
      <c r="F190" s="53"/>
      <c r="G190" s="53"/>
      <c r="H190" s="131" t="s">
        <v>30</v>
      </c>
      <c r="I190" s="151"/>
      <c r="J190" s="335"/>
      <c r="K190" s="54">
        <f t="shared" si="3"/>
        <v>0</v>
      </c>
      <c r="L190" s="55" t="b">
        <v>0</v>
      </c>
      <c r="M190" s="56"/>
      <c r="N190" s="57" t="b">
        <v>0</v>
      </c>
      <c r="O190" s="58"/>
      <c r="P190" s="215"/>
      <c r="Q190" s="191" t="b">
        <v>0</v>
      </c>
      <c r="R190" s="128"/>
      <c r="S190" s="337"/>
      <c r="T190" s="57" t="b">
        <v>0</v>
      </c>
      <c r="U190" s="307"/>
      <c r="V190" s="307"/>
      <c r="W190" s="54"/>
    </row>
    <row r="191" spans="1:23" ht="16">
      <c r="A191" s="162"/>
      <c r="B191" s="132"/>
      <c r="C191" s="53"/>
      <c r="D191" s="53"/>
      <c r="E191" s="53"/>
      <c r="F191" s="53"/>
      <c r="G191" s="53"/>
      <c r="H191" s="131" t="s">
        <v>30</v>
      </c>
      <c r="I191" s="151"/>
      <c r="J191" s="335"/>
      <c r="K191" s="54">
        <f t="shared" si="3"/>
        <v>0</v>
      </c>
      <c r="L191" s="55" t="b">
        <v>0</v>
      </c>
      <c r="M191" s="56"/>
      <c r="N191" s="57" t="b">
        <v>0</v>
      </c>
      <c r="O191" s="58"/>
      <c r="P191" s="215"/>
      <c r="Q191" s="191" t="b">
        <v>0</v>
      </c>
      <c r="R191" s="128"/>
      <c r="S191" s="337"/>
      <c r="T191" s="57" t="b">
        <v>0</v>
      </c>
      <c r="U191" s="307"/>
      <c r="V191" s="307"/>
      <c r="W191" s="54"/>
    </row>
    <row r="192" spans="1:23" ht="16">
      <c r="A192" s="162"/>
      <c r="B192" s="132"/>
      <c r="C192" s="53"/>
      <c r="D192" s="53"/>
      <c r="E192" s="53"/>
      <c r="F192" s="53"/>
      <c r="G192" s="53"/>
      <c r="H192" s="131" t="s">
        <v>30</v>
      </c>
      <c r="I192" s="151"/>
      <c r="J192" s="335"/>
      <c r="K192" s="54">
        <f t="shared" si="3"/>
        <v>0</v>
      </c>
      <c r="L192" s="55" t="b">
        <v>0</v>
      </c>
      <c r="M192" s="56"/>
      <c r="N192" s="57" t="b">
        <v>0</v>
      </c>
      <c r="O192" s="58"/>
      <c r="P192" s="215"/>
      <c r="Q192" s="191" t="b">
        <v>0</v>
      </c>
      <c r="R192" s="128"/>
      <c r="S192" s="337"/>
      <c r="T192" s="57" t="b">
        <v>0</v>
      </c>
      <c r="U192" s="307"/>
      <c r="V192" s="307"/>
      <c r="W192" s="54"/>
    </row>
    <row r="193" spans="1:23" ht="16">
      <c r="A193" s="162"/>
      <c r="B193" s="132"/>
      <c r="C193" s="53"/>
      <c r="D193" s="53"/>
      <c r="E193" s="53"/>
      <c r="F193" s="53"/>
      <c r="G193" s="53"/>
      <c r="H193" s="131" t="s">
        <v>30</v>
      </c>
      <c r="I193" s="151"/>
      <c r="J193" s="335"/>
      <c r="K193" s="54">
        <f t="shared" si="3"/>
        <v>0</v>
      </c>
      <c r="L193" s="55" t="b">
        <v>0</v>
      </c>
      <c r="M193" s="56"/>
      <c r="N193" s="57" t="b">
        <v>0</v>
      </c>
      <c r="O193" s="58"/>
      <c r="P193" s="215"/>
      <c r="Q193" s="191" t="b">
        <v>0</v>
      </c>
      <c r="R193" s="128"/>
      <c r="S193" s="337"/>
      <c r="T193" s="57" t="b">
        <v>0</v>
      </c>
      <c r="U193" s="307"/>
      <c r="V193" s="307"/>
      <c r="W193" s="54"/>
    </row>
    <row r="194" spans="1:23" ht="16">
      <c r="A194" s="162"/>
      <c r="B194" s="132"/>
      <c r="C194" s="53"/>
      <c r="D194" s="53"/>
      <c r="E194" s="53"/>
      <c r="F194" s="53"/>
      <c r="G194" s="53"/>
      <c r="H194" s="131" t="s">
        <v>30</v>
      </c>
      <c r="I194" s="151"/>
      <c r="J194" s="335"/>
      <c r="K194" s="54">
        <f t="shared" si="3"/>
        <v>0</v>
      </c>
      <c r="L194" s="55" t="b">
        <v>0</v>
      </c>
      <c r="M194" s="56"/>
      <c r="N194" s="57" t="b">
        <v>0</v>
      </c>
      <c r="O194" s="58"/>
      <c r="P194" s="215"/>
      <c r="Q194" s="191" t="b">
        <v>0</v>
      </c>
      <c r="R194" s="128"/>
      <c r="S194" s="337"/>
      <c r="T194" s="57" t="b">
        <v>0</v>
      </c>
      <c r="U194" s="307"/>
      <c r="V194" s="307"/>
      <c r="W194" s="54"/>
    </row>
    <row r="195" spans="1:23" ht="16">
      <c r="A195" s="162"/>
      <c r="B195" s="132"/>
      <c r="C195" s="53"/>
      <c r="D195" s="53"/>
      <c r="E195" s="53"/>
      <c r="F195" s="53"/>
      <c r="G195" s="53"/>
      <c r="H195" s="131" t="s">
        <v>30</v>
      </c>
      <c r="I195" s="151"/>
      <c r="J195" s="335"/>
      <c r="K195" s="54">
        <f t="shared" si="3"/>
        <v>0</v>
      </c>
      <c r="L195" s="55" t="b">
        <v>0</v>
      </c>
      <c r="M195" s="56"/>
      <c r="N195" s="57" t="b">
        <v>0</v>
      </c>
      <c r="O195" s="58"/>
      <c r="P195" s="215"/>
      <c r="Q195" s="191" t="b">
        <v>0</v>
      </c>
      <c r="R195" s="128"/>
      <c r="S195" s="337"/>
      <c r="T195" s="57" t="b">
        <v>0</v>
      </c>
      <c r="U195" s="307"/>
      <c r="V195" s="307"/>
      <c r="W195" s="54"/>
    </row>
    <row r="196" spans="1:23" ht="16">
      <c r="A196" s="162"/>
      <c r="B196" s="132"/>
      <c r="C196" s="53"/>
      <c r="D196" s="53"/>
      <c r="E196" s="53"/>
      <c r="F196" s="53"/>
      <c r="G196" s="53"/>
      <c r="H196" s="131" t="s">
        <v>30</v>
      </c>
      <c r="I196" s="151"/>
      <c r="J196" s="335"/>
      <c r="K196" s="54">
        <f t="shared" si="3"/>
        <v>0</v>
      </c>
      <c r="L196" s="55" t="b">
        <v>0</v>
      </c>
      <c r="M196" s="56"/>
      <c r="N196" s="57" t="b">
        <v>0</v>
      </c>
      <c r="O196" s="58"/>
      <c r="P196" s="215"/>
      <c r="Q196" s="191" t="b">
        <v>0</v>
      </c>
      <c r="R196" s="128"/>
      <c r="S196" s="337"/>
      <c r="T196" s="57" t="b">
        <v>0</v>
      </c>
      <c r="U196" s="307"/>
      <c r="V196" s="307"/>
      <c r="W196" s="54"/>
    </row>
    <row r="197" spans="1:23" ht="16">
      <c r="A197" s="162"/>
      <c r="B197" s="132"/>
      <c r="C197" s="53"/>
      <c r="D197" s="53"/>
      <c r="E197" s="53"/>
      <c r="F197" s="53"/>
      <c r="G197" s="53"/>
      <c r="H197" s="131" t="s">
        <v>30</v>
      </c>
      <c r="I197" s="151"/>
      <c r="J197" s="335"/>
      <c r="K197" s="54">
        <f t="shared" si="3"/>
        <v>0</v>
      </c>
      <c r="L197" s="55" t="b">
        <v>0</v>
      </c>
      <c r="M197" s="56"/>
      <c r="N197" s="57" t="b">
        <v>0</v>
      </c>
      <c r="O197" s="58"/>
      <c r="P197" s="215"/>
      <c r="Q197" s="191" t="b">
        <v>0</v>
      </c>
      <c r="R197" s="128"/>
      <c r="S197" s="337"/>
      <c r="T197" s="57" t="b">
        <v>0</v>
      </c>
      <c r="U197" s="307"/>
      <c r="V197" s="307"/>
      <c r="W197" s="54"/>
    </row>
    <row r="198" spans="1:23" ht="16">
      <c r="A198" s="162"/>
      <c r="B198" s="132"/>
      <c r="C198" s="53"/>
      <c r="D198" s="53"/>
      <c r="E198" s="53"/>
      <c r="F198" s="53"/>
      <c r="G198" s="53"/>
      <c r="H198" s="131"/>
      <c r="I198" s="151"/>
      <c r="J198" s="335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345"/>
      <c r="W198" s="54"/>
    </row>
    <row r="199" spans="1:23" ht="16">
      <c r="A199" s="162"/>
      <c r="B199" s="132"/>
      <c r="C199" s="53"/>
      <c r="D199" s="53"/>
      <c r="E199" s="53"/>
      <c r="F199" s="53"/>
      <c r="G199" s="53"/>
      <c r="H199" s="131"/>
      <c r="I199" s="151"/>
      <c r="J199" s="335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345"/>
      <c r="W199" s="54"/>
    </row>
    <row r="200" spans="1:23" ht="16">
      <c r="A200" s="162"/>
      <c r="B200" s="132"/>
      <c r="C200" s="53"/>
      <c r="D200" s="53"/>
      <c r="E200" s="53"/>
      <c r="F200" s="53"/>
      <c r="G200" s="53"/>
      <c r="H200" s="131"/>
      <c r="I200" s="151"/>
      <c r="J200" s="335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345"/>
      <c r="W200" s="54"/>
    </row>
    <row r="201" spans="1:23" ht="16">
      <c r="A201" s="162"/>
      <c r="B201" s="132"/>
      <c r="C201" s="53"/>
      <c r="D201" s="53"/>
      <c r="E201" s="53"/>
      <c r="F201" s="53"/>
      <c r="G201" s="53"/>
      <c r="H201" s="131"/>
      <c r="I201" s="151"/>
      <c r="J201" s="335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345"/>
      <c r="W201" s="54"/>
    </row>
    <row r="202" spans="1:23" ht="16">
      <c r="A202" s="162"/>
      <c r="B202" s="132"/>
      <c r="C202" s="53"/>
      <c r="D202" s="53"/>
      <c r="E202" s="53"/>
      <c r="F202" s="53"/>
      <c r="G202" s="53"/>
      <c r="H202" s="131"/>
      <c r="I202" s="151"/>
      <c r="J202" s="335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345"/>
      <c r="W202" s="54"/>
    </row>
    <row r="203" spans="1:23" ht="16">
      <c r="A203" s="162"/>
      <c r="B203" s="132"/>
      <c r="C203" s="53"/>
      <c r="D203" s="53"/>
      <c r="E203" s="53"/>
      <c r="F203" s="53"/>
      <c r="G203" s="53"/>
      <c r="H203" s="131"/>
      <c r="I203" s="151"/>
      <c r="J203" s="335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345"/>
      <c r="W203" s="54"/>
    </row>
    <row r="204" spans="1:23" ht="16">
      <c r="A204" s="162"/>
      <c r="B204" s="132"/>
      <c r="C204" s="53"/>
      <c r="D204" s="53"/>
      <c r="E204" s="53"/>
      <c r="F204" s="53"/>
      <c r="G204" s="53"/>
      <c r="H204" s="131"/>
      <c r="I204" s="151"/>
      <c r="J204" s="335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345"/>
      <c r="W204" s="54"/>
    </row>
    <row r="205" spans="1:23" ht="16">
      <c r="A205" s="162"/>
      <c r="B205" s="132"/>
      <c r="C205" s="53"/>
      <c r="D205" s="53"/>
      <c r="E205" s="53"/>
      <c r="F205" s="53"/>
      <c r="G205" s="53"/>
      <c r="H205" s="131"/>
      <c r="I205" s="151"/>
      <c r="J205" s="335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345"/>
      <c r="W205" s="54"/>
    </row>
    <row r="206" spans="1:23" ht="16">
      <c r="A206" s="162"/>
      <c r="B206" s="132"/>
      <c r="C206" s="53"/>
      <c r="D206" s="53"/>
      <c r="E206" s="53"/>
      <c r="F206" s="53"/>
      <c r="G206" s="53"/>
      <c r="H206" s="131"/>
      <c r="I206" s="151"/>
      <c r="J206" s="335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345"/>
      <c r="W206" s="54"/>
    </row>
    <row r="207" spans="1:23" ht="16">
      <c r="A207" s="162"/>
      <c r="B207" s="132"/>
      <c r="C207" s="53"/>
      <c r="D207" s="53"/>
      <c r="E207" s="53"/>
      <c r="F207" s="53"/>
      <c r="G207" s="53"/>
      <c r="H207" s="131"/>
      <c r="I207" s="151"/>
      <c r="J207" s="335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345"/>
      <c r="W207" s="54"/>
    </row>
    <row r="208" spans="1:23" ht="16">
      <c r="A208" s="162"/>
      <c r="B208" s="132"/>
      <c r="C208" s="53"/>
      <c r="D208" s="53"/>
      <c r="E208" s="53"/>
      <c r="F208" s="53"/>
      <c r="G208" s="53"/>
      <c r="H208" s="131"/>
      <c r="I208" s="151"/>
      <c r="J208" s="335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345"/>
      <c r="W208" s="54"/>
    </row>
    <row r="209" spans="1:23" ht="16">
      <c r="A209" s="162"/>
      <c r="B209" s="132"/>
      <c r="C209" s="53"/>
      <c r="D209" s="53"/>
      <c r="E209" s="53"/>
      <c r="F209" s="53"/>
      <c r="G209" s="53"/>
      <c r="H209" s="131"/>
      <c r="I209" s="53"/>
      <c r="J209" s="188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345"/>
      <c r="W209" s="54"/>
    </row>
    <row r="210" spans="1:23" ht="16">
      <c r="A210" s="162"/>
      <c r="B210" s="132"/>
      <c r="C210" s="53"/>
      <c r="D210" s="53"/>
      <c r="E210" s="53"/>
      <c r="F210" s="53"/>
      <c r="G210" s="53"/>
      <c r="H210" s="131"/>
      <c r="I210" s="53"/>
      <c r="J210" s="188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345"/>
      <c r="W210" s="58"/>
    </row>
    <row r="211" spans="1:23" ht="16">
      <c r="A211" s="162"/>
      <c r="B211" s="132"/>
      <c r="C211" s="53"/>
      <c r="D211" s="53"/>
      <c r="E211" s="53"/>
      <c r="F211" s="53"/>
      <c r="G211" s="53"/>
      <c r="H211" s="131"/>
      <c r="I211" s="53"/>
      <c r="J211" s="188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345"/>
      <c r="W211" s="54"/>
    </row>
    <row r="212" spans="1:23" ht="16">
      <c r="A212" s="162"/>
      <c r="B212" s="132"/>
      <c r="C212" s="53"/>
      <c r="D212" s="53"/>
      <c r="E212" s="53"/>
      <c r="F212" s="53"/>
      <c r="G212" s="53"/>
      <c r="H212" s="131"/>
      <c r="I212" s="53"/>
      <c r="J212" s="188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345"/>
      <c r="W212" s="54"/>
    </row>
    <row r="213" spans="1:23" ht="16">
      <c r="A213" s="162"/>
      <c r="B213" s="132"/>
      <c r="C213" s="53"/>
      <c r="D213" s="53"/>
      <c r="E213" s="53"/>
      <c r="F213" s="53"/>
      <c r="G213" s="53"/>
      <c r="H213" s="131"/>
      <c r="I213" s="53"/>
      <c r="J213" s="188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345"/>
      <c r="W213" s="54"/>
    </row>
    <row r="214" spans="1:23" ht="16">
      <c r="A214" s="162"/>
      <c r="B214" s="132"/>
      <c r="C214" s="53"/>
      <c r="D214" s="53"/>
      <c r="E214" s="53"/>
      <c r="F214" s="53"/>
      <c r="G214" s="53"/>
      <c r="H214" s="131"/>
      <c r="I214" s="53"/>
      <c r="J214" s="188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345"/>
      <c r="W214" s="54"/>
    </row>
    <row r="215" spans="1:23" ht="16">
      <c r="A215" s="162"/>
      <c r="B215" s="132"/>
      <c r="C215" s="53"/>
      <c r="D215" s="53"/>
      <c r="E215" s="53"/>
      <c r="F215" s="53"/>
      <c r="G215" s="53"/>
      <c r="H215" s="131"/>
      <c r="I215" s="53"/>
      <c r="J215" s="188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345"/>
      <c r="W215" s="54"/>
    </row>
    <row r="216" spans="1:23" ht="16">
      <c r="A216" s="162"/>
      <c r="B216" s="132"/>
      <c r="C216" s="53"/>
      <c r="D216" s="53"/>
      <c r="E216" s="53"/>
      <c r="F216" s="53"/>
      <c r="G216" s="53"/>
      <c r="H216" s="131"/>
      <c r="I216" s="53"/>
      <c r="J216" s="188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345"/>
      <c r="W216" s="54"/>
    </row>
    <row r="217" spans="1:23" ht="16">
      <c r="A217" s="162"/>
      <c r="B217" s="132"/>
      <c r="C217" s="53"/>
      <c r="D217" s="53"/>
      <c r="E217" s="53"/>
      <c r="F217" s="53"/>
      <c r="G217" s="53"/>
      <c r="H217" s="131"/>
      <c r="I217" s="53"/>
      <c r="J217" s="188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345"/>
      <c r="W217" s="54"/>
    </row>
    <row r="218" spans="1:23" ht="16">
      <c r="A218" s="162"/>
      <c r="B218" s="132"/>
      <c r="C218" s="53"/>
      <c r="D218" s="53"/>
      <c r="E218" s="53"/>
      <c r="F218" s="53"/>
      <c r="G218" s="53"/>
      <c r="H218" s="131"/>
      <c r="I218" s="53"/>
      <c r="J218" s="188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345"/>
      <c r="W218" s="54"/>
    </row>
    <row r="219" spans="1:23" ht="16">
      <c r="A219" s="162"/>
      <c r="B219" s="132"/>
      <c r="C219" s="53"/>
      <c r="D219" s="53"/>
      <c r="E219" s="53"/>
      <c r="F219" s="53"/>
      <c r="G219" s="53"/>
      <c r="H219" s="131"/>
      <c r="I219" s="53"/>
      <c r="J219" s="188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345"/>
      <c r="W219" s="54"/>
    </row>
    <row r="220" spans="1:23" ht="16">
      <c r="A220" s="162"/>
      <c r="B220" s="132"/>
      <c r="C220" s="53"/>
      <c r="D220" s="53"/>
      <c r="E220" s="53"/>
      <c r="F220" s="53"/>
      <c r="G220" s="53"/>
      <c r="H220" s="131"/>
      <c r="I220" s="53"/>
      <c r="J220" s="188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345"/>
      <c r="W220" s="54"/>
    </row>
    <row r="221" spans="1:23" ht="16">
      <c r="A221" s="162"/>
      <c r="B221" s="132"/>
      <c r="C221" s="53"/>
      <c r="D221" s="53"/>
      <c r="E221" s="53"/>
      <c r="F221" s="53"/>
      <c r="G221" s="53"/>
      <c r="H221" s="131"/>
      <c r="I221" s="53"/>
      <c r="J221" s="188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345"/>
      <c r="W221" s="54"/>
    </row>
    <row r="222" spans="1:23" ht="16">
      <c r="A222" s="162"/>
      <c r="B222" s="132"/>
      <c r="C222" s="53"/>
      <c r="D222" s="53"/>
      <c r="E222" s="53"/>
      <c r="F222" s="53"/>
      <c r="G222" s="53"/>
      <c r="H222" s="131"/>
      <c r="I222" s="53"/>
      <c r="J222" s="188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345"/>
      <c r="W222" s="54"/>
    </row>
    <row r="223" spans="1:23" ht="16">
      <c r="A223" s="162"/>
      <c r="B223" s="132"/>
      <c r="C223" s="53"/>
      <c r="D223" s="53"/>
      <c r="E223" s="53"/>
      <c r="F223" s="53"/>
      <c r="G223" s="53"/>
      <c r="H223" s="131"/>
      <c r="I223" s="53"/>
      <c r="J223" s="188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345"/>
      <c r="W223" s="54"/>
    </row>
    <row r="224" spans="1:23" ht="16">
      <c r="A224" s="162"/>
      <c r="B224" s="132"/>
      <c r="C224" s="53"/>
      <c r="D224" s="53"/>
      <c r="E224" s="53"/>
      <c r="F224" s="53"/>
      <c r="G224" s="53"/>
      <c r="H224" s="131"/>
      <c r="I224" s="53"/>
      <c r="J224" s="188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345"/>
      <c r="W224" s="54"/>
    </row>
    <row r="225" spans="1:23" ht="16">
      <c r="A225" s="162"/>
      <c r="B225" s="132"/>
      <c r="C225" s="53"/>
      <c r="D225" s="53"/>
      <c r="E225" s="53"/>
      <c r="F225" s="53"/>
      <c r="G225" s="53"/>
      <c r="H225" s="131"/>
      <c r="I225" s="53"/>
      <c r="J225" s="188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345"/>
      <c r="W225" s="54"/>
    </row>
    <row r="226" spans="1:23" ht="16">
      <c r="A226" s="162"/>
      <c r="B226" s="132"/>
      <c r="C226" s="53"/>
      <c r="D226" s="53"/>
      <c r="E226" s="53"/>
      <c r="F226" s="53"/>
      <c r="G226" s="53"/>
      <c r="H226" s="131"/>
      <c r="I226" s="53"/>
      <c r="J226" s="188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345"/>
      <c r="W226" s="54"/>
    </row>
    <row r="227" spans="1:23" ht="16">
      <c r="A227" s="162"/>
      <c r="B227" s="132"/>
      <c r="C227" s="53"/>
      <c r="D227" s="53"/>
      <c r="E227" s="53"/>
      <c r="F227" s="53"/>
      <c r="G227" s="53"/>
      <c r="H227" s="131"/>
      <c r="I227" s="53"/>
      <c r="J227" s="188"/>
      <c r="K227" s="75"/>
      <c r="L227" s="55"/>
      <c r="M227" s="56"/>
      <c r="N227" s="57"/>
      <c r="O227" s="58"/>
      <c r="P227" s="215"/>
      <c r="Q227" s="191"/>
      <c r="R227" s="346"/>
      <c r="S227" s="347"/>
      <c r="T227" s="348"/>
      <c r="U227" s="349"/>
      <c r="V227" s="345"/>
      <c r="W227" s="54"/>
    </row>
    <row r="228" spans="1:23" ht="16">
      <c r="A228" s="162"/>
      <c r="B228" s="132"/>
      <c r="C228" s="53"/>
      <c r="D228" s="53"/>
      <c r="E228" s="53"/>
      <c r="F228" s="53"/>
      <c r="G228" s="53"/>
      <c r="H228" s="131"/>
      <c r="I228" s="53"/>
      <c r="J228" s="188"/>
      <c r="K228" s="75"/>
      <c r="L228" s="55"/>
      <c r="M228" s="56"/>
      <c r="N228" s="57"/>
      <c r="O228" s="58"/>
      <c r="P228" s="215"/>
      <c r="Q228" s="191"/>
      <c r="R228" s="346"/>
      <c r="S228" s="347"/>
      <c r="T228" s="348"/>
      <c r="U228" s="349"/>
      <c r="V228" s="345"/>
      <c r="W228" s="54"/>
    </row>
    <row r="229" spans="1:23" ht="16">
      <c r="A229" s="162"/>
      <c r="B229" s="132"/>
      <c r="C229" s="53"/>
      <c r="D229" s="53"/>
      <c r="E229" s="53"/>
      <c r="F229" s="53"/>
      <c r="G229" s="53"/>
      <c r="H229" s="131"/>
      <c r="I229" s="53"/>
      <c r="J229" s="188"/>
      <c r="K229" s="75"/>
      <c r="L229" s="55"/>
      <c r="M229" s="56"/>
      <c r="N229" s="57"/>
      <c r="O229" s="58"/>
      <c r="P229" s="215"/>
      <c r="Q229" s="191"/>
      <c r="R229" s="346"/>
      <c r="S229" s="347"/>
      <c r="T229" s="348"/>
      <c r="U229" s="349"/>
      <c r="V229" s="345"/>
      <c r="W229" s="54"/>
    </row>
    <row r="230" spans="1:23" ht="16">
      <c r="A230" s="162"/>
      <c r="B230" s="132"/>
      <c r="C230" s="53"/>
      <c r="D230" s="53"/>
      <c r="E230" s="53"/>
      <c r="F230" s="53"/>
      <c r="G230" s="53"/>
      <c r="H230" s="131"/>
      <c r="I230" s="53"/>
      <c r="J230" s="188"/>
      <c r="K230" s="75"/>
      <c r="L230" s="55"/>
      <c r="M230" s="56"/>
      <c r="N230" s="57"/>
      <c r="O230" s="58"/>
      <c r="P230" s="215"/>
      <c r="Q230" s="191"/>
      <c r="R230" s="346"/>
      <c r="S230" s="347"/>
      <c r="T230" s="348"/>
      <c r="U230" s="349"/>
      <c r="V230" s="345"/>
      <c r="W230" s="54"/>
    </row>
    <row r="231" spans="1:23" ht="16">
      <c r="A231" s="162"/>
      <c r="B231" s="132"/>
      <c r="C231" s="53"/>
      <c r="D231" s="53"/>
      <c r="E231" s="53"/>
      <c r="F231" s="53"/>
      <c r="G231" s="53"/>
      <c r="H231" s="131"/>
      <c r="I231" s="53"/>
      <c r="J231" s="188"/>
      <c r="K231" s="75"/>
      <c r="L231" s="55"/>
      <c r="M231" s="56"/>
      <c r="N231" s="57"/>
      <c r="O231" s="58"/>
      <c r="P231" s="215"/>
      <c r="Q231" s="191"/>
      <c r="R231" s="346"/>
      <c r="S231" s="347"/>
      <c r="T231" s="348"/>
      <c r="U231" s="349"/>
      <c r="V231" s="345"/>
      <c r="W231" s="54"/>
    </row>
    <row r="232" spans="1:23" ht="16">
      <c r="A232" s="162"/>
      <c r="B232" s="132"/>
      <c r="C232" s="53"/>
      <c r="D232" s="53"/>
      <c r="E232" s="53"/>
      <c r="F232" s="53"/>
      <c r="G232" s="53"/>
      <c r="H232" s="131"/>
      <c r="I232" s="53"/>
      <c r="J232" s="188"/>
      <c r="K232" s="75"/>
      <c r="L232" s="55"/>
      <c r="M232" s="56"/>
      <c r="N232" s="57"/>
      <c r="O232" s="58"/>
      <c r="P232" s="215"/>
      <c r="Q232" s="191"/>
      <c r="R232" s="346"/>
      <c r="S232" s="347"/>
      <c r="T232" s="348"/>
      <c r="U232" s="349"/>
      <c r="V232" s="345"/>
      <c r="W232" s="54"/>
    </row>
    <row r="233" spans="1:23" ht="16">
      <c r="A233" s="162"/>
      <c r="B233" s="132"/>
      <c r="C233" s="53"/>
      <c r="D233" s="53"/>
      <c r="E233" s="53"/>
      <c r="F233" s="53"/>
      <c r="G233" s="53"/>
      <c r="H233" s="131"/>
      <c r="I233" s="53"/>
      <c r="J233" s="188"/>
      <c r="K233" s="75"/>
      <c r="L233" s="55"/>
      <c r="M233" s="56"/>
      <c r="N233" s="57"/>
      <c r="O233" s="58"/>
      <c r="P233" s="215"/>
      <c r="Q233" s="191"/>
      <c r="R233" s="346"/>
      <c r="S233" s="347"/>
      <c r="T233" s="348"/>
      <c r="U233" s="349"/>
      <c r="V233" s="345"/>
      <c r="W233" s="54"/>
    </row>
    <row r="234" spans="1:23" ht="16">
      <c r="A234" s="162"/>
      <c r="B234" s="132"/>
      <c r="C234" s="53"/>
      <c r="D234" s="53"/>
      <c r="E234" s="53"/>
      <c r="F234" s="53"/>
      <c r="G234" s="53"/>
      <c r="H234" s="131"/>
      <c r="I234" s="53"/>
      <c r="J234" s="188"/>
      <c r="K234" s="75"/>
      <c r="L234" s="55"/>
      <c r="M234" s="56"/>
      <c r="N234" s="57"/>
      <c r="O234" s="58"/>
      <c r="P234" s="215"/>
      <c r="Q234" s="191"/>
      <c r="R234" s="346"/>
      <c r="S234" s="347"/>
      <c r="T234" s="348"/>
      <c r="U234" s="349"/>
      <c r="V234" s="345"/>
      <c r="W234" s="54"/>
    </row>
    <row r="235" spans="1:23" ht="16">
      <c r="A235" s="162"/>
      <c r="B235" s="132"/>
      <c r="C235" s="53"/>
      <c r="D235" s="53"/>
      <c r="E235" s="53"/>
      <c r="F235" s="53"/>
      <c r="G235" s="53"/>
      <c r="H235" s="131"/>
      <c r="I235" s="53"/>
      <c r="J235" s="188"/>
      <c r="K235" s="75"/>
      <c r="L235" s="55"/>
      <c r="M235" s="56"/>
      <c r="N235" s="57"/>
      <c r="O235" s="58"/>
      <c r="P235" s="215"/>
      <c r="Q235" s="191"/>
      <c r="R235" s="346"/>
      <c r="S235" s="347"/>
      <c r="T235" s="348"/>
      <c r="U235" s="349"/>
      <c r="V235" s="345"/>
      <c r="W235" s="54"/>
    </row>
    <row r="236" spans="1:23" ht="16">
      <c r="A236" s="162"/>
      <c r="B236" s="132"/>
      <c r="C236" s="53"/>
      <c r="D236" s="53"/>
      <c r="E236" s="53"/>
      <c r="F236" s="53"/>
      <c r="G236" s="53"/>
      <c r="H236" s="131"/>
      <c r="I236" s="53"/>
      <c r="J236" s="188"/>
      <c r="K236" s="75"/>
      <c r="L236" s="55"/>
      <c r="M236" s="56"/>
      <c r="N236" s="57"/>
      <c r="O236" s="58"/>
      <c r="P236" s="215"/>
      <c r="Q236" s="191"/>
      <c r="R236" s="346"/>
      <c r="S236" s="347"/>
      <c r="T236" s="348"/>
      <c r="U236" s="349"/>
      <c r="V236" s="345"/>
      <c r="W236" s="54"/>
    </row>
    <row r="237" spans="1:23" ht="16">
      <c r="A237" s="162"/>
      <c r="B237" s="132"/>
      <c r="C237" s="53"/>
      <c r="D237" s="53"/>
      <c r="E237" s="53"/>
      <c r="F237" s="53"/>
      <c r="G237" s="53"/>
      <c r="H237" s="131"/>
      <c r="I237" s="53"/>
      <c r="J237" s="188"/>
      <c r="K237" s="75"/>
      <c r="L237" s="55"/>
      <c r="M237" s="56"/>
      <c r="N237" s="57"/>
      <c r="O237" s="58"/>
      <c r="P237" s="215"/>
      <c r="Q237" s="191"/>
      <c r="R237" s="346"/>
      <c r="S237" s="347"/>
      <c r="T237" s="348"/>
      <c r="U237" s="349"/>
      <c r="V237" s="345"/>
      <c r="W237" s="54"/>
    </row>
    <row r="238" spans="1:23" ht="16">
      <c r="A238" s="162"/>
      <c r="B238" s="132"/>
      <c r="C238" s="53"/>
      <c r="D238" s="53"/>
      <c r="E238" s="53"/>
      <c r="F238" s="53"/>
      <c r="G238" s="53"/>
      <c r="H238" s="131"/>
      <c r="I238" s="53"/>
      <c r="J238" s="188"/>
      <c r="K238" s="75"/>
      <c r="L238" s="55"/>
      <c r="M238" s="56"/>
      <c r="N238" s="57"/>
      <c r="O238" s="58"/>
      <c r="P238" s="215"/>
      <c r="Q238" s="191"/>
      <c r="R238" s="346"/>
      <c r="S238" s="347"/>
      <c r="T238" s="348"/>
      <c r="U238" s="349"/>
      <c r="V238" s="345"/>
      <c r="W238" s="54"/>
    </row>
    <row r="239" spans="1:23" ht="16">
      <c r="A239" s="162"/>
      <c r="B239" s="132"/>
      <c r="C239" s="53"/>
      <c r="D239" s="53"/>
      <c r="E239" s="53"/>
      <c r="F239" s="53"/>
      <c r="G239" s="53"/>
      <c r="H239" s="131"/>
      <c r="I239" s="53"/>
      <c r="J239" s="188"/>
      <c r="K239" s="75"/>
      <c r="L239" s="55"/>
      <c r="M239" s="56"/>
      <c r="N239" s="57"/>
      <c r="O239" s="58"/>
      <c r="P239" s="215"/>
      <c r="Q239" s="191"/>
      <c r="R239" s="346"/>
      <c r="S239" s="347"/>
      <c r="T239" s="348"/>
      <c r="U239" s="349"/>
      <c r="V239" s="345"/>
      <c r="W239" s="54"/>
    </row>
    <row r="240" spans="1:23" ht="16">
      <c r="A240" s="162"/>
      <c r="B240" s="132"/>
      <c r="C240" s="53"/>
      <c r="D240" s="53"/>
      <c r="E240" s="53"/>
      <c r="F240" s="53"/>
      <c r="G240" s="53"/>
      <c r="H240" s="131"/>
      <c r="I240" s="53"/>
      <c r="J240" s="188"/>
      <c r="K240" s="75"/>
      <c r="L240" s="55"/>
      <c r="M240" s="56"/>
      <c r="N240" s="57"/>
      <c r="O240" s="58"/>
      <c r="P240" s="215"/>
      <c r="Q240" s="191"/>
      <c r="R240" s="346"/>
      <c r="S240" s="347"/>
      <c r="T240" s="348"/>
      <c r="U240" s="349"/>
      <c r="V240" s="345"/>
      <c r="W240" s="54"/>
    </row>
    <row r="241" spans="1:23" ht="16">
      <c r="A241" s="162"/>
      <c r="B241" s="132"/>
      <c r="C241" s="53"/>
      <c r="D241" s="53"/>
      <c r="E241" s="53"/>
      <c r="F241" s="53"/>
      <c r="G241" s="53"/>
      <c r="H241" s="131"/>
      <c r="I241" s="53"/>
      <c r="J241" s="188"/>
      <c r="K241" s="75"/>
      <c r="L241" s="55"/>
      <c r="M241" s="56"/>
      <c r="N241" s="57"/>
      <c r="O241" s="58"/>
      <c r="P241" s="215"/>
      <c r="Q241" s="191"/>
      <c r="R241" s="346"/>
      <c r="S241" s="347"/>
      <c r="T241" s="348"/>
      <c r="U241" s="349"/>
      <c r="V241" s="345"/>
      <c r="W241" s="54"/>
    </row>
    <row r="242" spans="1:23" ht="16">
      <c r="A242" s="162"/>
      <c r="B242" s="132"/>
      <c r="C242" s="53"/>
      <c r="D242" s="53"/>
      <c r="E242" s="53"/>
      <c r="F242" s="53"/>
      <c r="G242" s="53"/>
      <c r="H242" s="131"/>
      <c r="I242" s="53"/>
      <c r="J242" s="188"/>
      <c r="K242" s="75"/>
      <c r="L242" s="55"/>
      <c r="M242" s="56"/>
      <c r="N242" s="57"/>
      <c r="O242" s="58"/>
      <c r="P242" s="215"/>
      <c r="Q242" s="191"/>
      <c r="R242" s="346"/>
      <c r="S242" s="347"/>
      <c r="T242" s="348"/>
      <c r="U242" s="349"/>
      <c r="V242" s="345"/>
      <c r="W242" s="54"/>
    </row>
    <row r="243" spans="1:23" ht="16">
      <c r="A243" s="162"/>
      <c r="B243" s="132"/>
      <c r="C243" s="53"/>
      <c r="D243" s="53"/>
      <c r="E243" s="53"/>
      <c r="F243" s="53"/>
      <c r="G243" s="53"/>
      <c r="H243" s="131"/>
      <c r="I243" s="53"/>
      <c r="J243" s="188"/>
      <c r="K243" s="75"/>
      <c r="L243" s="55"/>
      <c r="M243" s="56"/>
      <c r="N243" s="57"/>
      <c r="O243" s="58"/>
      <c r="P243" s="215"/>
      <c r="Q243" s="191"/>
      <c r="R243" s="346"/>
      <c r="S243" s="347"/>
      <c r="T243" s="348"/>
      <c r="U243" s="349"/>
      <c r="V243" s="345"/>
      <c r="W243" s="54"/>
    </row>
    <row r="244" spans="1:23" ht="16">
      <c r="A244" s="162"/>
      <c r="B244" s="132"/>
      <c r="C244" s="53"/>
      <c r="D244" s="53"/>
      <c r="E244" s="53"/>
      <c r="F244" s="53"/>
      <c r="G244" s="53"/>
      <c r="H244" s="131"/>
      <c r="I244" s="53"/>
      <c r="J244" s="188"/>
      <c r="K244" s="75"/>
      <c r="L244" s="55"/>
      <c r="M244" s="56"/>
      <c r="N244" s="57"/>
      <c r="O244" s="58"/>
      <c r="P244" s="215"/>
      <c r="Q244" s="191"/>
      <c r="R244" s="346"/>
      <c r="S244" s="347"/>
      <c r="T244" s="348"/>
      <c r="U244" s="349"/>
      <c r="V244" s="345"/>
      <c r="W244" s="54"/>
    </row>
    <row r="245" spans="1:23" ht="16">
      <c r="A245" s="162"/>
      <c r="B245" s="132"/>
      <c r="C245" s="53"/>
      <c r="D245" s="53"/>
      <c r="E245" s="53"/>
      <c r="F245" s="53"/>
      <c r="G245" s="53"/>
      <c r="H245" s="131"/>
      <c r="I245" s="53"/>
      <c r="J245" s="188"/>
      <c r="K245" s="75"/>
      <c r="L245" s="55"/>
      <c r="M245" s="56"/>
      <c r="N245" s="57"/>
      <c r="O245" s="58"/>
      <c r="P245" s="215"/>
      <c r="Q245" s="191"/>
      <c r="R245" s="346"/>
      <c r="S245" s="347"/>
      <c r="T245" s="348"/>
      <c r="U245" s="349"/>
      <c r="V245" s="345"/>
      <c r="W245" s="54"/>
    </row>
    <row r="246" spans="1:23" ht="16">
      <c r="A246" s="162"/>
      <c r="B246" s="132"/>
      <c r="C246" s="53"/>
      <c r="D246" s="53"/>
      <c r="E246" s="53"/>
      <c r="F246" s="53"/>
      <c r="G246" s="53"/>
      <c r="H246" s="131"/>
      <c r="I246" s="53"/>
      <c r="J246" s="188"/>
      <c r="K246" s="75"/>
      <c r="L246" s="55"/>
      <c r="M246" s="56"/>
      <c r="N246" s="57"/>
      <c r="O246" s="58"/>
      <c r="P246" s="215"/>
      <c r="Q246" s="191"/>
      <c r="R246" s="346"/>
      <c r="S246" s="347"/>
      <c r="T246" s="348"/>
      <c r="U246" s="349"/>
      <c r="V246" s="345"/>
      <c r="W246" s="54"/>
    </row>
    <row r="247" spans="1:23" ht="16">
      <c r="J247" s="314"/>
      <c r="M247" s="350"/>
      <c r="P247" s="225"/>
      <c r="U247" s="315"/>
      <c r="V247" s="315"/>
    </row>
    <row r="248" spans="1:23" ht="16">
      <c r="J248" s="314"/>
      <c r="M248" s="350"/>
      <c r="P248" s="225"/>
      <c r="U248" s="315"/>
      <c r="V248" s="315"/>
    </row>
    <row r="249" spans="1:23" ht="16">
      <c r="J249" s="314"/>
      <c r="M249" s="350"/>
      <c r="P249" s="225"/>
      <c r="U249" s="315"/>
      <c r="V249" s="315"/>
    </row>
    <row r="250" spans="1:23" ht="16">
      <c r="J250" s="314"/>
      <c r="M250" s="350"/>
      <c r="P250" s="225"/>
      <c r="U250" s="315"/>
      <c r="V250" s="315"/>
    </row>
    <row r="251" spans="1:23" ht="16">
      <c r="J251" s="314"/>
      <c r="M251" s="350"/>
      <c r="P251" s="225"/>
      <c r="U251" s="315"/>
      <c r="V251" s="315"/>
    </row>
    <row r="252" spans="1:23" ht="16">
      <c r="J252" s="314"/>
      <c r="M252" s="350"/>
      <c r="P252" s="225"/>
      <c r="U252" s="315"/>
      <c r="V252" s="315"/>
    </row>
    <row r="253" spans="1:23" ht="16">
      <c r="J253" s="314"/>
      <c r="M253" s="350"/>
      <c r="P253" s="225"/>
      <c r="U253" s="315"/>
      <c r="V253" s="315"/>
    </row>
    <row r="254" spans="1:23" ht="16">
      <c r="J254" s="314"/>
      <c r="M254" s="350"/>
      <c r="P254" s="225"/>
      <c r="U254" s="315"/>
      <c r="V254" s="315"/>
    </row>
    <row r="255" spans="1:23" ht="16">
      <c r="J255" s="314"/>
      <c r="M255" s="350"/>
      <c r="P255" s="225"/>
      <c r="U255" s="315"/>
      <c r="V255" s="315"/>
    </row>
    <row r="256" spans="1:23" ht="16">
      <c r="J256" s="314"/>
      <c r="M256" s="350"/>
      <c r="P256" s="225"/>
      <c r="U256" s="315"/>
      <c r="V256" s="315"/>
    </row>
    <row r="257" spans="10:22" ht="16">
      <c r="J257" s="314"/>
      <c r="M257" s="350"/>
      <c r="P257" s="225"/>
      <c r="U257" s="315"/>
      <c r="V257" s="315"/>
    </row>
    <row r="258" spans="10:22" ht="16">
      <c r="J258" s="314"/>
      <c r="M258" s="350"/>
      <c r="P258" s="225"/>
      <c r="U258" s="315"/>
      <c r="V258" s="315"/>
    </row>
    <row r="259" spans="10:22" ht="16">
      <c r="J259" s="314"/>
      <c r="M259" s="350"/>
      <c r="P259" s="225"/>
      <c r="U259" s="315"/>
      <c r="V259" s="315"/>
    </row>
    <row r="260" spans="10:22" ht="16">
      <c r="J260" s="314"/>
      <c r="M260" s="350"/>
      <c r="P260" s="225"/>
      <c r="U260" s="315"/>
      <c r="V260" s="315"/>
    </row>
    <row r="261" spans="10:22" ht="16">
      <c r="J261" s="314"/>
      <c r="M261" s="350"/>
      <c r="P261" s="225"/>
      <c r="U261" s="315"/>
      <c r="V261" s="315"/>
    </row>
    <row r="262" spans="10:22" ht="16">
      <c r="J262" s="314"/>
      <c r="M262" s="350"/>
      <c r="P262" s="225"/>
      <c r="U262" s="315"/>
      <c r="V262" s="315"/>
    </row>
    <row r="263" spans="10:22" ht="16">
      <c r="J263" s="314"/>
      <c r="M263" s="350"/>
      <c r="P263" s="225"/>
      <c r="U263" s="315"/>
      <c r="V263" s="315"/>
    </row>
    <row r="264" spans="10:22" ht="16">
      <c r="J264" s="314"/>
      <c r="M264" s="350"/>
      <c r="P264" s="225"/>
      <c r="U264" s="315"/>
      <c r="V264" s="315"/>
    </row>
    <row r="265" spans="10:22" ht="16">
      <c r="J265" s="314"/>
      <c r="M265" s="350"/>
      <c r="P265" s="225"/>
      <c r="U265" s="315"/>
      <c r="V265" s="315"/>
    </row>
    <row r="266" spans="10:22" ht="16">
      <c r="J266" s="314"/>
      <c r="M266" s="350"/>
      <c r="P266" s="225"/>
      <c r="U266" s="315"/>
      <c r="V266" s="315"/>
    </row>
    <row r="267" spans="10:22" ht="16">
      <c r="J267" s="314"/>
      <c r="M267" s="350"/>
      <c r="P267" s="225"/>
      <c r="U267" s="315"/>
      <c r="V267" s="315"/>
    </row>
    <row r="268" spans="10:22" ht="16">
      <c r="J268" s="314"/>
      <c r="M268" s="350"/>
      <c r="P268" s="225"/>
      <c r="U268" s="315"/>
      <c r="V268" s="315"/>
    </row>
    <row r="269" spans="10:22" ht="16">
      <c r="J269" s="314"/>
      <c r="M269" s="350"/>
      <c r="P269" s="225"/>
      <c r="U269" s="315"/>
      <c r="V269" s="315"/>
    </row>
    <row r="270" spans="10:22" ht="16">
      <c r="J270" s="314"/>
      <c r="M270" s="350"/>
      <c r="P270" s="225"/>
      <c r="U270" s="315"/>
      <c r="V270" s="315"/>
    </row>
    <row r="271" spans="10:22" ht="16">
      <c r="J271" s="314"/>
      <c r="M271" s="350"/>
      <c r="P271" s="225"/>
      <c r="U271" s="315"/>
      <c r="V271" s="315"/>
    </row>
    <row r="272" spans="10:22" ht="16">
      <c r="J272" s="314"/>
      <c r="M272" s="350"/>
      <c r="P272" s="225"/>
      <c r="U272" s="315"/>
      <c r="V272" s="315"/>
    </row>
    <row r="273" spans="10:22" ht="16">
      <c r="J273" s="314"/>
      <c r="M273" s="350"/>
      <c r="P273" s="225"/>
      <c r="U273" s="315"/>
      <c r="V273" s="315"/>
    </row>
    <row r="274" spans="10:22" ht="16">
      <c r="J274" s="314"/>
      <c r="M274" s="350"/>
      <c r="P274" s="225"/>
      <c r="U274" s="315"/>
      <c r="V274" s="315"/>
    </row>
    <row r="275" spans="10:22" ht="16">
      <c r="J275" s="314"/>
      <c r="M275" s="350"/>
      <c r="P275" s="225"/>
      <c r="U275" s="315"/>
      <c r="V275" s="315"/>
    </row>
    <row r="276" spans="10:22" ht="16">
      <c r="J276" s="314"/>
      <c r="M276" s="350"/>
      <c r="P276" s="225"/>
      <c r="U276" s="315"/>
      <c r="V276" s="315"/>
    </row>
    <row r="277" spans="10:22" ht="16">
      <c r="J277" s="314"/>
      <c r="M277" s="350"/>
      <c r="P277" s="225"/>
      <c r="U277" s="315"/>
      <c r="V277" s="315"/>
    </row>
    <row r="278" spans="10:22" ht="16">
      <c r="J278" s="314"/>
      <c r="M278" s="350"/>
      <c r="P278" s="225"/>
      <c r="U278" s="315"/>
      <c r="V278" s="315"/>
    </row>
    <row r="279" spans="10:22" ht="16">
      <c r="J279" s="314"/>
      <c r="M279" s="350"/>
      <c r="P279" s="225"/>
      <c r="U279" s="315"/>
      <c r="V279" s="315"/>
    </row>
    <row r="280" spans="10:22" ht="16">
      <c r="J280" s="314"/>
      <c r="M280" s="350"/>
      <c r="P280" s="225"/>
      <c r="U280" s="315"/>
      <c r="V280" s="315"/>
    </row>
    <row r="281" spans="10:22" ht="16">
      <c r="J281" s="314"/>
      <c r="M281" s="350"/>
      <c r="P281" s="225"/>
      <c r="U281" s="315"/>
      <c r="V281" s="315"/>
    </row>
    <row r="282" spans="10:22" ht="16">
      <c r="J282" s="314"/>
      <c r="M282" s="350"/>
      <c r="P282" s="225"/>
      <c r="U282" s="315"/>
      <c r="V282" s="315"/>
    </row>
    <row r="283" spans="10:22" ht="16">
      <c r="J283" s="314"/>
      <c r="M283" s="350"/>
      <c r="P283" s="225"/>
      <c r="U283" s="315"/>
      <c r="V283" s="315"/>
    </row>
    <row r="284" spans="10:22" ht="16">
      <c r="J284" s="314"/>
      <c r="M284" s="350"/>
      <c r="P284" s="225"/>
      <c r="U284" s="315"/>
      <c r="V284" s="315"/>
    </row>
    <row r="285" spans="10:22" ht="16">
      <c r="J285" s="314"/>
      <c r="M285" s="350"/>
      <c r="P285" s="225"/>
      <c r="U285" s="315"/>
      <c r="V285" s="315"/>
    </row>
    <row r="286" spans="10:22" ht="16">
      <c r="J286" s="314"/>
      <c r="M286" s="350"/>
      <c r="P286" s="225"/>
      <c r="U286" s="315"/>
      <c r="V286" s="315"/>
    </row>
    <row r="287" spans="10:22" ht="16">
      <c r="J287" s="314"/>
      <c r="M287" s="350"/>
      <c r="P287" s="225"/>
      <c r="U287" s="315"/>
      <c r="V287" s="315"/>
    </row>
    <row r="288" spans="10:22" ht="16">
      <c r="J288" s="314"/>
      <c r="M288" s="350"/>
      <c r="P288" s="225"/>
      <c r="U288" s="315"/>
      <c r="V288" s="315"/>
    </row>
    <row r="289" spans="10:22" ht="16">
      <c r="J289" s="314"/>
      <c r="M289" s="350"/>
      <c r="P289" s="225"/>
      <c r="U289" s="315"/>
      <c r="V289" s="315"/>
    </row>
    <row r="290" spans="10:22" ht="16">
      <c r="J290" s="314"/>
      <c r="M290" s="350"/>
      <c r="P290" s="225"/>
      <c r="U290" s="315"/>
      <c r="V290" s="315"/>
    </row>
    <row r="291" spans="10:22" ht="16">
      <c r="J291" s="314"/>
      <c r="M291" s="350"/>
      <c r="P291" s="225"/>
      <c r="U291" s="315"/>
      <c r="V291" s="315"/>
    </row>
    <row r="292" spans="10:22" ht="16">
      <c r="J292" s="314"/>
      <c r="M292" s="350"/>
      <c r="P292" s="225"/>
      <c r="U292" s="315"/>
      <c r="V292" s="315"/>
    </row>
    <row r="293" spans="10:22" ht="16">
      <c r="J293" s="314"/>
      <c r="M293" s="350"/>
      <c r="P293" s="225"/>
      <c r="U293" s="315"/>
      <c r="V293" s="315"/>
    </row>
    <row r="294" spans="10:22" ht="16">
      <c r="J294" s="314"/>
      <c r="M294" s="350"/>
      <c r="P294" s="225"/>
      <c r="U294" s="315"/>
      <c r="V294" s="315"/>
    </row>
    <row r="295" spans="10:22" ht="16">
      <c r="J295" s="314"/>
      <c r="M295" s="350"/>
      <c r="P295" s="225"/>
      <c r="U295" s="315"/>
      <c r="V295" s="315"/>
    </row>
    <row r="296" spans="10:22" ht="16">
      <c r="J296" s="314"/>
      <c r="M296" s="350"/>
      <c r="P296" s="225"/>
      <c r="U296" s="315"/>
      <c r="V296" s="315"/>
    </row>
    <row r="297" spans="10:22" ht="16">
      <c r="J297" s="314"/>
      <c r="M297" s="350"/>
      <c r="P297" s="225"/>
      <c r="U297" s="315"/>
      <c r="V297" s="315"/>
    </row>
    <row r="298" spans="10:22" ht="16">
      <c r="J298" s="314"/>
      <c r="M298" s="350"/>
      <c r="P298" s="225"/>
      <c r="U298" s="315"/>
      <c r="V298" s="315"/>
    </row>
    <row r="299" spans="10:22" ht="16">
      <c r="J299" s="314"/>
      <c r="M299" s="350"/>
      <c r="P299" s="225"/>
      <c r="U299" s="315"/>
      <c r="V299" s="315"/>
    </row>
    <row r="300" spans="10:22" ht="16">
      <c r="J300" s="314"/>
      <c r="M300" s="350"/>
      <c r="P300" s="225"/>
      <c r="U300" s="315"/>
      <c r="V300" s="315"/>
    </row>
    <row r="301" spans="10:22" ht="16">
      <c r="J301" s="314"/>
      <c r="M301" s="350"/>
      <c r="P301" s="225"/>
      <c r="U301" s="315"/>
      <c r="V301" s="315"/>
    </row>
    <row r="302" spans="10:22" ht="16">
      <c r="J302" s="314"/>
      <c r="M302" s="350"/>
      <c r="P302" s="225"/>
      <c r="U302" s="315"/>
      <c r="V302" s="315"/>
    </row>
    <row r="303" spans="10:22" ht="16">
      <c r="J303" s="314"/>
      <c r="M303" s="350"/>
      <c r="P303" s="225"/>
      <c r="U303" s="315"/>
      <c r="V303" s="315"/>
    </row>
    <row r="304" spans="10:22" ht="16">
      <c r="J304" s="314"/>
      <c r="M304" s="350"/>
      <c r="P304" s="225"/>
      <c r="U304" s="315"/>
      <c r="V304" s="315"/>
    </row>
    <row r="305" spans="10:22" ht="16">
      <c r="J305" s="314"/>
      <c r="M305" s="350"/>
      <c r="P305" s="225"/>
      <c r="U305" s="315"/>
      <c r="V305" s="315"/>
    </row>
    <row r="306" spans="10:22" ht="16">
      <c r="J306" s="314"/>
      <c r="M306" s="350"/>
      <c r="P306" s="225"/>
      <c r="U306" s="315"/>
      <c r="V306" s="315"/>
    </row>
    <row r="307" spans="10:22" ht="16">
      <c r="J307" s="314"/>
      <c r="M307" s="350"/>
      <c r="P307" s="225"/>
      <c r="U307" s="315"/>
      <c r="V307" s="315"/>
    </row>
    <row r="308" spans="10:22" ht="16">
      <c r="J308" s="314"/>
      <c r="M308" s="350"/>
      <c r="P308" s="225"/>
      <c r="U308" s="315"/>
      <c r="V308" s="315"/>
    </row>
    <row r="309" spans="10:22" ht="16">
      <c r="J309" s="314"/>
      <c r="M309" s="350"/>
      <c r="P309" s="225"/>
      <c r="U309" s="315"/>
      <c r="V309" s="315"/>
    </row>
    <row r="310" spans="10:22" ht="16">
      <c r="J310" s="314"/>
      <c r="M310" s="350"/>
      <c r="P310" s="225"/>
      <c r="U310" s="315"/>
      <c r="V310" s="315"/>
    </row>
    <row r="311" spans="10:22" ht="16">
      <c r="J311" s="314"/>
      <c r="M311" s="350"/>
      <c r="P311" s="225"/>
      <c r="U311" s="315"/>
      <c r="V311" s="315"/>
    </row>
    <row r="312" spans="10:22" ht="16">
      <c r="J312" s="314"/>
      <c r="M312" s="350"/>
      <c r="P312" s="225"/>
      <c r="U312" s="315"/>
      <c r="V312" s="315"/>
    </row>
    <row r="313" spans="10:22" ht="16">
      <c r="J313" s="314"/>
      <c r="M313" s="350"/>
      <c r="P313" s="225"/>
      <c r="U313" s="315"/>
      <c r="V313" s="315"/>
    </row>
    <row r="314" spans="10:22" ht="16">
      <c r="J314" s="314"/>
      <c r="M314" s="350"/>
      <c r="P314" s="225"/>
      <c r="U314" s="315"/>
      <c r="V314" s="315"/>
    </row>
    <row r="315" spans="10:22" ht="16">
      <c r="J315" s="314"/>
      <c r="M315" s="350"/>
      <c r="P315" s="225"/>
      <c r="U315" s="315"/>
      <c r="V315" s="315"/>
    </row>
    <row r="316" spans="10:22" ht="16">
      <c r="J316" s="314"/>
      <c r="M316" s="350"/>
      <c r="P316" s="225"/>
      <c r="U316" s="315"/>
      <c r="V316" s="315"/>
    </row>
    <row r="317" spans="10:22" ht="16">
      <c r="J317" s="314"/>
      <c r="M317" s="350"/>
      <c r="P317" s="225"/>
      <c r="U317" s="315"/>
      <c r="V317" s="315"/>
    </row>
    <row r="318" spans="10:22" ht="16">
      <c r="J318" s="314"/>
      <c r="M318" s="350"/>
      <c r="P318" s="225"/>
      <c r="U318" s="315"/>
      <c r="V318" s="315"/>
    </row>
    <row r="319" spans="10:22" ht="16">
      <c r="J319" s="314"/>
      <c r="M319" s="350"/>
      <c r="P319" s="225"/>
      <c r="U319" s="315"/>
      <c r="V319" s="315"/>
    </row>
    <row r="320" spans="10:22" ht="16">
      <c r="J320" s="314"/>
      <c r="M320" s="350"/>
      <c r="P320" s="225"/>
      <c r="U320" s="315"/>
      <c r="V320" s="315"/>
    </row>
    <row r="321" spans="10:22" ht="16">
      <c r="J321" s="314"/>
      <c r="M321" s="350"/>
      <c r="P321" s="225"/>
      <c r="U321" s="315"/>
      <c r="V321" s="315"/>
    </row>
    <row r="322" spans="10:22" ht="16">
      <c r="J322" s="314"/>
      <c r="M322" s="350"/>
      <c r="P322" s="225"/>
      <c r="U322" s="315"/>
      <c r="V322" s="315"/>
    </row>
    <row r="323" spans="10:22" ht="16">
      <c r="J323" s="314"/>
      <c r="M323" s="350"/>
      <c r="P323" s="225"/>
      <c r="U323" s="315"/>
      <c r="V323" s="315"/>
    </row>
    <row r="324" spans="10:22" ht="16">
      <c r="J324" s="314"/>
      <c r="M324" s="350"/>
      <c r="P324" s="225"/>
      <c r="U324" s="315"/>
      <c r="V324" s="315"/>
    </row>
    <row r="325" spans="10:22" ht="16">
      <c r="J325" s="314"/>
      <c r="M325" s="350"/>
      <c r="P325" s="225"/>
      <c r="U325" s="315"/>
      <c r="V325" s="315"/>
    </row>
    <row r="326" spans="10:22" ht="16">
      <c r="J326" s="314"/>
      <c r="M326" s="350"/>
      <c r="P326" s="225"/>
      <c r="U326" s="315"/>
      <c r="V326" s="315"/>
    </row>
    <row r="327" spans="10:22" ht="16">
      <c r="J327" s="314"/>
      <c r="M327" s="350"/>
      <c r="P327" s="225"/>
      <c r="U327" s="315"/>
      <c r="V327" s="315"/>
    </row>
    <row r="328" spans="10:22" ht="16">
      <c r="J328" s="314"/>
      <c r="M328" s="350"/>
      <c r="P328" s="225"/>
      <c r="U328" s="315"/>
      <c r="V328" s="315"/>
    </row>
    <row r="329" spans="10:22" ht="16">
      <c r="J329" s="314"/>
      <c r="M329" s="350"/>
      <c r="P329" s="225"/>
      <c r="U329" s="315"/>
      <c r="V329" s="315"/>
    </row>
    <row r="330" spans="10:22" ht="16">
      <c r="J330" s="314"/>
      <c r="M330" s="350"/>
      <c r="P330" s="225"/>
      <c r="U330" s="315"/>
      <c r="V330" s="315"/>
    </row>
    <row r="331" spans="10:22" ht="16">
      <c r="J331" s="314"/>
      <c r="M331" s="350"/>
      <c r="P331" s="225"/>
      <c r="U331" s="315"/>
      <c r="V331" s="315"/>
    </row>
    <row r="332" spans="10:22" ht="16">
      <c r="J332" s="314"/>
      <c r="M332" s="350"/>
      <c r="P332" s="225"/>
      <c r="U332" s="315"/>
      <c r="V332" s="315"/>
    </row>
    <row r="333" spans="10:22" ht="16">
      <c r="J333" s="314"/>
      <c r="M333" s="350"/>
      <c r="P333" s="225"/>
      <c r="U333" s="315"/>
      <c r="V333" s="315"/>
    </row>
    <row r="334" spans="10:22" ht="16">
      <c r="J334" s="314"/>
      <c r="M334" s="350"/>
      <c r="P334" s="225"/>
      <c r="U334" s="315"/>
      <c r="V334" s="315"/>
    </row>
    <row r="335" spans="10:22" ht="16">
      <c r="J335" s="314"/>
      <c r="M335" s="350"/>
      <c r="P335" s="225"/>
      <c r="U335" s="315"/>
      <c r="V335" s="315"/>
    </row>
    <row r="336" spans="10:22" ht="16">
      <c r="J336" s="314"/>
      <c r="M336" s="350"/>
      <c r="P336" s="225"/>
      <c r="U336" s="315"/>
      <c r="V336" s="315"/>
    </row>
    <row r="337" spans="10:22" ht="16">
      <c r="J337" s="314"/>
      <c r="M337" s="350"/>
      <c r="P337" s="225"/>
      <c r="U337" s="315"/>
      <c r="V337" s="315"/>
    </row>
    <row r="338" spans="10:22" ht="16">
      <c r="J338" s="314"/>
      <c r="M338" s="350"/>
      <c r="P338" s="225"/>
      <c r="U338" s="315"/>
      <c r="V338" s="315"/>
    </row>
    <row r="339" spans="10:22" ht="16">
      <c r="J339" s="314"/>
      <c r="M339" s="350"/>
      <c r="P339" s="225"/>
      <c r="U339" s="315"/>
      <c r="V339" s="315"/>
    </row>
    <row r="340" spans="10:22" ht="16">
      <c r="J340" s="314"/>
      <c r="M340" s="350"/>
      <c r="P340" s="225"/>
      <c r="U340" s="315"/>
      <c r="V340" s="315"/>
    </row>
    <row r="341" spans="10:22" ht="16">
      <c r="J341" s="314"/>
      <c r="M341" s="350"/>
      <c r="P341" s="225"/>
      <c r="U341" s="315"/>
      <c r="V341" s="315"/>
    </row>
    <row r="342" spans="10:22" ht="16">
      <c r="J342" s="314"/>
      <c r="M342" s="350"/>
      <c r="P342" s="225"/>
      <c r="U342" s="315"/>
      <c r="V342" s="315"/>
    </row>
    <row r="343" spans="10:22" ht="16">
      <c r="J343" s="314"/>
      <c r="M343" s="350"/>
      <c r="P343" s="225"/>
      <c r="U343" s="315"/>
      <c r="V343" s="315"/>
    </row>
    <row r="344" spans="10:22" ht="16">
      <c r="J344" s="314"/>
      <c r="M344" s="350"/>
      <c r="P344" s="225"/>
      <c r="U344" s="315"/>
      <c r="V344" s="315"/>
    </row>
    <row r="345" spans="10:22" ht="16">
      <c r="J345" s="314"/>
      <c r="M345" s="350"/>
      <c r="P345" s="225"/>
      <c r="U345" s="315"/>
      <c r="V345" s="315"/>
    </row>
    <row r="346" spans="10:22" ht="16">
      <c r="J346" s="314"/>
      <c r="M346" s="350"/>
      <c r="P346" s="225"/>
      <c r="U346" s="315"/>
      <c r="V346" s="315"/>
    </row>
    <row r="347" spans="10:22" ht="16">
      <c r="J347" s="314"/>
      <c r="M347" s="350"/>
      <c r="P347" s="225"/>
      <c r="U347" s="315"/>
      <c r="V347" s="315"/>
    </row>
    <row r="348" spans="10:22" ht="16">
      <c r="J348" s="314"/>
      <c r="M348" s="350"/>
      <c r="P348" s="225"/>
      <c r="U348" s="315"/>
      <c r="V348" s="315"/>
    </row>
    <row r="349" spans="10:22" ht="16">
      <c r="J349" s="314"/>
      <c r="M349" s="350"/>
      <c r="P349" s="225"/>
      <c r="U349" s="315"/>
      <c r="V349" s="315"/>
    </row>
    <row r="350" spans="10:22" ht="16">
      <c r="J350" s="314"/>
      <c r="M350" s="350"/>
      <c r="P350" s="225"/>
      <c r="U350" s="315"/>
      <c r="V350" s="315"/>
    </row>
    <row r="351" spans="10:22" ht="16">
      <c r="J351" s="314"/>
      <c r="M351" s="350"/>
      <c r="P351" s="225"/>
      <c r="U351" s="315"/>
      <c r="V351" s="315"/>
    </row>
    <row r="352" spans="10:22" ht="16">
      <c r="J352" s="314"/>
      <c r="M352" s="350"/>
      <c r="P352" s="225"/>
      <c r="U352" s="315"/>
      <c r="V352" s="315"/>
    </row>
    <row r="353" spans="10:22" ht="16">
      <c r="J353" s="314"/>
      <c r="M353" s="350"/>
      <c r="P353" s="225"/>
      <c r="U353" s="315"/>
      <c r="V353" s="315"/>
    </row>
    <row r="354" spans="10:22" ht="16">
      <c r="J354" s="314"/>
      <c r="M354" s="350"/>
      <c r="P354" s="225"/>
      <c r="U354" s="315"/>
      <c r="V354" s="315"/>
    </row>
    <row r="355" spans="10:22" ht="16">
      <c r="J355" s="314"/>
      <c r="M355" s="350"/>
      <c r="P355" s="225"/>
      <c r="U355" s="315"/>
      <c r="V355" s="315"/>
    </row>
    <row r="356" spans="10:22" ht="16">
      <c r="J356" s="314"/>
      <c r="M356" s="350"/>
      <c r="P356" s="225"/>
      <c r="U356" s="315"/>
      <c r="V356" s="315"/>
    </row>
    <row r="357" spans="10:22" ht="16">
      <c r="J357" s="314"/>
      <c r="M357" s="350"/>
      <c r="P357" s="225"/>
      <c r="U357" s="315"/>
      <c r="V357" s="315"/>
    </row>
    <row r="358" spans="10:22" ht="16">
      <c r="J358" s="314"/>
      <c r="M358" s="350"/>
      <c r="P358" s="225"/>
      <c r="U358" s="315"/>
      <c r="V358" s="315"/>
    </row>
    <row r="359" spans="10:22" ht="16">
      <c r="J359" s="314"/>
      <c r="M359" s="350"/>
      <c r="P359" s="225"/>
      <c r="U359" s="315"/>
      <c r="V359" s="315"/>
    </row>
    <row r="360" spans="10:22" ht="16">
      <c r="J360" s="314"/>
      <c r="M360" s="350"/>
      <c r="P360" s="225"/>
      <c r="U360" s="315"/>
      <c r="V360" s="315"/>
    </row>
    <row r="361" spans="10:22" ht="16">
      <c r="J361" s="314"/>
      <c r="M361" s="350"/>
      <c r="P361" s="225"/>
      <c r="U361" s="315"/>
      <c r="V361" s="315"/>
    </row>
    <row r="362" spans="10:22" ht="16">
      <c r="J362" s="314"/>
      <c r="M362" s="350"/>
      <c r="P362" s="225"/>
      <c r="U362" s="315"/>
      <c r="V362" s="315"/>
    </row>
    <row r="363" spans="10:22" ht="16">
      <c r="J363" s="314"/>
      <c r="M363" s="350"/>
      <c r="P363" s="225"/>
      <c r="U363" s="315"/>
      <c r="V363" s="315"/>
    </row>
    <row r="364" spans="10:22" ht="16">
      <c r="J364" s="314"/>
      <c r="M364" s="350"/>
      <c r="P364" s="225"/>
      <c r="U364" s="315"/>
      <c r="V364" s="315"/>
    </row>
    <row r="365" spans="10:22" ht="16">
      <c r="J365" s="314"/>
      <c r="M365" s="350"/>
      <c r="P365" s="225"/>
      <c r="U365" s="315"/>
      <c r="V365" s="315"/>
    </row>
    <row r="366" spans="10:22" ht="16">
      <c r="J366" s="314"/>
      <c r="M366" s="350"/>
      <c r="P366" s="225"/>
      <c r="U366" s="315"/>
      <c r="V366" s="315"/>
    </row>
    <row r="367" spans="10:22" ht="16">
      <c r="J367" s="314"/>
      <c r="M367" s="350"/>
      <c r="P367" s="225"/>
      <c r="U367" s="315"/>
      <c r="V367" s="315"/>
    </row>
    <row r="368" spans="10:22" ht="16">
      <c r="J368" s="314"/>
      <c r="M368" s="350"/>
      <c r="P368" s="225"/>
      <c r="U368" s="315"/>
      <c r="V368" s="315"/>
    </row>
    <row r="369" spans="10:22" ht="16">
      <c r="J369" s="314"/>
      <c r="M369" s="350"/>
      <c r="P369" s="225"/>
      <c r="U369" s="315"/>
      <c r="V369" s="315"/>
    </row>
    <row r="370" spans="10:22" ht="16">
      <c r="J370" s="314"/>
      <c r="M370" s="350"/>
      <c r="P370" s="225"/>
      <c r="U370" s="315"/>
      <c r="V370" s="315"/>
    </row>
    <row r="371" spans="10:22" ht="16">
      <c r="J371" s="314"/>
      <c r="M371" s="350"/>
      <c r="P371" s="225"/>
      <c r="U371" s="315"/>
      <c r="V371" s="315"/>
    </row>
    <row r="372" spans="10:22" ht="16">
      <c r="J372" s="314"/>
      <c r="M372" s="350"/>
      <c r="P372" s="225"/>
      <c r="U372" s="315"/>
      <c r="V372" s="315"/>
    </row>
    <row r="373" spans="10:22" ht="16">
      <c r="J373" s="314"/>
      <c r="M373" s="350"/>
      <c r="P373" s="225"/>
      <c r="U373" s="315"/>
      <c r="V373" s="315"/>
    </row>
    <row r="374" spans="10:22" ht="16">
      <c r="J374" s="314"/>
      <c r="M374" s="350"/>
      <c r="P374" s="225"/>
      <c r="U374" s="315"/>
      <c r="V374" s="315"/>
    </row>
    <row r="375" spans="10:22" ht="16">
      <c r="J375" s="314"/>
      <c r="M375" s="350"/>
      <c r="P375" s="225"/>
      <c r="U375" s="315"/>
      <c r="V375" s="315"/>
    </row>
    <row r="376" spans="10:22" ht="16">
      <c r="J376" s="314"/>
      <c r="M376" s="350"/>
      <c r="P376" s="225"/>
      <c r="U376" s="315"/>
      <c r="V376" s="315"/>
    </row>
    <row r="377" spans="10:22" ht="16">
      <c r="J377" s="314"/>
      <c r="M377" s="350"/>
      <c r="P377" s="225"/>
      <c r="U377" s="315"/>
      <c r="V377" s="315"/>
    </row>
    <row r="378" spans="10:22" ht="16">
      <c r="J378" s="314"/>
      <c r="M378" s="350"/>
      <c r="P378" s="225"/>
      <c r="U378" s="315"/>
      <c r="V378" s="315"/>
    </row>
    <row r="379" spans="10:22" ht="16">
      <c r="J379" s="314"/>
      <c r="M379" s="350"/>
      <c r="P379" s="225"/>
      <c r="U379" s="315"/>
      <c r="V379" s="315"/>
    </row>
    <row r="380" spans="10:22" ht="16">
      <c r="J380" s="314"/>
      <c r="M380" s="350"/>
      <c r="P380" s="225"/>
      <c r="U380" s="315"/>
      <c r="V380" s="315"/>
    </row>
    <row r="381" spans="10:22" ht="16">
      <c r="J381" s="314"/>
      <c r="M381" s="350"/>
      <c r="P381" s="225"/>
      <c r="U381" s="315"/>
      <c r="V381" s="315"/>
    </row>
    <row r="382" spans="10:22" ht="16">
      <c r="J382" s="314"/>
      <c r="M382" s="350"/>
      <c r="P382" s="225"/>
      <c r="U382" s="315"/>
      <c r="V382" s="315"/>
    </row>
    <row r="383" spans="10:22" ht="16">
      <c r="J383" s="314"/>
      <c r="M383" s="350"/>
      <c r="P383" s="225"/>
      <c r="U383" s="315"/>
      <c r="V383" s="315"/>
    </row>
    <row r="384" spans="10:22" ht="16">
      <c r="J384" s="314"/>
      <c r="M384" s="350"/>
      <c r="P384" s="225"/>
      <c r="U384" s="315"/>
      <c r="V384" s="315"/>
    </row>
    <row r="385" spans="10:22" ht="16">
      <c r="J385" s="314"/>
      <c r="M385" s="350"/>
      <c r="P385" s="225"/>
      <c r="U385" s="315"/>
      <c r="V385" s="315"/>
    </row>
    <row r="386" spans="10:22" ht="16">
      <c r="J386" s="314"/>
      <c r="M386" s="350"/>
      <c r="P386" s="225"/>
      <c r="U386" s="315"/>
      <c r="V386" s="315"/>
    </row>
    <row r="387" spans="10:22" ht="16">
      <c r="J387" s="314"/>
      <c r="M387" s="350"/>
      <c r="P387" s="225"/>
      <c r="U387" s="315"/>
      <c r="V387" s="315"/>
    </row>
    <row r="388" spans="10:22" ht="16">
      <c r="J388" s="314"/>
      <c r="M388" s="350"/>
      <c r="P388" s="225"/>
      <c r="U388" s="315"/>
      <c r="V388" s="315"/>
    </row>
    <row r="389" spans="10:22" ht="16">
      <c r="J389" s="314"/>
      <c r="M389" s="350"/>
      <c r="P389" s="225"/>
      <c r="U389" s="315"/>
      <c r="V389" s="315"/>
    </row>
    <row r="390" spans="10:22" ht="16">
      <c r="J390" s="314"/>
      <c r="M390" s="350"/>
      <c r="P390" s="225"/>
      <c r="U390" s="315"/>
      <c r="V390" s="315"/>
    </row>
    <row r="391" spans="10:22" ht="16">
      <c r="J391" s="314"/>
      <c r="M391" s="350"/>
      <c r="P391" s="225"/>
      <c r="U391" s="315"/>
      <c r="V391" s="315"/>
    </row>
    <row r="392" spans="10:22" ht="16">
      <c r="J392" s="314"/>
      <c r="M392" s="350"/>
      <c r="P392" s="225"/>
      <c r="U392" s="315"/>
      <c r="V392" s="315"/>
    </row>
    <row r="393" spans="10:22" ht="16">
      <c r="J393" s="314"/>
      <c r="M393" s="350"/>
      <c r="P393" s="225"/>
      <c r="U393" s="315"/>
      <c r="V393" s="315"/>
    </row>
    <row r="394" spans="10:22" ht="16">
      <c r="J394" s="314"/>
      <c r="M394" s="350"/>
      <c r="P394" s="225"/>
      <c r="U394" s="315"/>
      <c r="V394" s="315"/>
    </row>
    <row r="395" spans="10:22" ht="16">
      <c r="J395" s="314"/>
      <c r="M395" s="350"/>
      <c r="P395" s="225"/>
      <c r="U395" s="315"/>
      <c r="V395" s="315"/>
    </row>
    <row r="396" spans="10:22" ht="16">
      <c r="J396" s="314"/>
      <c r="M396" s="350"/>
      <c r="P396" s="225"/>
      <c r="U396" s="315"/>
      <c r="V396" s="315"/>
    </row>
    <row r="397" spans="10:22" ht="16">
      <c r="J397" s="314"/>
      <c r="M397" s="350"/>
      <c r="P397" s="225"/>
      <c r="U397" s="315"/>
      <c r="V397" s="315"/>
    </row>
    <row r="398" spans="10:22" ht="16">
      <c r="J398" s="314"/>
      <c r="M398" s="350"/>
      <c r="P398" s="225"/>
      <c r="U398" s="315"/>
      <c r="V398" s="315"/>
    </row>
    <row r="399" spans="10:22" ht="16">
      <c r="J399" s="314"/>
      <c r="M399" s="350"/>
      <c r="P399" s="225"/>
      <c r="U399" s="315"/>
      <c r="V399" s="315"/>
    </row>
    <row r="400" spans="10:22" ht="16">
      <c r="J400" s="314"/>
      <c r="M400" s="350"/>
      <c r="P400" s="225"/>
      <c r="U400" s="315"/>
      <c r="V400" s="315"/>
    </row>
    <row r="401" spans="10:22" ht="16">
      <c r="J401" s="314"/>
      <c r="M401" s="350"/>
      <c r="P401" s="225"/>
      <c r="U401" s="315"/>
      <c r="V401" s="315"/>
    </row>
    <row r="402" spans="10:22" ht="16">
      <c r="J402" s="314"/>
      <c r="M402" s="350"/>
      <c r="P402" s="225"/>
      <c r="U402" s="315"/>
      <c r="V402" s="315"/>
    </row>
    <row r="403" spans="10:22" ht="16">
      <c r="J403" s="314"/>
      <c r="M403" s="350"/>
      <c r="P403" s="225"/>
      <c r="U403" s="315"/>
      <c r="V403" s="315"/>
    </row>
    <row r="404" spans="10:22" ht="16">
      <c r="J404" s="314"/>
      <c r="M404" s="350"/>
      <c r="P404" s="225"/>
      <c r="U404" s="315"/>
      <c r="V404" s="315"/>
    </row>
    <row r="405" spans="10:22" ht="16">
      <c r="J405" s="314"/>
      <c r="M405" s="350"/>
      <c r="P405" s="225"/>
      <c r="U405" s="315"/>
      <c r="V405" s="315"/>
    </row>
    <row r="406" spans="10:22" ht="16">
      <c r="J406" s="314"/>
      <c r="M406" s="350"/>
      <c r="P406" s="225"/>
      <c r="U406" s="315"/>
      <c r="V406" s="315"/>
    </row>
    <row r="407" spans="10:22" ht="16">
      <c r="J407" s="314"/>
      <c r="M407" s="350"/>
      <c r="P407" s="225"/>
      <c r="U407" s="315"/>
      <c r="V407" s="315"/>
    </row>
    <row r="408" spans="10:22" ht="16">
      <c r="J408" s="314"/>
      <c r="M408" s="350"/>
      <c r="P408" s="225"/>
      <c r="U408" s="315"/>
      <c r="V408" s="315"/>
    </row>
    <row r="409" spans="10:22" ht="16">
      <c r="J409" s="314"/>
      <c r="M409" s="350"/>
      <c r="P409" s="225"/>
      <c r="U409" s="315"/>
      <c r="V409" s="315"/>
    </row>
    <row r="410" spans="10:22" ht="16">
      <c r="J410" s="314"/>
      <c r="M410" s="350"/>
      <c r="P410" s="225"/>
      <c r="U410" s="315"/>
      <c r="V410" s="315"/>
    </row>
    <row r="411" spans="10:22" ht="16">
      <c r="J411" s="314"/>
      <c r="M411" s="350"/>
      <c r="P411" s="225"/>
      <c r="U411" s="315"/>
      <c r="V411" s="315"/>
    </row>
    <row r="412" spans="10:22" ht="16">
      <c r="J412" s="314"/>
      <c r="M412" s="350"/>
      <c r="P412" s="225"/>
      <c r="U412" s="315"/>
      <c r="V412" s="315"/>
    </row>
    <row r="413" spans="10:22" ht="16">
      <c r="J413" s="314"/>
      <c r="M413" s="350"/>
      <c r="P413" s="225"/>
      <c r="U413" s="315"/>
      <c r="V413" s="315"/>
    </row>
    <row r="414" spans="10:22" ht="16">
      <c r="J414" s="314"/>
      <c r="M414" s="350"/>
      <c r="P414" s="225"/>
      <c r="U414" s="315"/>
      <c r="V414" s="315"/>
    </row>
    <row r="415" spans="10:22" ht="16">
      <c r="J415" s="314"/>
      <c r="M415" s="350"/>
      <c r="P415" s="225"/>
      <c r="U415" s="315"/>
      <c r="V415" s="315"/>
    </row>
    <row r="416" spans="10:22" ht="16">
      <c r="J416" s="314"/>
      <c r="M416" s="350"/>
      <c r="P416" s="225"/>
      <c r="U416" s="315"/>
      <c r="V416" s="315"/>
    </row>
    <row r="417" spans="10:22" ht="16">
      <c r="J417" s="314"/>
      <c r="M417" s="350"/>
      <c r="P417" s="225"/>
      <c r="U417" s="315"/>
      <c r="V417" s="315"/>
    </row>
    <row r="418" spans="10:22" ht="16">
      <c r="J418" s="314"/>
      <c r="M418" s="350"/>
      <c r="P418" s="225"/>
      <c r="U418" s="315"/>
      <c r="V418" s="315"/>
    </row>
    <row r="419" spans="10:22" ht="16">
      <c r="J419" s="314"/>
      <c r="M419" s="350"/>
      <c r="P419" s="225"/>
      <c r="U419" s="315"/>
      <c r="V419" s="315"/>
    </row>
    <row r="420" spans="10:22" ht="16">
      <c r="J420" s="314"/>
      <c r="M420" s="350"/>
      <c r="P420" s="225"/>
      <c r="U420" s="315"/>
      <c r="V420" s="315"/>
    </row>
    <row r="421" spans="10:22" ht="16">
      <c r="J421" s="314"/>
      <c r="M421" s="350"/>
      <c r="P421" s="225"/>
      <c r="U421" s="315"/>
      <c r="V421" s="315"/>
    </row>
    <row r="422" spans="10:22" ht="16">
      <c r="J422" s="314"/>
      <c r="M422" s="350"/>
      <c r="P422" s="225"/>
      <c r="U422" s="315"/>
      <c r="V422" s="315"/>
    </row>
    <row r="423" spans="10:22" ht="16">
      <c r="J423" s="314"/>
      <c r="M423" s="350"/>
      <c r="P423" s="225"/>
      <c r="U423" s="315"/>
      <c r="V423" s="315"/>
    </row>
    <row r="424" spans="10:22" ht="16">
      <c r="J424" s="314"/>
      <c r="M424" s="350"/>
      <c r="P424" s="225"/>
      <c r="U424" s="315"/>
      <c r="V424" s="315"/>
    </row>
    <row r="425" spans="10:22" ht="16">
      <c r="J425" s="314"/>
      <c r="M425" s="350"/>
      <c r="P425" s="225"/>
      <c r="U425" s="315"/>
      <c r="V425" s="315"/>
    </row>
    <row r="426" spans="10:22" ht="16">
      <c r="J426" s="314"/>
      <c r="M426" s="350"/>
      <c r="P426" s="225"/>
      <c r="U426" s="315"/>
      <c r="V426" s="315"/>
    </row>
    <row r="427" spans="10:22" ht="16">
      <c r="J427" s="314"/>
      <c r="M427" s="350"/>
      <c r="P427" s="225"/>
      <c r="U427" s="315"/>
      <c r="V427" s="315"/>
    </row>
    <row r="428" spans="10:22" ht="16">
      <c r="J428" s="314"/>
      <c r="M428" s="350"/>
      <c r="P428" s="225"/>
      <c r="U428" s="315"/>
      <c r="V428" s="315"/>
    </row>
    <row r="429" spans="10:22" ht="16">
      <c r="J429" s="314"/>
      <c r="M429" s="350"/>
      <c r="P429" s="225"/>
      <c r="U429" s="315"/>
      <c r="V429" s="315"/>
    </row>
    <row r="430" spans="10:22" ht="16">
      <c r="J430" s="314"/>
      <c r="M430" s="350"/>
      <c r="P430" s="225"/>
      <c r="U430" s="315"/>
      <c r="V430" s="315"/>
    </row>
    <row r="431" spans="10:22" ht="16">
      <c r="J431" s="314"/>
      <c r="M431" s="350"/>
      <c r="P431" s="225"/>
      <c r="U431" s="315"/>
      <c r="V431" s="315"/>
    </row>
    <row r="432" spans="10:22" ht="16">
      <c r="J432" s="314"/>
      <c r="M432" s="350"/>
      <c r="P432" s="225"/>
      <c r="U432" s="315"/>
      <c r="V432" s="315"/>
    </row>
    <row r="433" spans="10:22" ht="16">
      <c r="J433" s="314"/>
      <c r="M433" s="350"/>
      <c r="P433" s="225"/>
      <c r="U433" s="315"/>
      <c r="V433" s="315"/>
    </row>
    <row r="434" spans="10:22" ht="16">
      <c r="J434" s="314"/>
      <c r="M434" s="350"/>
      <c r="P434" s="225"/>
      <c r="U434" s="315"/>
      <c r="V434" s="315"/>
    </row>
    <row r="435" spans="10:22" ht="16">
      <c r="J435" s="314"/>
      <c r="M435" s="350"/>
      <c r="P435" s="225"/>
      <c r="U435" s="315"/>
      <c r="V435" s="315"/>
    </row>
    <row r="436" spans="10:22" ht="16">
      <c r="J436" s="314"/>
      <c r="M436" s="350"/>
      <c r="P436" s="225"/>
      <c r="U436" s="315"/>
      <c r="V436" s="315"/>
    </row>
    <row r="437" spans="10:22" ht="16">
      <c r="J437" s="314"/>
      <c r="M437" s="350"/>
      <c r="P437" s="225"/>
      <c r="U437" s="315"/>
      <c r="V437" s="315"/>
    </row>
    <row r="438" spans="10:22" ht="16">
      <c r="J438" s="314"/>
      <c r="M438" s="350"/>
      <c r="P438" s="225"/>
      <c r="U438" s="315"/>
      <c r="V438" s="315"/>
    </row>
    <row r="439" spans="10:22" ht="16">
      <c r="J439" s="314"/>
      <c r="M439" s="350"/>
      <c r="P439" s="225"/>
      <c r="U439" s="315"/>
      <c r="V439" s="315"/>
    </row>
    <row r="440" spans="10:22" ht="16">
      <c r="J440" s="314"/>
      <c r="M440" s="350"/>
      <c r="P440" s="225"/>
      <c r="U440" s="315"/>
      <c r="V440" s="315"/>
    </row>
    <row r="441" spans="10:22" ht="16">
      <c r="J441" s="314"/>
      <c r="M441" s="350"/>
      <c r="P441" s="225"/>
      <c r="U441" s="315"/>
      <c r="V441" s="315"/>
    </row>
    <row r="442" spans="10:22" ht="16">
      <c r="J442" s="314"/>
      <c r="M442" s="350"/>
      <c r="P442" s="225"/>
      <c r="U442" s="315"/>
      <c r="V442" s="315"/>
    </row>
    <row r="443" spans="10:22" ht="16">
      <c r="J443" s="314"/>
      <c r="M443" s="350"/>
      <c r="P443" s="225"/>
      <c r="U443" s="315"/>
      <c r="V443" s="315"/>
    </row>
    <row r="444" spans="10:22" ht="16">
      <c r="J444" s="314"/>
      <c r="M444" s="350"/>
      <c r="P444" s="225"/>
      <c r="U444" s="315"/>
      <c r="V444" s="315"/>
    </row>
    <row r="445" spans="10:22" ht="16">
      <c r="J445" s="314"/>
      <c r="M445" s="350"/>
      <c r="P445" s="225"/>
      <c r="U445" s="315"/>
      <c r="V445" s="315"/>
    </row>
    <row r="446" spans="10:22" ht="16">
      <c r="J446" s="314"/>
      <c r="M446" s="350"/>
      <c r="P446" s="225"/>
      <c r="U446" s="315"/>
      <c r="V446" s="315"/>
    </row>
    <row r="447" spans="10:22" ht="16">
      <c r="J447" s="314"/>
      <c r="M447" s="350"/>
      <c r="P447" s="225"/>
      <c r="U447" s="315"/>
      <c r="V447" s="315"/>
    </row>
    <row r="448" spans="10:22" ht="16">
      <c r="J448" s="314"/>
      <c r="M448" s="350"/>
      <c r="P448" s="225"/>
      <c r="U448" s="315"/>
      <c r="V448" s="315"/>
    </row>
    <row r="449" spans="10:22" ht="16">
      <c r="J449" s="314"/>
      <c r="M449" s="350"/>
      <c r="P449" s="225"/>
      <c r="U449" s="315"/>
      <c r="V449" s="315"/>
    </row>
    <row r="450" spans="10:22" ht="16">
      <c r="J450" s="314"/>
      <c r="M450" s="350"/>
      <c r="P450" s="225"/>
      <c r="U450" s="315"/>
      <c r="V450" s="315"/>
    </row>
    <row r="451" spans="10:22" ht="16">
      <c r="J451" s="314"/>
      <c r="M451" s="350"/>
      <c r="P451" s="225"/>
      <c r="U451" s="315"/>
      <c r="V451" s="315"/>
    </row>
    <row r="452" spans="10:22" ht="16">
      <c r="J452" s="314"/>
      <c r="M452" s="350"/>
      <c r="P452" s="225"/>
      <c r="U452" s="315"/>
      <c r="V452" s="315"/>
    </row>
    <row r="453" spans="10:22" ht="16">
      <c r="J453" s="314"/>
      <c r="M453" s="350"/>
      <c r="P453" s="225"/>
      <c r="U453" s="315"/>
      <c r="V453" s="315"/>
    </row>
    <row r="454" spans="10:22" ht="16">
      <c r="J454" s="314"/>
      <c r="M454" s="350"/>
      <c r="P454" s="225"/>
      <c r="U454" s="315"/>
      <c r="V454" s="315"/>
    </row>
    <row r="455" spans="10:22" ht="16">
      <c r="J455" s="314"/>
      <c r="M455" s="350"/>
      <c r="P455" s="225"/>
      <c r="U455" s="315"/>
      <c r="V455" s="315"/>
    </row>
    <row r="456" spans="10:22" ht="16">
      <c r="J456" s="314"/>
      <c r="M456" s="350"/>
      <c r="P456" s="225"/>
      <c r="U456" s="315"/>
      <c r="V456" s="315"/>
    </row>
    <row r="457" spans="10:22" ht="16">
      <c r="J457" s="314"/>
      <c r="M457" s="350"/>
      <c r="P457" s="225"/>
      <c r="U457" s="315"/>
      <c r="V457" s="315"/>
    </row>
    <row r="458" spans="10:22" ht="16">
      <c r="J458" s="314"/>
      <c r="M458" s="350"/>
      <c r="P458" s="225"/>
      <c r="U458" s="315"/>
      <c r="V458" s="315"/>
    </row>
    <row r="459" spans="10:22" ht="16">
      <c r="J459" s="314"/>
      <c r="M459" s="350"/>
      <c r="P459" s="225"/>
      <c r="U459" s="315"/>
      <c r="V459" s="315"/>
    </row>
    <row r="460" spans="10:22" ht="16">
      <c r="J460" s="314"/>
      <c r="M460" s="350"/>
      <c r="P460" s="225"/>
      <c r="U460" s="315"/>
      <c r="V460" s="315"/>
    </row>
    <row r="461" spans="10:22" ht="16">
      <c r="J461" s="314"/>
      <c r="M461" s="350"/>
      <c r="P461" s="225"/>
      <c r="U461" s="315"/>
      <c r="V461" s="315"/>
    </row>
    <row r="462" spans="10:22" ht="16">
      <c r="J462" s="314"/>
      <c r="M462" s="350"/>
      <c r="P462" s="225"/>
      <c r="U462" s="315"/>
      <c r="V462" s="315"/>
    </row>
    <row r="463" spans="10:22" ht="16">
      <c r="J463" s="314"/>
      <c r="M463" s="350"/>
      <c r="P463" s="225"/>
      <c r="U463" s="315"/>
      <c r="V463" s="315"/>
    </row>
    <row r="464" spans="10:22" ht="16">
      <c r="J464" s="314"/>
      <c r="M464" s="350"/>
      <c r="P464" s="225"/>
      <c r="U464" s="315"/>
      <c r="V464" s="315"/>
    </row>
    <row r="465" spans="10:22" ht="16">
      <c r="J465" s="314"/>
      <c r="M465" s="350"/>
      <c r="P465" s="225"/>
      <c r="U465" s="315"/>
      <c r="V465" s="315"/>
    </row>
    <row r="466" spans="10:22" ht="16">
      <c r="J466" s="314"/>
      <c r="M466" s="350"/>
      <c r="P466" s="225"/>
      <c r="U466" s="315"/>
      <c r="V466" s="315"/>
    </row>
    <row r="467" spans="10:22" ht="16">
      <c r="J467" s="314"/>
      <c r="M467" s="350"/>
      <c r="P467" s="225"/>
      <c r="U467" s="315"/>
      <c r="V467" s="315"/>
    </row>
    <row r="468" spans="10:22" ht="16">
      <c r="J468" s="314"/>
      <c r="M468" s="350"/>
      <c r="P468" s="225"/>
      <c r="U468" s="315"/>
      <c r="V468" s="315"/>
    </row>
    <row r="469" spans="10:22" ht="16">
      <c r="J469" s="314"/>
      <c r="M469" s="350"/>
      <c r="P469" s="225"/>
      <c r="U469" s="315"/>
      <c r="V469" s="315"/>
    </row>
    <row r="470" spans="10:22" ht="16">
      <c r="J470" s="314"/>
      <c r="M470" s="350"/>
      <c r="P470" s="225"/>
      <c r="U470" s="315"/>
      <c r="V470" s="315"/>
    </row>
    <row r="471" spans="10:22" ht="16">
      <c r="J471" s="314"/>
      <c r="M471" s="350"/>
      <c r="P471" s="225"/>
      <c r="U471" s="315"/>
      <c r="V471" s="315"/>
    </row>
    <row r="472" spans="10:22" ht="16">
      <c r="J472" s="314"/>
      <c r="M472" s="350"/>
      <c r="P472" s="225"/>
      <c r="U472" s="315"/>
      <c r="V472" s="315"/>
    </row>
    <row r="473" spans="10:22" ht="16">
      <c r="J473" s="314"/>
      <c r="M473" s="350"/>
      <c r="P473" s="225"/>
      <c r="U473" s="315"/>
      <c r="V473" s="315"/>
    </row>
    <row r="474" spans="10:22" ht="16">
      <c r="J474" s="314"/>
      <c r="M474" s="350"/>
      <c r="P474" s="225"/>
      <c r="U474" s="315"/>
      <c r="V474" s="315"/>
    </row>
    <row r="475" spans="10:22" ht="16">
      <c r="J475" s="314"/>
      <c r="M475" s="350"/>
      <c r="P475" s="225"/>
      <c r="U475" s="315"/>
      <c r="V475" s="315"/>
    </row>
    <row r="476" spans="10:22" ht="16">
      <c r="J476" s="314"/>
      <c r="M476" s="350"/>
      <c r="P476" s="225"/>
      <c r="U476" s="315"/>
      <c r="V476" s="315"/>
    </row>
    <row r="477" spans="10:22" ht="16">
      <c r="J477" s="314"/>
      <c r="M477" s="350"/>
      <c r="P477" s="225"/>
      <c r="U477" s="315"/>
      <c r="V477" s="315"/>
    </row>
    <row r="478" spans="10:22" ht="16">
      <c r="J478" s="314"/>
      <c r="M478" s="350"/>
      <c r="P478" s="225"/>
      <c r="U478" s="315"/>
      <c r="V478" s="315"/>
    </row>
    <row r="479" spans="10:22" ht="16">
      <c r="J479" s="314"/>
      <c r="M479" s="350"/>
      <c r="P479" s="225"/>
      <c r="U479" s="315"/>
      <c r="V479" s="315"/>
    </row>
    <row r="480" spans="10:22" ht="16">
      <c r="J480" s="314"/>
      <c r="M480" s="350"/>
      <c r="P480" s="225"/>
      <c r="U480" s="315"/>
      <c r="V480" s="315"/>
    </row>
    <row r="481" spans="10:22" ht="16">
      <c r="J481" s="314"/>
      <c r="M481" s="350"/>
      <c r="P481" s="225"/>
      <c r="U481" s="315"/>
      <c r="V481" s="315"/>
    </row>
    <row r="482" spans="10:22" ht="16">
      <c r="J482" s="314"/>
      <c r="M482" s="350"/>
      <c r="P482" s="225"/>
      <c r="U482" s="315"/>
      <c r="V482" s="315"/>
    </row>
    <row r="483" spans="10:22" ht="16">
      <c r="J483" s="314"/>
      <c r="M483" s="350"/>
      <c r="P483" s="225"/>
      <c r="U483" s="315"/>
      <c r="V483" s="315"/>
    </row>
    <row r="484" spans="10:22" ht="16">
      <c r="J484" s="314"/>
      <c r="M484" s="350"/>
      <c r="P484" s="225"/>
      <c r="U484" s="315"/>
      <c r="V484" s="315"/>
    </row>
    <row r="485" spans="10:22" ht="16">
      <c r="J485" s="314"/>
      <c r="M485" s="350"/>
      <c r="P485" s="225"/>
      <c r="U485" s="315"/>
      <c r="V485" s="315"/>
    </row>
    <row r="486" spans="10:22" ht="16">
      <c r="J486" s="314"/>
      <c r="M486" s="350"/>
      <c r="P486" s="225"/>
      <c r="U486" s="315"/>
      <c r="V486" s="315"/>
    </row>
    <row r="487" spans="10:22" ht="16">
      <c r="J487" s="314"/>
      <c r="M487" s="350"/>
      <c r="P487" s="225"/>
      <c r="U487" s="315"/>
      <c r="V487" s="315"/>
    </row>
    <row r="488" spans="10:22" ht="16">
      <c r="J488" s="314"/>
      <c r="M488" s="350"/>
      <c r="P488" s="225"/>
      <c r="U488" s="315"/>
      <c r="V488" s="315"/>
    </row>
    <row r="489" spans="10:22" ht="16">
      <c r="J489" s="314"/>
      <c r="M489" s="350"/>
      <c r="P489" s="225"/>
      <c r="U489" s="315"/>
      <c r="V489" s="315"/>
    </row>
    <row r="490" spans="10:22" ht="16">
      <c r="J490" s="314"/>
      <c r="M490" s="350"/>
      <c r="P490" s="225"/>
      <c r="U490" s="315"/>
      <c r="V490" s="315"/>
    </row>
    <row r="491" spans="10:22" ht="16">
      <c r="J491" s="314"/>
      <c r="M491" s="350"/>
      <c r="P491" s="225"/>
      <c r="U491" s="315"/>
      <c r="V491" s="315"/>
    </row>
    <row r="492" spans="10:22" ht="16">
      <c r="J492" s="314"/>
      <c r="M492" s="350"/>
      <c r="P492" s="225"/>
      <c r="U492" s="315"/>
      <c r="V492" s="315"/>
    </row>
    <row r="493" spans="10:22" ht="16">
      <c r="J493" s="314"/>
      <c r="M493" s="350"/>
      <c r="P493" s="225"/>
      <c r="U493" s="315"/>
      <c r="V493" s="315"/>
    </row>
    <row r="494" spans="10:22" ht="16">
      <c r="J494" s="314"/>
      <c r="M494" s="350"/>
      <c r="P494" s="225"/>
      <c r="U494" s="315"/>
      <c r="V494" s="315"/>
    </row>
    <row r="495" spans="10:22" ht="16">
      <c r="J495" s="314"/>
      <c r="M495" s="350"/>
      <c r="P495" s="225"/>
      <c r="U495" s="315"/>
      <c r="V495" s="315"/>
    </row>
    <row r="496" spans="10:22" ht="16">
      <c r="J496" s="314"/>
      <c r="M496" s="350"/>
      <c r="P496" s="225"/>
      <c r="U496" s="315"/>
      <c r="V496" s="315"/>
    </row>
    <row r="497" spans="10:22" ht="16">
      <c r="J497" s="314"/>
      <c r="M497" s="350"/>
      <c r="P497" s="225"/>
      <c r="U497" s="315"/>
      <c r="V497" s="315"/>
    </row>
    <row r="498" spans="10:22" ht="16">
      <c r="J498" s="314"/>
      <c r="M498" s="350"/>
      <c r="P498" s="225"/>
      <c r="U498" s="315"/>
      <c r="V498" s="315"/>
    </row>
    <row r="499" spans="10:22" ht="16">
      <c r="J499" s="314"/>
      <c r="M499" s="350"/>
      <c r="P499" s="225"/>
      <c r="U499" s="315"/>
      <c r="V499" s="315"/>
    </row>
    <row r="500" spans="10:22" ht="16">
      <c r="J500" s="314"/>
      <c r="M500" s="350"/>
      <c r="P500" s="225"/>
      <c r="U500" s="315"/>
      <c r="V500" s="315"/>
    </row>
    <row r="501" spans="10:22" ht="16">
      <c r="J501" s="314"/>
      <c r="M501" s="350"/>
      <c r="P501" s="225"/>
      <c r="U501" s="315"/>
      <c r="V501" s="315"/>
    </row>
    <row r="502" spans="10:22" ht="16">
      <c r="J502" s="314"/>
      <c r="M502" s="350"/>
      <c r="P502" s="225"/>
      <c r="U502" s="315"/>
      <c r="V502" s="315"/>
    </row>
    <row r="503" spans="10:22" ht="16">
      <c r="J503" s="314"/>
      <c r="M503" s="350"/>
      <c r="P503" s="225"/>
      <c r="U503" s="315"/>
      <c r="V503" s="315"/>
    </row>
    <row r="504" spans="10:22" ht="16">
      <c r="J504" s="314"/>
      <c r="M504" s="350"/>
      <c r="P504" s="225"/>
      <c r="U504" s="315"/>
      <c r="V504" s="315"/>
    </row>
    <row r="505" spans="10:22" ht="16">
      <c r="J505" s="314"/>
      <c r="M505" s="350"/>
      <c r="P505" s="225"/>
      <c r="U505" s="315"/>
      <c r="V505" s="315"/>
    </row>
    <row r="506" spans="10:22" ht="16">
      <c r="J506" s="314"/>
      <c r="M506" s="350"/>
      <c r="P506" s="225"/>
      <c r="U506" s="315"/>
      <c r="V506" s="315"/>
    </row>
    <row r="507" spans="10:22" ht="16">
      <c r="J507" s="314"/>
      <c r="M507" s="350"/>
      <c r="P507" s="225"/>
      <c r="U507" s="315"/>
      <c r="V507" s="315"/>
    </row>
    <row r="508" spans="10:22" ht="16">
      <c r="J508" s="314"/>
      <c r="M508" s="350"/>
      <c r="P508" s="225"/>
      <c r="U508" s="315"/>
      <c r="V508" s="315"/>
    </row>
    <row r="509" spans="10:22" ht="16">
      <c r="J509" s="314"/>
      <c r="M509" s="350"/>
      <c r="P509" s="225"/>
      <c r="U509" s="315"/>
      <c r="V509" s="315"/>
    </row>
    <row r="510" spans="10:22" ht="16">
      <c r="J510" s="314"/>
      <c r="M510" s="350"/>
      <c r="P510" s="225"/>
      <c r="U510" s="315"/>
      <c r="V510" s="315"/>
    </row>
    <row r="511" spans="10:22" ht="16">
      <c r="J511" s="314"/>
      <c r="M511" s="350"/>
      <c r="P511" s="225"/>
      <c r="U511" s="315"/>
      <c r="V511" s="315"/>
    </row>
    <row r="512" spans="10:22" ht="16">
      <c r="J512" s="314"/>
      <c r="M512" s="350"/>
      <c r="P512" s="225"/>
      <c r="U512" s="315"/>
      <c r="V512" s="315"/>
    </row>
    <row r="513" spans="10:22" ht="16">
      <c r="J513" s="314"/>
      <c r="M513" s="350"/>
      <c r="P513" s="225"/>
      <c r="U513" s="315"/>
      <c r="V513" s="315"/>
    </row>
    <row r="514" spans="10:22" ht="16">
      <c r="J514" s="314"/>
      <c r="M514" s="350"/>
      <c r="P514" s="225"/>
      <c r="U514" s="315"/>
      <c r="V514" s="315"/>
    </row>
    <row r="515" spans="10:22" ht="16">
      <c r="J515" s="314"/>
      <c r="M515" s="350"/>
      <c r="P515" s="225"/>
      <c r="U515" s="315"/>
      <c r="V515" s="315"/>
    </row>
    <row r="516" spans="10:22" ht="16">
      <c r="J516" s="314"/>
      <c r="M516" s="350"/>
      <c r="P516" s="225"/>
      <c r="U516" s="315"/>
      <c r="V516" s="315"/>
    </row>
    <row r="517" spans="10:22" ht="16">
      <c r="J517" s="314"/>
      <c r="M517" s="350"/>
      <c r="P517" s="225"/>
      <c r="U517" s="315"/>
      <c r="V517" s="315"/>
    </row>
    <row r="518" spans="10:22" ht="16">
      <c r="J518" s="314"/>
      <c r="M518" s="350"/>
      <c r="P518" s="225"/>
      <c r="U518" s="315"/>
      <c r="V518" s="315"/>
    </row>
    <row r="519" spans="10:22" ht="16">
      <c r="J519" s="314"/>
      <c r="M519" s="350"/>
      <c r="P519" s="225"/>
      <c r="U519" s="315"/>
      <c r="V519" s="315"/>
    </row>
    <row r="520" spans="10:22" ht="16">
      <c r="J520" s="314"/>
      <c r="M520" s="350"/>
      <c r="P520" s="225"/>
      <c r="U520" s="315"/>
      <c r="V520" s="315"/>
    </row>
    <row r="521" spans="10:22" ht="16">
      <c r="J521" s="314"/>
      <c r="M521" s="350"/>
      <c r="P521" s="225"/>
      <c r="U521" s="315"/>
      <c r="V521" s="315"/>
    </row>
    <row r="522" spans="10:22" ht="16">
      <c r="J522" s="314"/>
      <c r="M522" s="350"/>
      <c r="P522" s="225"/>
      <c r="U522" s="315"/>
      <c r="V522" s="315"/>
    </row>
    <row r="523" spans="10:22" ht="16">
      <c r="J523" s="314"/>
      <c r="M523" s="350"/>
      <c r="P523" s="225"/>
      <c r="U523" s="315"/>
      <c r="V523" s="315"/>
    </row>
    <row r="524" spans="10:22" ht="16">
      <c r="J524" s="314"/>
      <c r="M524" s="350"/>
      <c r="P524" s="225"/>
      <c r="U524" s="315"/>
      <c r="V524" s="315"/>
    </row>
    <row r="525" spans="10:22" ht="16">
      <c r="J525" s="314"/>
      <c r="M525" s="350"/>
      <c r="P525" s="225"/>
      <c r="U525" s="315"/>
      <c r="V525" s="315"/>
    </row>
    <row r="526" spans="10:22" ht="16">
      <c r="J526" s="314"/>
      <c r="M526" s="350"/>
      <c r="P526" s="225"/>
      <c r="U526" s="315"/>
      <c r="V526" s="315"/>
    </row>
    <row r="527" spans="10:22" ht="16">
      <c r="J527" s="314"/>
      <c r="M527" s="350"/>
      <c r="P527" s="225"/>
      <c r="U527" s="315"/>
      <c r="V527" s="315"/>
    </row>
    <row r="528" spans="10:22" ht="16">
      <c r="J528" s="314"/>
      <c r="M528" s="350"/>
      <c r="P528" s="225"/>
      <c r="U528" s="315"/>
      <c r="V528" s="315"/>
    </row>
    <row r="529" spans="10:22" ht="16">
      <c r="J529" s="314"/>
      <c r="M529" s="350"/>
      <c r="P529" s="225"/>
      <c r="U529" s="315"/>
      <c r="V529" s="315"/>
    </row>
    <row r="530" spans="10:22" ht="16">
      <c r="J530" s="314"/>
      <c r="M530" s="350"/>
      <c r="P530" s="225"/>
      <c r="U530" s="315"/>
      <c r="V530" s="315"/>
    </row>
    <row r="531" spans="10:22" ht="16">
      <c r="J531" s="314"/>
      <c r="M531" s="350"/>
      <c r="P531" s="225"/>
      <c r="U531" s="315"/>
      <c r="V531" s="315"/>
    </row>
    <row r="532" spans="10:22" ht="16">
      <c r="J532" s="314"/>
      <c r="M532" s="350"/>
      <c r="P532" s="225"/>
      <c r="U532" s="315"/>
      <c r="V532" s="315"/>
    </row>
    <row r="533" spans="10:22" ht="16">
      <c r="J533" s="314"/>
      <c r="M533" s="350"/>
      <c r="P533" s="225"/>
      <c r="U533" s="315"/>
      <c r="V533" s="315"/>
    </row>
    <row r="534" spans="10:22" ht="16">
      <c r="J534" s="314"/>
      <c r="M534" s="350"/>
      <c r="P534" s="225"/>
      <c r="U534" s="315"/>
      <c r="V534" s="315"/>
    </row>
    <row r="535" spans="10:22" ht="16">
      <c r="J535" s="314"/>
      <c r="M535" s="350"/>
      <c r="P535" s="225"/>
      <c r="U535" s="315"/>
      <c r="V535" s="315"/>
    </row>
    <row r="536" spans="10:22" ht="16">
      <c r="J536" s="314"/>
      <c r="M536" s="350"/>
      <c r="P536" s="225"/>
      <c r="U536" s="315"/>
      <c r="V536" s="315"/>
    </row>
    <row r="537" spans="10:22" ht="16">
      <c r="J537" s="314"/>
      <c r="M537" s="350"/>
      <c r="P537" s="225"/>
      <c r="U537" s="315"/>
      <c r="V537" s="315"/>
    </row>
    <row r="538" spans="10:22" ht="16">
      <c r="J538" s="314"/>
      <c r="M538" s="350"/>
      <c r="P538" s="225"/>
      <c r="U538" s="315"/>
      <c r="V538" s="315"/>
    </row>
    <row r="539" spans="10:22" ht="16">
      <c r="J539" s="314"/>
      <c r="M539" s="350"/>
      <c r="P539" s="225"/>
      <c r="U539" s="315"/>
      <c r="V539" s="315"/>
    </row>
    <row r="540" spans="10:22" ht="16">
      <c r="J540" s="314"/>
      <c r="M540" s="350"/>
      <c r="P540" s="225"/>
      <c r="U540" s="315"/>
      <c r="V540" s="315"/>
    </row>
    <row r="541" spans="10:22" ht="16">
      <c r="J541" s="314"/>
      <c r="M541" s="350"/>
      <c r="P541" s="225"/>
      <c r="U541" s="315"/>
      <c r="V541" s="315"/>
    </row>
    <row r="542" spans="10:22" ht="16">
      <c r="J542" s="314"/>
      <c r="M542" s="350"/>
      <c r="P542" s="225"/>
      <c r="U542" s="315"/>
      <c r="V542" s="315"/>
    </row>
    <row r="543" spans="10:22" ht="16">
      <c r="J543" s="314"/>
      <c r="M543" s="350"/>
      <c r="P543" s="225"/>
      <c r="U543" s="315"/>
      <c r="V543" s="315"/>
    </row>
    <row r="544" spans="10:22" ht="16">
      <c r="J544" s="314"/>
      <c r="M544" s="350"/>
      <c r="P544" s="225"/>
      <c r="U544" s="315"/>
      <c r="V544" s="315"/>
    </row>
    <row r="545" spans="10:22" ht="16">
      <c r="J545" s="314"/>
      <c r="M545" s="350"/>
      <c r="P545" s="225"/>
      <c r="U545" s="315"/>
      <c r="V545" s="315"/>
    </row>
    <row r="546" spans="10:22" ht="16">
      <c r="J546" s="314"/>
      <c r="M546" s="350"/>
      <c r="P546" s="225"/>
      <c r="U546" s="315"/>
      <c r="V546" s="315"/>
    </row>
    <row r="547" spans="10:22" ht="16">
      <c r="J547" s="314"/>
      <c r="M547" s="350"/>
      <c r="P547" s="225"/>
      <c r="U547" s="315"/>
      <c r="V547" s="315"/>
    </row>
    <row r="548" spans="10:22" ht="16">
      <c r="J548" s="314"/>
      <c r="M548" s="350"/>
      <c r="P548" s="225"/>
      <c r="U548" s="315"/>
      <c r="V548" s="315"/>
    </row>
    <row r="549" spans="10:22" ht="16">
      <c r="J549" s="314"/>
      <c r="M549" s="350"/>
      <c r="P549" s="225"/>
      <c r="U549" s="315"/>
      <c r="V549" s="315"/>
    </row>
    <row r="550" spans="10:22" ht="16">
      <c r="J550" s="314"/>
      <c r="M550" s="350"/>
      <c r="P550" s="225"/>
      <c r="U550" s="315"/>
      <c r="V550" s="315"/>
    </row>
    <row r="551" spans="10:22" ht="16">
      <c r="J551" s="314"/>
      <c r="M551" s="350"/>
      <c r="P551" s="225"/>
      <c r="U551" s="315"/>
      <c r="V551" s="315"/>
    </row>
    <row r="552" spans="10:22" ht="16">
      <c r="J552" s="314"/>
      <c r="M552" s="350"/>
      <c r="P552" s="225"/>
      <c r="U552" s="315"/>
      <c r="V552" s="315"/>
    </row>
    <row r="553" spans="10:22" ht="16">
      <c r="J553" s="314"/>
      <c r="M553" s="350"/>
      <c r="P553" s="225"/>
      <c r="U553" s="315"/>
      <c r="V553" s="315"/>
    </row>
    <row r="554" spans="10:22" ht="16">
      <c r="J554" s="314"/>
      <c r="M554" s="350"/>
      <c r="P554" s="225"/>
      <c r="U554" s="315"/>
      <c r="V554" s="315"/>
    </row>
    <row r="555" spans="10:22" ht="16">
      <c r="J555" s="314"/>
      <c r="M555" s="350"/>
      <c r="P555" s="225"/>
      <c r="U555" s="315"/>
      <c r="V555" s="315"/>
    </row>
    <row r="556" spans="10:22" ht="16">
      <c r="J556" s="314"/>
      <c r="M556" s="350"/>
      <c r="P556" s="225"/>
      <c r="U556" s="315"/>
      <c r="V556" s="315"/>
    </row>
    <row r="557" spans="10:22" ht="16">
      <c r="J557" s="314"/>
      <c r="M557" s="350"/>
      <c r="P557" s="225"/>
      <c r="U557" s="315"/>
      <c r="V557" s="315"/>
    </row>
    <row r="558" spans="10:22" ht="16">
      <c r="J558" s="314"/>
      <c r="M558" s="350"/>
      <c r="P558" s="225"/>
      <c r="U558" s="315"/>
      <c r="V558" s="315"/>
    </row>
    <row r="559" spans="10:22" ht="16">
      <c r="J559" s="314"/>
      <c r="M559" s="350"/>
      <c r="P559" s="225"/>
      <c r="U559" s="315"/>
      <c r="V559" s="315"/>
    </row>
    <row r="560" spans="10:22" ht="16">
      <c r="J560" s="314"/>
      <c r="M560" s="350"/>
      <c r="P560" s="225"/>
      <c r="U560" s="315"/>
      <c r="V560" s="315"/>
    </row>
    <row r="561" spans="10:22" ht="16">
      <c r="J561" s="314"/>
      <c r="M561" s="350"/>
      <c r="P561" s="225"/>
      <c r="U561" s="315"/>
      <c r="V561" s="315"/>
    </row>
    <row r="562" spans="10:22" ht="16">
      <c r="J562" s="314"/>
      <c r="M562" s="350"/>
      <c r="P562" s="225"/>
      <c r="U562" s="315"/>
      <c r="V562" s="315"/>
    </row>
    <row r="563" spans="10:22" ht="16">
      <c r="J563" s="314"/>
      <c r="M563" s="350"/>
      <c r="P563" s="225"/>
      <c r="U563" s="315"/>
      <c r="V563" s="315"/>
    </row>
    <row r="564" spans="10:22" ht="16">
      <c r="J564" s="314"/>
      <c r="M564" s="350"/>
      <c r="P564" s="225"/>
      <c r="U564" s="315"/>
      <c r="V564" s="315"/>
    </row>
    <row r="565" spans="10:22" ht="16">
      <c r="J565" s="314"/>
      <c r="M565" s="350"/>
      <c r="P565" s="225"/>
      <c r="U565" s="315"/>
      <c r="V565" s="315"/>
    </row>
    <row r="566" spans="10:22" ht="16">
      <c r="J566" s="314"/>
      <c r="M566" s="350"/>
      <c r="P566" s="225"/>
      <c r="U566" s="315"/>
      <c r="V566" s="315"/>
    </row>
    <row r="567" spans="10:22" ht="16">
      <c r="J567" s="314"/>
      <c r="M567" s="350"/>
      <c r="P567" s="225"/>
      <c r="U567" s="315"/>
      <c r="V567" s="315"/>
    </row>
    <row r="568" spans="10:22" ht="16">
      <c r="J568" s="314"/>
      <c r="M568" s="350"/>
      <c r="P568" s="225"/>
      <c r="U568" s="315"/>
      <c r="V568" s="315"/>
    </row>
    <row r="569" spans="10:22" ht="16">
      <c r="J569" s="314"/>
      <c r="M569" s="350"/>
      <c r="P569" s="225"/>
      <c r="U569" s="315"/>
      <c r="V569" s="315"/>
    </row>
    <row r="570" spans="10:22" ht="16">
      <c r="J570" s="314"/>
      <c r="M570" s="350"/>
      <c r="P570" s="225"/>
      <c r="U570" s="315"/>
      <c r="V570" s="315"/>
    </row>
    <row r="571" spans="10:22" ht="16">
      <c r="J571" s="314"/>
      <c r="M571" s="350"/>
      <c r="P571" s="225"/>
      <c r="U571" s="315"/>
      <c r="V571" s="315"/>
    </row>
    <row r="572" spans="10:22" ht="16">
      <c r="J572" s="314"/>
      <c r="M572" s="350"/>
      <c r="P572" s="225"/>
      <c r="U572" s="315"/>
      <c r="V572" s="315"/>
    </row>
    <row r="573" spans="10:22" ht="16">
      <c r="J573" s="314"/>
      <c r="M573" s="350"/>
      <c r="P573" s="225"/>
      <c r="U573" s="315"/>
      <c r="V573" s="315"/>
    </row>
    <row r="574" spans="10:22" ht="16">
      <c r="J574" s="314"/>
      <c r="M574" s="350"/>
      <c r="P574" s="225"/>
      <c r="U574" s="315"/>
      <c r="V574" s="315"/>
    </row>
    <row r="575" spans="10:22" ht="16">
      <c r="J575" s="314"/>
      <c r="M575" s="350"/>
      <c r="P575" s="225"/>
      <c r="U575" s="315"/>
      <c r="V575" s="315"/>
    </row>
    <row r="576" spans="10:22" ht="16">
      <c r="J576" s="314"/>
      <c r="M576" s="350"/>
      <c r="P576" s="225"/>
      <c r="U576" s="315"/>
      <c r="V576" s="315"/>
    </row>
    <row r="577" spans="10:22" ht="16">
      <c r="J577" s="314"/>
      <c r="M577" s="350"/>
      <c r="P577" s="225"/>
      <c r="U577" s="315"/>
      <c r="V577" s="315"/>
    </row>
    <row r="578" spans="10:22" ht="16">
      <c r="J578" s="314"/>
      <c r="M578" s="350"/>
      <c r="P578" s="225"/>
      <c r="U578" s="315"/>
      <c r="V578" s="315"/>
    </row>
    <row r="579" spans="10:22" ht="16">
      <c r="J579" s="314"/>
      <c r="M579" s="350"/>
      <c r="P579" s="225"/>
      <c r="U579" s="315"/>
      <c r="V579" s="315"/>
    </row>
    <row r="580" spans="10:22" ht="16">
      <c r="J580" s="314"/>
      <c r="M580" s="350"/>
      <c r="P580" s="225"/>
      <c r="U580" s="315"/>
      <c r="V580" s="315"/>
    </row>
    <row r="581" spans="10:22" ht="16">
      <c r="J581" s="314"/>
      <c r="M581" s="350"/>
      <c r="P581" s="225"/>
      <c r="U581" s="315"/>
      <c r="V581" s="315"/>
    </row>
    <row r="582" spans="10:22" ht="16">
      <c r="J582" s="314"/>
      <c r="M582" s="350"/>
      <c r="P582" s="225"/>
      <c r="U582" s="315"/>
      <c r="V582" s="315"/>
    </row>
    <row r="583" spans="10:22" ht="16">
      <c r="J583" s="314"/>
      <c r="M583" s="350"/>
      <c r="P583" s="225"/>
      <c r="U583" s="315"/>
      <c r="V583" s="315"/>
    </row>
    <row r="584" spans="10:22" ht="16">
      <c r="J584" s="314"/>
      <c r="M584" s="350"/>
      <c r="P584" s="225"/>
      <c r="U584" s="315"/>
      <c r="V584" s="315"/>
    </row>
    <row r="585" spans="10:22" ht="16">
      <c r="J585" s="314"/>
      <c r="M585" s="350"/>
      <c r="P585" s="225"/>
      <c r="U585" s="315"/>
      <c r="V585" s="315"/>
    </row>
    <row r="586" spans="10:22" ht="16">
      <c r="J586" s="314"/>
      <c r="M586" s="350"/>
      <c r="P586" s="225"/>
      <c r="U586" s="315"/>
      <c r="V586" s="315"/>
    </row>
    <row r="587" spans="10:22" ht="16">
      <c r="J587" s="314"/>
      <c r="M587" s="350"/>
      <c r="P587" s="225"/>
      <c r="U587" s="315"/>
      <c r="V587" s="315"/>
    </row>
    <row r="588" spans="10:22" ht="16">
      <c r="J588" s="314"/>
      <c r="M588" s="350"/>
      <c r="P588" s="225"/>
      <c r="U588" s="315"/>
      <c r="V588" s="315"/>
    </row>
    <row r="589" spans="10:22" ht="16">
      <c r="J589" s="314"/>
      <c r="M589" s="350"/>
      <c r="P589" s="225"/>
      <c r="U589" s="315"/>
      <c r="V589" s="315"/>
    </row>
    <row r="590" spans="10:22" ht="16">
      <c r="J590" s="314"/>
      <c r="M590" s="350"/>
      <c r="P590" s="225"/>
      <c r="U590" s="315"/>
      <c r="V590" s="315"/>
    </row>
    <row r="591" spans="10:22" ht="16">
      <c r="J591" s="314"/>
      <c r="M591" s="350"/>
      <c r="P591" s="225"/>
      <c r="U591" s="315"/>
      <c r="V591" s="315"/>
    </row>
    <row r="592" spans="10:22" ht="16">
      <c r="J592" s="314"/>
      <c r="M592" s="350"/>
      <c r="P592" s="225"/>
      <c r="U592" s="315"/>
      <c r="V592" s="315"/>
    </row>
    <row r="593" spans="10:22" ht="16">
      <c r="J593" s="314"/>
      <c r="M593" s="350"/>
      <c r="P593" s="225"/>
      <c r="U593" s="315"/>
      <c r="V593" s="315"/>
    </row>
    <row r="594" spans="10:22" ht="16">
      <c r="J594" s="314"/>
      <c r="M594" s="350"/>
      <c r="P594" s="225"/>
      <c r="U594" s="315"/>
      <c r="V594" s="315"/>
    </row>
    <row r="595" spans="10:22" ht="16">
      <c r="J595" s="314"/>
      <c r="M595" s="350"/>
      <c r="P595" s="225"/>
      <c r="U595" s="315"/>
      <c r="V595" s="315"/>
    </row>
    <row r="596" spans="10:22" ht="16">
      <c r="J596" s="314"/>
      <c r="M596" s="350"/>
      <c r="P596" s="225"/>
      <c r="U596" s="315"/>
      <c r="V596" s="315"/>
    </row>
    <row r="597" spans="10:22" ht="16">
      <c r="J597" s="314"/>
      <c r="M597" s="350"/>
      <c r="P597" s="225"/>
      <c r="U597" s="315"/>
      <c r="V597" s="315"/>
    </row>
    <row r="598" spans="10:22" ht="16">
      <c r="J598" s="314"/>
      <c r="M598" s="350"/>
      <c r="P598" s="225"/>
      <c r="U598" s="315"/>
      <c r="V598" s="315"/>
    </row>
    <row r="599" spans="10:22" ht="16">
      <c r="J599" s="314"/>
      <c r="M599" s="350"/>
      <c r="P599" s="225"/>
      <c r="U599" s="315"/>
      <c r="V599" s="315"/>
    </row>
    <row r="600" spans="10:22" ht="16">
      <c r="J600" s="314"/>
      <c r="M600" s="350"/>
      <c r="P600" s="225"/>
      <c r="U600" s="315"/>
      <c r="V600" s="315"/>
    </row>
    <row r="601" spans="10:22" ht="16">
      <c r="J601" s="314"/>
      <c r="M601" s="350"/>
      <c r="P601" s="225"/>
      <c r="U601" s="315"/>
      <c r="V601" s="315"/>
    </row>
    <row r="602" spans="10:22" ht="16">
      <c r="J602" s="314"/>
      <c r="M602" s="350"/>
      <c r="P602" s="225"/>
      <c r="U602" s="315"/>
      <c r="V602" s="315"/>
    </row>
    <row r="603" spans="10:22" ht="16">
      <c r="J603" s="314"/>
      <c r="M603" s="350"/>
      <c r="P603" s="225"/>
      <c r="U603" s="315"/>
      <c r="V603" s="315"/>
    </row>
    <row r="604" spans="10:22" ht="16">
      <c r="J604" s="314"/>
      <c r="M604" s="350"/>
      <c r="P604" s="225"/>
      <c r="U604" s="315"/>
      <c r="V604" s="315"/>
    </row>
    <row r="605" spans="10:22" ht="16">
      <c r="J605" s="314"/>
      <c r="M605" s="350"/>
      <c r="P605" s="225"/>
      <c r="U605" s="315"/>
      <c r="V605" s="315"/>
    </row>
    <row r="606" spans="10:22" ht="16">
      <c r="J606" s="314"/>
      <c r="M606" s="350"/>
      <c r="P606" s="225"/>
      <c r="U606" s="315"/>
      <c r="V606" s="315"/>
    </row>
    <row r="607" spans="10:22" ht="16">
      <c r="J607" s="314"/>
      <c r="M607" s="350"/>
      <c r="P607" s="225"/>
      <c r="U607" s="315"/>
      <c r="V607" s="315"/>
    </row>
    <row r="608" spans="10:22" ht="16">
      <c r="J608" s="314"/>
      <c r="M608" s="350"/>
      <c r="P608" s="225"/>
      <c r="U608" s="315"/>
      <c r="V608" s="315"/>
    </row>
    <row r="609" spans="10:22" ht="16">
      <c r="J609" s="314"/>
      <c r="M609" s="350"/>
      <c r="P609" s="225"/>
      <c r="U609" s="315"/>
      <c r="V609" s="315"/>
    </row>
    <row r="610" spans="10:22" ht="16">
      <c r="J610" s="314"/>
      <c r="M610" s="350"/>
      <c r="P610" s="225"/>
      <c r="U610" s="315"/>
      <c r="V610" s="315"/>
    </row>
    <row r="611" spans="10:22" ht="16">
      <c r="J611" s="314"/>
      <c r="M611" s="350"/>
      <c r="P611" s="225"/>
      <c r="U611" s="315"/>
      <c r="V611" s="315"/>
    </row>
    <row r="612" spans="10:22" ht="16">
      <c r="J612" s="314"/>
      <c r="M612" s="350"/>
      <c r="P612" s="225"/>
      <c r="U612" s="315"/>
      <c r="V612" s="315"/>
    </row>
    <row r="613" spans="10:22" ht="16">
      <c r="J613" s="314"/>
      <c r="M613" s="350"/>
      <c r="P613" s="225"/>
      <c r="U613" s="315"/>
      <c r="V613" s="315"/>
    </row>
    <row r="614" spans="10:22" ht="16">
      <c r="J614" s="314"/>
      <c r="M614" s="350"/>
      <c r="P614" s="225"/>
      <c r="U614" s="315"/>
      <c r="V614" s="315"/>
    </row>
    <row r="615" spans="10:22" ht="16">
      <c r="J615" s="314"/>
      <c r="M615" s="350"/>
      <c r="P615" s="225"/>
      <c r="U615" s="315"/>
      <c r="V615" s="315"/>
    </row>
    <row r="616" spans="10:22" ht="16">
      <c r="J616" s="314"/>
      <c r="M616" s="350"/>
      <c r="P616" s="225"/>
      <c r="U616" s="315"/>
      <c r="V616" s="315"/>
    </row>
    <row r="617" spans="10:22" ht="16">
      <c r="J617" s="314"/>
      <c r="M617" s="350"/>
      <c r="P617" s="225"/>
      <c r="U617" s="315"/>
      <c r="V617" s="315"/>
    </row>
    <row r="618" spans="10:22" ht="16">
      <c r="J618" s="314"/>
      <c r="M618" s="350"/>
      <c r="P618" s="225"/>
      <c r="U618" s="315"/>
      <c r="V618" s="315"/>
    </row>
    <row r="619" spans="10:22" ht="16">
      <c r="J619" s="314"/>
      <c r="M619" s="350"/>
      <c r="P619" s="225"/>
      <c r="U619" s="315"/>
      <c r="V619" s="315"/>
    </row>
    <row r="620" spans="10:22" ht="16">
      <c r="J620" s="314"/>
      <c r="M620" s="350"/>
      <c r="P620" s="225"/>
      <c r="U620" s="315"/>
      <c r="V620" s="315"/>
    </row>
    <row r="621" spans="10:22" ht="16">
      <c r="J621" s="314"/>
      <c r="M621" s="350"/>
      <c r="P621" s="225"/>
      <c r="U621" s="315"/>
      <c r="V621" s="315"/>
    </row>
    <row r="622" spans="10:22" ht="16">
      <c r="J622" s="314"/>
      <c r="M622" s="350"/>
      <c r="P622" s="225"/>
      <c r="U622" s="315"/>
      <c r="V622" s="315"/>
    </row>
    <row r="623" spans="10:22" ht="16">
      <c r="J623" s="314"/>
      <c r="M623" s="350"/>
      <c r="P623" s="225"/>
      <c r="U623" s="315"/>
      <c r="V623" s="315"/>
    </row>
    <row r="624" spans="10:22" ht="16">
      <c r="J624" s="314"/>
      <c r="M624" s="350"/>
      <c r="P624" s="225"/>
      <c r="U624" s="315"/>
      <c r="V624" s="315"/>
    </row>
    <row r="625" spans="10:22" ht="16">
      <c r="J625" s="314"/>
      <c r="M625" s="350"/>
      <c r="P625" s="225"/>
      <c r="U625" s="315"/>
      <c r="V625" s="315"/>
    </row>
    <row r="626" spans="10:22" ht="16">
      <c r="J626" s="314"/>
      <c r="M626" s="350"/>
      <c r="P626" s="225"/>
      <c r="U626" s="315"/>
      <c r="V626" s="315"/>
    </row>
    <row r="627" spans="10:22" ht="16">
      <c r="J627" s="314"/>
      <c r="M627" s="350"/>
      <c r="P627" s="225"/>
      <c r="U627" s="315"/>
      <c r="V627" s="315"/>
    </row>
    <row r="628" spans="10:22" ht="16">
      <c r="J628" s="314"/>
      <c r="M628" s="350"/>
      <c r="P628" s="225"/>
      <c r="U628" s="315"/>
      <c r="V628" s="315"/>
    </row>
    <row r="629" spans="10:22" ht="16">
      <c r="J629" s="314"/>
      <c r="M629" s="350"/>
      <c r="P629" s="225"/>
      <c r="U629" s="315"/>
      <c r="V629" s="315"/>
    </row>
    <row r="630" spans="10:22" ht="16">
      <c r="J630" s="314"/>
      <c r="M630" s="350"/>
      <c r="P630" s="225"/>
      <c r="U630" s="315"/>
      <c r="V630" s="315"/>
    </row>
    <row r="631" spans="10:22" ht="16">
      <c r="J631" s="314"/>
      <c r="M631" s="350"/>
      <c r="P631" s="225"/>
      <c r="U631" s="315"/>
      <c r="V631" s="315"/>
    </row>
    <row r="632" spans="10:22" ht="16">
      <c r="J632" s="314"/>
      <c r="M632" s="350"/>
      <c r="P632" s="225"/>
      <c r="U632" s="315"/>
      <c r="V632" s="315"/>
    </row>
    <row r="633" spans="10:22" ht="16">
      <c r="J633" s="314"/>
      <c r="M633" s="350"/>
      <c r="P633" s="225"/>
      <c r="U633" s="315"/>
      <c r="V633" s="315"/>
    </row>
    <row r="634" spans="10:22" ht="16">
      <c r="J634" s="314"/>
      <c r="M634" s="350"/>
      <c r="P634" s="225"/>
      <c r="U634" s="315"/>
      <c r="V634" s="315"/>
    </row>
    <row r="635" spans="10:22" ht="16">
      <c r="J635" s="314"/>
      <c r="M635" s="350"/>
      <c r="P635" s="225"/>
      <c r="U635" s="315"/>
      <c r="V635" s="315"/>
    </row>
    <row r="636" spans="10:22" ht="16">
      <c r="J636" s="314"/>
      <c r="M636" s="350"/>
      <c r="P636" s="225"/>
      <c r="U636" s="315"/>
      <c r="V636" s="315"/>
    </row>
    <row r="637" spans="10:22" ht="16">
      <c r="J637" s="314"/>
      <c r="M637" s="350"/>
      <c r="P637" s="225"/>
      <c r="U637" s="315"/>
      <c r="V637" s="315"/>
    </row>
    <row r="638" spans="10:22" ht="16">
      <c r="J638" s="314"/>
      <c r="M638" s="350"/>
      <c r="P638" s="225"/>
      <c r="U638" s="315"/>
      <c r="V638" s="315"/>
    </row>
    <row r="639" spans="10:22" ht="16">
      <c r="J639" s="314"/>
      <c r="M639" s="350"/>
      <c r="P639" s="225"/>
      <c r="U639" s="315"/>
      <c r="V639" s="315"/>
    </row>
    <row r="640" spans="10:22" ht="16">
      <c r="J640" s="314"/>
      <c r="M640" s="350"/>
      <c r="P640" s="225"/>
      <c r="U640" s="315"/>
      <c r="V640" s="315"/>
    </row>
    <row r="641" spans="10:22" ht="16">
      <c r="J641" s="314"/>
      <c r="M641" s="350"/>
      <c r="P641" s="225"/>
      <c r="U641" s="315"/>
      <c r="V641" s="315"/>
    </row>
    <row r="642" spans="10:22" ht="16">
      <c r="J642" s="314"/>
      <c r="M642" s="350"/>
      <c r="P642" s="225"/>
      <c r="U642" s="315"/>
      <c r="V642" s="315"/>
    </row>
    <row r="643" spans="10:22" ht="16">
      <c r="J643" s="314"/>
      <c r="M643" s="350"/>
      <c r="P643" s="225"/>
      <c r="U643" s="315"/>
      <c r="V643" s="315"/>
    </row>
    <row r="644" spans="10:22" ht="16">
      <c r="J644" s="314"/>
      <c r="M644" s="350"/>
      <c r="P644" s="225"/>
      <c r="U644" s="315"/>
      <c r="V644" s="315"/>
    </row>
    <row r="645" spans="10:22" ht="16">
      <c r="J645" s="314"/>
      <c r="M645" s="350"/>
      <c r="P645" s="225"/>
      <c r="U645" s="315"/>
      <c r="V645" s="315"/>
    </row>
    <row r="646" spans="10:22" ht="16">
      <c r="J646" s="314"/>
      <c r="M646" s="350"/>
      <c r="P646" s="225"/>
      <c r="U646" s="315"/>
      <c r="V646" s="315"/>
    </row>
    <row r="647" spans="10:22" ht="16">
      <c r="J647" s="314"/>
      <c r="M647" s="350"/>
      <c r="P647" s="225"/>
      <c r="U647" s="315"/>
      <c r="V647" s="315"/>
    </row>
    <row r="648" spans="10:22" ht="16">
      <c r="J648" s="314"/>
      <c r="M648" s="350"/>
      <c r="P648" s="225"/>
      <c r="U648" s="315"/>
      <c r="V648" s="315"/>
    </row>
    <row r="649" spans="10:22" ht="16">
      <c r="J649" s="314"/>
      <c r="M649" s="350"/>
      <c r="P649" s="225"/>
      <c r="U649" s="315"/>
      <c r="V649" s="315"/>
    </row>
    <row r="650" spans="10:22" ht="16">
      <c r="J650" s="314"/>
      <c r="M650" s="350"/>
      <c r="P650" s="225"/>
      <c r="U650" s="315"/>
      <c r="V650" s="315"/>
    </row>
    <row r="651" spans="10:22" ht="16">
      <c r="J651" s="314"/>
      <c r="M651" s="350"/>
      <c r="P651" s="225"/>
      <c r="U651" s="315"/>
      <c r="V651" s="315"/>
    </row>
    <row r="652" spans="10:22" ht="16">
      <c r="J652" s="314"/>
      <c r="M652" s="350"/>
      <c r="P652" s="225"/>
      <c r="U652" s="315"/>
      <c r="V652" s="315"/>
    </row>
    <row r="653" spans="10:22" ht="16">
      <c r="J653" s="314"/>
      <c r="M653" s="350"/>
      <c r="P653" s="225"/>
      <c r="U653" s="315"/>
      <c r="V653" s="315"/>
    </row>
    <row r="654" spans="10:22" ht="16">
      <c r="J654" s="314"/>
      <c r="M654" s="350"/>
      <c r="P654" s="225"/>
      <c r="U654" s="315"/>
      <c r="V654" s="315"/>
    </row>
    <row r="655" spans="10:22" ht="16">
      <c r="J655" s="314"/>
      <c r="M655" s="350"/>
      <c r="P655" s="225"/>
      <c r="U655" s="315"/>
      <c r="V655" s="315"/>
    </row>
    <row r="656" spans="10:22" ht="16">
      <c r="J656" s="314"/>
      <c r="M656" s="350"/>
      <c r="P656" s="225"/>
      <c r="U656" s="315"/>
      <c r="V656" s="315"/>
    </row>
    <row r="657" spans="10:22" ht="16">
      <c r="J657" s="314"/>
      <c r="M657" s="350"/>
      <c r="P657" s="225"/>
      <c r="U657" s="315"/>
      <c r="V657" s="315"/>
    </row>
    <row r="658" spans="10:22" ht="16">
      <c r="J658" s="314"/>
      <c r="M658" s="350"/>
      <c r="P658" s="225"/>
      <c r="U658" s="315"/>
      <c r="V658" s="315"/>
    </row>
    <row r="659" spans="10:22" ht="16">
      <c r="J659" s="314"/>
      <c r="M659" s="350"/>
      <c r="P659" s="225"/>
      <c r="U659" s="315"/>
      <c r="V659" s="315"/>
    </row>
    <row r="660" spans="10:22" ht="16">
      <c r="J660" s="314"/>
      <c r="M660" s="350"/>
      <c r="P660" s="225"/>
      <c r="U660" s="315"/>
      <c r="V660" s="315"/>
    </row>
    <row r="661" spans="10:22" ht="16">
      <c r="J661" s="314"/>
      <c r="M661" s="350"/>
      <c r="P661" s="225"/>
      <c r="U661" s="315"/>
      <c r="V661" s="315"/>
    </row>
    <row r="662" spans="10:22" ht="16">
      <c r="J662" s="314"/>
      <c r="M662" s="350"/>
      <c r="P662" s="225"/>
      <c r="U662" s="315"/>
      <c r="V662" s="315"/>
    </row>
    <row r="663" spans="10:22" ht="16">
      <c r="J663" s="314"/>
      <c r="M663" s="350"/>
      <c r="P663" s="225"/>
      <c r="U663" s="315"/>
      <c r="V663" s="315"/>
    </row>
    <row r="664" spans="10:22" ht="16">
      <c r="J664" s="314"/>
      <c r="M664" s="350"/>
      <c r="P664" s="225"/>
      <c r="U664" s="315"/>
      <c r="V664" s="315"/>
    </row>
    <row r="665" spans="10:22" ht="16">
      <c r="J665" s="314"/>
      <c r="M665" s="350"/>
      <c r="P665" s="225"/>
      <c r="U665" s="315"/>
      <c r="V665" s="315"/>
    </row>
    <row r="666" spans="10:22" ht="16">
      <c r="J666" s="314"/>
      <c r="M666" s="350"/>
      <c r="P666" s="225"/>
      <c r="U666" s="315"/>
      <c r="V666" s="315"/>
    </row>
    <row r="667" spans="10:22" ht="16">
      <c r="J667" s="314"/>
      <c r="M667" s="350"/>
      <c r="P667" s="225"/>
      <c r="U667" s="315"/>
      <c r="V667" s="315"/>
    </row>
    <row r="668" spans="10:22" ht="16">
      <c r="J668" s="314"/>
      <c r="M668" s="350"/>
      <c r="P668" s="225"/>
      <c r="U668" s="315"/>
      <c r="V668" s="315"/>
    </row>
    <row r="669" spans="10:22" ht="16">
      <c r="J669" s="314"/>
      <c r="M669" s="350"/>
      <c r="P669" s="225"/>
      <c r="U669" s="315"/>
      <c r="V669" s="315"/>
    </row>
    <row r="670" spans="10:22" ht="16">
      <c r="J670" s="314"/>
      <c r="M670" s="350"/>
      <c r="P670" s="225"/>
      <c r="U670" s="315"/>
      <c r="V670" s="315"/>
    </row>
    <row r="671" spans="10:22" ht="16">
      <c r="J671" s="314"/>
      <c r="M671" s="350"/>
      <c r="P671" s="225"/>
      <c r="U671" s="315"/>
      <c r="V671" s="315"/>
    </row>
    <row r="672" spans="10:22" ht="16">
      <c r="J672" s="314"/>
      <c r="M672" s="350"/>
      <c r="P672" s="225"/>
      <c r="U672" s="315"/>
      <c r="V672" s="315"/>
    </row>
    <row r="673" spans="10:22" ht="16">
      <c r="J673" s="314"/>
      <c r="M673" s="350"/>
      <c r="P673" s="225"/>
      <c r="U673" s="315"/>
      <c r="V673" s="315"/>
    </row>
    <row r="674" spans="10:22" ht="16">
      <c r="J674" s="314"/>
      <c r="M674" s="350"/>
      <c r="P674" s="225"/>
      <c r="U674" s="315"/>
      <c r="V674" s="315"/>
    </row>
    <row r="675" spans="10:22" ht="16">
      <c r="J675" s="314"/>
      <c r="M675" s="350"/>
      <c r="P675" s="225"/>
      <c r="U675" s="315"/>
      <c r="V675" s="315"/>
    </row>
    <row r="676" spans="10:22" ht="16">
      <c r="J676" s="314"/>
      <c r="M676" s="350"/>
      <c r="P676" s="225"/>
      <c r="U676" s="315"/>
      <c r="V676" s="315"/>
    </row>
    <row r="677" spans="10:22" ht="16">
      <c r="J677" s="314"/>
      <c r="M677" s="350"/>
      <c r="P677" s="225"/>
      <c r="U677" s="315"/>
      <c r="V677" s="315"/>
    </row>
    <row r="678" spans="10:22" ht="16">
      <c r="J678" s="314"/>
      <c r="M678" s="350"/>
      <c r="P678" s="225"/>
      <c r="U678" s="315"/>
      <c r="V678" s="315"/>
    </row>
    <row r="679" spans="10:22" ht="16">
      <c r="J679" s="314"/>
      <c r="M679" s="350"/>
      <c r="P679" s="225"/>
      <c r="U679" s="315"/>
      <c r="V679" s="315"/>
    </row>
    <row r="680" spans="10:22" ht="16">
      <c r="J680" s="314"/>
      <c r="M680" s="350"/>
      <c r="P680" s="225"/>
      <c r="U680" s="315"/>
      <c r="V680" s="315"/>
    </row>
    <row r="681" spans="10:22" ht="16">
      <c r="J681" s="314"/>
      <c r="M681" s="350"/>
      <c r="P681" s="225"/>
      <c r="U681" s="315"/>
      <c r="V681" s="315"/>
    </row>
    <row r="682" spans="10:22" ht="16">
      <c r="J682" s="314"/>
      <c r="M682" s="350"/>
      <c r="P682" s="225"/>
      <c r="U682" s="315"/>
      <c r="V682" s="315"/>
    </row>
    <row r="683" spans="10:22" ht="16">
      <c r="J683" s="314"/>
      <c r="M683" s="350"/>
      <c r="P683" s="225"/>
      <c r="U683" s="315"/>
      <c r="V683" s="315"/>
    </row>
    <row r="684" spans="10:22" ht="16">
      <c r="J684" s="314"/>
      <c r="M684" s="350"/>
      <c r="P684" s="225"/>
      <c r="U684" s="315"/>
      <c r="V684" s="315"/>
    </row>
    <row r="685" spans="10:22" ht="16">
      <c r="J685" s="314"/>
      <c r="M685" s="350"/>
      <c r="P685" s="225"/>
      <c r="U685" s="315"/>
      <c r="V685" s="315"/>
    </row>
    <row r="686" spans="10:22" ht="16">
      <c r="J686" s="314"/>
      <c r="M686" s="350"/>
      <c r="P686" s="225"/>
      <c r="U686" s="315"/>
      <c r="V686" s="315"/>
    </row>
    <row r="687" spans="10:22" ht="16">
      <c r="J687" s="314"/>
      <c r="M687" s="350"/>
      <c r="P687" s="225"/>
      <c r="U687" s="315"/>
      <c r="V687" s="315"/>
    </row>
    <row r="688" spans="10:22" ht="16">
      <c r="J688" s="314"/>
      <c r="M688" s="350"/>
      <c r="P688" s="225"/>
      <c r="U688" s="315"/>
      <c r="V688" s="315"/>
    </row>
    <row r="689" spans="10:22" ht="16">
      <c r="J689" s="314"/>
      <c r="M689" s="350"/>
      <c r="P689" s="225"/>
      <c r="U689" s="315"/>
      <c r="V689" s="315"/>
    </row>
    <row r="690" spans="10:22" ht="16">
      <c r="J690" s="314"/>
      <c r="M690" s="350"/>
      <c r="P690" s="225"/>
      <c r="U690" s="315"/>
      <c r="V690" s="315"/>
    </row>
    <row r="691" spans="10:22" ht="16">
      <c r="J691" s="314"/>
      <c r="M691" s="350"/>
      <c r="P691" s="225"/>
      <c r="U691" s="315"/>
      <c r="V691" s="315"/>
    </row>
    <row r="692" spans="10:22" ht="16">
      <c r="J692" s="314"/>
      <c r="M692" s="350"/>
      <c r="P692" s="225"/>
      <c r="U692" s="315"/>
      <c r="V692" s="315"/>
    </row>
    <row r="693" spans="10:22" ht="16">
      <c r="J693" s="314"/>
      <c r="M693" s="350"/>
      <c r="P693" s="225"/>
      <c r="U693" s="315"/>
      <c r="V693" s="315"/>
    </row>
    <row r="694" spans="10:22" ht="16">
      <c r="J694" s="314"/>
      <c r="M694" s="350"/>
      <c r="P694" s="225"/>
      <c r="U694" s="315"/>
      <c r="V694" s="315"/>
    </row>
    <row r="695" spans="10:22" ht="16">
      <c r="J695" s="314"/>
      <c r="M695" s="350"/>
      <c r="P695" s="225"/>
      <c r="U695" s="315"/>
      <c r="V695" s="315"/>
    </row>
    <row r="696" spans="10:22" ht="16">
      <c r="J696" s="314"/>
      <c r="M696" s="350"/>
      <c r="P696" s="225"/>
      <c r="U696" s="315"/>
      <c r="V696" s="315"/>
    </row>
    <row r="697" spans="10:22" ht="16">
      <c r="J697" s="314"/>
      <c r="M697" s="350"/>
      <c r="P697" s="225"/>
      <c r="U697" s="315"/>
      <c r="V697" s="315"/>
    </row>
    <row r="698" spans="10:22" ht="16">
      <c r="J698" s="314"/>
      <c r="M698" s="350"/>
      <c r="P698" s="225"/>
      <c r="U698" s="315"/>
      <c r="V698" s="315"/>
    </row>
    <row r="699" spans="10:22" ht="16">
      <c r="J699" s="314"/>
      <c r="M699" s="350"/>
      <c r="P699" s="225"/>
      <c r="U699" s="315"/>
      <c r="V699" s="315"/>
    </row>
    <row r="700" spans="10:22" ht="16">
      <c r="J700" s="314"/>
      <c r="M700" s="350"/>
      <c r="P700" s="225"/>
      <c r="U700" s="315"/>
      <c r="V700" s="315"/>
    </row>
    <row r="701" spans="10:22" ht="16">
      <c r="J701" s="314"/>
      <c r="M701" s="350"/>
      <c r="P701" s="225"/>
      <c r="U701" s="315"/>
      <c r="V701" s="315"/>
    </row>
    <row r="702" spans="10:22" ht="16">
      <c r="J702" s="314"/>
      <c r="M702" s="350"/>
      <c r="P702" s="225"/>
      <c r="U702" s="315"/>
      <c r="V702" s="315"/>
    </row>
    <row r="703" spans="10:22" ht="16">
      <c r="J703" s="314"/>
      <c r="M703" s="350"/>
      <c r="P703" s="225"/>
      <c r="U703" s="315"/>
      <c r="V703" s="315"/>
    </row>
    <row r="704" spans="10:22" ht="16">
      <c r="J704" s="314"/>
      <c r="M704" s="350"/>
      <c r="P704" s="225"/>
      <c r="U704" s="315"/>
      <c r="V704" s="315"/>
    </row>
    <row r="705" spans="10:22" ht="16">
      <c r="J705" s="314"/>
      <c r="M705" s="350"/>
      <c r="P705" s="225"/>
      <c r="U705" s="315"/>
      <c r="V705" s="315"/>
    </row>
    <row r="706" spans="10:22" ht="16">
      <c r="J706" s="314"/>
      <c r="M706" s="350"/>
      <c r="P706" s="225"/>
      <c r="U706" s="315"/>
      <c r="V706" s="315"/>
    </row>
    <row r="707" spans="10:22" ht="16">
      <c r="J707" s="314"/>
      <c r="M707" s="350"/>
      <c r="P707" s="225"/>
      <c r="U707" s="315"/>
      <c r="V707" s="315"/>
    </row>
    <row r="708" spans="10:22" ht="16">
      <c r="J708" s="314"/>
      <c r="M708" s="350"/>
      <c r="P708" s="225"/>
      <c r="U708" s="315"/>
      <c r="V708" s="315"/>
    </row>
    <row r="709" spans="10:22" ht="16">
      <c r="J709" s="314"/>
      <c r="M709" s="350"/>
      <c r="P709" s="225"/>
      <c r="U709" s="315"/>
      <c r="V709" s="315"/>
    </row>
    <row r="710" spans="10:22" ht="16">
      <c r="J710" s="314"/>
      <c r="M710" s="350"/>
      <c r="P710" s="225"/>
      <c r="U710" s="315"/>
      <c r="V710" s="315"/>
    </row>
    <row r="711" spans="10:22" ht="16">
      <c r="J711" s="314"/>
      <c r="M711" s="350"/>
      <c r="P711" s="225"/>
      <c r="U711" s="315"/>
      <c r="V711" s="315"/>
    </row>
    <row r="712" spans="10:22" ht="16">
      <c r="J712" s="314"/>
      <c r="M712" s="350"/>
      <c r="P712" s="225"/>
      <c r="U712" s="315"/>
      <c r="V712" s="315"/>
    </row>
    <row r="713" spans="10:22" ht="16">
      <c r="J713" s="314"/>
      <c r="M713" s="350"/>
      <c r="P713" s="225"/>
      <c r="U713" s="315"/>
      <c r="V713" s="315"/>
    </row>
    <row r="714" spans="10:22" ht="16">
      <c r="J714" s="314"/>
      <c r="M714" s="350"/>
      <c r="P714" s="225"/>
      <c r="U714" s="315"/>
      <c r="V714" s="315"/>
    </row>
    <row r="715" spans="10:22" ht="16">
      <c r="J715" s="314"/>
      <c r="M715" s="350"/>
      <c r="P715" s="225"/>
      <c r="U715" s="315"/>
      <c r="V715" s="315"/>
    </row>
    <row r="716" spans="10:22" ht="16">
      <c r="J716" s="314"/>
      <c r="M716" s="350"/>
      <c r="P716" s="225"/>
      <c r="U716" s="315"/>
      <c r="V716" s="315"/>
    </row>
    <row r="717" spans="10:22" ht="16">
      <c r="J717" s="314"/>
      <c r="M717" s="350"/>
      <c r="P717" s="225"/>
      <c r="U717" s="315"/>
      <c r="V717" s="315"/>
    </row>
    <row r="718" spans="10:22" ht="16">
      <c r="J718" s="314"/>
      <c r="M718" s="350"/>
      <c r="P718" s="225"/>
      <c r="U718" s="315"/>
      <c r="V718" s="315"/>
    </row>
    <row r="719" spans="10:22" ht="16">
      <c r="J719" s="314"/>
      <c r="M719" s="350"/>
      <c r="P719" s="225"/>
      <c r="U719" s="315"/>
      <c r="V719" s="315"/>
    </row>
    <row r="720" spans="10:22" ht="16">
      <c r="J720" s="314"/>
      <c r="M720" s="350"/>
      <c r="P720" s="225"/>
      <c r="U720" s="315"/>
      <c r="V720" s="315"/>
    </row>
    <row r="721" spans="10:22" ht="16">
      <c r="J721" s="314"/>
      <c r="M721" s="350"/>
      <c r="P721" s="225"/>
      <c r="U721" s="315"/>
      <c r="V721" s="315"/>
    </row>
    <row r="722" spans="10:22" ht="16">
      <c r="J722" s="314"/>
      <c r="M722" s="350"/>
      <c r="P722" s="225"/>
      <c r="U722" s="315"/>
      <c r="V722" s="315"/>
    </row>
    <row r="723" spans="10:22" ht="16">
      <c r="J723" s="314"/>
      <c r="M723" s="350"/>
      <c r="P723" s="225"/>
      <c r="U723" s="315"/>
      <c r="V723" s="315"/>
    </row>
    <row r="724" spans="10:22" ht="16">
      <c r="J724" s="314"/>
      <c r="M724" s="350"/>
      <c r="P724" s="225"/>
      <c r="U724" s="315"/>
      <c r="V724" s="315"/>
    </row>
    <row r="725" spans="10:22" ht="16">
      <c r="J725" s="314"/>
      <c r="M725" s="350"/>
      <c r="P725" s="225"/>
      <c r="U725" s="315"/>
      <c r="V725" s="315"/>
    </row>
    <row r="726" spans="10:22" ht="16">
      <c r="J726" s="314"/>
      <c r="M726" s="350"/>
      <c r="P726" s="225"/>
      <c r="U726" s="315"/>
      <c r="V726" s="315"/>
    </row>
    <row r="727" spans="10:22" ht="16">
      <c r="J727" s="314"/>
      <c r="M727" s="350"/>
      <c r="P727" s="225"/>
      <c r="U727" s="315"/>
      <c r="V727" s="315"/>
    </row>
    <row r="728" spans="10:22" ht="16">
      <c r="J728" s="314"/>
      <c r="M728" s="350"/>
      <c r="P728" s="225"/>
      <c r="U728" s="315"/>
      <c r="V728" s="315"/>
    </row>
    <row r="729" spans="10:22" ht="16">
      <c r="J729" s="314"/>
      <c r="M729" s="350"/>
      <c r="P729" s="225"/>
      <c r="U729" s="315"/>
      <c r="V729" s="315"/>
    </row>
    <row r="730" spans="10:22" ht="16">
      <c r="J730" s="314"/>
      <c r="M730" s="350"/>
      <c r="P730" s="225"/>
      <c r="U730" s="315"/>
      <c r="V730" s="315"/>
    </row>
    <row r="731" spans="10:22" ht="16">
      <c r="J731" s="314"/>
      <c r="M731" s="350"/>
      <c r="P731" s="225"/>
      <c r="U731" s="315"/>
      <c r="V731" s="315"/>
    </row>
    <row r="732" spans="10:22" ht="16">
      <c r="J732" s="314"/>
      <c r="M732" s="350"/>
      <c r="P732" s="225"/>
      <c r="U732" s="315"/>
      <c r="V732" s="315"/>
    </row>
    <row r="733" spans="10:22" ht="16">
      <c r="J733" s="314"/>
      <c r="M733" s="350"/>
      <c r="P733" s="225"/>
      <c r="U733" s="315"/>
      <c r="V733" s="315"/>
    </row>
    <row r="734" spans="10:22" ht="16">
      <c r="J734" s="314"/>
      <c r="M734" s="350"/>
      <c r="P734" s="225"/>
      <c r="U734" s="315"/>
      <c r="V734" s="315"/>
    </row>
    <row r="735" spans="10:22" ht="16">
      <c r="J735" s="314"/>
      <c r="M735" s="350"/>
      <c r="P735" s="225"/>
      <c r="U735" s="315"/>
      <c r="V735" s="315"/>
    </row>
    <row r="736" spans="10:22" ht="16">
      <c r="J736" s="314"/>
      <c r="M736" s="350"/>
      <c r="P736" s="225"/>
      <c r="U736" s="315"/>
      <c r="V736" s="315"/>
    </row>
    <row r="737" spans="10:22" ht="16">
      <c r="J737" s="314"/>
      <c r="M737" s="350"/>
      <c r="P737" s="225"/>
      <c r="U737" s="315"/>
      <c r="V737" s="315"/>
    </row>
    <row r="738" spans="10:22" ht="16">
      <c r="J738" s="314"/>
      <c r="M738" s="350"/>
      <c r="P738" s="225"/>
      <c r="U738" s="315"/>
      <c r="V738" s="315"/>
    </row>
    <row r="739" spans="10:22" ht="16">
      <c r="J739" s="314"/>
      <c r="M739" s="350"/>
      <c r="P739" s="225"/>
      <c r="U739" s="315"/>
      <c r="V739" s="315"/>
    </row>
    <row r="740" spans="10:22" ht="16">
      <c r="J740" s="314"/>
      <c r="M740" s="350"/>
      <c r="P740" s="225"/>
      <c r="U740" s="315"/>
      <c r="V740" s="315"/>
    </row>
    <row r="741" spans="10:22" ht="16">
      <c r="J741" s="314"/>
      <c r="M741" s="350"/>
      <c r="P741" s="225"/>
      <c r="U741" s="315"/>
      <c r="V741" s="315"/>
    </row>
    <row r="742" spans="10:22" ht="16">
      <c r="J742" s="314"/>
      <c r="M742" s="350"/>
      <c r="P742" s="225"/>
      <c r="U742" s="315"/>
      <c r="V742" s="315"/>
    </row>
    <row r="743" spans="10:22" ht="16">
      <c r="J743" s="314"/>
      <c r="M743" s="350"/>
      <c r="P743" s="225"/>
      <c r="U743" s="315"/>
      <c r="V743" s="315"/>
    </row>
    <row r="744" spans="10:22" ht="16">
      <c r="J744" s="314"/>
      <c r="M744" s="350"/>
      <c r="P744" s="225"/>
      <c r="U744" s="315"/>
      <c r="V744" s="315"/>
    </row>
    <row r="745" spans="10:22" ht="16">
      <c r="J745" s="314"/>
      <c r="M745" s="350"/>
      <c r="P745" s="225"/>
      <c r="U745" s="315"/>
      <c r="V745" s="315"/>
    </row>
    <row r="746" spans="10:22" ht="16">
      <c r="J746" s="314"/>
      <c r="M746" s="350"/>
      <c r="P746" s="225"/>
      <c r="U746" s="315"/>
      <c r="V746" s="315"/>
    </row>
    <row r="747" spans="10:22" ht="16">
      <c r="J747" s="314"/>
      <c r="M747" s="350"/>
      <c r="P747" s="225"/>
      <c r="U747" s="315"/>
      <c r="V747" s="315"/>
    </row>
    <row r="748" spans="10:22" ht="16">
      <c r="J748" s="314"/>
      <c r="M748" s="350"/>
      <c r="P748" s="225"/>
      <c r="U748" s="315"/>
      <c r="V748" s="315"/>
    </row>
    <row r="749" spans="10:22" ht="16">
      <c r="J749" s="314"/>
      <c r="M749" s="350"/>
      <c r="P749" s="225"/>
      <c r="U749" s="315"/>
      <c r="V749" s="315"/>
    </row>
    <row r="750" spans="10:22" ht="16">
      <c r="J750" s="314"/>
      <c r="M750" s="350"/>
      <c r="P750" s="225"/>
      <c r="U750" s="315"/>
      <c r="V750" s="315"/>
    </row>
    <row r="751" spans="10:22" ht="16">
      <c r="J751" s="314"/>
      <c r="M751" s="350"/>
      <c r="P751" s="225"/>
      <c r="U751" s="315"/>
      <c r="V751" s="315"/>
    </row>
    <row r="752" spans="10:22" ht="16">
      <c r="J752" s="314"/>
      <c r="M752" s="350"/>
      <c r="P752" s="225"/>
      <c r="U752" s="315"/>
      <c r="V752" s="315"/>
    </row>
    <row r="753" spans="10:22" ht="16">
      <c r="J753" s="314"/>
      <c r="M753" s="350"/>
      <c r="P753" s="225"/>
      <c r="U753" s="315"/>
      <c r="V753" s="315"/>
    </row>
    <row r="754" spans="10:22" ht="16">
      <c r="J754" s="314"/>
      <c r="M754" s="350"/>
      <c r="P754" s="225"/>
      <c r="U754" s="315"/>
      <c r="V754" s="315"/>
    </row>
    <row r="755" spans="10:22" ht="16">
      <c r="J755" s="314"/>
      <c r="M755" s="350"/>
      <c r="P755" s="225"/>
      <c r="U755" s="315"/>
      <c r="V755" s="315"/>
    </row>
    <row r="756" spans="10:22" ht="16">
      <c r="J756" s="314"/>
      <c r="M756" s="350"/>
      <c r="P756" s="225"/>
      <c r="U756" s="315"/>
      <c r="V756" s="315"/>
    </row>
    <row r="757" spans="10:22" ht="16">
      <c r="J757" s="314"/>
      <c r="M757" s="350"/>
      <c r="P757" s="225"/>
      <c r="U757" s="315"/>
      <c r="V757" s="315"/>
    </row>
    <row r="758" spans="10:22" ht="16">
      <c r="J758" s="314"/>
      <c r="M758" s="350"/>
      <c r="P758" s="225"/>
      <c r="U758" s="315"/>
      <c r="V758" s="315"/>
    </row>
    <row r="759" spans="10:22" ht="16">
      <c r="J759" s="314"/>
      <c r="M759" s="350"/>
      <c r="P759" s="225"/>
      <c r="U759" s="315"/>
      <c r="V759" s="315"/>
    </row>
    <row r="760" spans="10:22" ht="16">
      <c r="J760" s="314"/>
      <c r="M760" s="350"/>
      <c r="P760" s="225"/>
      <c r="U760" s="315"/>
      <c r="V760" s="315"/>
    </row>
    <row r="761" spans="10:22" ht="16">
      <c r="J761" s="314"/>
      <c r="M761" s="350"/>
      <c r="P761" s="225"/>
      <c r="U761" s="315"/>
      <c r="V761" s="315"/>
    </row>
    <row r="762" spans="10:22" ht="16">
      <c r="J762" s="314"/>
      <c r="M762" s="350"/>
      <c r="P762" s="225"/>
      <c r="U762" s="315"/>
      <c r="V762" s="315"/>
    </row>
    <row r="763" spans="10:22" ht="16">
      <c r="J763" s="314"/>
      <c r="M763" s="350"/>
      <c r="P763" s="225"/>
      <c r="U763" s="315"/>
      <c r="V763" s="315"/>
    </row>
    <row r="764" spans="10:22" ht="16">
      <c r="J764" s="314"/>
      <c r="M764" s="350"/>
      <c r="P764" s="225"/>
      <c r="U764" s="315"/>
      <c r="V764" s="315"/>
    </row>
    <row r="765" spans="10:22" ht="16">
      <c r="J765" s="314"/>
      <c r="M765" s="350"/>
      <c r="P765" s="225"/>
      <c r="U765" s="315"/>
      <c r="V765" s="315"/>
    </row>
    <row r="766" spans="10:22" ht="16">
      <c r="J766" s="314"/>
      <c r="M766" s="350"/>
      <c r="P766" s="225"/>
      <c r="U766" s="315"/>
      <c r="V766" s="315"/>
    </row>
    <row r="767" spans="10:22" ht="16">
      <c r="J767" s="314"/>
      <c r="M767" s="350"/>
      <c r="P767" s="225"/>
      <c r="U767" s="315"/>
      <c r="V767" s="315"/>
    </row>
    <row r="768" spans="10:22" ht="16">
      <c r="J768" s="314"/>
      <c r="M768" s="350"/>
      <c r="P768" s="225"/>
      <c r="U768" s="315"/>
      <c r="V768" s="315"/>
    </row>
    <row r="769" spans="10:22" ht="16">
      <c r="J769" s="314"/>
      <c r="M769" s="350"/>
      <c r="P769" s="225"/>
      <c r="U769" s="315"/>
      <c r="V769" s="315"/>
    </row>
    <row r="770" spans="10:22" ht="16">
      <c r="J770" s="314"/>
      <c r="M770" s="350"/>
      <c r="P770" s="225"/>
      <c r="U770" s="315"/>
      <c r="V770" s="315"/>
    </row>
    <row r="771" spans="10:22" ht="16">
      <c r="J771" s="314"/>
      <c r="M771" s="350"/>
      <c r="P771" s="225"/>
      <c r="U771" s="315"/>
      <c r="V771" s="315"/>
    </row>
    <row r="772" spans="10:22" ht="16">
      <c r="J772" s="314"/>
      <c r="M772" s="350"/>
      <c r="P772" s="225"/>
      <c r="U772" s="315"/>
      <c r="V772" s="315"/>
    </row>
    <row r="773" spans="10:22" ht="16">
      <c r="J773" s="314"/>
      <c r="M773" s="350"/>
      <c r="P773" s="225"/>
      <c r="U773" s="315"/>
      <c r="V773" s="315"/>
    </row>
    <row r="774" spans="10:22" ht="16">
      <c r="J774" s="314"/>
      <c r="M774" s="350"/>
      <c r="P774" s="225"/>
      <c r="U774" s="315"/>
      <c r="V774" s="315"/>
    </row>
    <row r="775" spans="10:22" ht="16">
      <c r="J775" s="314"/>
      <c r="M775" s="350"/>
      <c r="P775" s="225"/>
      <c r="U775" s="315"/>
      <c r="V775" s="315"/>
    </row>
    <row r="776" spans="10:22" ht="16">
      <c r="J776" s="314"/>
      <c r="M776" s="350"/>
      <c r="P776" s="225"/>
      <c r="U776" s="315"/>
      <c r="V776" s="315"/>
    </row>
    <row r="777" spans="10:22" ht="16">
      <c r="J777" s="314"/>
      <c r="M777" s="350"/>
      <c r="P777" s="225"/>
      <c r="U777" s="315"/>
      <c r="V777" s="315"/>
    </row>
    <row r="778" spans="10:22" ht="16">
      <c r="J778" s="314"/>
      <c r="M778" s="350"/>
      <c r="P778" s="225"/>
      <c r="U778" s="315"/>
      <c r="V778" s="315"/>
    </row>
    <row r="779" spans="10:22" ht="16">
      <c r="J779" s="314"/>
      <c r="M779" s="350"/>
      <c r="P779" s="225"/>
      <c r="U779" s="315"/>
      <c r="V779" s="315"/>
    </row>
    <row r="780" spans="10:22" ht="16">
      <c r="J780" s="314"/>
      <c r="M780" s="350"/>
      <c r="P780" s="225"/>
      <c r="U780" s="315"/>
      <c r="V780" s="315"/>
    </row>
    <row r="781" spans="10:22" ht="16">
      <c r="J781" s="314"/>
      <c r="M781" s="350"/>
      <c r="P781" s="225"/>
      <c r="U781" s="315"/>
      <c r="V781" s="315"/>
    </row>
    <row r="782" spans="10:22" ht="16">
      <c r="J782" s="314"/>
      <c r="M782" s="350"/>
      <c r="P782" s="225"/>
      <c r="U782" s="315"/>
      <c r="V782" s="315"/>
    </row>
    <row r="783" spans="10:22" ht="16">
      <c r="J783" s="314"/>
      <c r="M783" s="350"/>
      <c r="P783" s="225"/>
      <c r="U783" s="315"/>
      <c r="V783" s="315"/>
    </row>
    <row r="784" spans="10:22" ht="16">
      <c r="J784" s="314"/>
      <c r="M784" s="350"/>
      <c r="P784" s="225"/>
      <c r="U784" s="315"/>
      <c r="V784" s="315"/>
    </row>
    <row r="785" spans="10:22" ht="16">
      <c r="J785" s="314"/>
      <c r="M785" s="350"/>
      <c r="P785" s="225"/>
      <c r="U785" s="315"/>
      <c r="V785" s="315"/>
    </row>
    <row r="786" spans="10:22" ht="16">
      <c r="J786" s="314"/>
      <c r="M786" s="350"/>
      <c r="P786" s="225"/>
      <c r="U786" s="315"/>
      <c r="V786" s="315"/>
    </row>
    <row r="787" spans="10:22" ht="16">
      <c r="J787" s="314"/>
      <c r="M787" s="350"/>
      <c r="P787" s="225"/>
      <c r="U787" s="315"/>
      <c r="V787" s="315"/>
    </row>
    <row r="788" spans="10:22" ht="16">
      <c r="J788" s="314"/>
      <c r="M788" s="350"/>
      <c r="P788" s="225"/>
      <c r="U788" s="315"/>
      <c r="V788" s="315"/>
    </row>
    <row r="789" spans="10:22" ht="16">
      <c r="J789" s="314"/>
      <c r="M789" s="350"/>
      <c r="P789" s="225"/>
      <c r="U789" s="315"/>
      <c r="V789" s="315"/>
    </row>
    <row r="790" spans="10:22" ht="16">
      <c r="J790" s="314"/>
      <c r="M790" s="350"/>
      <c r="P790" s="225"/>
      <c r="U790" s="315"/>
      <c r="V790" s="315"/>
    </row>
    <row r="791" spans="10:22" ht="16">
      <c r="J791" s="314"/>
      <c r="M791" s="350"/>
      <c r="P791" s="225"/>
      <c r="U791" s="315"/>
      <c r="V791" s="315"/>
    </row>
    <row r="792" spans="10:22" ht="16">
      <c r="J792" s="314"/>
      <c r="M792" s="350"/>
      <c r="P792" s="225"/>
      <c r="U792" s="315"/>
      <c r="V792" s="315"/>
    </row>
    <row r="793" spans="10:22" ht="16">
      <c r="J793" s="314"/>
      <c r="M793" s="350"/>
      <c r="P793" s="225"/>
      <c r="U793" s="315"/>
      <c r="V793" s="315"/>
    </row>
    <row r="794" spans="10:22" ht="16">
      <c r="J794" s="314"/>
      <c r="M794" s="350"/>
      <c r="P794" s="225"/>
      <c r="U794" s="315"/>
      <c r="V794" s="315"/>
    </row>
    <row r="795" spans="10:22" ht="16">
      <c r="J795" s="314"/>
      <c r="M795" s="350"/>
      <c r="P795" s="225"/>
      <c r="U795" s="315"/>
      <c r="V795" s="315"/>
    </row>
    <row r="796" spans="10:22" ht="16">
      <c r="J796" s="314"/>
      <c r="M796" s="350"/>
      <c r="P796" s="225"/>
      <c r="U796" s="315"/>
      <c r="V796" s="315"/>
    </row>
    <row r="797" spans="10:22" ht="16">
      <c r="J797" s="314"/>
      <c r="M797" s="350"/>
      <c r="P797" s="225"/>
      <c r="U797" s="315"/>
      <c r="V797" s="315"/>
    </row>
    <row r="798" spans="10:22" ht="16">
      <c r="J798" s="314"/>
      <c r="M798" s="350"/>
      <c r="P798" s="225"/>
      <c r="U798" s="315"/>
      <c r="V798" s="315"/>
    </row>
    <row r="799" spans="10:22" ht="16">
      <c r="J799" s="314"/>
      <c r="M799" s="350"/>
      <c r="P799" s="225"/>
      <c r="U799" s="315"/>
      <c r="V799" s="315"/>
    </row>
    <row r="800" spans="10:22" ht="16">
      <c r="J800" s="314"/>
      <c r="M800" s="350"/>
      <c r="P800" s="225"/>
      <c r="U800" s="315"/>
      <c r="V800" s="315"/>
    </row>
    <row r="801" spans="10:22" ht="16">
      <c r="J801" s="314"/>
      <c r="M801" s="350"/>
      <c r="P801" s="225"/>
      <c r="U801" s="315"/>
      <c r="V801" s="315"/>
    </row>
    <row r="802" spans="10:22" ht="16">
      <c r="J802" s="314"/>
      <c r="M802" s="350"/>
      <c r="P802" s="225"/>
      <c r="U802" s="315"/>
      <c r="V802" s="315"/>
    </row>
    <row r="803" spans="10:22" ht="16">
      <c r="J803" s="314"/>
      <c r="M803" s="350"/>
      <c r="P803" s="225"/>
      <c r="U803" s="315"/>
      <c r="V803" s="315"/>
    </row>
    <row r="804" spans="10:22" ht="16">
      <c r="J804" s="314"/>
      <c r="M804" s="350"/>
      <c r="P804" s="225"/>
      <c r="U804" s="315"/>
      <c r="V804" s="315"/>
    </row>
    <row r="805" spans="10:22" ht="16">
      <c r="J805" s="314"/>
      <c r="M805" s="350"/>
      <c r="P805" s="225"/>
      <c r="U805" s="315"/>
      <c r="V805" s="315"/>
    </row>
    <row r="806" spans="10:22" ht="16">
      <c r="J806" s="314"/>
      <c r="M806" s="350"/>
      <c r="P806" s="225"/>
      <c r="U806" s="315"/>
      <c r="V806" s="315"/>
    </row>
    <row r="807" spans="10:22" ht="16">
      <c r="J807" s="314"/>
      <c r="M807" s="350"/>
      <c r="P807" s="225"/>
      <c r="U807" s="315"/>
      <c r="V807" s="315"/>
    </row>
    <row r="808" spans="10:22" ht="16">
      <c r="J808" s="314"/>
      <c r="M808" s="350"/>
      <c r="P808" s="225"/>
      <c r="U808" s="315"/>
      <c r="V808" s="315"/>
    </row>
    <row r="809" spans="10:22" ht="16">
      <c r="J809" s="314"/>
      <c r="M809" s="350"/>
      <c r="P809" s="225"/>
      <c r="U809" s="315"/>
      <c r="V809" s="315"/>
    </row>
    <row r="810" spans="10:22" ht="16">
      <c r="J810" s="314"/>
      <c r="M810" s="350"/>
      <c r="P810" s="225"/>
      <c r="U810" s="315"/>
      <c r="V810" s="315"/>
    </row>
    <row r="811" spans="10:22" ht="16">
      <c r="J811" s="314"/>
      <c r="M811" s="350"/>
      <c r="P811" s="225"/>
      <c r="U811" s="315"/>
      <c r="V811" s="315"/>
    </row>
    <row r="812" spans="10:22" ht="16">
      <c r="J812" s="314"/>
      <c r="M812" s="350"/>
      <c r="P812" s="225"/>
      <c r="U812" s="315"/>
      <c r="V812" s="315"/>
    </row>
    <row r="813" spans="10:22" ht="16">
      <c r="J813" s="314"/>
      <c r="M813" s="350"/>
      <c r="P813" s="225"/>
      <c r="U813" s="315"/>
      <c r="V813" s="315"/>
    </row>
    <row r="814" spans="10:22" ht="16">
      <c r="J814" s="314"/>
      <c r="M814" s="350"/>
      <c r="P814" s="225"/>
      <c r="U814" s="315"/>
      <c r="V814" s="315"/>
    </row>
    <row r="815" spans="10:22" ht="16">
      <c r="J815" s="314"/>
      <c r="M815" s="350"/>
      <c r="P815" s="225"/>
      <c r="U815" s="315"/>
      <c r="V815" s="315"/>
    </row>
    <row r="816" spans="10:22" ht="16">
      <c r="J816" s="314"/>
      <c r="M816" s="350"/>
      <c r="P816" s="225"/>
      <c r="U816" s="315"/>
      <c r="V816" s="315"/>
    </row>
    <row r="817" spans="10:22" ht="16">
      <c r="J817" s="314"/>
      <c r="M817" s="350"/>
      <c r="P817" s="225"/>
      <c r="U817" s="315"/>
      <c r="V817" s="315"/>
    </row>
    <row r="818" spans="10:22" ht="16">
      <c r="J818" s="314"/>
      <c r="M818" s="350"/>
      <c r="P818" s="225"/>
      <c r="U818" s="315"/>
      <c r="V818" s="315"/>
    </row>
    <row r="819" spans="10:22" ht="16">
      <c r="J819" s="314"/>
      <c r="M819" s="350"/>
      <c r="P819" s="225"/>
      <c r="U819" s="315"/>
      <c r="V819" s="315"/>
    </row>
    <row r="820" spans="10:22" ht="16">
      <c r="J820" s="314"/>
      <c r="M820" s="350"/>
      <c r="P820" s="225"/>
      <c r="U820" s="315"/>
      <c r="V820" s="315"/>
    </row>
    <row r="821" spans="10:22" ht="16">
      <c r="J821" s="314"/>
      <c r="M821" s="350"/>
      <c r="P821" s="225"/>
      <c r="U821" s="315"/>
      <c r="V821" s="315"/>
    </row>
    <row r="822" spans="10:22" ht="16">
      <c r="J822" s="314"/>
      <c r="M822" s="350"/>
      <c r="P822" s="225"/>
      <c r="U822" s="315"/>
      <c r="V822" s="315"/>
    </row>
    <row r="823" spans="10:22" ht="16">
      <c r="J823" s="314"/>
      <c r="M823" s="350"/>
      <c r="P823" s="225"/>
      <c r="U823" s="315"/>
      <c r="V823" s="315"/>
    </row>
    <row r="824" spans="10:22" ht="16">
      <c r="J824" s="314"/>
      <c r="M824" s="350"/>
      <c r="P824" s="225"/>
      <c r="U824" s="315"/>
      <c r="V824" s="315"/>
    </row>
    <row r="825" spans="10:22" ht="16">
      <c r="J825" s="314"/>
      <c r="M825" s="350"/>
      <c r="P825" s="225"/>
      <c r="U825" s="315"/>
      <c r="V825" s="315"/>
    </row>
    <row r="826" spans="10:22" ht="16">
      <c r="J826" s="314"/>
      <c r="M826" s="350"/>
      <c r="P826" s="225"/>
      <c r="U826" s="315"/>
      <c r="V826" s="315"/>
    </row>
    <row r="827" spans="10:22" ht="16">
      <c r="J827" s="314"/>
      <c r="M827" s="350"/>
      <c r="P827" s="225"/>
      <c r="U827" s="315"/>
      <c r="V827" s="315"/>
    </row>
    <row r="828" spans="10:22" ht="16">
      <c r="J828" s="314"/>
      <c r="M828" s="350"/>
      <c r="P828" s="225"/>
      <c r="U828" s="315"/>
      <c r="V828" s="315"/>
    </row>
    <row r="829" spans="10:22" ht="16">
      <c r="J829" s="314"/>
      <c r="M829" s="350"/>
      <c r="P829" s="225"/>
      <c r="U829" s="315"/>
      <c r="V829" s="315"/>
    </row>
    <row r="830" spans="10:22" ht="16">
      <c r="J830" s="314"/>
      <c r="M830" s="350"/>
      <c r="P830" s="225"/>
      <c r="U830" s="315"/>
      <c r="V830" s="315"/>
    </row>
    <row r="831" spans="10:22" ht="16">
      <c r="J831" s="314"/>
      <c r="M831" s="350"/>
      <c r="P831" s="225"/>
      <c r="U831" s="315"/>
      <c r="V831" s="315"/>
    </row>
    <row r="832" spans="10:22" ht="16">
      <c r="J832" s="314"/>
      <c r="M832" s="350"/>
      <c r="P832" s="225"/>
      <c r="U832" s="315"/>
      <c r="V832" s="315"/>
    </row>
    <row r="833" spans="10:22" ht="16">
      <c r="J833" s="314"/>
      <c r="M833" s="350"/>
      <c r="P833" s="225"/>
      <c r="U833" s="315"/>
      <c r="V833" s="315"/>
    </row>
    <row r="834" spans="10:22" ht="16">
      <c r="J834" s="314"/>
      <c r="M834" s="350"/>
      <c r="P834" s="225"/>
      <c r="U834" s="315"/>
      <c r="V834" s="315"/>
    </row>
    <row r="835" spans="10:22" ht="16">
      <c r="J835" s="314"/>
      <c r="M835" s="350"/>
      <c r="P835" s="225"/>
      <c r="U835" s="315"/>
      <c r="V835" s="315"/>
    </row>
    <row r="836" spans="10:22" ht="16">
      <c r="J836" s="314"/>
      <c r="M836" s="350"/>
      <c r="P836" s="225"/>
      <c r="U836" s="315"/>
      <c r="V836" s="315"/>
    </row>
    <row r="837" spans="10:22" ht="16">
      <c r="J837" s="314"/>
      <c r="M837" s="350"/>
      <c r="P837" s="225"/>
      <c r="U837" s="315"/>
      <c r="V837" s="315"/>
    </row>
    <row r="838" spans="10:22" ht="16">
      <c r="J838" s="314"/>
      <c r="M838" s="350"/>
      <c r="P838" s="225"/>
      <c r="U838" s="315"/>
      <c r="V838" s="315"/>
    </row>
    <row r="839" spans="10:22" ht="16">
      <c r="J839" s="314"/>
      <c r="M839" s="350"/>
      <c r="P839" s="225"/>
      <c r="U839" s="315"/>
      <c r="V839" s="315"/>
    </row>
    <row r="840" spans="10:22" ht="16">
      <c r="J840" s="314"/>
      <c r="M840" s="350"/>
      <c r="P840" s="225"/>
      <c r="U840" s="315"/>
      <c r="V840" s="315"/>
    </row>
    <row r="841" spans="10:22" ht="16">
      <c r="J841" s="314"/>
      <c r="M841" s="350"/>
      <c r="P841" s="225"/>
      <c r="U841" s="315"/>
      <c r="V841" s="315"/>
    </row>
    <row r="842" spans="10:22" ht="16">
      <c r="J842" s="314"/>
      <c r="M842" s="350"/>
      <c r="P842" s="225"/>
      <c r="U842" s="315"/>
      <c r="V842" s="315"/>
    </row>
    <row r="843" spans="10:22" ht="16">
      <c r="J843" s="314"/>
      <c r="M843" s="350"/>
      <c r="P843" s="225"/>
      <c r="U843" s="315"/>
      <c r="V843" s="315"/>
    </row>
    <row r="844" spans="10:22" ht="16">
      <c r="J844" s="314"/>
      <c r="M844" s="350"/>
      <c r="P844" s="225"/>
      <c r="U844" s="315"/>
      <c r="V844" s="315"/>
    </row>
    <row r="845" spans="10:22" ht="16">
      <c r="J845" s="314"/>
      <c r="M845" s="350"/>
      <c r="P845" s="225"/>
      <c r="U845" s="315"/>
      <c r="V845" s="315"/>
    </row>
    <row r="846" spans="10:22" ht="16">
      <c r="J846" s="314"/>
      <c r="M846" s="350"/>
      <c r="P846" s="225"/>
      <c r="U846" s="315"/>
      <c r="V846" s="315"/>
    </row>
    <row r="847" spans="10:22" ht="16">
      <c r="J847" s="314"/>
      <c r="M847" s="350"/>
      <c r="P847" s="225"/>
      <c r="U847" s="315"/>
      <c r="V847" s="315"/>
    </row>
    <row r="848" spans="10:22" ht="16">
      <c r="J848" s="314"/>
      <c r="M848" s="350"/>
      <c r="P848" s="225"/>
      <c r="U848" s="315"/>
      <c r="V848" s="315"/>
    </row>
    <row r="849" spans="10:22" ht="16">
      <c r="J849" s="314"/>
      <c r="M849" s="350"/>
      <c r="P849" s="225"/>
      <c r="U849" s="315"/>
      <c r="V849" s="315"/>
    </row>
    <row r="850" spans="10:22" ht="16">
      <c r="J850" s="314"/>
      <c r="M850" s="350"/>
      <c r="P850" s="225"/>
      <c r="U850" s="315"/>
      <c r="V850" s="315"/>
    </row>
    <row r="851" spans="10:22" ht="16">
      <c r="J851" s="314"/>
      <c r="M851" s="350"/>
      <c r="P851" s="225"/>
      <c r="U851" s="315"/>
      <c r="V851" s="315"/>
    </row>
    <row r="852" spans="10:22" ht="16">
      <c r="J852" s="314"/>
      <c r="M852" s="350"/>
      <c r="P852" s="225"/>
      <c r="U852" s="315"/>
      <c r="V852" s="315"/>
    </row>
    <row r="853" spans="10:22" ht="16">
      <c r="J853" s="314"/>
      <c r="M853" s="350"/>
      <c r="P853" s="225"/>
      <c r="U853" s="315"/>
      <c r="V853" s="315"/>
    </row>
    <row r="854" spans="10:22" ht="16">
      <c r="J854" s="314"/>
      <c r="M854" s="350"/>
      <c r="P854" s="225"/>
      <c r="U854" s="315"/>
      <c r="V854" s="315"/>
    </row>
    <row r="855" spans="10:22" ht="16">
      <c r="J855" s="314"/>
      <c r="M855" s="350"/>
      <c r="P855" s="225"/>
      <c r="U855" s="315"/>
      <c r="V855" s="315"/>
    </row>
    <row r="856" spans="10:22" ht="16">
      <c r="J856" s="314"/>
      <c r="M856" s="350"/>
      <c r="P856" s="225"/>
      <c r="U856" s="315"/>
      <c r="V856" s="315"/>
    </row>
    <row r="857" spans="10:22" ht="16">
      <c r="J857" s="314"/>
      <c r="M857" s="350"/>
      <c r="P857" s="225"/>
      <c r="U857" s="315"/>
      <c r="V857" s="315"/>
    </row>
    <row r="858" spans="10:22" ht="16">
      <c r="J858" s="314"/>
      <c r="M858" s="350"/>
      <c r="P858" s="225"/>
      <c r="U858" s="315"/>
      <c r="V858" s="315"/>
    </row>
    <row r="859" spans="10:22" ht="16">
      <c r="J859" s="314"/>
      <c r="M859" s="350"/>
      <c r="P859" s="225"/>
      <c r="U859" s="315"/>
      <c r="V859" s="315"/>
    </row>
    <row r="860" spans="10:22" ht="16">
      <c r="J860" s="314"/>
      <c r="M860" s="350"/>
      <c r="P860" s="225"/>
      <c r="U860" s="315"/>
      <c r="V860" s="315"/>
    </row>
    <row r="861" spans="10:22" ht="16">
      <c r="J861" s="314"/>
      <c r="M861" s="350"/>
      <c r="P861" s="225"/>
      <c r="U861" s="315"/>
      <c r="V861" s="315"/>
    </row>
    <row r="862" spans="10:22" ht="16">
      <c r="J862" s="314"/>
      <c r="M862" s="350"/>
      <c r="P862" s="225"/>
      <c r="U862" s="315"/>
      <c r="V862" s="315"/>
    </row>
    <row r="863" spans="10:22" ht="16">
      <c r="J863" s="314"/>
      <c r="M863" s="350"/>
      <c r="P863" s="225"/>
      <c r="U863" s="315"/>
      <c r="V863" s="315"/>
    </row>
    <row r="864" spans="10:22" ht="16">
      <c r="J864" s="314"/>
      <c r="M864" s="350"/>
      <c r="P864" s="225"/>
      <c r="U864" s="315"/>
      <c r="V864" s="315"/>
    </row>
    <row r="865" spans="10:22" ht="16">
      <c r="J865" s="314"/>
      <c r="M865" s="350"/>
      <c r="P865" s="225"/>
      <c r="U865" s="315"/>
      <c r="V865" s="315"/>
    </row>
    <row r="866" spans="10:22" ht="16">
      <c r="J866" s="314"/>
      <c r="M866" s="350"/>
      <c r="P866" s="225"/>
      <c r="U866" s="315"/>
      <c r="V866" s="315"/>
    </row>
    <row r="867" spans="10:22" ht="16">
      <c r="J867" s="314"/>
      <c r="M867" s="350"/>
      <c r="P867" s="225"/>
      <c r="U867" s="315"/>
      <c r="V867" s="315"/>
    </row>
    <row r="868" spans="10:22" ht="16">
      <c r="J868" s="314"/>
      <c r="M868" s="350"/>
      <c r="P868" s="225"/>
      <c r="U868" s="315"/>
      <c r="V868" s="315"/>
    </row>
    <row r="869" spans="10:22" ht="16">
      <c r="J869" s="314"/>
      <c r="M869" s="350"/>
      <c r="P869" s="225"/>
      <c r="U869" s="315"/>
      <c r="V869" s="315"/>
    </row>
    <row r="870" spans="10:22" ht="16">
      <c r="J870" s="314"/>
      <c r="M870" s="350"/>
      <c r="P870" s="225"/>
      <c r="U870" s="315"/>
      <c r="V870" s="315"/>
    </row>
    <row r="871" spans="10:22" ht="16">
      <c r="J871" s="314"/>
      <c r="M871" s="350"/>
      <c r="P871" s="225"/>
      <c r="U871" s="315"/>
      <c r="V871" s="315"/>
    </row>
    <row r="872" spans="10:22" ht="16">
      <c r="J872" s="314"/>
      <c r="M872" s="350"/>
      <c r="P872" s="225"/>
      <c r="U872" s="315"/>
      <c r="V872" s="315"/>
    </row>
    <row r="873" spans="10:22" ht="16">
      <c r="J873" s="314"/>
      <c r="M873" s="350"/>
      <c r="P873" s="225"/>
      <c r="U873" s="315"/>
      <c r="V873" s="315"/>
    </row>
    <row r="874" spans="10:22" ht="16">
      <c r="J874" s="314"/>
      <c r="M874" s="350"/>
      <c r="P874" s="225"/>
      <c r="U874" s="315"/>
      <c r="V874" s="315"/>
    </row>
    <row r="875" spans="10:22" ht="16">
      <c r="J875" s="314"/>
      <c r="M875" s="350"/>
      <c r="P875" s="225"/>
      <c r="U875" s="315"/>
      <c r="V875" s="315"/>
    </row>
    <row r="876" spans="10:22" ht="16">
      <c r="J876" s="314"/>
      <c r="M876" s="350"/>
      <c r="P876" s="225"/>
      <c r="U876" s="315"/>
      <c r="V876" s="315"/>
    </row>
    <row r="877" spans="10:22" ht="16">
      <c r="J877" s="314"/>
      <c r="M877" s="350"/>
      <c r="P877" s="225"/>
      <c r="U877" s="315"/>
      <c r="V877" s="315"/>
    </row>
    <row r="878" spans="10:22" ht="16">
      <c r="J878" s="314"/>
      <c r="M878" s="350"/>
      <c r="P878" s="225"/>
      <c r="U878" s="315"/>
      <c r="V878" s="315"/>
    </row>
    <row r="879" spans="10:22" ht="16">
      <c r="J879" s="314"/>
      <c r="M879" s="350"/>
      <c r="P879" s="225"/>
      <c r="U879" s="315"/>
      <c r="V879" s="315"/>
    </row>
    <row r="880" spans="10:22" ht="16">
      <c r="J880" s="314"/>
      <c r="M880" s="350"/>
      <c r="P880" s="225"/>
      <c r="U880" s="315"/>
      <c r="V880" s="315"/>
    </row>
    <row r="881" spans="10:22" ht="16">
      <c r="J881" s="314"/>
      <c r="M881" s="350"/>
      <c r="P881" s="225"/>
      <c r="U881" s="315"/>
      <c r="V881" s="315"/>
    </row>
    <row r="882" spans="10:22" ht="16">
      <c r="J882" s="314"/>
      <c r="M882" s="350"/>
      <c r="P882" s="225"/>
      <c r="U882" s="315"/>
      <c r="V882" s="315"/>
    </row>
    <row r="883" spans="10:22" ht="16">
      <c r="J883" s="314"/>
      <c r="M883" s="350"/>
      <c r="P883" s="225"/>
      <c r="U883" s="315"/>
      <c r="V883" s="315"/>
    </row>
    <row r="884" spans="10:22" ht="16">
      <c r="J884" s="314"/>
      <c r="M884" s="350"/>
      <c r="P884" s="225"/>
      <c r="U884" s="315"/>
      <c r="V884" s="315"/>
    </row>
    <row r="885" spans="10:22" ht="16">
      <c r="J885" s="314"/>
      <c r="M885" s="350"/>
      <c r="P885" s="225"/>
      <c r="U885" s="315"/>
      <c r="V885" s="315"/>
    </row>
    <row r="886" spans="10:22" ht="16">
      <c r="J886" s="314"/>
      <c r="M886" s="350"/>
      <c r="P886" s="225"/>
      <c r="U886" s="315"/>
      <c r="V886" s="315"/>
    </row>
    <row r="887" spans="10:22" ht="16">
      <c r="J887" s="314"/>
      <c r="M887" s="350"/>
      <c r="P887" s="225"/>
      <c r="U887" s="315"/>
      <c r="V887" s="315"/>
    </row>
    <row r="888" spans="10:22" ht="16">
      <c r="J888" s="314"/>
      <c r="M888" s="350"/>
      <c r="P888" s="225"/>
      <c r="U888" s="315"/>
      <c r="V888" s="315"/>
    </row>
    <row r="889" spans="10:22" ht="16">
      <c r="J889" s="314"/>
      <c r="M889" s="350"/>
      <c r="P889" s="225"/>
      <c r="U889" s="315"/>
      <c r="V889" s="315"/>
    </row>
    <row r="890" spans="10:22" ht="16">
      <c r="J890" s="314"/>
      <c r="M890" s="350"/>
      <c r="P890" s="225"/>
      <c r="U890" s="315"/>
      <c r="V890" s="315"/>
    </row>
    <row r="891" spans="10:22" ht="16">
      <c r="J891" s="314"/>
      <c r="M891" s="350"/>
      <c r="P891" s="225"/>
      <c r="U891" s="315"/>
      <c r="V891" s="315"/>
    </row>
    <row r="892" spans="10:22" ht="16">
      <c r="J892" s="314"/>
      <c r="M892" s="350"/>
      <c r="P892" s="225"/>
      <c r="U892" s="315"/>
      <c r="V892" s="315"/>
    </row>
    <row r="893" spans="10:22" ht="16">
      <c r="J893" s="314"/>
      <c r="M893" s="350"/>
      <c r="P893" s="225"/>
      <c r="U893" s="315"/>
      <c r="V893" s="315"/>
    </row>
    <row r="894" spans="10:22" ht="16">
      <c r="J894" s="314"/>
      <c r="M894" s="350"/>
      <c r="P894" s="225"/>
      <c r="U894" s="315"/>
      <c r="V894" s="315"/>
    </row>
    <row r="895" spans="10:22" ht="16">
      <c r="J895" s="314"/>
      <c r="M895" s="350"/>
      <c r="P895" s="225"/>
      <c r="U895" s="315"/>
      <c r="V895" s="315"/>
    </row>
    <row r="896" spans="10:22" ht="16">
      <c r="J896" s="314"/>
      <c r="M896" s="350"/>
      <c r="P896" s="225"/>
      <c r="U896" s="315"/>
      <c r="V896" s="315"/>
    </row>
    <row r="897" spans="10:22" ht="16">
      <c r="J897" s="314"/>
      <c r="M897" s="350"/>
      <c r="P897" s="225"/>
      <c r="U897" s="315"/>
      <c r="V897" s="315"/>
    </row>
    <row r="898" spans="10:22" ht="16">
      <c r="J898" s="314"/>
      <c r="M898" s="350"/>
      <c r="P898" s="225"/>
      <c r="U898" s="315"/>
      <c r="V898" s="315"/>
    </row>
    <row r="899" spans="10:22" ht="16">
      <c r="J899" s="314"/>
      <c r="M899" s="350"/>
      <c r="P899" s="225"/>
      <c r="U899" s="315"/>
      <c r="V899" s="315"/>
    </row>
    <row r="900" spans="10:22" ht="16">
      <c r="J900" s="314"/>
      <c r="M900" s="350"/>
      <c r="P900" s="225"/>
      <c r="U900" s="315"/>
      <c r="V900" s="315"/>
    </row>
    <row r="901" spans="10:22" ht="16">
      <c r="J901" s="314"/>
      <c r="M901" s="350"/>
      <c r="P901" s="225"/>
      <c r="U901" s="315"/>
      <c r="V901" s="315"/>
    </row>
    <row r="902" spans="10:22" ht="16">
      <c r="J902" s="314"/>
      <c r="M902" s="350"/>
      <c r="P902" s="225"/>
      <c r="U902" s="315"/>
      <c r="V902" s="315"/>
    </row>
    <row r="903" spans="10:22" ht="16">
      <c r="J903" s="314"/>
      <c r="M903" s="350"/>
      <c r="P903" s="225"/>
      <c r="U903" s="315"/>
      <c r="V903" s="315"/>
    </row>
    <row r="904" spans="10:22" ht="16">
      <c r="J904" s="314"/>
      <c r="M904" s="350"/>
      <c r="P904" s="225"/>
      <c r="U904" s="315"/>
      <c r="V904" s="315"/>
    </row>
    <row r="905" spans="10:22" ht="16">
      <c r="J905" s="314"/>
      <c r="M905" s="350"/>
      <c r="P905" s="225"/>
      <c r="U905" s="315"/>
      <c r="V905" s="315"/>
    </row>
    <row r="906" spans="10:22" ht="16">
      <c r="J906" s="314"/>
      <c r="M906" s="350"/>
      <c r="P906" s="225"/>
      <c r="U906" s="315"/>
      <c r="V906" s="315"/>
    </row>
    <row r="907" spans="10:22" ht="16">
      <c r="J907" s="314"/>
      <c r="M907" s="350"/>
      <c r="P907" s="225"/>
      <c r="U907" s="315"/>
      <c r="V907" s="315"/>
    </row>
    <row r="908" spans="10:22" ht="16">
      <c r="J908" s="314"/>
      <c r="M908" s="350"/>
      <c r="P908" s="225"/>
      <c r="U908" s="315"/>
      <c r="V908" s="315"/>
    </row>
    <row r="909" spans="10:22" ht="16">
      <c r="J909" s="314"/>
      <c r="M909" s="350"/>
      <c r="P909" s="225"/>
      <c r="U909" s="315"/>
      <c r="V909" s="315"/>
    </row>
    <row r="910" spans="10:22" ht="16">
      <c r="J910" s="314"/>
      <c r="M910" s="350"/>
      <c r="P910" s="225"/>
      <c r="U910" s="315"/>
      <c r="V910" s="315"/>
    </row>
    <row r="911" spans="10:22" ht="16">
      <c r="J911" s="314"/>
      <c r="M911" s="350"/>
      <c r="P911" s="225"/>
      <c r="U911" s="315"/>
      <c r="V911" s="315"/>
    </row>
    <row r="912" spans="10:22" ht="16">
      <c r="J912" s="314"/>
      <c r="M912" s="350"/>
      <c r="P912" s="225"/>
      <c r="U912" s="315"/>
      <c r="V912" s="315"/>
    </row>
    <row r="913" spans="10:22" ht="16">
      <c r="J913" s="314"/>
      <c r="M913" s="350"/>
      <c r="P913" s="225"/>
      <c r="U913" s="315"/>
      <c r="V913" s="315"/>
    </row>
    <row r="914" spans="10:22" ht="16">
      <c r="J914" s="314"/>
      <c r="M914" s="350"/>
      <c r="P914" s="225"/>
      <c r="U914" s="315"/>
      <c r="V914" s="315"/>
    </row>
    <row r="915" spans="10:22" ht="16">
      <c r="J915" s="314"/>
      <c r="M915" s="350"/>
      <c r="P915" s="225"/>
      <c r="U915" s="315"/>
      <c r="V915" s="315"/>
    </row>
    <row r="916" spans="10:22" ht="16">
      <c r="J916" s="314"/>
      <c r="M916" s="350"/>
      <c r="P916" s="225"/>
      <c r="U916" s="315"/>
      <c r="V916" s="315"/>
    </row>
    <row r="917" spans="10:22" ht="16">
      <c r="J917" s="314"/>
      <c r="M917" s="350"/>
      <c r="P917" s="225"/>
      <c r="U917" s="315"/>
      <c r="V917" s="315"/>
    </row>
    <row r="918" spans="10:22" ht="16">
      <c r="J918" s="314"/>
      <c r="M918" s="350"/>
      <c r="P918" s="225"/>
      <c r="U918" s="315"/>
      <c r="V918" s="315"/>
    </row>
    <row r="919" spans="10:22" ht="16">
      <c r="J919" s="314"/>
      <c r="M919" s="350"/>
      <c r="P919" s="225"/>
      <c r="U919" s="315"/>
      <c r="V919" s="315"/>
    </row>
    <row r="920" spans="10:22" ht="16">
      <c r="J920" s="314"/>
      <c r="M920" s="350"/>
      <c r="P920" s="225"/>
      <c r="U920" s="315"/>
      <c r="V920" s="315"/>
    </row>
    <row r="921" spans="10:22" ht="16">
      <c r="J921" s="314"/>
      <c r="M921" s="350"/>
      <c r="P921" s="225"/>
      <c r="U921" s="315"/>
      <c r="V921" s="315"/>
    </row>
    <row r="922" spans="10:22" ht="16">
      <c r="J922" s="314"/>
      <c r="M922" s="350"/>
      <c r="P922" s="225"/>
      <c r="U922" s="315"/>
      <c r="V922" s="315"/>
    </row>
    <row r="923" spans="10:22" ht="16">
      <c r="J923" s="314"/>
      <c r="M923" s="350"/>
      <c r="P923" s="225"/>
      <c r="U923" s="315"/>
      <c r="V923" s="315"/>
    </row>
    <row r="924" spans="10:22" ht="16">
      <c r="J924" s="314"/>
      <c r="M924" s="350"/>
      <c r="P924" s="225"/>
      <c r="U924" s="315"/>
      <c r="V924" s="315"/>
    </row>
    <row r="925" spans="10:22" ht="16">
      <c r="J925" s="314"/>
      <c r="M925" s="350"/>
      <c r="P925" s="225"/>
      <c r="U925" s="315"/>
      <c r="V925" s="315"/>
    </row>
    <row r="926" spans="10:22" ht="16">
      <c r="J926" s="314"/>
      <c r="M926" s="350"/>
      <c r="P926" s="225"/>
      <c r="U926" s="315"/>
      <c r="V926" s="315"/>
    </row>
    <row r="927" spans="10:22" ht="16">
      <c r="J927" s="314"/>
      <c r="M927" s="350"/>
      <c r="P927" s="225"/>
      <c r="U927" s="315"/>
      <c r="V927" s="315"/>
    </row>
    <row r="928" spans="10:22" ht="16">
      <c r="J928" s="314"/>
      <c r="M928" s="350"/>
      <c r="P928" s="225"/>
      <c r="U928" s="315"/>
      <c r="V928" s="315"/>
    </row>
    <row r="929" spans="10:22" ht="16">
      <c r="J929" s="314"/>
      <c r="M929" s="350"/>
      <c r="P929" s="225"/>
      <c r="U929" s="315"/>
      <c r="V929" s="315"/>
    </row>
    <row r="930" spans="10:22" ht="16">
      <c r="J930" s="314"/>
      <c r="M930" s="350"/>
      <c r="P930" s="225"/>
      <c r="U930" s="315"/>
      <c r="V930" s="315"/>
    </row>
    <row r="931" spans="10:22" ht="16">
      <c r="J931" s="314"/>
      <c r="M931" s="350"/>
      <c r="P931" s="225"/>
      <c r="U931" s="315"/>
      <c r="V931" s="315"/>
    </row>
    <row r="932" spans="10:22" ht="16">
      <c r="J932" s="314"/>
      <c r="M932" s="350"/>
      <c r="P932" s="225"/>
      <c r="U932" s="315"/>
      <c r="V932" s="315"/>
    </row>
    <row r="933" spans="10:22" ht="16">
      <c r="J933" s="314"/>
      <c r="M933" s="350"/>
      <c r="P933" s="225"/>
      <c r="U933" s="315"/>
      <c r="V933" s="315"/>
    </row>
    <row r="934" spans="10:22" ht="16">
      <c r="J934" s="314"/>
      <c r="M934" s="350"/>
      <c r="P934" s="225"/>
      <c r="U934" s="315"/>
      <c r="V934" s="315"/>
    </row>
    <row r="935" spans="10:22" ht="16">
      <c r="J935" s="314"/>
      <c r="M935" s="350"/>
      <c r="P935" s="225"/>
      <c r="U935" s="315"/>
      <c r="V935" s="315"/>
    </row>
    <row r="936" spans="10:22" ht="16">
      <c r="J936" s="314"/>
      <c r="M936" s="350"/>
      <c r="P936" s="225"/>
      <c r="U936" s="315"/>
      <c r="V936" s="315"/>
    </row>
    <row r="937" spans="10:22" ht="16">
      <c r="J937" s="314"/>
      <c r="M937" s="350"/>
      <c r="P937" s="225"/>
      <c r="U937" s="315"/>
      <c r="V937" s="315"/>
    </row>
    <row r="938" spans="10:22" ht="16">
      <c r="J938" s="314"/>
      <c r="M938" s="350"/>
      <c r="P938" s="225"/>
      <c r="U938" s="315"/>
      <c r="V938" s="315"/>
    </row>
    <row r="939" spans="10:22" ht="16">
      <c r="J939" s="314"/>
      <c r="M939" s="350"/>
      <c r="P939" s="225"/>
      <c r="U939" s="315"/>
      <c r="V939" s="315"/>
    </row>
    <row r="940" spans="10:22" ht="16">
      <c r="J940" s="314"/>
      <c r="M940" s="350"/>
      <c r="P940" s="225"/>
      <c r="U940" s="315"/>
      <c r="V940" s="315"/>
    </row>
    <row r="941" spans="10:22" ht="16">
      <c r="J941" s="314"/>
      <c r="M941" s="350"/>
      <c r="P941" s="225"/>
      <c r="U941" s="315"/>
      <c r="V941" s="315"/>
    </row>
    <row r="942" spans="10:22" ht="16">
      <c r="J942" s="314"/>
      <c r="M942" s="350"/>
      <c r="P942" s="225"/>
      <c r="U942" s="315"/>
      <c r="V942" s="315"/>
    </row>
    <row r="943" spans="10:22" ht="16">
      <c r="J943" s="314"/>
      <c r="M943" s="350"/>
      <c r="P943" s="225"/>
      <c r="U943" s="315"/>
      <c r="V943" s="315"/>
    </row>
    <row r="944" spans="10:22" ht="16">
      <c r="J944" s="314"/>
      <c r="M944" s="350"/>
      <c r="P944" s="225"/>
      <c r="U944" s="315"/>
      <c r="V944" s="315"/>
    </row>
    <row r="945" spans="10:22" ht="16">
      <c r="J945" s="314"/>
      <c r="M945" s="350"/>
      <c r="P945" s="225"/>
      <c r="U945" s="315"/>
      <c r="V945" s="315"/>
    </row>
    <row r="946" spans="10:22" ht="16">
      <c r="J946" s="314"/>
      <c r="M946" s="350"/>
      <c r="P946" s="225"/>
      <c r="U946" s="315"/>
      <c r="V946" s="315"/>
    </row>
    <row r="947" spans="10:22" ht="16">
      <c r="J947" s="314"/>
      <c r="M947" s="350"/>
      <c r="P947" s="225"/>
      <c r="U947" s="315"/>
      <c r="V947" s="315"/>
    </row>
    <row r="948" spans="10:22" ht="16">
      <c r="J948" s="314"/>
      <c r="M948" s="350"/>
      <c r="P948" s="225"/>
      <c r="U948" s="315"/>
      <c r="V948" s="315"/>
    </row>
    <row r="949" spans="10:22" ht="16">
      <c r="J949" s="314"/>
      <c r="M949" s="350"/>
      <c r="P949" s="225"/>
      <c r="U949" s="315"/>
      <c r="V949" s="315"/>
    </row>
    <row r="950" spans="10:22" ht="16">
      <c r="J950" s="314"/>
      <c r="M950" s="350"/>
      <c r="P950" s="225"/>
      <c r="U950" s="315"/>
      <c r="V950" s="315"/>
    </row>
    <row r="951" spans="10:22" ht="16">
      <c r="J951" s="314"/>
      <c r="M951" s="350"/>
      <c r="P951" s="225"/>
      <c r="U951" s="315"/>
      <c r="V951" s="315"/>
    </row>
    <row r="952" spans="10:22" ht="16">
      <c r="J952" s="314"/>
      <c r="M952" s="350"/>
      <c r="P952" s="225"/>
      <c r="U952" s="315"/>
      <c r="V952" s="315"/>
    </row>
    <row r="953" spans="10:22" ht="16">
      <c r="J953" s="314"/>
      <c r="M953" s="350"/>
      <c r="P953" s="225"/>
      <c r="U953" s="315"/>
      <c r="V953" s="315"/>
    </row>
    <row r="954" spans="10:22" ht="16">
      <c r="J954" s="314"/>
      <c r="M954" s="350"/>
      <c r="P954" s="225"/>
      <c r="U954" s="315"/>
      <c r="V954" s="315"/>
    </row>
    <row r="955" spans="10:22" ht="16">
      <c r="J955" s="314"/>
      <c r="M955" s="350"/>
      <c r="P955" s="225"/>
      <c r="U955" s="315"/>
      <c r="V955" s="315"/>
    </row>
    <row r="956" spans="10:22" ht="16">
      <c r="J956" s="314"/>
      <c r="M956" s="350"/>
      <c r="P956" s="225"/>
      <c r="U956" s="315"/>
      <c r="V956" s="315"/>
    </row>
    <row r="957" spans="10:22" ht="16">
      <c r="J957" s="314"/>
      <c r="M957" s="350"/>
      <c r="P957" s="225"/>
      <c r="U957" s="315"/>
      <c r="V957" s="315"/>
    </row>
    <row r="958" spans="10:22" ht="16">
      <c r="J958" s="314"/>
      <c r="M958" s="350"/>
      <c r="P958" s="225"/>
      <c r="U958" s="315"/>
      <c r="V958" s="315"/>
    </row>
    <row r="959" spans="10:22" ht="16">
      <c r="J959" s="314"/>
      <c r="M959" s="350"/>
      <c r="P959" s="225"/>
      <c r="U959" s="315"/>
      <c r="V959" s="315"/>
    </row>
    <row r="960" spans="10:22" ht="16">
      <c r="J960" s="314"/>
      <c r="M960" s="350"/>
      <c r="P960" s="225"/>
      <c r="U960" s="315"/>
      <c r="V960" s="315"/>
    </row>
    <row r="961" spans="10:22" ht="16">
      <c r="J961" s="314"/>
      <c r="M961" s="350"/>
      <c r="P961" s="225"/>
      <c r="U961" s="315"/>
      <c r="V961" s="315"/>
    </row>
    <row r="962" spans="10:22" ht="16">
      <c r="J962" s="314"/>
      <c r="M962" s="350"/>
      <c r="P962" s="225"/>
      <c r="U962" s="315"/>
      <c r="V962" s="315"/>
    </row>
    <row r="963" spans="10:22" ht="16">
      <c r="J963" s="314"/>
      <c r="M963" s="350"/>
      <c r="P963" s="225"/>
      <c r="U963" s="315"/>
      <c r="V963" s="315"/>
    </row>
    <row r="964" spans="10:22" ht="16">
      <c r="J964" s="314"/>
      <c r="M964" s="350"/>
      <c r="P964" s="225"/>
      <c r="U964" s="315"/>
      <c r="V964" s="315"/>
    </row>
    <row r="965" spans="10:22" ht="16">
      <c r="J965" s="314"/>
      <c r="M965" s="350"/>
      <c r="P965" s="225"/>
      <c r="U965" s="315"/>
      <c r="V965" s="315"/>
    </row>
    <row r="966" spans="10:22" ht="16">
      <c r="J966" s="314"/>
      <c r="M966" s="350"/>
      <c r="P966" s="225"/>
      <c r="U966" s="315"/>
      <c r="V966" s="315"/>
    </row>
    <row r="967" spans="10:22" ht="16">
      <c r="J967" s="314"/>
      <c r="M967" s="350"/>
      <c r="P967" s="225"/>
      <c r="U967" s="315"/>
      <c r="V967" s="315"/>
    </row>
    <row r="968" spans="10:22" ht="16">
      <c r="J968" s="314"/>
      <c r="M968" s="350"/>
      <c r="P968" s="225"/>
      <c r="U968" s="315"/>
      <c r="V968" s="315"/>
    </row>
    <row r="969" spans="10:22" ht="16">
      <c r="J969" s="314"/>
      <c r="M969" s="350"/>
      <c r="P969" s="225"/>
      <c r="U969" s="315"/>
      <c r="V969" s="315"/>
    </row>
    <row r="970" spans="10:22" ht="16">
      <c r="J970" s="314"/>
      <c r="M970" s="350"/>
      <c r="P970" s="225"/>
      <c r="U970" s="315"/>
      <c r="V970" s="315"/>
    </row>
    <row r="971" spans="10:22" ht="16">
      <c r="J971" s="314"/>
      <c r="M971" s="350"/>
      <c r="P971" s="225"/>
      <c r="U971" s="315"/>
      <c r="V971" s="315"/>
    </row>
    <row r="972" spans="10:22" ht="16">
      <c r="J972" s="314"/>
      <c r="M972" s="350"/>
      <c r="P972" s="225"/>
      <c r="U972" s="315"/>
      <c r="V972" s="315"/>
    </row>
    <row r="973" spans="10:22" ht="16">
      <c r="J973" s="314"/>
      <c r="M973" s="350"/>
      <c r="P973" s="225"/>
      <c r="U973" s="315"/>
      <c r="V973" s="315"/>
    </row>
    <row r="974" spans="10:22" ht="16">
      <c r="J974" s="314"/>
      <c r="M974" s="350"/>
      <c r="P974" s="225"/>
      <c r="U974" s="315"/>
      <c r="V974" s="315"/>
    </row>
    <row r="975" spans="10:22" ht="16">
      <c r="J975" s="314"/>
      <c r="M975" s="350"/>
      <c r="P975" s="225"/>
      <c r="U975" s="315"/>
      <c r="V975" s="315"/>
    </row>
    <row r="976" spans="10:22" ht="16">
      <c r="J976" s="314"/>
      <c r="M976" s="350"/>
      <c r="P976" s="225"/>
      <c r="U976" s="315"/>
      <c r="V976" s="315"/>
    </row>
    <row r="977" spans="10:22" ht="16">
      <c r="J977" s="314"/>
      <c r="M977" s="350"/>
      <c r="P977" s="225"/>
      <c r="U977" s="315"/>
      <c r="V977" s="315"/>
    </row>
    <row r="978" spans="10:22" ht="16">
      <c r="J978" s="314"/>
      <c r="M978" s="350"/>
      <c r="P978" s="225"/>
      <c r="U978" s="315"/>
      <c r="V978" s="315"/>
    </row>
    <row r="979" spans="10:22" ht="16">
      <c r="J979" s="314"/>
      <c r="M979" s="350"/>
      <c r="P979" s="225"/>
      <c r="U979" s="315"/>
      <c r="V979" s="315"/>
    </row>
    <row r="980" spans="10:22" ht="16">
      <c r="J980" s="314"/>
      <c r="M980" s="350"/>
      <c r="P980" s="225"/>
      <c r="U980" s="315"/>
      <c r="V980" s="315"/>
    </row>
    <row r="981" spans="10:22" ht="16">
      <c r="J981" s="314"/>
      <c r="M981" s="350"/>
      <c r="P981" s="225"/>
      <c r="U981" s="315"/>
      <c r="V981" s="315"/>
    </row>
    <row r="982" spans="10:22" ht="16">
      <c r="J982" s="314"/>
      <c r="M982" s="350"/>
      <c r="P982" s="225"/>
      <c r="U982" s="315"/>
      <c r="V982" s="315"/>
    </row>
    <row r="983" spans="10:22" ht="16">
      <c r="J983" s="314"/>
      <c r="M983" s="350"/>
      <c r="P983" s="225"/>
      <c r="U983" s="315"/>
      <c r="V983" s="315"/>
    </row>
    <row r="984" spans="10:22" ht="16">
      <c r="J984" s="314"/>
      <c r="M984" s="350"/>
      <c r="P984" s="225"/>
      <c r="U984" s="315"/>
      <c r="V984" s="315"/>
    </row>
    <row r="985" spans="10:22" ht="16">
      <c r="J985" s="314"/>
      <c r="M985" s="350"/>
      <c r="P985" s="225"/>
      <c r="U985" s="315"/>
      <c r="V985" s="315"/>
    </row>
    <row r="986" spans="10:22" ht="16">
      <c r="J986" s="314"/>
      <c r="M986" s="350"/>
      <c r="P986" s="225"/>
      <c r="U986" s="315"/>
      <c r="V986" s="315"/>
    </row>
    <row r="987" spans="10:22" ht="16">
      <c r="J987" s="314"/>
      <c r="M987" s="350"/>
      <c r="P987" s="225"/>
      <c r="U987" s="315"/>
      <c r="V987" s="315"/>
    </row>
    <row r="988" spans="10:22" ht="16">
      <c r="J988" s="314"/>
      <c r="M988" s="350"/>
      <c r="P988" s="225"/>
      <c r="U988" s="315"/>
      <c r="V988" s="315"/>
    </row>
    <row r="989" spans="10:22" ht="16">
      <c r="J989" s="314"/>
      <c r="M989" s="350"/>
      <c r="P989" s="225"/>
      <c r="U989" s="315"/>
      <c r="V989" s="315"/>
    </row>
    <row r="990" spans="10:22" ht="16">
      <c r="J990" s="314"/>
      <c r="M990" s="350"/>
      <c r="P990" s="225"/>
      <c r="U990" s="315"/>
      <c r="V990" s="315"/>
    </row>
    <row r="991" spans="10:22" ht="16">
      <c r="J991" s="314"/>
      <c r="M991" s="350"/>
      <c r="P991" s="225"/>
      <c r="U991" s="315"/>
      <c r="V991" s="315"/>
    </row>
    <row r="992" spans="10:22" ht="16">
      <c r="J992" s="314"/>
      <c r="M992" s="350"/>
      <c r="P992" s="225"/>
      <c r="U992" s="315"/>
      <c r="V992" s="315"/>
    </row>
    <row r="993" spans="10:22" ht="16">
      <c r="J993" s="314"/>
      <c r="M993" s="350"/>
      <c r="P993" s="225"/>
      <c r="U993" s="315"/>
      <c r="V993" s="315"/>
    </row>
    <row r="994" spans="10:22" ht="16">
      <c r="J994" s="314"/>
      <c r="M994" s="350"/>
      <c r="P994" s="225"/>
      <c r="U994" s="315"/>
      <c r="V994" s="315"/>
    </row>
    <row r="995" spans="10:22" ht="16">
      <c r="J995" s="314"/>
      <c r="M995" s="350"/>
      <c r="P995" s="225"/>
      <c r="U995" s="315"/>
      <c r="V995" s="315"/>
    </row>
    <row r="996" spans="10:22" ht="16">
      <c r="J996" s="314"/>
      <c r="M996" s="350"/>
      <c r="P996" s="225"/>
      <c r="U996" s="315"/>
      <c r="V996" s="315"/>
    </row>
    <row r="997" spans="10:22" ht="16">
      <c r="J997" s="314"/>
      <c r="M997" s="350"/>
      <c r="P997" s="225"/>
      <c r="U997" s="315"/>
      <c r="V997" s="315"/>
    </row>
    <row r="998" spans="10:22" ht="16">
      <c r="J998" s="314"/>
      <c r="M998" s="350"/>
      <c r="P998" s="225"/>
      <c r="U998" s="315"/>
      <c r="V998" s="315"/>
    </row>
    <row r="999" spans="10:22" ht="16">
      <c r="J999" s="314"/>
      <c r="M999" s="350"/>
      <c r="P999" s="225"/>
      <c r="U999" s="315"/>
      <c r="V999" s="315"/>
    </row>
    <row r="1000" spans="10:22" ht="16">
      <c r="J1000" s="314"/>
      <c r="M1000" s="350"/>
      <c r="P1000" s="225"/>
      <c r="U1000" s="315"/>
      <c r="V1000" s="315"/>
    </row>
    <row r="1001" spans="10:22" ht="16">
      <c r="J1001" s="314"/>
      <c r="M1001" s="350"/>
      <c r="P1001" s="225"/>
      <c r="U1001" s="315"/>
      <c r="V1001" s="315"/>
    </row>
    <row r="1002" spans="10:22" ht="16">
      <c r="J1002" s="314"/>
      <c r="M1002" s="350"/>
      <c r="P1002" s="225"/>
      <c r="U1002" s="315"/>
      <c r="V1002" s="315"/>
    </row>
    <row r="1003" spans="10:22" ht="16">
      <c r="J1003" s="314"/>
      <c r="M1003" s="350"/>
      <c r="P1003" s="225"/>
      <c r="U1003" s="315"/>
      <c r="V1003" s="315"/>
    </row>
    <row r="1004" spans="10:22" ht="16">
      <c r="J1004" s="314"/>
      <c r="M1004" s="350"/>
      <c r="P1004" s="225"/>
      <c r="U1004" s="315"/>
      <c r="V1004" s="315"/>
    </row>
    <row r="1005" spans="10:22" ht="16">
      <c r="J1005" s="314"/>
      <c r="M1005" s="350"/>
      <c r="P1005" s="225"/>
      <c r="U1005" s="315"/>
      <c r="V1005" s="315"/>
    </row>
    <row r="1006" spans="10:22" ht="16">
      <c r="J1006" s="314"/>
      <c r="M1006" s="350"/>
      <c r="P1006" s="225"/>
      <c r="U1006" s="315"/>
      <c r="V1006" s="315"/>
    </row>
    <row r="1007" spans="10:22" ht="16">
      <c r="J1007" s="314"/>
      <c r="M1007" s="350"/>
      <c r="P1007" s="225"/>
      <c r="U1007" s="315"/>
      <c r="V1007" s="315"/>
    </row>
    <row r="1008" spans="10:22" ht="16">
      <c r="J1008" s="314"/>
      <c r="M1008" s="350"/>
      <c r="P1008" s="225"/>
      <c r="U1008" s="315"/>
      <c r="V1008" s="315"/>
    </row>
    <row r="1009" spans="10:22" ht="16">
      <c r="J1009" s="314"/>
      <c r="M1009" s="350"/>
      <c r="P1009" s="225"/>
      <c r="U1009" s="315"/>
      <c r="V1009" s="315"/>
    </row>
    <row r="1010" spans="10:22" ht="16">
      <c r="J1010" s="314"/>
      <c r="M1010" s="350"/>
      <c r="P1010" s="225"/>
      <c r="U1010" s="315"/>
      <c r="V1010" s="315"/>
    </row>
    <row r="1011" spans="10:22" ht="16">
      <c r="J1011" s="314"/>
      <c r="M1011" s="350"/>
      <c r="P1011" s="225"/>
      <c r="U1011" s="315"/>
      <c r="V1011" s="315"/>
    </row>
    <row r="1012" spans="10:22" ht="16">
      <c r="J1012" s="314"/>
      <c r="M1012" s="350"/>
      <c r="P1012" s="225"/>
      <c r="U1012" s="315"/>
      <c r="V1012" s="315"/>
    </row>
    <row r="1013" spans="10:22" ht="16">
      <c r="J1013" s="314"/>
      <c r="M1013" s="350"/>
      <c r="P1013" s="225"/>
      <c r="U1013" s="315"/>
      <c r="V1013" s="315"/>
    </row>
    <row r="1014" spans="10:22" ht="16">
      <c r="J1014" s="314"/>
      <c r="M1014" s="350"/>
      <c r="P1014" s="225"/>
      <c r="U1014" s="315"/>
      <c r="V1014" s="315"/>
    </row>
    <row r="1015" spans="10:22" ht="16">
      <c r="J1015" s="314"/>
      <c r="M1015" s="350"/>
      <c r="P1015" s="225"/>
      <c r="U1015" s="315"/>
      <c r="V1015" s="315"/>
    </row>
    <row r="1016" spans="10:22" ht="16">
      <c r="J1016" s="314"/>
      <c r="M1016" s="350"/>
      <c r="P1016" s="225"/>
      <c r="U1016" s="315"/>
      <c r="V1016" s="315"/>
    </row>
    <row r="1017" spans="10:22" ht="16">
      <c r="J1017" s="314"/>
      <c r="M1017" s="350"/>
      <c r="P1017" s="225"/>
      <c r="U1017" s="315"/>
      <c r="V1017" s="315"/>
    </row>
    <row r="1018" spans="10:22" ht="16">
      <c r="J1018" s="314"/>
      <c r="M1018" s="350"/>
      <c r="P1018" s="225"/>
      <c r="U1018" s="315"/>
      <c r="V1018" s="315"/>
    </row>
    <row r="1019" spans="10:22" ht="16">
      <c r="J1019" s="314"/>
      <c r="M1019" s="350"/>
      <c r="U1019" s="316"/>
      <c r="V1019" s="316"/>
    </row>
    <row r="1020" spans="10:22" ht="16">
      <c r="J1020" s="314"/>
      <c r="M1020" s="350"/>
      <c r="U1020" s="316"/>
      <c r="V1020" s="316"/>
    </row>
    <row r="1021" spans="10:22" ht="16">
      <c r="J1021" s="314"/>
      <c r="M1021" s="350"/>
      <c r="U1021" s="316"/>
      <c r="V1021" s="316"/>
    </row>
    <row r="1022" spans="10:22" ht="16">
      <c r="J1022" s="314"/>
      <c r="M1022" s="350"/>
      <c r="U1022" s="316"/>
      <c r="V1022" s="316"/>
    </row>
  </sheetData>
  <mergeCells count="2">
    <mergeCell ref="B6:F6"/>
    <mergeCell ref="H7:I7"/>
  </mergeCells>
  <conditionalFormatting sqref="E2">
    <cfRule type="notContainsBlanks" dxfId="10" priority="1">
      <formula>LEN(TRIM(E2))&gt;0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U1003"/>
  <sheetViews>
    <sheetView workbookViewId="0">
      <pane ySplit="6" topLeftCell="A7" activePane="bottomLeft" state="frozen"/>
      <selection pane="bottomLeft" activeCell="L22" sqref="L22"/>
    </sheetView>
  </sheetViews>
  <sheetFormatPr baseColWidth="10" defaultColWidth="14.5" defaultRowHeight="15" customHeight="1"/>
  <cols>
    <col min="1" max="1" width="2" customWidth="1"/>
    <col min="2" max="2" width="13.6640625" customWidth="1"/>
    <col min="3" max="3" width="12.33203125" customWidth="1"/>
    <col min="4" max="4" width="15" customWidth="1"/>
    <col min="5" max="5" width="16.83203125" customWidth="1"/>
    <col min="6" max="6" width="64.5" customWidth="1"/>
    <col min="7" max="7" width="6.83203125" customWidth="1"/>
    <col min="8" max="8" width="5.5" customWidth="1"/>
    <col min="9" max="9" width="12.5" customWidth="1"/>
    <col min="10" max="10" width="10.6640625" customWidth="1"/>
    <col min="11" max="11" width="4.5" customWidth="1"/>
    <col min="12" max="12" width="12.33203125" customWidth="1"/>
    <col min="13" max="13" width="5.5" customWidth="1"/>
    <col min="14" max="14" width="4.5" customWidth="1"/>
    <col min="15" max="15" width="12.5" customWidth="1"/>
    <col min="16" max="16" width="4.83203125" customWidth="1"/>
    <col min="17" max="17" width="17.6640625" customWidth="1"/>
    <col min="18" max="18" width="6.1640625" customWidth="1"/>
    <col min="19" max="19" width="23.33203125" customWidth="1"/>
    <col min="20" max="20" width="27" customWidth="1"/>
    <col min="21" max="21" width="18.6640625" customWidth="1"/>
  </cols>
  <sheetData>
    <row r="1" spans="1:21" ht="50.25" customHeight="1">
      <c r="A1" s="539" t="s">
        <v>3722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28"/>
      <c r="U1" s="1"/>
    </row>
    <row r="2" spans="1:21" ht="16">
      <c r="A2" s="1"/>
      <c r="B2" s="351" t="s">
        <v>1</v>
      </c>
      <c r="C2" s="352">
        <v>875000</v>
      </c>
      <c r="D2" s="6">
        <f>C3/C2</f>
        <v>0.91606171428571426</v>
      </c>
      <c r="E2" s="298">
        <f ca="1">MONTH(TODAY())</f>
        <v>1</v>
      </c>
      <c r="F2" s="299">
        <v>45322</v>
      </c>
      <c r="G2" s="90"/>
      <c r="H2" s="90"/>
      <c r="I2" s="90"/>
      <c r="J2" s="90"/>
      <c r="K2" s="90"/>
      <c r="L2" s="321"/>
      <c r="M2" s="90"/>
      <c r="N2" s="90"/>
      <c r="O2" s="90"/>
      <c r="P2" s="90"/>
      <c r="Q2" s="90"/>
      <c r="R2" s="90"/>
      <c r="S2" s="90"/>
      <c r="T2" s="90"/>
      <c r="U2" s="1"/>
    </row>
    <row r="3" spans="1:21" ht="16">
      <c r="A3" s="1"/>
      <c r="B3" s="353" t="s">
        <v>2</v>
      </c>
      <c r="C3" s="352">
        <f>SUM(J8:J226)</f>
        <v>801554</v>
      </c>
      <c r="D3" s="14" t="s">
        <v>3</v>
      </c>
      <c r="E3" s="14" t="s">
        <v>3</v>
      </c>
      <c r="F3" s="14" t="s">
        <v>3</v>
      </c>
      <c r="G3" s="299"/>
      <c r="H3" s="299"/>
      <c r="I3" s="299"/>
      <c r="J3" s="299"/>
      <c r="K3" s="299"/>
      <c r="L3" s="325"/>
      <c r="M3" s="299"/>
      <c r="N3" s="299"/>
      <c r="O3" s="299"/>
      <c r="P3" s="299"/>
      <c r="Q3" s="299"/>
      <c r="R3" s="299"/>
      <c r="S3" s="299"/>
      <c r="T3" s="299"/>
      <c r="U3" s="1"/>
    </row>
    <row r="4" spans="1:21">
      <c r="A4" s="1"/>
      <c r="B4" s="354" t="s">
        <v>2218</v>
      </c>
      <c r="C4" s="354">
        <f ca="1">(D5-TODAY())</f>
        <v>-279</v>
      </c>
      <c r="D4" s="178"/>
      <c r="E4" s="90"/>
      <c r="F4" s="90"/>
      <c r="G4" s="90"/>
      <c r="H4" s="90"/>
      <c r="I4" s="90"/>
      <c r="J4" s="90"/>
      <c r="K4" s="90"/>
      <c r="L4" s="321"/>
      <c r="M4" s="90"/>
      <c r="N4" s="90"/>
      <c r="O4" s="90"/>
      <c r="P4" s="90"/>
      <c r="Q4" s="90"/>
      <c r="R4" s="90"/>
      <c r="S4" s="90"/>
      <c r="T4" s="90"/>
      <c r="U4" s="1"/>
    </row>
    <row r="5" spans="1:21" ht="16">
      <c r="A5" s="1"/>
      <c r="B5" s="355" t="s">
        <v>6</v>
      </c>
      <c r="C5" s="356">
        <f ca="1">TODAY()</f>
        <v>46026</v>
      </c>
      <c r="D5" s="210">
        <v>45747</v>
      </c>
      <c r="E5" s="90"/>
      <c r="F5" s="299"/>
      <c r="G5" s="90"/>
      <c r="H5" s="90"/>
      <c r="I5" s="300"/>
      <c r="J5" s="300"/>
      <c r="K5" s="90"/>
      <c r="L5" s="321"/>
      <c r="M5" s="301"/>
      <c r="N5" s="302"/>
      <c r="O5" s="303"/>
      <c r="P5" s="90"/>
      <c r="Q5" s="304"/>
      <c r="R5" s="90"/>
      <c r="S5" s="305"/>
      <c r="T5" s="305"/>
      <c r="U5" s="1"/>
    </row>
    <row r="6" spans="1:21" ht="22">
      <c r="A6" s="1" t="s">
        <v>3723</v>
      </c>
      <c r="B6" s="536" t="s">
        <v>2734</v>
      </c>
      <c r="C6" s="537"/>
      <c r="D6" s="537"/>
      <c r="E6" s="537"/>
      <c r="F6" s="26"/>
      <c r="G6" s="23"/>
      <c r="H6" s="23"/>
      <c r="I6" s="23"/>
      <c r="J6" s="23"/>
      <c r="K6" s="23"/>
      <c r="L6" s="331"/>
      <c r="M6" s="23"/>
      <c r="N6" s="24"/>
      <c r="O6" s="211"/>
      <c r="P6" s="23"/>
      <c r="Q6" s="127"/>
      <c r="R6" s="26"/>
      <c r="S6" s="306"/>
      <c r="T6" s="306"/>
      <c r="U6" s="1"/>
    </row>
    <row r="7" spans="1:21" ht="14.25" customHeight="1">
      <c r="A7" s="98"/>
      <c r="B7" s="38" t="s">
        <v>18</v>
      </c>
      <c r="C7" s="38" t="s">
        <v>19</v>
      </c>
      <c r="D7" s="38" t="s">
        <v>20</v>
      </c>
      <c r="E7" s="38" t="s">
        <v>21</v>
      </c>
      <c r="F7" s="38" t="s">
        <v>2018</v>
      </c>
      <c r="G7" s="538" t="s">
        <v>22</v>
      </c>
      <c r="H7" s="528"/>
      <c r="I7" s="40"/>
      <c r="J7" s="41" t="s">
        <v>23</v>
      </c>
      <c r="K7" s="42"/>
      <c r="L7" s="333"/>
      <c r="M7" s="43"/>
      <c r="N7" s="44"/>
      <c r="O7" s="213"/>
      <c r="P7" s="45"/>
      <c r="Q7" s="128"/>
      <c r="R7" s="47"/>
      <c r="S7" s="307" t="s">
        <v>3443</v>
      </c>
      <c r="T7" s="307"/>
      <c r="U7" s="100" t="s">
        <v>24</v>
      </c>
    </row>
    <row r="8" spans="1:21" ht="16">
      <c r="A8" s="1"/>
      <c r="B8" s="71" t="s">
        <v>3724</v>
      </c>
      <c r="C8" s="53" t="s">
        <v>144</v>
      </c>
      <c r="D8" s="53" t="s">
        <v>1959</v>
      </c>
      <c r="E8" s="53" t="s">
        <v>3725</v>
      </c>
      <c r="F8" s="53" t="s">
        <v>236</v>
      </c>
      <c r="G8" s="131" t="s">
        <v>30</v>
      </c>
      <c r="H8" s="53">
        <v>18</v>
      </c>
      <c r="I8" s="188">
        <v>195</v>
      </c>
      <c r="J8" s="54">
        <f t="shared" ref="J8:J27" si="0">H8*I8</f>
        <v>3510</v>
      </c>
      <c r="K8" s="55" t="b">
        <v>1</v>
      </c>
      <c r="L8" s="56">
        <v>30320250844</v>
      </c>
      <c r="M8" s="57" t="b">
        <v>1</v>
      </c>
      <c r="N8" s="58" t="s">
        <v>3300</v>
      </c>
      <c r="O8" s="226"/>
      <c r="P8" s="191" t="b">
        <v>1</v>
      </c>
      <c r="Q8" s="308" t="s">
        <v>3138</v>
      </c>
      <c r="R8" s="47" t="b">
        <v>1</v>
      </c>
      <c r="S8" s="313"/>
      <c r="T8" s="310" t="s">
        <v>3726</v>
      </c>
      <c r="U8" s="54"/>
    </row>
    <row r="9" spans="1:21" ht="16.5" customHeight="1">
      <c r="A9" s="1"/>
      <c r="B9" s="71" t="s">
        <v>3724</v>
      </c>
      <c r="C9" s="53" t="s">
        <v>144</v>
      </c>
      <c r="D9" s="53" t="s">
        <v>1959</v>
      </c>
      <c r="E9" s="53" t="s">
        <v>3725</v>
      </c>
      <c r="F9" s="131" t="s">
        <v>1952</v>
      </c>
      <c r="G9" s="131" t="s">
        <v>30</v>
      </c>
      <c r="H9" s="131">
        <v>10</v>
      </c>
      <c r="I9" s="188">
        <v>635</v>
      </c>
      <c r="J9" s="54">
        <f t="shared" si="0"/>
        <v>6350</v>
      </c>
      <c r="K9" s="55" t="b">
        <v>1</v>
      </c>
      <c r="L9" s="56">
        <v>30320250844</v>
      </c>
      <c r="M9" s="57" t="b">
        <v>1</v>
      </c>
      <c r="N9" s="58" t="s">
        <v>39</v>
      </c>
      <c r="O9" s="226">
        <v>45719</v>
      </c>
      <c r="P9" s="191" t="b">
        <v>1</v>
      </c>
      <c r="Q9" s="308" t="s">
        <v>3138</v>
      </c>
      <c r="R9" s="47" t="b">
        <v>1</v>
      </c>
      <c r="S9" s="313"/>
      <c r="T9" s="310" t="s">
        <v>3726</v>
      </c>
      <c r="U9" s="54"/>
    </row>
    <row r="10" spans="1:21" ht="16.5" customHeight="1">
      <c r="A10" s="1"/>
      <c r="B10" s="71" t="s">
        <v>3724</v>
      </c>
      <c r="C10" s="53" t="s">
        <v>144</v>
      </c>
      <c r="D10" s="53" t="s">
        <v>1959</v>
      </c>
      <c r="E10" s="53" t="s">
        <v>3725</v>
      </c>
      <c r="F10" s="131" t="s">
        <v>304</v>
      </c>
      <c r="G10" s="131" t="s">
        <v>30</v>
      </c>
      <c r="H10" s="69">
        <v>24</v>
      </c>
      <c r="I10" s="70">
        <v>55</v>
      </c>
      <c r="J10" s="54">
        <f t="shared" si="0"/>
        <v>1320</v>
      </c>
      <c r="K10" s="55" t="b">
        <v>1</v>
      </c>
      <c r="L10" s="56">
        <v>30320250844</v>
      </c>
      <c r="M10" s="57" t="b">
        <v>1</v>
      </c>
      <c r="N10" s="58" t="s">
        <v>2968</v>
      </c>
      <c r="O10" s="226"/>
      <c r="P10" s="191" t="b">
        <v>1</v>
      </c>
      <c r="Q10" s="308" t="s">
        <v>3138</v>
      </c>
      <c r="R10" s="47" t="b">
        <v>1</v>
      </c>
      <c r="S10" s="313"/>
      <c r="T10" s="310" t="s">
        <v>3726</v>
      </c>
      <c r="U10" s="54"/>
    </row>
    <row r="11" spans="1:21" ht="16.5" customHeight="1">
      <c r="A11" s="18"/>
      <c r="B11" s="71" t="s">
        <v>3724</v>
      </c>
      <c r="C11" s="53" t="s">
        <v>144</v>
      </c>
      <c r="D11" s="53" t="s">
        <v>1959</v>
      </c>
      <c r="E11" s="53" t="s">
        <v>3725</v>
      </c>
      <c r="F11" s="53" t="s">
        <v>3477</v>
      </c>
      <c r="G11" s="53" t="s">
        <v>30</v>
      </c>
      <c r="H11" s="53">
        <v>1</v>
      </c>
      <c r="I11" s="54">
        <v>2100</v>
      </c>
      <c r="J11" s="54">
        <f t="shared" si="0"/>
        <v>2100</v>
      </c>
      <c r="K11" s="55" t="b">
        <v>1</v>
      </c>
      <c r="L11" s="56">
        <v>30320250844</v>
      </c>
      <c r="M11" s="57" t="b">
        <v>1</v>
      </c>
      <c r="N11" s="58" t="s">
        <v>3300</v>
      </c>
      <c r="O11" s="226"/>
      <c r="P11" s="191" t="b">
        <v>1</v>
      </c>
      <c r="Q11" s="308" t="s">
        <v>3138</v>
      </c>
      <c r="R11" s="47" t="b">
        <v>1</v>
      </c>
      <c r="S11" s="313"/>
      <c r="T11" s="310" t="s">
        <v>3727</v>
      </c>
      <c r="U11" s="54"/>
    </row>
    <row r="12" spans="1:21" ht="15.75" customHeight="1">
      <c r="A12" s="18"/>
      <c r="B12" s="71" t="s">
        <v>3724</v>
      </c>
      <c r="C12" s="53" t="s">
        <v>750</v>
      </c>
      <c r="D12" s="53" t="s">
        <v>434</v>
      </c>
      <c r="E12" s="53" t="s">
        <v>1754</v>
      </c>
      <c r="F12" s="53" t="s">
        <v>49</v>
      </c>
      <c r="G12" s="53" t="s">
        <v>30</v>
      </c>
      <c r="H12" s="53">
        <v>10</v>
      </c>
      <c r="I12" s="188">
        <v>635</v>
      </c>
      <c r="J12" s="54">
        <f t="shared" si="0"/>
        <v>6350</v>
      </c>
      <c r="K12" s="55" t="b">
        <v>1</v>
      </c>
      <c r="L12" s="56">
        <v>30320250844</v>
      </c>
      <c r="M12" s="57" t="b">
        <v>1</v>
      </c>
      <c r="N12" s="58" t="s">
        <v>39</v>
      </c>
      <c r="O12" s="226">
        <v>45719</v>
      </c>
      <c r="P12" s="191" t="b">
        <v>1</v>
      </c>
      <c r="Q12" s="308" t="s">
        <v>3138</v>
      </c>
      <c r="R12" s="47" t="b">
        <v>1</v>
      </c>
      <c r="S12" s="313"/>
      <c r="T12" s="310" t="s">
        <v>3728</v>
      </c>
      <c r="U12" s="54"/>
    </row>
    <row r="13" spans="1:21" ht="16">
      <c r="A13" s="162"/>
      <c r="B13" s="71" t="s">
        <v>3724</v>
      </c>
      <c r="C13" s="53" t="s">
        <v>523</v>
      </c>
      <c r="D13" s="53" t="s">
        <v>523</v>
      </c>
      <c r="E13" s="53" t="s">
        <v>525</v>
      </c>
      <c r="F13" s="53" t="s">
        <v>80</v>
      </c>
      <c r="G13" s="53" t="s">
        <v>30</v>
      </c>
      <c r="H13" s="53">
        <v>20</v>
      </c>
      <c r="I13" s="188">
        <v>300</v>
      </c>
      <c r="J13" s="54">
        <f t="shared" si="0"/>
        <v>6000</v>
      </c>
      <c r="K13" s="55" t="b">
        <v>1</v>
      </c>
      <c r="L13" s="56">
        <v>30320250844</v>
      </c>
      <c r="M13" s="57" t="b">
        <v>1</v>
      </c>
      <c r="N13" s="58" t="s">
        <v>2968</v>
      </c>
      <c r="O13" s="226"/>
      <c r="P13" s="191" t="b">
        <v>1</v>
      </c>
      <c r="Q13" s="308" t="s">
        <v>3138</v>
      </c>
      <c r="R13" s="47" t="b">
        <v>1</v>
      </c>
      <c r="S13" s="313"/>
      <c r="T13" s="310" t="s">
        <v>3729</v>
      </c>
      <c r="U13" s="54"/>
    </row>
    <row r="14" spans="1:21" ht="16">
      <c r="A14" s="162"/>
      <c r="B14" s="71" t="s">
        <v>3724</v>
      </c>
      <c r="C14" s="53" t="s">
        <v>1133</v>
      </c>
      <c r="D14" s="53" t="s">
        <v>1725</v>
      </c>
      <c r="E14" s="53" t="s">
        <v>1439</v>
      </c>
      <c r="F14" s="53" t="s">
        <v>639</v>
      </c>
      <c r="G14" s="53" t="s">
        <v>30</v>
      </c>
      <c r="H14" s="53">
        <v>24</v>
      </c>
      <c r="I14" s="188">
        <v>218</v>
      </c>
      <c r="J14" s="54">
        <f t="shared" si="0"/>
        <v>5232</v>
      </c>
      <c r="K14" s="55" t="b">
        <v>1</v>
      </c>
      <c r="L14" s="56">
        <v>30320250901</v>
      </c>
      <c r="M14" s="57" t="b">
        <v>1</v>
      </c>
      <c r="N14" s="58" t="s">
        <v>2968</v>
      </c>
      <c r="O14" s="226"/>
      <c r="P14" s="191" t="b">
        <v>1</v>
      </c>
      <c r="Q14" s="308" t="s">
        <v>3138</v>
      </c>
      <c r="R14" s="47" t="b">
        <v>1</v>
      </c>
      <c r="S14" s="313"/>
      <c r="T14" s="310" t="s">
        <v>3730</v>
      </c>
      <c r="U14" s="54"/>
    </row>
    <row r="15" spans="1:21" ht="16">
      <c r="A15" s="162"/>
      <c r="B15" s="71" t="s">
        <v>3724</v>
      </c>
      <c r="C15" s="53" t="s">
        <v>1133</v>
      </c>
      <c r="D15" s="53" t="s">
        <v>1725</v>
      </c>
      <c r="E15" s="53" t="s">
        <v>1439</v>
      </c>
      <c r="F15" s="53" t="s">
        <v>80</v>
      </c>
      <c r="G15" s="53" t="s">
        <v>30</v>
      </c>
      <c r="H15" s="53">
        <v>20</v>
      </c>
      <c r="I15" s="188">
        <v>300</v>
      </c>
      <c r="J15" s="54">
        <f t="shared" si="0"/>
        <v>6000</v>
      </c>
      <c r="K15" s="55" t="b">
        <v>1</v>
      </c>
      <c r="L15" s="56">
        <v>30320250901</v>
      </c>
      <c r="M15" s="57" t="b">
        <v>1</v>
      </c>
      <c r="N15" s="58" t="s">
        <v>2968</v>
      </c>
      <c r="O15" s="226"/>
      <c r="P15" s="191" t="b">
        <v>1</v>
      </c>
      <c r="Q15" s="308" t="s">
        <v>3138</v>
      </c>
      <c r="R15" s="47" t="b">
        <v>1</v>
      </c>
      <c r="S15" s="313"/>
      <c r="T15" s="310" t="s">
        <v>3730</v>
      </c>
      <c r="U15" s="54"/>
    </row>
    <row r="16" spans="1:21" ht="16">
      <c r="A16" s="162"/>
      <c r="B16" s="71" t="s">
        <v>3724</v>
      </c>
      <c r="C16" s="53" t="s">
        <v>1133</v>
      </c>
      <c r="D16" s="53" t="s">
        <v>1725</v>
      </c>
      <c r="E16" s="53" t="s">
        <v>1439</v>
      </c>
      <c r="F16" s="53" t="s">
        <v>1181</v>
      </c>
      <c r="G16" s="53" t="s">
        <v>30</v>
      </c>
      <c r="H16" s="53">
        <v>20</v>
      </c>
      <c r="I16" s="188">
        <v>135</v>
      </c>
      <c r="J16" s="54">
        <f t="shared" si="0"/>
        <v>2700</v>
      </c>
      <c r="K16" s="55" t="b">
        <v>1</v>
      </c>
      <c r="L16" s="56">
        <v>30320250903</v>
      </c>
      <c r="M16" s="57" t="b">
        <v>1</v>
      </c>
      <c r="N16" s="58" t="s">
        <v>2968</v>
      </c>
      <c r="O16" s="226"/>
      <c r="P16" s="191" t="b">
        <v>1</v>
      </c>
      <c r="Q16" s="308" t="s">
        <v>3138</v>
      </c>
      <c r="R16" s="47" t="b">
        <v>1</v>
      </c>
      <c r="S16" s="313"/>
      <c r="T16" s="310" t="s">
        <v>3730</v>
      </c>
      <c r="U16" s="54"/>
    </row>
    <row r="17" spans="1:21" ht="14.25" customHeight="1">
      <c r="A17" s="162"/>
      <c r="B17" s="71" t="s">
        <v>3724</v>
      </c>
      <c r="C17" s="53" t="s">
        <v>51</v>
      </c>
      <c r="D17" s="53" t="s">
        <v>61</v>
      </c>
      <c r="E17" s="53" t="s">
        <v>476</v>
      </c>
      <c r="F17" s="53" t="s">
        <v>3731</v>
      </c>
      <c r="G17" s="53" t="s">
        <v>30</v>
      </c>
      <c r="H17" s="53">
        <v>3</v>
      </c>
      <c r="I17" s="188">
        <v>975</v>
      </c>
      <c r="J17" s="54">
        <f t="shared" si="0"/>
        <v>2925</v>
      </c>
      <c r="K17" s="55" t="b">
        <v>1</v>
      </c>
      <c r="L17" s="56">
        <v>30320251042</v>
      </c>
      <c r="M17" s="57" t="b">
        <v>1</v>
      </c>
      <c r="N17" s="58" t="s">
        <v>529</v>
      </c>
      <c r="O17" s="226"/>
      <c r="P17" s="191" t="b">
        <v>1</v>
      </c>
      <c r="Q17" s="308" t="s">
        <v>3138</v>
      </c>
      <c r="R17" s="47" t="b">
        <v>1</v>
      </c>
      <c r="S17" s="313"/>
      <c r="T17" s="310" t="s">
        <v>3732</v>
      </c>
      <c r="U17" s="54"/>
    </row>
    <row r="18" spans="1:21" ht="16">
      <c r="A18" s="162"/>
      <c r="B18" s="71" t="s">
        <v>3724</v>
      </c>
      <c r="C18" s="53" t="s">
        <v>51</v>
      </c>
      <c r="D18" s="53" t="s">
        <v>201</v>
      </c>
      <c r="E18" s="53" t="s">
        <v>202</v>
      </c>
      <c r="F18" s="53" t="s">
        <v>3733</v>
      </c>
      <c r="G18" s="131" t="s">
        <v>30</v>
      </c>
      <c r="H18" s="53">
        <v>1</v>
      </c>
      <c r="I18" s="70">
        <v>1250</v>
      </c>
      <c r="J18" s="54">
        <f t="shared" si="0"/>
        <v>1250</v>
      </c>
      <c r="K18" s="55" t="b">
        <v>1</v>
      </c>
      <c r="L18" s="56">
        <v>30320251047</v>
      </c>
      <c r="M18" s="57" t="b">
        <v>1</v>
      </c>
      <c r="N18" s="58" t="s">
        <v>2968</v>
      </c>
      <c r="O18" s="226"/>
      <c r="P18" s="191" t="b">
        <v>1</v>
      </c>
      <c r="Q18" s="308" t="s">
        <v>3138</v>
      </c>
      <c r="R18" s="47" t="b">
        <v>1</v>
      </c>
      <c r="S18" s="313"/>
      <c r="T18" s="310" t="s">
        <v>3734</v>
      </c>
      <c r="U18" s="54"/>
    </row>
    <row r="19" spans="1:21" ht="16">
      <c r="A19" s="162"/>
      <c r="B19" s="71" t="s">
        <v>3724</v>
      </c>
      <c r="C19" s="53" t="s">
        <v>51</v>
      </c>
      <c r="D19" s="53" t="s">
        <v>201</v>
      </c>
      <c r="E19" s="53" t="s">
        <v>202</v>
      </c>
      <c r="F19" s="53" t="s">
        <v>3735</v>
      </c>
      <c r="G19" s="131" t="s">
        <v>30</v>
      </c>
      <c r="H19" s="53">
        <v>1</v>
      </c>
      <c r="I19" s="188">
        <v>1150</v>
      </c>
      <c r="J19" s="54">
        <f t="shared" si="0"/>
        <v>1150</v>
      </c>
      <c r="K19" s="55" t="b">
        <v>1</v>
      </c>
      <c r="L19" s="56">
        <v>30320251047</v>
      </c>
      <c r="M19" s="57" t="b">
        <v>1</v>
      </c>
      <c r="N19" s="58" t="s">
        <v>2968</v>
      </c>
      <c r="O19" s="226"/>
      <c r="P19" s="191" t="b">
        <v>1</v>
      </c>
      <c r="Q19" s="308" t="s">
        <v>3138</v>
      </c>
      <c r="R19" s="47" t="b">
        <v>1</v>
      </c>
      <c r="S19" s="313"/>
      <c r="T19" s="310" t="s">
        <v>3734</v>
      </c>
      <c r="U19" s="54"/>
    </row>
    <row r="20" spans="1:21" ht="16">
      <c r="A20" s="162"/>
      <c r="B20" s="71" t="s">
        <v>3155</v>
      </c>
      <c r="C20" s="53" t="s">
        <v>171</v>
      </c>
      <c r="D20" s="53" t="s">
        <v>137</v>
      </c>
      <c r="E20" s="53" t="s">
        <v>2992</v>
      </c>
      <c r="F20" s="53" t="s">
        <v>2674</v>
      </c>
      <c r="G20" s="131" t="s">
        <v>30</v>
      </c>
      <c r="H20" s="53">
        <v>8</v>
      </c>
      <c r="I20" s="188">
        <v>535</v>
      </c>
      <c r="J20" s="54">
        <f t="shared" si="0"/>
        <v>4280</v>
      </c>
      <c r="K20" s="55" t="b">
        <v>1</v>
      </c>
      <c r="L20" s="56">
        <v>30320251329</v>
      </c>
      <c r="M20" s="57" t="b">
        <v>1</v>
      </c>
      <c r="N20" s="58" t="s">
        <v>1581</v>
      </c>
      <c r="O20" s="226"/>
      <c r="P20" s="191" t="b">
        <v>1</v>
      </c>
      <c r="Q20" s="308" t="s">
        <v>3138</v>
      </c>
      <c r="R20" s="47" t="b">
        <v>1</v>
      </c>
      <c r="S20" s="313"/>
      <c r="T20" s="310" t="s">
        <v>3736</v>
      </c>
      <c r="U20" s="54"/>
    </row>
    <row r="21" spans="1:21" ht="16">
      <c r="A21" s="162"/>
      <c r="B21" s="71" t="s">
        <v>3155</v>
      </c>
      <c r="C21" s="53" t="s">
        <v>171</v>
      </c>
      <c r="D21" s="53" t="s">
        <v>137</v>
      </c>
      <c r="E21" s="53" t="s">
        <v>2992</v>
      </c>
      <c r="F21" s="53" t="s">
        <v>2752</v>
      </c>
      <c r="G21" s="131" t="s">
        <v>30</v>
      </c>
      <c r="H21" s="53">
        <v>1</v>
      </c>
      <c r="I21" s="188">
        <v>1475</v>
      </c>
      <c r="J21" s="54">
        <f t="shared" si="0"/>
        <v>1475</v>
      </c>
      <c r="K21" s="55" t="b">
        <v>1</v>
      </c>
      <c r="L21" s="56">
        <v>30320251330</v>
      </c>
      <c r="M21" s="57" t="b">
        <v>1</v>
      </c>
      <c r="N21" s="58" t="s">
        <v>1581</v>
      </c>
      <c r="O21" s="226"/>
      <c r="P21" s="191" t="b">
        <v>1</v>
      </c>
      <c r="Q21" s="308" t="s">
        <v>3138</v>
      </c>
      <c r="R21" s="47" t="b">
        <v>1</v>
      </c>
      <c r="S21" s="313"/>
      <c r="T21" s="310" t="s">
        <v>3736</v>
      </c>
      <c r="U21" s="54"/>
    </row>
    <row r="22" spans="1:21" ht="16">
      <c r="A22" s="162"/>
      <c r="B22" s="71" t="s">
        <v>3724</v>
      </c>
      <c r="C22" s="53" t="s">
        <v>144</v>
      </c>
      <c r="D22" s="53" t="s">
        <v>243</v>
      </c>
      <c r="E22" s="53" t="s">
        <v>244</v>
      </c>
      <c r="F22" s="66" t="s">
        <v>1700</v>
      </c>
      <c r="G22" s="53" t="s">
        <v>30</v>
      </c>
      <c r="H22" s="66">
        <v>200</v>
      </c>
      <c r="I22" s="70">
        <v>13.5</v>
      </c>
      <c r="J22" s="54">
        <f t="shared" si="0"/>
        <v>2700</v>
      </c>
      <c r="K22" s="55" t="b">
        <v>1</v>
      </c>
      <c r="L22" s="56">
        <v>30320151329</v>
      </c>
      <c r="M22" s="57" t="b">
        <v>1</v>
      </c>
      <c r="N22" s="58" t="s">
        <v>1581</v>
      </c>
      <c r="O22" s="226"/>
      <c r="P22" s="191" t="b">
        <v>1</v>
      </c>
      <c r="Q22" s="308" t="s">
        <v>3138</v>
      </c>
      <c r="R22" s="47" t="b">
        <v>1</v>
      </c>
      <c r="S22" s="313"/>
      <c r="T22" s="310" t="s">
        <v>3737</v>
      </c>
      <c r="U22" s="54"/>
    </row>
    <row r="23" spans="1:21" ht="16">
      <c r="A23" s="162"/>
      <c r="B23" s="132" t="s">
        <v>3738</v>
      </c>
      <c r="C23" s="66" t="s">
        <v>51</v>
      </c>
      <c r="D23" s="66" t="s">
        <v>52</v>
      </c>
      <c r="E23" s="66" t="s">
        <v>1710</v>
      </c>
      <c r="F23" s="53" t="s">
        <v>300</v>
      </c>
      <c r="G23" s="53" t="s">
        <v>30</v>
      </c>
      <c r="H23" s="66">
        <v>20</v>
      </c>
      <c r="I23" s="70">
        <v>135</v>
      </c>
      <c r="J23" s="54">
        <f t="shared" si="0"/>
        <v>2700</v>
      </c>
      <c r="K23" s="55" t="b">
        <v>1</v>
      </c>
      <c r="L23" s="56">
        <v>40320250859</v>
      </c>
      <c r="M23" s="57" t="b">
        <v>1</v>
      </c>
      <c r="N23" s="58" t="s">
        <v>1581</v>
      </c>
      <c r="O23" s="226"/>
      <c r="P23" s="191" t="b">
        <v>1</v>
      </c>
      <c r="Q23" s="308" t="s">
        <v>3138</v>
      </c>
      <c r="R23" s="47" t="b">
        <v>1</v>
      </c>
      <c r="S23" s="313"/>
      <c r="T23" s="310" t="s">
        <v>3739</v>
      </c>
      <c r="U23" s="54"/>
    </row>
    <row r="24" spans="1:21" ht="16">
      <c r="A24" s="162"/>
      <c r="B24" s="132" t="s">
        <v>3738</v>
      </c>
      <c r="C24" s="66" t="s">
        <v>51</v>
      </c>
      <c r="D24" s="66" t="s">
        <v>52</v>
      </c>
      <c r="E24" s="66" t="s">
        <v>1710</v>
      </c>
      <c r="F24" s="53" t="s">
        <v>3419</v>
      </c>
      <c r="G24" s="53" t="s">
        <v>30</v>
      </c>
      <c r="H24" s="53">
        <v>100</v>
      </c>
      <c r="I24" s="188">
        <v>90</v>
      </c>
      <c r="J24" s="54">
        <f t="shared" si="0"/>
        <v>9000</v>
      </c>
      <c r="K24" s="55" t="b">
        <v>1</v>
      </c>
      <c r="L24" s="56">
        <v>40320250859</v>
      </c>
      <c r="M24" s="57" t="b">
        <v>1</v>
      </c>
      <c r="N24" s="58" t="s">
        <v>529</v>
      </c>
      <c r="O24" s="226"/>
      <c r="P24" s="191" t="b">
        <v>1</v>
      </c>
      <c r="Q24" s="308" t="s">
        <v>3138</v>
      </c>
      <c r="R24" s="47" t="b">
        <v>1</v>
      </c>
      <c r="S24" s="173" t="s">
        <v>3740</v>
      </c>
      <c r="T24" s="310" t="s">
        <v>3741</v>
      </c>
      <c r="U24" s="54"/>
    </row>
    <row r="25" spans="1:21" ht="16">
      <c r="A25" s="162"/>
      <c r="B25" s="132" t="s">
        <v>3738</v>
      </c>
      <c r="C25" s="66" t="s">
        <v>51</v>
      </c>
      <c r="D25" s="66" t="s">
        <v>89</v>
      </c>
      <c r="E25" s="53" t="s">
        <v>3742</v>
      </c>
      <c r="F25" s="66" t="s">
        <v>3743</v>
      </c>
      <c r="G25" s="69" t="s">
        <v>30</v>
      </c>
      <c r="H25" s="66">
        <v>5</v>
      </c>
      <c r="I25" s="70">
        <v>165</v>
      </c>
      <c r="J25" s="54">
        <f t="shared" si="0"/>
        <v>825</v>
      </c>
      <c r="K25" s="55" t="b">
        <v>1</v>
      </c>
      <c r="L25" s="56">
        <v>40320251627</v>
      </c>
      <c r="M25" s="57" t="b">
        <v>1</v>
      </c>
      <c r="N25" s="58"/>
      <c r="O25" s="226"/>
      <c r="P25" s="191" t="b">
        <v>1</v>
      </c>
      <c r="Q25" s="308" t="s">
        <v>3138</v>
      </c>
      <c r="R25" s="47" t="b">
        <v>1</v>
      </c>
      <c r="S25" s="313"/>
      <c r="T25" s="310" t="s">
        <v>3744</v>
      </c>
      <c r="U25" s="54"/>
    </row>
    <row r="26" spans="1:21" ht="16">
      <c r="A26" s="162"/>
      <c r="B26" s="132" t="s">
        <v>3738</v>
      </c>
      <c r="C26" s="66" t="s">
        <v>51</v>
      </c>
      <c r="D26" s="66" t="s">
        <v>372</v>
      </c>
      <c r="E26" s="53" t="s">
        <v>1035</v>
      </c>
      <c r="F26" s="66" t="s">
        <v>139</v>
      </c>
      <c r="G26" s="69" t="s">
        <v>30</v>
      </c>
      <c r="H26" s="66">
        <v>50</v>
      </c>
      <c r="I26" s="70">
        <v>30</v>
      </c>
      <c r="J26" s="54">
        <f t="shared" si="0"/>
        <v>1500</v>
      </c>
      <c r="K26" s="55" t="b">
        <v>1</v>
      </c>
      <c r="L26" s="56">
        <v>40320251627</v>
      </c>
      <c r="M26" s="57" t="b">
        <v>1</v>
      </c>
      <c r="N26" s="58" t="s">
        <v>1581</v>
      </c>
      <c r="O26" s="226"/>
      <c r="P26" s="191" t="b">
        <v>1</v>
      </c>
      <c r="Q26" s="308" t="s">
        <v>3138</v>
      </c>
      <c r="R26" s="47" t="b">
        <v>1</v>
      </c>
      <c r="S26" s="313"/>
      <c r="T26" s="310" t="s">
        <v>3745</v>
      </c>
      <c r="U26" s="54"/>
    </row>
    <row r="27" spans="1:21" ht="16">
      <c r="A27" s="162"/>
      <c r="B27" s="132" t="s">
        <v>3738</v>
      </c>
      <c r="C27" s="66" t="s">
        <v>144</v>
      </c>
      <c r="D27" s="66" t="s">
        <v>1959</v>
      </c>
      <c r="E27" s="53" t="s">
        <v>1235</v>
      </c>
      <c r="F27" s="53" t="s">
        <v>2752</v>
      </c>
      <c r="G27" s="69" t="s">
        <v>30</v>
      </c>
      <c r="H27" s="66">
        <v>1</v>
      </c>
      <c r="I27" s="70">
        <v>1475</v>
      </c>
      <c r="J27" s="54">
        <f t="shared" si="0"/>
        <v>1475</v>
      </c>
      <c r="K27" s="55" t="b">
        <v>1</v>
      </c>
      <c r="L27" s="56">
        <v>40320251742</v>
      </c>
      <c r="M27" s="57" t="b">
        <v>1</v>
      </c>
      <c r="N27" s="58" t="s">
        <v>1581</v>
      </c>
      <c r="O27" s="226"/>
      <c r="P27" s="191" t="b">
        <v>1</v>
      </c>
      <c r="Q27" s="308" t="s">
        <v>3138</v>
      </c>
      <c r="R27" s="47" t="b">
        <v>1</v>
      </c>
      <c r="S27" s="313"/>
      <c r="T27" s="310" t="s">
        <v>3746</v>
      </c>
      <c r="U27" s="54"/>
    </row>
    <row r="28" spans="1:21" ht="16">
      <c r="A28" s="162"/>
      <c r="B28" s="71" t="s">
        <v>3738</v>
      </c>
      <c r="C28" s="53" t="s">
        <v>104</v>
      </c>
      <c r="D28" s="53" t="s">
        <v>673</v>
      </c>
      <c r="E28" s="53" t="s">
        <v>3747</v>
      </c>
      <c r="F28" s="53" t="s">
        <v>80</v>
      </c>
      <c r="G28" s="131" t="s">
        <v>30</v>
      </c>
      <c r="H28" s="53">
        <v>20</v>
      </c>
      <c r="I28" s="188">
        <v>300</v>
      </c>
      <c r="J28" s="75">
        <f t="shared" ref="J28:J37" si="1">(H28*I28)</f>
        <v>6000</v>
      </c>
      <c r="K28" s="55" t="b">
        <v>1</v>
      </c>
      <c r="L28" s="56">
        <v>40320251813</v>
      </c>
      <c r="M28" s="57" t="b">
        <v>1</v>
      </c>
      <c r="N28" s="58"/>
      <c r="O28" s="226"/>
      <c r="P28" s="191" t="b">
        <v>1</v>
      </c>
      <c r="Q28" s="308" t="s">
        <v>3138</v>
      </c>
      <c r="R28" s="47" t="b">
        <v>1</v>
      </c>
      <c r="S28" s="313"/>
      <c r="T28" s="310" t="s">
        <v>3748</v>
      </c>
      <c r="U28" s="54"/>
    </row>
    <row r="29" spans="1:21" ht="16">
      <c r="A29" s="162"/>
      <c r="B29" s="71" t="s">
        <v>3738</v>
      </c>
      <c r="C29" s="66" t="s">
        <v>104</v>
      </c>
      <c r="D29" s="53" t="s">
        <v>673</v>
      </c>
      <c r="E29" s="53" t="s">
        <v>3747</v>
      </c>
      <c r="F29" s="53" t="s">
        <v>49</v>
      </c>
      <c r="G29" s="131" t="s">
        <v>30</v>
      </c>
      <c r="H29" s="53">
        <v>10</v>
      </c>
      <c r="I29" s="188">
        <v>635</v>
      </c>
      <c r="J29" s="75">
        <f t="shared" si="1"/>
        <v>6350</v>
      </c>
      <c r="K29" s="55" t="b">
        <v>1</v>
      </c>
      <c r="L29" s="56">
        <v>40320251813</v>
      </c>
      <c r="M29" s="57" t="b">
        <v>1</v>
      </c>
      <c r="N29" s="58" t="s">
        <v>39</v>
      </c>
      <c r="O29" s="226"/>
      <c r="P29" s="191" t="b">
        <v>1</v>
      </c>
      <c r="Q29" s="308" t="s">
        <v>3138</v>
      </c>
      <c r="R29" s="47" t="b">
        <v>1</v>
      </c>
      <c r="S29" s="313"/>
      <c r="T29" s="310" t="s">
        <v>3749</v>
      </c>
      <c r="U29" s="54"/>
    </row>
    <row r="30" spans="1:21" ht="16">
      <c r="A30" s="162"/>
      <c r="B30" s="71" t="s">
        <v>3750</v>
      </c>
      <c r="C30" s="53" t="s">
        <v>438</v>
      </c>
      <c r="D30" s="53" t="s">
        <v>439</v>
      </c>
      <c r="E30" s="53" t="s">
        <v>3751</v>
      </c>
      <c r="F30" s="53" t="s">
        <v>3752</v>
      </c>
      <c r="G30" s="131" t="s">
        <v>30</v>
      </c>
      <c r="H30" s="53">
        <v>10</v>
      </c>
      <c r="I30" s="188">
        <v>635</v>
      </c>
      <c r="J30" s="75">
        <f t="shared" si="1"/>
        <v>6350</v>
      </c>
      <c r="K30" s="55" t="b">
        <v>1</v>
      </c>
      <c r="L30" s="56">
        <v>50320251112</v>
      </c>
      <c r="M30" s="57" t="b">
        <v>1</v>
      </c>
      <c r="N30" s="58" t="s">
        <v>39</v>
      </c>
      <c r="O30" s="226"/>
      <c r="P30" s="191" t="b">
        <v>1</v>
      </c>
      <c r="Q30" s="308" t="s">
        <v>3138</v>
      </c>
      <c r="R30" s="47" t="b">
        <v>1</v>
      </c>
      <c r="S30" s="313"/>
      <c r="T30" s="310" t="s">
        <v>3753</v>
      </c>
      <c r="U30" s="54"/>
    </row>
    <row r="31" spans="1:21" ht="16">
      <c r="A31" s="162"/>
      <c r="B31" s="71" t="s">
        <v>3750</v>
      </c>
      <c r="C31" s="53" t="s">
        <v>438</v>
      </c>
      <c r="D31" s="53" t="s">
        <v>439</v>
      </c>
      <c r="E31" s="53" t="s">
        <v>2590</v>
      </c>
      <c r="F31" s="53" t="s">
        <v>877</v>
      </c>
      <c r="G31" s="131" t="s">
        <v>30</v>
      </c>
      <c r="H31" s="53">
        <v>2</v>
      </c>
      <c r="I31" s="188">
        <v>875</v>
      </c>
      <c r="J31" s="75">
        <f t="shared" si="1"/>
        <v>1750</v>
      </c>
      <c r="K31" s="55" t="b">
        <v>1</v>
      </c>
      <c r="L31" s="56">
        <v>50320251112</v>
      </c>
      <c r="M31" s="57" t="b">
        <v>1</v>
      </c>
      <c r="N31" s="58" t="s">
        <v>1581</v>
      </c>
      <c r="O31" s="226"/>
      <c r="P31" s="191" t="b">
        <v>1</v>
      </c>
      <c r="Q31" s="308" t="s">
        <v>3138</v>
      </c>
      <c r="R31" s="47" t="b">
        <v>1</v>
      </c>
      <c r="S31" s="313"/>
      <c r="T31" s="310" t="s">
        <v>3754</v>
      </c>
      <c r="U31" s="54"/>
    </row>
    <row r="32" spans="1:21" ht="16">
      <c r="A32" s="162"/>
      <c r="B32" s="71" t="s">
        <v>3750</v>
      </c>
      <c r="C32" s="53" t="s">
        <v>104</v>
      </c>
      <c r="D32" s="53" t="s">
        <v>3755</v>
      </c>
      <c r="E32" s="53" t="s">
        <v>2446</v>
      </c>
      <c r="F32" s="66" t="s">
        <v>2423</v>
      </c>
      <c r="G32" s="131" t="s">
        <v>30</v>
      </c>
      <c r="H32" s="66">
        <v>10</v>
      </c>
      <c r="I32" s="188">
        <v>635</v>
      </c>
      <c r="J32" s="75">
        <f t="shared" si="1"/>
        <v>6350</v>
      </c>
      <c r="K32" s="55" t="b">
        <v>1</v>
      </c>
      <c r="L32" s="56">
        <v>50320251453</v>
      </c>
      <c r="M32" s="57" t="b">
        <v>1</v>
      </c>
      <c r="N32" s="58" t="s">
        <v>39</v>
      </c>
      <c r="O32" s="226"/>
      <c r="P32" s="191" t="b">
        <v>1</v>
      </c>
      <c r="Q32" s="308" t="s">
        <v>3138</v>
      </c>
      <c r="R32" s="47" t="b">
        <v>1</v>
      </c>
      <c r="S32" s="313"/>
      <c r="T32" s="310" t="s">
        <v>3756</v>
      </c>
      <c r="U32" s="54"/>
    </row>
    <row r="33" spans="1:21" ht="16">
      <c r="A33" s="162"/>
      <c r="B33" s="71" t="s">
        <v>3750</v>
      </c>
      <c r="C33" s="53" t="s">
        <v>51</v>
      </c>
      <c r="D33" s="53" t="s">
        <v>475</v>
      </c>
      <c r="E33" s="53" t="s">
        <v>168</v>
      </c>
      <c r="F33" s="66" t="s">
        <v>3757</v>
      </c>
      <c r="G33" s="131" t="s">
        <v>30</v>
      </c>
      <c r="H33" s="66">
        <v>15</v>
      </c>
      <c r="I33" s="70">
        <v>135</v>
      </c>
      <c r="J33" s="75">
        <f t="shared" si="1"/>
        <v>2025</v>
      </c>
      <c r="K33" s="55" t="b">
        <v>1</v>
      </c>
      <c r="L33" s="56">
        <v>50320251455</v>
      </c>
      <c r="M33" s="57" t="b">
        <v>1</v>
      </c>
      <c r="N33" s="58" t="s">
        <v>1581</v>
      </c>
      <c r="O33" s="215"/>
      <c r="P33" s="191" t="b">
        <v>1</v>
      </c>
      <c r="Q33" s="308" t="s">
        <v>3138</v>
      </c>
      <c r="R33" s="47" t="b">
        <v>1</v>
      </c>
      <c r="S33" s="173" t="s">
        <v>3758</v>
      </c>
      <c r="T33" s="310" t="s">
        <v>3759</v>
      </c>
      <c r="U33" s="54"/>
    </row>
    <row r="34" spans="1:21" ht="15.75" customHeight="1">
      <c r="A34" s="162"/>
      <c r="B34" s="71" t="s">
        <v>3750</v>
      </c>
      <c r="C34" s="53" t="s">
        <v>51</v>
      </c>
      <c r="D34" s="53" t="s">
        <v>475</v>
      </c>
      <c r="E34" s="53" t="s">
        <v>168</v>
      </c>
      <c r="F34" s="53" t="s">
        <v>856</v>
      </c>
      <c r="G34" s="131" t="s">
        <v>30</v>
      </c>
      <c r="H34" s="53">
        <v>1</v>
      </c>
      <c r="I34" s="188">
        <v>1350</v>
      </c>
      <c r="J34" s="75">
        <f t="shared" si="1"/>
        <v>1350</v>
      </c>
      <c r="K34" s="55" t="b">
        <v>1</v>
      </c>
      <c r="L34" s="56">
        <v>50320251455</v>
      </c>
      <c r="M34" s="57" t="b">
        <v>1</v>
      </c>
      <c r="N34" s="58" t="s">
        <v>2968</v>
      </c>
      <c r="O34" s="226"/>
      <c r="P34" s="191" t="b">
        <v>1</v>
      </c>
      <c r="Q34" s="308" t="s">
        <v>3138</v>
      </c>
      <c r="R34" s="47" t="b">
        <v>1</v>
      </c>
      <c r="S34" s="129"/>
      <c r="T34" s="310" t="s">
        <v>3760</v>
      </c>
      <c r="U34" s="54"/>
    </row>
    <row r="35" spans="1:21" ht="15.75" customHeight="1">
      <c r="A35" s="162"/>
      <c r="B35" s="71" t="s">
        <v>3762</v>
      </c>
      <c r="C35" s="53" t="s">
        <v>26</v>
      </c>
      <c r="D35" s="53" t="s">
        <v>220</v>
      </c>
      <c r="E35" s="53" t="s">
        <v>221</v>
      </c>
      <c r="F35" s="53" t="s">
        <v>304</v>
      </c>
      <c r="G35" s="131" t="s">
        <v>30</v>
      </c>
      <c r="H35" s="53">
        <v>24</v>
      </c>
      <c r="I35" s="188">
        <v>58</v>
      </c>
      <c r="J35" s="75">
        <f t="shared" si="1"/>
        <v>1392</v>
      </c>
      <c r="K35" s="55" t="b">
        <v>1</v>
      </c>
      <c r="L35" s="56">
        <v>50320250907</v>
      </c>
      <c r="M35" s="57" t="b">
        <v>1</v>
      </c>
      <c r="N35" s="58" t="s">
        <v>2968</v>
      </c>
      <c r="O35" s="226"/>
      <c r="P35" s="191" t="b">
        <v>1</v>
      </c>
      <c r="Q35" s="357" t="s">
        <v>3138</v>
      </c>
      <c r="R35" s="47" t="b">
        <v>1</v>
      </c>
      <c r="S35" s="313"/>
      <c r="T35" s="310" t="s">
        <v>3761</v>
      </c>
      <c r="U35" s="54"/>
    </row>
    <row r="36" spans="1:21" ht="16">
      <c r="A36" s="162"/>
      <c r="B36" s="71" t="s">
        <v>3762</v>
      </c>
      <c r="C36" s="53" t="s">
        <v>51</v>
      </c>
      <c r="D36" s="53" t="s">
        <v>201</v>
      </c>
      <c r="E36" s="53" t="s">
        <v>202</v>
      </c>
      <c r="F36" s="53" t="s">
        <v>1700</v>
      </c>
      <c r="G36" s="131" t="s">
        <v>30</v>
      </c>
      <c r="H36" s="53">
        <v>200</v>
      </c>
      <c r="I36" s="188">
        <v>13.5</v>
      </c>
      <c r="J36" s="75">
        <f t="shared" si="1"/>
        <v>2700</v>
      </c>
      <c r="K36" s="55" t="b">
        <v>1</v>
      </c>
      <c r="L36" s="56">
        <v>50320250909</v>
      </c>
      <c r="M36" s="57" t="b">
        <v>1</v>
      </c>
      <c r="N36" s="58" t="s">
        <v>1581</v>
      </c>
      <c r="O36" s="226"/>
      <c r="P36" s="191" t="b">
        <v>1</v>
      </c>
      <c r="Q36" s="308" t="s">
        <v>3138</v>
      </c>
      <c r="R36" s="47" t="b">
        <v>1</v>
      </c>
      <c r="S36" s="313"/>
      <c r="T36" s="310" t="s">
        <v>3763</v>
      </c>
      <c r="U36" s="54"/>
    </row>
    <row r="37" spans="1:21" ht="16">
      <c r="A37" s="162"/>
      <c r="B37" s="71" t="s">
        <v>3762</v>
      </c>
      <c r="C37" s="53" t="s">
        <v>750</v>
      </c>
      <c r="D37" s="53" t="s">
        <v>706</v>
      </c>
      <c r="E37" s="53" t="s">
        <v>707</v>
      </c>
      <c r="F37" s="53" t="s">
        <v>3764</v>
      </c>
      <c r="G37" s="131" t="s">
        <v>30</v>
      </c>
      <c r="H37" s="53">
        <v>1</v>
      </c>
      <c r="I37" s="188">
        <v>395</v>
      </c>
      <c r="J37" s="75">
        <f t="shared" si="1"/>
        <v>395</v>
      </c>
      <c r="K37" s="55" t="b">
        <v>1</v>
      </c>
      <c r="L37" s="56">
        <v>50320250913</v>
      </c>
      <c r="M37" s="57" t="b">
        <v>1</v>
      </c>
      <c r="N37" s="58" t="s">
        <v>2968</v>
      </c>
      <c r="O37" s="226"/>
      <c r="P37" s="191" t="b">
        <v>1</v>
      </c>
      <c r="Q37" s="308" t="s">
        <v>3138</v>
      </c>
      <c r="R37" s="47" t="b">
        <v>1</v>
      </c>
      <c r="S37" s="313"/>
      <c r="T37" s="310" t="s">
        <v>3765</v>
      </c>
      <c r="U37" s="54"/>
    </row>
    <row r="38" spans="1:21" ht="16">
      <c r="A38" s="162"/>
      <c r="B38" s="71" t="s">
        <v>3762</v>
      </c>
      <c r="C38" s="53" t="s">
        <v>51</v>
      </c>
      <c r="D38" s="53" t="s">
        <v>201</v>
      </c>
      <c r="E38" s="53" t="s">
        <v>202</v>
      </c>
      <c r="F38" s="53" t="s">
        <v>877</v>
      </c>
      <c r="G38" s="131" t="s">
        <v>30</v>
      </c>
      <c r="H38" s="53">
        <v>5</v>
      </c>
      <c r="I38" s="188">
        <v>850</v>
      </c>
      <c r="J38" s="54">
        <f t="shared" ref="J38:J58" si="2">H38*I38</f>
        <v>4250</v>
      </c>
      <c r="K38" s="55" t="b">
        <v>1</v>
      </c>
      <c r="L38" s="56">
        <v>60320251726</v>
      </c>
      <c r="M38" s="57" t="b">
        <v>1</v>
      </c>
      <c r="N38" s="58"/>
      <c r="O38" s="226"/>
      <c r="P38" s="191" t="b">
        <v>1</v>
      </c>
      <c r="Q38" s="308" t="s">
        <v>3138</v>
      </c>
      <c r="R38" s="47" t="b">
        <v>1</v>
      </c>
      <c r="S38" s="313"/>
      <c r="T38" s="310" t="s">
        <v>3766</v>
      </c>
      <c r="U38" s="54"/>
    </row>
    <row r="39" spans="1:21" ht="16">
      <c r="A39" s="162"/>
      <c r="B39" s="71" t="s">
        <v>3769</v>
      </c>
      <c r="C39" s="53" t="s">
        <v>263</v>
      </c>
      <c r="D39" s="53" t="s">
        <v>263</v>
      </c>
      <c r="E39" s="53" t="s">
        <v>2855</v>
      </c>
      <c r="F39" s="53" t="s">
        <v>3767</v>
      </c>
      <c r="G39" s="131" t="s">
        <v>30</v>
      </c>
      <c r="H39" s="53">
        <v>2</v>
      </c>
      <c r="I39" s="188">
        <v>2350</v>
      </c>
      <c r="J39" s="54">
        <f t="shared" si="2"/>
        <v>4700</v>
      </c>
      <c r="K39" s="55" t="b">
        <v>1</v>
      </c>
      <c r="L39" s="56">
        <v>70320250916</v>
      </c>
      <c r="M39" s="57" t="b">
        <v>1</v>
      </c>
      <c r="N39" s="58"/>
      <c r="O39" s="226"/>
      <c r="P39" s="191" t="b">
        <v>1</v>
      </c>
      <c r="Q39" s="308" t="s">
        <v>3138</v>
      </c>
      <c r="R39" s="47" t="b">
        <v>1</v>
      </c>
      <c r="S39" s="313"/>
      <c r="T39" s="310" t="s">
        <v>3768</v>
      </c>
      <c r="U39" s="54"/>
    </row>
    <row r="40" spans="1:21" ht="16">
      <c r="A40" s="162"/>
      <c r="B40" s="71" t="s">
        <v>3769</v>
      </c>
      <c r="C40" s="53" t="s">
        <v>46</v>
      </c>
      <c r="D40" s="53" t="s">
        <v>47</v>
      </c>
      <c r="E40" s="53" t="s">
        <v>48</v>
      </c>
      <c r="F40" s="53" t="s">
        <v>3770</v>
      </c>
      <c r="G40" s="131" t="s">
        <v>30</v>
      </c>
      <c r="H40" s="53">
        <v>10</v>
      </c>
      <c r="I40" s="188">
        <v>4800</v>
      </c>
      <c r="J40" s="54">
        <f t="shared" si="2"/>
        <v>48000</v>
      </c>
      <c r="K40" s="55" t="b">
        <v>1</v>
      </c>
      <c r="L40" s="56">
        <v>70320250919</v>
      </c>
      <c r="M40" s="57" t="b">
        <v>1</v>
      </c>
      <c r="N40" s="58" t="s">
        <v>529</v>
      </c>
      <c r="O40" s="226"/>
      <c r="P40" s="191" t="b">
        <v>1</v>
      </c>
      <c r="Q40" s="308" t="s">
        <v>3138</v>
      </c>
      <c r="R40" s="47" t="b">
        <v>1</v>
      </c>
      <c r="S40" s="173" t="s">
        <v>3771</v>
      </c>
      <c r="T40" s="310" t="s">
        <v>3772</v>
      </c>
      <c r="U40" s="54"/>
    </row>
    <row r="41" spans="1:21" ht="16">
      <c r="A41" s="162"/>
      <c r="B41" s="71" t="s">
        <v>3769</v>
      </c>
      <c r="C41" s="66" t="s">
        <v>51</v>
      </c>
      <c r="D41" s="66" t="s">
        <v>52</v>
      </c>
      <c r="E41" s="66" t="s">
        <v>1710</v>
      </c>
      <c r="F41" s="66" t="s">
        <v>3773</v>
      </c>
      <c r="G41" s="131" t="s">
        <v>30</v>
      </c>
      <c r="H41" s="69">
        <v>10</v>
      </c>
      <c r="I41" s="188">
        <v>155</v>
      </c>
      <c r="J41" s="54">
        <f t="shared" si="2"/>
        <v>1550</v>
      </c>
      <c r="K41" s="55" t="b">
        <v>1</v>
      </c>
      <c r="L41" s="56">
        <v>70320251043</v>
      </c>
      <c r="M41" s="57" t="b">
        <v>1</v>
      </c>
      <c r="N41" s="58" t="s">
        <v>529</v>
      </c>
      <c r="O41" s="226"/>
      <c r="P41" s="191" t="b">
        <v>1</v>
      </c>
      <c r="Q41" s="308" t="s">
        <v>3138</v>
      </c>
      <c r="R41" s="47" t="b">
        <v>1</v>
      </c>
      <c r="S41" s="313"/>
      <c r="T41" s="310" t="s">
        <v>3774</v>
      </c>
      <c r="U41" s="54"/>
    </row>
    <row r="42" spans="1:21" ht="16">
      <c r="A42" s="162"/>
      <c r="B42" s="71" t="s">
        <v>3769</v>
      </c>
      <c r="C42" s="66" t="s">
        <v>51</v>
      </c>
      <c r="D42" s="66" t="s">
        <v>52</v>
      </c>
      <c r="E42" s="66" t="s">
        <v>1710</v>
      </c>
      <c r="F42" s="66" t="s">
        <v>3775</v>
      </c>
      <c r="G42" s="69" t="s">
        <v>30</v>
      </c>
      <c r="H42" s="66">
        <v>10</v>
      </c>
      <c r="I42" s="70">
        <v>275</v>
      </c>
      <c r="J42" s="54">
        <f t="shared" si="2"/>
        <v>2750</v>
      </c>
      <c r="K42" s="55" t="b">
        <v>1</v>
      </c>
      <c r="L42" s="56">
        <v>70320251043</v>
      </c>
      <c r="M42" s="57" t="b">
        <v>1</v>
      </c>
      <c r="N42" s="58" t="s">
        <v>529</v>
      </c>
      <c r="O42" s="226"/>
      <c r="P42" s="191" t="b">
        <v>1</v>
      </c>
      <c r="Q42" s="308" t="s">
        <v>3138</v>
      </c>
      <c r="R42" s="47" t="b">
        <v>1</v>
      </c>
      <c r="S42" s="313"/>
      <c r="T42" s="310" t="s">
        <v>3774</v>
      </c>
      <c r="U42" s="54"/>
    </row>
    <row r="43" spans="1:21" ht="16">
      <c r="A43" s="162"/>
      <c r="B43" s="71" t="s">
        <v>3769</v>
      </c>
      <c r="C43" s="66" t="s">
        <v>51</v>
      </c>
      <c r="D43" s="66" t="s">
        <v>52</v>
      </c>
      <c r="E43" s="66" t="s">
        <v>1710</v>
      </c>
      <c r="F43" s="53" t="s">
        <v>3776</v>
      </c>
      <c r="G43" s="131" t="s">
        <v>30</v>
      </c>
      <c r="H43" s="53">
        <v>10</v>
      </c>
      <c r="I43" s="188">
        <v>295</v>
      </c>
      <c r="J43" s="54">
        <f t="shared" si="2"/>
        <v>2950</v>
      </c>
      <c r="K43" s="55" t="b">
        <v>1</v>
      </c>
      <c r="L43" s="56">
        <v>70320251043</v>
      </c>
      <c r="M43" s="57" t="b">
        <v>1</v>
      </c>
      <c r="N43" s="58" t="s">
        <v>529</v>
      </c>
      <c r="O43" s="226"/>
      <c r="P43" s="191" t="b">
        <v>1</v>
      </c>
      <c r="Q43" s="308" t="s">
        <v>3138</v>
      </c>
      <c r="R43" s="47" t="b">
        <v>1</v>
      </c>
      <c r="S43" s="313"/>
      <c r="T43" s="310" t="s">
        <v>3774</v>
      </c>
      <c r="U43" s="54"/>
    </row>
    <row r="44" spans="1:21" ht="16">
      <c r="A44" s="162"/>
      <c r="B44" s="71" t="s">
        <v>3769</v>
      </c>
      <c r="C44" s="53" t="s">
        <v>51</v>
      </c>
      <c r="D44" s="53" t="s">
        <v>335</v>
      </c>
      <c r="E44" s="53" t="s">
        <v>457</v>
      </c>
      <c r="F44" s="53" t="s">
        <v>3777</v>
      </c>
      <c r="G44" s="131" t="s">
        <v>30</v>
      </c>
      <c r="H44" s="53">
        <v>2</v>
      </c>
      <c r="I44" s="188">
        <v>1550</v>
      </c>
      <c r="J44" s="54">
        <f t="shared" si="2"/>
        <v>3100</v>
      </c>
      <c r="K44" s="55" t="b">
        <v>1</v>
      </c>
      <c r="L44" s="56">
        <v>70320251220</v>
      </c>
      <c r="M44" s="57" t="b">
        <v>1</v>
      </c>
      <c r="N44" s="58" t="s">
        <v>2968</v>
      </c>
      <c r="O44" s="226"/>
      <c r="P44" s="191" t="b">
        <v>1</v>
      </c>
      <c r="Q44" s="308" t="s">
        <v>3138</v>
      </c>
      <c r="R44" s="47" t="b">
        <v>1</v>
      </c>
      <c r="S44" s="313"/>
      <c r="T44" s="310" t="s">
        <v>3778</v>
      </c>
      <c r="U44" s="54"/>
    </row>
    <row r="45" spans="1:21" ht="16">
      <c r="A45" s="162"/>
      <c r="B45" s="71" t="s">
        <v>3769</v>
      </c>
      <c r="C45" s="53" t="s">
        <v>51</v>
      </c>
      <c r="D45" s="53" t="s">
        <v>66</v>
      </c>
      <c r="E45" s="53" t="s">
        <v>67</v>
      </c>
      <c r="F45" s="53" t="s">
        <v>3779</v>
      </c>
      <c r="G45" s="131" t="s">
        <v>30</v>
      </c>
      <c r="H45" s="53">
        <v>1</v>
      </c>
      <c r="I45" s="188">
        <v>1975</v>
      </c>
      <c r="J45" s="54">
        <f t="shared" si="2"/>
        <v>1975</v>
      </c>
      <c r="K45" s="55" t="b">
        <v>1</v>
      </c>
      <c r="L45" s="56">
        <v>70320251653</v>
      </c>
      <c r="M45" s="57" t="b">
        <v>1</v>
      </c>
      <c r="N45" s="58"/>
      <c r="O45" s="226"/>
      <c r="P45" s="191" t="b">
        <v>1</v>
      </c>
      <c r="Q45" s="308" t="s">
        <v>3138</v>
      </c>
      <c r="R45" s="47" t="b">
        <v>1</v>
      </c>
      <c r="S45" s="313"/>
      <c r="T45" s="310" t="s">
        <v>3780</v>
      </c>
      <c r="U45" s="54"/>
    </row>
    <row r="46" spans="1:21" ht="16">
      <c r="A46" s="162"/>
      <c r="B46" s="71" t="s">
        <v>3769</v>
      </c>
      <c r="C46" s="53" t="s">
        <v>51</v>
      </c>
      <c r="D46" s="53" t="s">
        <v>61</v>
      </c>
      <c r="E46" s="53" t="s">
        <v>3781</v>
      </c>
      <c r="F46" s="53" t="s">
        <v>3782</v>
      </c>
      <c r="G46" s="131" t="s">
        <v>30</v>
      </c>
      <c r="H46" s="53">
        <v>1</v>
      </c>
      <c r="I46" s="188">
        <v>875</v>
      </c>
      <c r="J46" s="54">
        <f t="shared" si="2"/>
        <v>875</v>
      </c>
      <c r="K46" s="55" t="b">
        <v>1</v>
      </c>
      <c r="L46" s="56">
        <v>70320251740</v>
      </c>
      <c r="M46" s="57" t="b">
        <v>1</v>
      </c>
      <c r="N46" s="58"/>
      <c r="O46" s="226"/>
      <c r="P46" s="191" t="b">
        <v>1</v>
      </c>
      <c r="Q46" s="308" t="s">
        <v>3138</v>
      </c>
      <c r="R46" s="47" t="b">
        <v>1</v>
      </c>
      <c r="S46" s="313"/>
      <c r="T46" s="310" t="s">
        <v>3783</v>
      </c>
      <c r="U46" s="54"/>
    </row>
    <row r="47" spans="1:21" ht="16">
      <c r="A47" s="162"/>
      <c r="B47" s="71" t="s">
        <v>3784</v>
      </c>
      <c r="C47" s="53" t="s">
        <v>51</v>
      </c>
      <c r="D47" s="53" t="s">
        <v>201</v>
      </c>
      <c r="E47" s="53" t="s">
        <v>202</v>
      </c>
      <c r="F47" s="53" t="s">
        <v>3785</v>
      </c>
      <c r="G47" s="131" t="s">
        <v>30</v>
      </c>
      <c r="H47" s="53">
        <v>1</v>
      </c>
      <c r="I47" s="188">
        <v>2250</v>
      </c>
      <c r="J47" s="54">
        <f t="shared" si="2"/>
        <v>2250</v>
      </c>
      <c r="K47" s="55" t="b">
        <v>1</v>
      </c>
      <c r="L47" s="56">
        <v>80320251715</v>
      </c>
      <c r="M47" s="57" t="b">
        <v>1</v>
      </c>
      <c r="N47" s="58"/>
      <c r="O47" s="226"/>
      <c r="P47" s="191" t="b">
        <v>1</v>
      </c>
      <c r="Q47" s="308" t="s">
        <v>3138</v>
      </c>
      <c r="R47" s="47" t="b">
        <v>1</v>
      </c>
      <c r="S47" s="313"/>
      <c r="T47" s="310" t="s">
        <v>3786</v>
      </c>
      <c r="U47" s="54" t="s">
        <v>3787</v>
      </c>
    </row>
    <row r="48" spans="1:21" ht="16">
      <c r="A48" s="162"/>
      <c r="B48" s="71" t="s">
        <v>3784</v>
      </c>
      <c r="C48" s="53" t="s">
        <v>104</v>
      </c>
      <c r="D48" s="66" t="s">
        <v>673</v>
      </c>
      <c r="E48" s="66" t="s">
        <v>3747</v>
      </c>
      <c r="F48" s="66" t="s">
        <v>3419</v>
      </c>
      <c r="G48" s="131" t="s">
        <v>30</v>
      </c>
      <c r="H48" s="66">
        <v>50</v>
      </c>
      <c r="I48" s="70">
        <v>85</v>
      </c>
      <c r="J48" s="54">
        <f t="shared" si="2"/>
        <v>4250</v>
      </c>
      <c r="K48" s="55" t="b">
        <v>1</v>
      </c>
      <c r="L48" s="56">
        <v>80320251715</v>
      </c>
      <c r="M48" s="57" t="b">
        <v>1</v>
      </c>
      <c r="N48" s="58"/>
      <c r="O48" s="226"/>
      <c r="P48" s="191" t="b">
        <v>1</v>
      </c>
      <c r="Q48" s="308" t="s">
        <v>3138</v>
      </c>
      <c r="R48" s="47" t="b">
        <v>1</v>
      </c>
      <c r="S48" s="173" t="s">
        <v>3788</v>
      </c>
      <c r="T48" s="310" t="s">
        <v>3789</v>
      </c>
      <c r="U48" s="54"/>
    </row>
    <row r="49" spans="1:21" ht="16">
      <c r="A49" s="101"/>
      <c r="B49" s="71" t="s">
        <v>3790</v>
      </c>
      <c r="C49" s="53" t="s">
        <v>1133</v>
      </c>
      <c r="D49" s="53" t="s">
        <v>1725</v>
      </c>
      <c r="E49" s="53" t="s">
        <v>3011</v>
      </c>
      <c r="F49" s="53" t="s">
        <v>874</v>
      </c>
      <c r="G49" s="53" t="s">
        <v>30</v>
      </c>
      <c r="H49" s="53">
        <v>200</v>
      </c>
      <c r="I49" s="188">
        <v>2.75</v>
      </c>
      <c r="J49" s="54">
        <f t="shared" si="2"/>
        <v>550</v>
      </c>
      <c r="K49" s="55" t="b">
        <v>1</v>
      </c>
      <c r="L49" s="56">
        <v>8320251839</v>
      </c>
      <c r="M49" s="57" t="b">
        <v>1</v>
      </c>
      <c r="N49" s="58"/>
      <c r="O49" s="226"/>
      <c r="P49" s="191" t="b">
        <v>1</v>
      </c>
      <c r="Q49" s="308" t="s">
        <v>3138</v>
      </c>
      <c r="R49" s="47" t="b">
        <v>1</v>
      </c>
      <c r="S49" s="313"/>
      <c r="T49" s="310" t="s">
        <v>3791</v>
      </c>
      <c r="U49" s="54"/>
    </row>
    <row r="50" spans="1:21" ht="16">
      <c r="A50" s="162"/>
      <c r="B50" s="71" t="s">
        <v>3790</v>
      </c>
      <c r="C50" s="53" t="s">
        <v>194</v>
      </c>
      <c r="D50" s="53" t="s">
        <v>137</v>
      </c>
      <c r="E50" s="53" t="s">
        <v>3054</v>
      </c>
      <c r="F50" s="53" t="s">
        <v>816</v>
      </c>
      <c r="G50" s="53" t="s">
        <v>30</v>
      </c>
      <c r="H50" s="53">
        <v>5</v>
      </c>
      <c r="I50" s="188">
        <v>755</v>
      </c>
      <c r="J50" s="54">
        <f t="shared" si="2"/>
        <v>3775</v>
      </c>
      <c r="K50" s="55" t="b">
        <v>1</v>
      </c>
      <c r="L50" s="56">
        <v>100320251839</v>
      </c>
      <c r="M50" s="57" t="b">
        <v>1</v>
      </c>
      <c r="N50" s="58"/>
      <c r="O50" s="226"/>
      <c r="P50" s="191" t="b">
        <v>1</v>
      </c>
      <c r="Q50" s="308" t="s">
        <v>3138</v>
      </c>
      <c r="R50" s="47" t="b">
        <v>1</v>
      </c>
      <c r="S50" s="173" t="s">
        <v>3792</v>
      </c>
      <c r="T50" s="310" t="s">
        <v>3793</v>
      </c>
      <c r="U50" s="54"/>
    </row>
    <row r="51" spans="1:21" ht="16">
      <c r="A51" s="162"/>
      <c r="B51" s="71" t="s">
        <v>3790</v>
      </c>
      <c r="C51" s="53" t="s">
        <v>194</v>
      </c>
      <c r="D51" s="53" t="s">
        <v>137</v>
      </c>
      <c r="E51" s="53" t="s">
        <v>3054</v>
      </c>
      <c r="F51" s="53" t="s">
        <v>574</v>
      </c>
      <c r="G51" s="53" t="s">
        <v>30</v>
      </c>
      <c r="H51" s="53">
        <v>5</v>
      </c>
      <c r="I51" s="188">
        <v>755</v>
      </c>
      <c r="J51" s="54">
        <f t="shared" si="2"/>
        <v>3775</v>
      </c>
      <c r="K51" s="55" t="b">
        <v>1</v>
      </c>
      <c r="L51" s="56">
        <v>100320251839</v>
      </c>
      <c r="M51" s="57" t="b">
        <v>1</v>
      </c>
      <c r="N51" s="58"/>
      <c r="O51" s="226"/>
      <c r="P51" s="191" t="b">
        <v>1</v>
      </c>
      <c r="Q51" s="308" t="s">
        <v>3138</v>
      </c>
      <c r="R51" s="47" t="b">
        <v>1</v>
      </c>
      <c r="S51" s="173" t="s">
        <v>3792</v>
      </c>
      <c r="T51" s="310" t="s">
        <v>3793</v>
      </c>
      <c r="U51" s="54"/>
    </row>
    <row r="52" spans="1:21" ht="16">
      <c r="A52" s="162"/>
      <c r="B52" s="71" t="s">
        <v>3790</v>
      </c>
      <c r="C52" s="53" t="s">
        <v>51</v>
      </c>
      <c r="D52" s="66" t="s">
        <v>89</v>
      </c>
      <c r="E52" s="66" t="s">
        <v>2090</v>
      </c>
      <c r="F52" s="66" t="s">
        <v>3794</v>
      </c>
      <c r="G52" s="53" t="s">
        <v>30</v>
      </c>
      <c r="H52" s="66">
        <v>21</v>
      </c>
      <c r="I52" s="70">
        <v>135</v>
      </c>
      <c r="J52" s="54">
        <f t="shared" si="2"/>
        <v>2835</v>
      </c>
      <c r="K52" s="55" t="b">
        <v>1</v>
      </c>
      <c r="L52" s="56">
        <v>100320251839</v>
      </c>
      <c r="M52" s="57" t="b">
        <v>1</v>
      </c>
      <c r="N52" s="58"/>
      <c r="O52" s="215"/>
      <c r="P52" s="191" t="b">
        <v>1</v>
      </c>
      <c r="Q52" s="308" t="s">
        <v>3138</v>
      </c>
      <c r="R52" s="47" t="b">
        <v>1</v>
      </c>
      <c r="S52" s="313"/>
      <c r="T52" s="310" t="s">
        <v>3795</v>
      </c>
      <c r="U52" s="54"/>
    </row>
    <row r="53" spans="1:21" ht="16">
      <c r="A53" s="162"/>
      <c r="B53" s="71" t="s">
        <v>3790</v>
      </c>
      <c r="C53" s="53" t="s">
        <v>51</v>
      </c>
      <c r="D53" s="66" t="s">
        <v>201</v>
      </c>
      <c r="E53" s="66" t="s">
        <v>202</v>
      </c>
      <c r="F53" s="53" t="s">
        <v>1781</v>
      </c>
      <c r="G53" s="53" t="s">
        <v>30</v>
      </c>
      <c r="H53" s="53">
        <v>168</v>
      </c>
      <c r="I53" s="188">
        <v>42</v>
      </c>
      <c r="J53" s="54">
        <f t="shared" si="2"/>
        <v>7056</v>
      </c>
      <c r="K53" s="55" t="b">
        <v>1</v>
      </c>
      <c r="L53" s="56">
        <v>100320251004</v>
      </c>
      <c r="M53" s="57" t="b">
        <v>1</v>
      </c>
      <c r="N53" s="58"/>
      <c r="O53" s="226"/>
      <c r="P53" s="191" t="b">
        <v>1</v>
      </c>
      <c r="Q53" s="358" t="s">
        <v>3138</v>
      </c>
      <c r="R53" s="47" t="b">
        <v>1</v>
      </c>
      <c r="S53" s="313"/>
      <c r="T53" s="310" t="s">
        <v>3796</v>
      </c>
      <c r="U53" s="54"/>
    </row>
    <row r="54" spans="1:21" ht="16">
      <c r="A54" s="162"/>
      <c r="B54" s="71" t="s">
        <v>3790</v>
      </c>
      <c r="C54" s="53" t="s">
        <v>51</v>
      </c>
      <c r="D54" s="66" t="s">
        <v>201</v>
      </c>
      <c r="E54" s="66" t="s">
        <v>202</v>
      </c>
      <c r="F54" s="53" t="s">
        <v>3459</v>
      </c>
      <c r="G54" s="53" t="s">
        <v>30</v>
      </c>
      <c r="H54" s="53">
        <v>10</v>
      </c>
      <c r="I54" s="188">
        <v>725</v>
      </c>
      <c r="J54" s="54">
        <f t="shared" si="2"/>
        <v>7250</v>
      </c>
      <c r="K54" s="55" t="b">
        <v>1</v>
      </c>
      <c r="L54" s="56">
        <v>100320251004</v>
      </c>
      <c r="M54" s="57" t="b">
        <v>1</v>
      </c>
      <c r="N54" s="58"/>
      <c r="O54" s="226"/>
      <c r="P54" s="191" t="b">
        <v>1</v>
      </c>
      <c r="Q54" s="358" t="s">
        <v>3138</v>
      </c>
      <c r="R54" s="47" t="b">
        <v>1</v>
      </c>
      <c r="S54" s="313"/>
      <c r="T54" s="310" t="s">
        <v>3796</v>
      </c>
      <c r="U54" s="54"/>
    </row>
    <row r="55" spans="1:21" ht="16">
      <c r="A55" s="162"/>
      <c r="B55" s="71" t="s">
        <v>3790</v>
      </c>
      <c r="C55" s="53" t="s">
        <v>418</v>
      </c>
      <c r="D55" s="66" t="s">
        <v>42</v>
      </c>
      <c r="E55" s="66" t="s">
        <v>209</v>
      </c>
      <c r="F55" s="66" t="s">
        <v>771</v>
      </c>
      <c r="G55" s="53" t="s">
        <v>30</v>
      </c>
      <c r="H55" s="53">
        <v>10</v>
      </c>
      <c r="I55" s="188">
        <v>125</v>
      </c>
      <c r="J55" s="54">
        <f t="shared" si="2"/>
        <v>1250</v>
      </c>
      <c r="K55" s="55" t="b">
        <v>1</v>
      </c>
      <c r="L55" s="56">
        <v>100320251210</v>
      </c>
      <c r="M55" s="57" t="b">
        <v>1</v>
      </c>
      <c r="N55" s="58"/>
      <c r="O55" s="226"/>
      <c r="P55" s="191" t="b">
        <v>1</v>
      </c>
      <c r="Q55" s="308" t="s">
        <v>3138</v>
      </c>
      <c r="R55" s="47" t="b">
        <v>1</v>
      </c>
      <c r="S55" s="313"/>
      <c r="T55" s="310" t="s">
        <v>3797</v>
      </c>
      <c r="U55" s="54"/>
    </row>
    <row r="56" spans="1:21" ht="16">
      <c r="A56" s="162"/>
      <c r="B56" s="71" t="s">
        <v>3790</v>
      </c>
      <c r="C56" s="53" t="s">
        <v>46</v>
      </c>
      <c r="D56" s="53" t="s">
        <v>47</v>
      </c>
      <c r="E56" s="53" t="s">
        <v>48</v>
      </c>
      <c r="F56" s="53" t="s">
        <v>103</v>
      </c>
      <c r="G56" s="53" t="s">
        <v>30</v>
      </c>
      <c r="H56" s="66">
        <v>15</v>
      </c>
      <c r="I56" s="70">
        <v>300</v>
      </c>
      <c r="J56" s="54">
        <f t="shared" si="2"/>
        <v>4500</v>
      </c>
      <c r="K56" s="55" t="b">
        <v>1</v>
      </c>
      <c r="L56" s="56">
        <v>100320251959</v>
      </c>
      <c r="M56" s="57" t="b">
        <v>1</v>
      </c>
      <c r="N56" s="58"/>
      <c r="O56" s="215"/>
      <c r="P56" s="191" t="b">
        <v>1</v>
      </c>
      <c r="Q56" s="308" t="s">
        <v>3138</v>
      </c>
      <c r="R56" s="47" t="b">
        <v>1</v>
      </c>
      <c r="S56" s="173" t="s">
        <v>3798</v>
      </c>
      <c r="T56" s="310" t="s">
        <v>3799</v>
      </c>
      <c r="U56" s="54"/>
    </row>
    <row r="57" spans="1:21" ht="14.25" customHeight="1">
      <c r="A57" s="162"/>
      <c r="B57" s="71" t="s">
        <v>3790</v>
      </c>
      <c r="C57" s="53" t="s">
        <v>51</v>
      </c>
      <c r="D57" s="53" t="s">
        <v>201</v>
      </c>
      <c r="E57" s="53" t="s">
        <v>202</v>
      </c>
      <c r="F57" s="53" t="s">
        <v>3800</v>
      </c>
      <c r="G57" s="53" t="s">
        <v>30</v>
      </c>
      <c r="H57" s="53">
        <v>1</v>
      </c>
      <c r="I57" s="188">
        <v>9750</v>
      </c>
      <c r="J57" s="54">
        <f t="shared" si="2"/>
        <v>9750</v>
      </c>
      <c r="K57" s="55" t="b">
        <v>1</v>
      </c>
      <c r="L57" s="56">
        <v>100320252022</v>
      </c>
      <c r="M57" s="57" t="b">
        <v>1</v>
      </c>
      <c r="N57" s="58" t="s">
        <v>39</v>
      </c>
      <c r="O57" s="226"/>
      <c r="P57" s="191" t="b">
        <v>1</v>
      </c>
      <c r="Q57" s="308" t="s">
        <v>3138</v>
      </c>
      <c r="R57" s="47" t="b">
        <v>1</v>
      </c>
      <c r="S57" s="359"/>
      <c r="T57" s="310" t="s">
        <v>3801</v>
      </c>
      <c r="U57" s="359" t="s">
        <v>3802</v>
      </c>
    </row>
    <row r="58" spans="1:21" ht="16">
      <c r="A58" s="162"/>
      <c r="B58" s="132" t="s">
        <v>3790</v>
      </c>
      <c r="C58" s="53" t="s">
        <v>51</v>
      </c>
      <c r="D58" s="53" t="s">
        <v>201</v>
      </c>
      <c r="E58" s="53" t="s">
        <v>202</v>
      </c>
      <c r="F58" s="53" t="s">
        <v>3115</v>
      </c>
      <c r="G58" s="53" t="s">
        <v>30</v>
      </c>
      <c r="H58" s="53">
        <v>2</v>
      </c>
      <c r="I58" s="188">
        <v>575</v>
      </c>
      <c r="J58" s="54">
        <f t="shared" si="2"/>
        <v>1150</v>
      </c>
      <c r="K58" s="55" t="b">
        <v>1</v>
      </c>
      <c r="L58" s="56">
        <v>100320252001</v>
      </c>
      <c r="M58" s="57" t="b">
        <v>1</v>
      </c>
      <c r="N58" s="58"/>
      <c r="O58" s="226"/>
      <c r="P58" s="191" t="b">
        <v>1</v>
      </c>
      <c r="Q58" s="358" t="s">
        <v>3138</v>
      </c>
      <c r="R58" s="47" t="b">
        <v>1</v>
      </c>
      <c r="S58" s="313"/>
      <c r="T58" s="310" t="s">
        <v>3803</v>
      </c>
      <c r="U58" s="54"/>
    </row>
    <row r="59" spans="1:21" ht="16">
      <c r="A59" s="162"/>
      <c r="B59" s="132" t="s">
        <v>3790</v>
      </c>
      <c r="C59" s="53" t="s">
        <v>51</v>
      </c>
      <c r="D59" s="53" t="s">
        <v>201</v>
      </c>
      <c r="E59" s="53" t="s">
        <v>202</v>
      </c>
      <c r="F59" s="53" t="s">
        <v>3804</v>
      </c>
      <c r="G59" s="53" t="s">
        <v>30</v>
      </c>
      <c r="H59" s="53">
        <v>1</v>
      </c>
      <c r="I59" s="188">
        <v>4500</v>
      </c>
      <c r="J59" s="188">
        <v>4500</v>
      </c>
      <c r="K59" s="55" t="b">
        <v>1</v>
      </c>
      <c r="L59" s="56">
        <v>100320252001</v>
      </c>
      <c r="M59" s="57" t="b">
        <v>1</v>
      </c>
      <c r="N59" s="58"/>
      <c r="O59" s="226"/>
      <c r="P59" s="191" t="b">
        <v>1</v>
      </c>
      <c r="Q59" s="358" t="s">
        <v>3138</v>
      </c>
      <c r="R59" s="47" t="b">
        <v>1</v>
      </c>
      <c r="S59" s="313"/>
      <c r="T59" s="310" t="s">
        <v>3805</v>
      </c>
      <c r="U59" s="54"/>
    </row>
    <row r="60" spans="1:21" ht="16">
      <c r="A60" s="162"/>
      <c r="B60" s="132" t="s">
        <v>3790</v>
      </c>
      <c r="C60" s="53" t="s">
        <v>51</v>
      </c>
      <c r="D60" s="53" t="s">
        <v>201</v>
      </c>
      <c r="E60" s="53" t="s">
        <v>202</v>
      </c>
      <c r="F60" s="53" t="s">
        <v>3806</v>
      </c>
      <c r="G60" s="53" t="s">
        <v>30</v>
      </c>
      <c r="H60" s="53">
        <v>1</v>
      </c>
      <c r="I60" s="188">
        <v>1500</v>
      </c>
      <c r="J60" s="188">
        <v>1500</v>
      </c>
      <c r="K60" s="55" t="b">
        <v>1</v>
      </c>
      <c r="L60" s="56">
        <v>100320252001</v>
      </c>
      <c r="M60" s="57" t="b">
        <v>1</v>
      </c>
      <c r="N60" s="58"/>
      <c r="O60" s="226"/>
      <c r="P60" s="191" t="b">
        <v>1</v>
      </c>
      <c r="Q60" s="358" t="s">
        <v>3138</v>
      </c>
      <c r="R60" s="47" t="b">
        <v>1</v>
      </c>
      <c r="S60" s="313"/>
      <c r="T60" s="310" t="s">
        <v>3805</v>
      </c>
      <c r="U60" s="54"/>
    </row>
    <row r="61" spans="1:21" ht="13.5" customHeight="1">
      <c r="A61" s="162"/>
      <c r="B61" s="132" t="s">
        <v>3790</v>
      </c>
      <c r="C61" s="53" t="s">
        <v>51</v>
      </c>
      <c r="D61" s="53" t="s">
        <v>201</v>
      </c>
      <c r="E61" s="53" t="s">
        <v>202</v>
      </c>
      <c r="F61" s="53" t="s">
        <v>3807</v>
      </c>
      <c r="G61" s="53" t="s">
        <v>30</v>
      </c>
      <c r="H61" s="53">
        <v>1</v>
      </c>
      <c r="I61" s="188">
        <v>5750</v>
      </c>
      <c r="J61" s="188">
        <v>5750</v>
      </c>
      <c r="K61" s="55" t="b">
        <v>1</v>
      </c>
      <c r="L61" s="56">
        <v>100320252001</v>
      </c>
      <c r="M61" s="57" t="b">
        <v>1</v>
      </c>
      <c r="N61" s="58"/>
      <c r="O61" s="226"/>
      <c r="P61" s="191" t="b">
        <v>1</v>
      </c>
      <c r="Q61" s="358" t="s">
        <v>3138</v>
      </c>
      <c r="R61" s="47" t="b">
        <v>1</v>
      </c>
      <c r="S61" s="313"/>
      <c r="T61" s="310" t="s">
        <v>3805</v>
      </c>
      <c r="U61" s="54"/>
    </row>
    <row r="62" spans="1:21" ht="16">
      <c r="A62" s="162"/>
      <c r="B62" s="132" t="s">
        <v>3790</v>
      </c>
      <c r="C62" s="53" t="s">
        <v>51</v>
      </c>
      <c r="D62" s="53" t="s">
        <v>201</v>
      </c>
      <c r="E62" s="53" t="s">
        <v>202</v>
      </c>
      <c r="F62" s="53" t="s">
        <v>3808</v>
      </c>
      <c r="G62" s="53" t="s">
        <v>30</v>
      </c>
      <c r="H62" s="53">
        <v>1</v>
      </c>
      <c r="I62" s="188">
        <v>5750</v>
      </c>
      <c r="J62" s="188">
        <v>5750</v>
      </c>
      <c r="K62" s="55" t="b">
        <v>1</v>
      </c>
      <c r="L62" s="56">
        <v>100320252001</v>
      </c>
      <c r="M62" s="57" t="b">
        <v>1</v>
      </c>
      <c r="N62" s="58"/>
      <c r="O62" s="226"/>
      <c r="P62" s="191" t="b">
        <v>1</v>
      </c>
      <c r="Q62" s="358" t="s">
        <v>3138</v>
      </c>
      <c r="R62" s="47" t="b">
        <v>1</v>
      </c>
      <c r="S62" s="313"/>
      <c r="T62" s="310" t="s">
        <v>3805</v>
      </c>
      <c r="U62" s="54"/>
    </row>
    <row r="63" spans="1:21" ht="16">
      <c r="A63" s="162"/>
      <c r="B63" s="132" t="s">
        <v>3790</v>
      </c>
      <c r="C63" s="66" t="s">
        <v>3809</v>
      </c>
      <c r="D63" s="66" t="s">
        <v>475</v>
      </c>
      <c r="E63" s="66" t="s">
        <v>168</v>
      </c>
      <c r="F63" s="53" t="s">
        <v>3115</v>
      </c>
      <c r="G63" s="53" t="s">
        <v>30</v>
      </c>
      <c r="H63" s="53">
        <v>2</v>
      </c>
      <c r="I63" s="188">
        <v>575</v>
      </c>
      <c r="J63" s="54">
        <v>1150</v>
      </c>
      <c r="K63" s="55" t="b">
        <v>1</v>
      </c>
      <c r="L63" s="56">
        <v>100320252001</v>
      </c>
      <c r="M63" s="57" t="b">
        <v>1</v>
      </c>
      <c r="N63" s="58"/>
      <c r="O63" s="226"/>
      <c r="P63" s="191" t="b">
        <v>1</v>
      </c>
      <c r="Q63" s="358" t="s">
        <v>3138</v>
      </c>
      <c r="R63" s="47" t="b">
        <v>1</v>
      </c>
      <c r="S63" s="313"/>
      <c r="T63" s="310" t="s">
        <v>3810</v>
      </c>
      <c r="U63" s="54"/>
    </row>
    <row r="64" spans="1:21" ht="16">
      <c r="A64" s="162"/>
      <c r="B64" s="132" t="s">
        <v>3790</v>
      </c>
      <c r="C64" s="66" t="s">
        <v>3809</v>
      </c>
      <c r="D64" s="66" t="s">
        <v>475</v>
      </c>
      <c r="E64" s="66" t="s">
        <v>168</v>
      </c>
      <c r="F64" s="53" t="s">
        <v>2752</v>
      </c>
      <c r="G64" s="53" t="s">
        <v>30</v>
      </c>
      <c r="H64" s="53">
        <v>1</v>
      </c>
      <c r="I64" s="188">
        <v>1475</v>
      </c>
      <c r="J64" s="54">
        <f t="shared" ref="J64:J72" si="3">H64*I64</f>
        <v>1475</v>
      </c>
      <c r="K64" s="55" t="b">
        <v>1</v>
      </c>
      <c r="L64" s="56">
        <v>100320252005</v>
      </c>
      <c r="M64" s="57" t="b">
        <v>1</v>
      </c>
      <c r="N64" s="58"/>
      <c r="O64" s="226"/>
      <c r="P64" s="191" t="b">
        <v>1</v>
      </c>
      <c r="Q64" s="358" t="s">
        <v>3138</v>
      </c>
      <c r="R64" s="47" t="b">
        <v>1</v>
      </c>
      <c r="S64" s="313"/>
      <c r="T64" s="310" t="s">
        <v>3810</v>
      </c>
      <c r="U64" s="54"/>
    </row>
    <row r="65" spans="1:21" ht="16">
      <c r="A65" s="162"/>
      <c r="B65" s="132" t="s">
        <v>3790</v>
      </c>
      <c r="C65" s="53" t="s">
        <v>51</v>
      </c>
      <c r="D65" s="53" t="s">
        <v>594</v>
      </c>
      <c r="E65" s="53" t="s">
        <v>595</v>
      </c>
      <c r="F65" s="53" t="s">
        <v>3811</v>
      </c>
      <c r="G65" s="53" t="s">
        <v>30</v>
      </c>
      <c r="H65" s="53">
        <v>1</v>
      </c>
      <c r="I65" s="188">
        <v>750</v>
      </c>
      <c r="J65" s="54">
        <f t="shared" si="3"/>
        <v>750</v>
      </c>
      <c r="K65" s="55" t="b">
        <v>1</v>
      </c>
      <c r="L65" s="56">
        <v>100320252005</v>
      </c>
      <c r="M65" s="57" t="b">
        <v>1</v>
      </c>
      <c r="N65" s="58" t="s">
        <v>2968</v>
      </c>
      <c r="O65" s="226"/>
      <c r="P65" s="191" t="b">
        <v>1</v>
      </c>
      <c r="Q65" s="308" t="s">
        <v>3138</v>
      </c>
      <c r="R65" s="47" t="b">
        <v>1</v>
      </c>
      <c r="S65" s="313"/>
      <c r="T65" s="310" t="s">
        <v>3812</v>
      </c>
      <c r="U65" s="54"/>
    </row>
    <row r="66" spans="1:21" ht="16">
      <c r="A66" s="162"/>
      <c r="B66" s="132" t="s">
        <v>3813</v>
      </c>
      <c r="C66" s="53" t="s">
        <v>212</v>
      </c>
      <c r="D66" s="53" t="s">
        <v>213</v>
      </c>
      <c r="E66" s="53" t="s">
        <v>2839</v>
      </c>
      <c r="F66" s="53" t="s">
        <v>1952</v>
      </c>
      <c r="G66" s="53" t="s">
        <v>30</v>
      </c>
      <c r="H66" s="53">
        <v>10</v>
      </c>
      <c r="I66" s="188">
        <v>635</v>
      </c>
      <c r="J66" s="54">
        <f t="shared" si="3"/>
        <v>6350</v>
      </c>
      <c r="K66" s="55" t="b">
        <v>1</v>
      </c>
      <c r="L66" s="56">
        <v>110320251703</v>
      </c>
      <c r="M66" s="57" t="b">
        <v>1</v>
      </c>
      <c r="N66" s="58" t="s">
        <v>39</v>
      </c>
      <c r="O66" s="226"/>
      <c r="P66" s="191" t="b">
        <v>1</v>
      </c>
      <c r="Q66" s="308" t="s">
        <v>3138</v>
      </c>
      <c r="R66" s="47" t="b">
        <v>1</v>
      </c>
      <c r="S66" s="313"/>
      <c r="T66" s="310" t="s">
        <v>3814</v>
      </c>
      <c r="U66" s="54"/>
    </row>
    <row r="67" spans="1:21" ht="16">
      <c r="A67" s="162"/>
      <c r="B67" s="132" t="s">
        <v>3813</v>
      </c>
      <c r="C67" s="53" t="s">
        <v>51</v>
      </c>
      <c r="D67" s="53" t="s">
        <v>52</v>
      </c>
      <c r="E67" s="53" t="s">
        <v>3702</v>
      </c>
      <c r="F67" s="53" t="s">
        <v>1024</v>
      </c>
      <c r="G67" s="53" t="s">
        <v>30</v>
      </c>
      <c r="H67" s="53">
        <v>5</v>
      </c>
      <c r="I67" s="188">
        <v>155</v>
      </c>
      <c r="J67" s="54">
        <f t="shared" si="3"/>
        <v>775</v>
      </c>
      <c r="K67" s="55" t="b">
        <v>1</v>
      </c>
      <c r="L67" s="56">
        <v>110320251704</v>
      </c>
      <c r="M67" s="57" t="b">
        <v>1</v>
      </c>
      <c r="N67" s="58" t="s">
        <v>529</v>
      </c>
      <c r="O67" s="226"/>
      <c r="P67" s="191" t="b">
        <v>1</v>
      </c>
      <c r="Q67" s="308" t="s">
        <v>3138</v>
      </c>
      <c r="R67" s="47" t="b">
        <v>1</v>
      </c>
      <c r="S67" s="313"/>
      <c r="T67" s="310" t="s">
        <v>3815</v>
      </c>
      <c r="U67" s="54"/>
    </row>
    <row r="68" spans="1:21" ht="16">
      <c r="A68" s="162"/>
      <c r="B68" s="132" t="s">
        <v>3813</v>
      </c>
      <c r="C68" s="53" t="s">
        <v>51</v>
      </c>
      <c r="D68" s="53" t="s">
        <v>52</v>
      </c>
      <c r="E68" s="53" t="s">
        <v>3702</v>
      </c>
      <c r="F68" s="53" t="s">
        <v>3816</v>
      </c>
      <c r="G68" s="53" t="s">
        <v>30</v>
      </c>
      <c r="H68" s="53">
        <v>2</v>
      </c>
      <c r="I68" s="188">
        <v>165</v>
      </c>
      <c r="J68" s="54">
        <f t="shared" si="3"/>
        <v>330</v>
      </c>
      <c r="K68" s="55" t="b">
        <v>1</v>
      </c>
      <c r="L68" s="56">
        <v>110320251705</v>
      </c>
      <c r="M68" s="57" t="b">
        <v>1</v>
      </c>
      <c r="N68" s="58" t="s">
        <v>2968</v>
      </c>
      <c r="O68" s="226"/>
      <c r="P68" s="191" t="b">
        <v>1</v>
      </c>
      <c r="Q68" s="308" t="s">
        <v>3138</v>
      </c>
      <c r="R68" s="47" t="b">
        <v>1</v>
      </c>
      <c r="S68" s="313"/>
      <c r="T68" s="310" t="s">
        <v>3815</v>
      </c>
      <c r="U68" s="54"/>
    </row>
    <row r="69" spans="1:21" ht="16">
      <c r="A69" s="162"/>
      <c r="B69" s="132" t="s">
        <v>3813</v>
      </c>
      <c r="C69" s="53" t="s">
        <v>51</v>
      </c>
      <c r="D69" s="53" t="s">
        <v>52</v>
      </c>
      <c r="E69" s="53" t="s">
        <v>3702</v>
      </c>
      <c r="F69" s="53" t="s">
        <v>3817</v>
      </c>
      <c r="G69" s="53" t="s">
        <v>30</v>
      </c>
      <c r="H69" s="53">
        <v>2</v>
      </c>
      <c r="I69" s="188">
        <v>175</v>
      </c>
      <c r="J69" s="54">
        <f t="shared" si="3"/>
        <v>350</v>
      </c>
      <c r="K69" s="55" t="b">
        <v>1</v>
      </c>
      <c r="L69" s="56">
        <v>110320251705</v>
      </c>
      <c r="M69" s="57" t="b">
        <v>1</v>
      </c>
      <c r="N69" s="58" t="s">
        <v>2968</v>
      </c>
      <c r="O69" s="226"/>
      <c r="P69" s="191" t="b">
        <v>1</v>
      </c>
      <c r="Q69" s="308" t="s">
        <v>3138</v>
      </c>
      <c r="R69" s="47" t="b">
        <v>1</v>
      </c>
      <c r="S69" s="313"/>
      <c r="T69" s="310" t="s">
        <v>3815</v>
      </c>
      <c r="U69" s="54"/>
    </row>
    <row r="70" spans="1:21" ht="16">
      <c r="A70" s="162"/>
      <c r="B70" s="132" t="s">
        <v>3813</v>
      </c>
      <c r="C70" s="53" t="s">
        <v>26</v>
      </c>
      <c r="D70" s="53" t="s">
        <v>27</v>
      </c>
      <c r="E70" s="53" t="s">
        <v>1273</v>
      </c>
      <c r="F70" s="69" t="s">
        <v>2309</v>
      </c>
      <c r="G70" s="53" t="s">
        <v>30</v>
      </c>
      <c r="H70" s="53">
        <v>200</v>
      </c>
      <c r="I70" s="188">
        <v>9.75</v>
      </c>
      <c r="J70" s="54">
        <f t="shared" si="3"/>
        <v>1950</v>
      </c>
      <c r="K70" s="55" t="b">
        <v>1</v>
      </c>
      <c r="L70" s="56">
        <v>110320251705</v>
      </c>
      <c r="M70" s="57" t="b">
        <v>1</v>
      </c>
      <c r="N70" s="58"/>
      <c r="O70" s="226"/>
      <c r="P70" s="191" t="b">
        <v>1</v>
      </c>
      <c r="Q70" s="308" t="s">
        <v>3138</v>
      </c>
      <c r="R70" s="47" t="b">
        <v>1</v>
      </c>
      <c r="S70" s="313"/>
      <c r="T70" s="310" t="s">
        <v>3818</v>
      </c>
      <c r="U70" s="54"/>
    </row>
    <row r="71" spans="1:21" ht="16">
      <c r="A71" s="162"/>
      <c r="B71" s="132" t="s">
        <v>3813</v>
      </c>
      <c r="C71" s="53" t="s">
        <v>26</v>
      </c>
      <c r="D71" s="53" t="s">
        <v>27</v>
      </c>
      <c r="E71" s="53" t="s">
        <v>1273</v>
      </c>
      <c r="F71" s="53" t="s">
        <v>2267</v>
      </c>
      <c r="G71" s="131" t="s">
        <v>30</v>
      </c>
      <c r="H71" s="53">
        <v>100</v>
      </c>
      <c r="I71" s="188">
        <v>55</v>
      </c>
      <c r="J71" s="54">
        <f t="shared" si="3"/>
        <v>5500</v>
      </c>
      <c r="K71" s="55" t="b">
        <v>1</v>
      </c>
      <c r="L71" s="56">
        <v>110320251705</v>
      </c>
      <c r="M71" s="57" t="b">
        <v>1</v>
      </c>
      <c r="N71" s="58"/>
      <c r="O71" s="215"/>
      <c r="P71" s="191" t="b">
        <v>1</v>
      </c>
      <c r="Q71" s="308" t="s">
        <v>3138</v>
      </c>
      <c r="R71" s="47" t="b">
        <v>1</v>
      </c>
      <c r="S71" s="313"/>
      <c r="T71" s="310" t="s">
        <v>3819</v>
      </c>
      <c r="U71" s="54"/>
    </row>
    <row r="72" spans="1:21" ht="16">
      <c r="A72" s="162"/>
      <c r="B72" s="132" t="s">
        <v>3813</v>
      </c>
      <c r="C72" s="53" t="s">
        <v>26</v>
      </c>
      <c r="D72" s="53" t="s">
        <v>27</v>
      </c>
      <c r="E72" s="53" t="s">
        <v>1273</v>
      </c>
      <c r="F72" s="53" t="s">
        <v>3820</v>
      </c>
      <c r="G72" s="131" t="s">
        <v>30</v>
      </c>
      <c r="H72" s="53">
        <v>100</v>
      </c>
      <c r="I72" s="188">
        <v>60</v>
      </c>
      <c r="J72" s="54">
        <f t="shared" si="3"/>
        <v>6000</v>
      </c>
      <c r="K72" s="55" t="b">
        <v>1</v>
      </c>
      <c r="L72" s="56">
        <v>110320251705</v>
      </c>
      <c r="M72" s="57" t="b">
        <v>1</v>
      </c>
      <c r="N72" s="58"/>
      <c r="O72" s="215"/>
      <c r="P72" s="191" t="b">
        <v>1</v>
      </c>
      <c r="Q72" s="308" t="s">
        <v>3138</v>
      </c>
      <c r="R72" s="47" t="b">
        <v>1</v>
      </c>
      <c r="S72" s="313"/>
      <c r="T72" s="310" t="s">
        <v>3819</v>
      </c>
      <c r="U72" s="54"/>
    </row>
    <row r="73" spans="1:21" ht="16">
      <c r="A73" s="162"/>
      <c r="B73" s="132" t="s">
        <v>3813</v>
      </c>
      <c r="C73" s="53" t="s">
        <v>26</v>
      </c>
      <c r="D73" s="53" t="s">
        <v>27</v>
      </c>
      <c r="E73" s="53" t="s">
        <v>1273</v>
      </c>
      <c r="F73" s="53" t="s">
        <v>2434</v>
      </c>
      <c r="G73" s="131" t="s">
        <v>30</v>
      </c>
      <c r="H73" s="53">
        <v>100</v>
      </c>
      <c r="I73" s="188" t="s">
        <v>3821</v>
      </c>
      <c r="J73" s="54">
        <v>275</v>
      </c>
      <c r="K73" s="55" t="b">
        <v>1</v>
      </c>
      <c r="L73" s="56">
        <v>110320251705</v>
      </c>
      <c r="M73" s="57" t="b">
        <v>1</v>
      </c>
      <c r="N73" s="58"/>
      <c r="O73" s="226"/>
      <c r="P73" s="191" t="b">
        <v>1</v>
      </c>
      <c r="Q73" s="308" t="s">
        <v>3138</v>
      </c>
      <c r="R73" s="47" t="b">
        <v>1</v>
      </c>
      <c r="S73" s="313"/>
      <c r="T73" s="310" t="s">
        <v>3818</v>
      </c>
      <c r="U73" s="54"/>
    </row>
    <row r="74" spans="1:21" ht="16">
      <c r="A74" s="162"/>
      <c r="B74" s="132" t="s">
        <v>3813</v>
      </c>
      <c r="C74" s="53" t="s">
        <v>26</v>
      </c>
      <c r="D74" s="53" t="s">
        <v>27</v>
      </c>
      <c r="E74" s="53" t="s">
        <v>1273</v>
      </c>
      <c r="F74" s="53" t="s">
        <v>3822</v>
      </c>
      <c r="G74" s="131" t="s">
        <v>30</v>
      </c>
      <c r="H74" s="53">
        <v>1</v>
      </c>
      <c r="I74" s="188">
        <v>300</v>
      </c>
      <c r="J74" s="54">
        <f t="shared" ref="J74:J85" si="4">H74*I74</f>
        <v>300</v>
      </c>
      <c r="K74" s="55" t="b">
        <v>1</v>
      </c>
      <c r="L74" s="56">
        <v>110320251705</v>
      </c>
      <c r="M74" s="57" t="b">
        <v>1</v>
      </c>
      <c r="N74" s="58" t="s">
        <v>2968</v>
      </c>
      <c r="O74" s="226"/>
      <c r="P74" s="191" t="b">
        <v>1</v>
      </c>
      <c r="Q74" s="308" t="s">
        <v>3138</v>
      </c>
      <c r="R74" s="47" t="b">
        <v>1</v>
      </c>
      <c r="S74" s="313"/>
      <c r="T74" s="310" t="s">
        <v>3823</v>
      </c>
      <c r="U74" s="54"/>
    </row>
    <row r="75" spans="1:21" ht="16">
      <c r="A75" s="162"/>
      <c r="B75" s="71" t="s">
        <v>3813</v>
      </c>
      <c r="C75" s="53" t="s">
        <v>51</v>
      </c>
      <c r="D75" s="53" t="s">
        <v>66</v>
      </c>
      <c r="E75" s="53" t="s">
        <v>67</v>
      </c>
      <c r="F75" s="53" t="s">
        <v>3824</v>
      </c>
      <c r="G75" s="131" t="s">
        <v>30</v>
      </c>
      <c r="H75" s="53">
        <v>1</v>
      </c>
      <c r="I75" s="188">
        <v>7500</v>
      </c>
      <c r="J75" s="54">
        <f t="shared" si="4"/>
        <v>7500</v>
      </c>
      <c r="K75" s="55" t="b">
        <v>1</v>
      </c>
      <c r="L75" s="56">
        <v>110320251705</v>
      </c>
      <c r="M75" s="57" t="b">
        <v>1</v>
      </c>
      <c r="N75" s="58" t="s">
        <v>529</v>
      </c>
      <c r="O75" s="226"/>
      <c r="P75" s="191" t="b">
        <v>1</v>
      </c>
      <c r="Q75" s="308" t="s">
        <v>3138</v>
      </c>
      <c r="R75" s="47" t="b">
        <v>1</v>
      </c>
      <c r="S75" s="313"/>
      <c r="T75" s="310" t="s">
        <v>3825</v>
      </c>
      <c r="U75" s="54"/>
    </row>
    <row r="76" spans="1:21" ht="16">
      <c r="A76" s="162"/>
      <c r="B76" s="71" t="s">
        <v>3813</v>
      </c>
      <c r="C76" s="53" t="s">
        <v>51</v>
      </c>
      <c r="D76" s="53" t="s">
        <v>66</v>
      </c>
      <c r="E76" s="53" t="s">
        <v>67</v>
      </c>
      <c r="F76" s="53" t="s">
        <v>3826</v>
      </c>
      <c r="G76" s="131" t="s">
        <v>30</v>
      </c>
      <c r="H76" s="53">
        <v>10</v>
      </c>
      <c r="I76" s="188">
        <v>4800</v>
      </c>
      <c r="J76" s="54">
        <f t="shared" si="4"/>
        <v>48000</v>
      </c>
      <c r="K76" s="55" t="b">
        <v>1</v>
      </c>
      <c r="L76" s="56">
        <v>110320251705</v>
      </c>
      <c r="M76" s="57" t="b">
        <v>1</v>
      </c>
      <c r="N76" s="58" t="s">
        <v>529</v>
      </c>
      <c r="O76" s="226"/>
      <c r="P76" s="191" t="b">
        <v>1</v>
      </c>
      <c r="Q76" s="308" t="s">
        <v>3138</v>
      </c>
      <c r="R76" s="47" t="b">
        <v>1</v>
      </c>
      <c r="S76" s="173" t="s">
        <v>3827</v>
      </c>
      <c r="T76" s="310" t="s">
        <v>3828</v>
      </c>
      <c r="U76" s="54"/>
    </row>
    <row r="77" spans="1:21" ht="16">
      <c r="A77" s="162"/>
      <c r="B77" s="71" t="s">
        <v>3813</v>
      </c>
      <c r="C77" s="53" t="s">
        <v>51</v>
      </c>
      <c r="D77" s="53" t="s">
        <v>66</v>
      </c>
      <c r="E77" s="53" t="s">
        <v>67</v>
      </c>
      <c r="F77" s="53" t="s">
        <v>3829</v>
      </c>
      <c r="G77" s="131" t="s">
        <v>30</v>
      </c>
      <c r="H77" s="53">
        <v>1</v>
      </c>
      <c r="I77" s="188">
        <v>5900</v>
      </c>
      <c r="J77" s="54">
        <f t="shared" si="4"/>
        <v>5900</v>
      </c>
      <c r="K77" s="55" t="b">
        <v>1</v>
      </c>
      <c r="L77" s="56">
        <v>110320251705</v>
      </c>
      <c r="M77" s="57" t="b">
        <v>1</v>
      </c>
      <c r="N77" s="58"/>
      <c r="O77" s="226"/>
      <c r="P77" s="191" t="b">
        <v>1</v>
      </c>
      <c r="Q77" s="308" t="s">
        <v>3138</v>
      </c>
      <c r="R77" s="47" t="b">
        <v>1</v>
      </c>
      <c r="S77" s="173" t="s">
        <v>3830</v>
      </c>
      <c r="T77" s="310" t="s">
        <v>3831</v>
      </c>
      <c r="U77" s="54"/>
    </row>
    <row r="78" spans="1:21" ht="16">
      <c r="A78" s="162"/>
      <c r="B78" s="71" t="s">
        <v>3813</v>
      </c>
      <c r="C78" s="53" t="s">
        <v>51</v>
      </c>
      <c r="D78" s="53" t="s">
        <v>66</v>
      </c>
      <c r="E78" s="53" t="s">
        <v>67</v>
      </c>
      <c r="F78" s="53" t="s">
        <v>3832</v>
      </c>
      <c r="G78" s="131" t="s">
        <v>30</v>
      </c>
      <c r="H78" s="53">
        <v>2</v>
      </c>
      <c r="I78" s="188">
        <v>5900</v>
      </c>
      <c r="J78" s="54">
        <f t="shared" si="4"/>
        <v>11800</v>
      </c>
      <c r="K78" s="55" t="b">
        <v>1</v>
      </c>
      <c r="L78" s="56">
        <v>110320251705</v>
      </c>
      <c r="M78" s="57" t="b">
        <v>1</v>
      </c>
      <c r="N78" s="58"/>
      <c r="O78" s="226"/>
      <c r="P78" s="191" t="b">
        <v>1</v>
      </c>
      <c r="Q78" s="308" t="s">
        <v>3138</v>
      </c>
      <c r="R78" s="47" t="b">
        <v>1</v>
      </c>
      <c r="S78" s="173" t="s">
        <v>3830</v>
      </c>
      <c r="T78" s="310" t="s">
        <v>3831</v>
      </c>
      <c r="U78" s="54"/>
    </row>
    <row r="79" spans="1:21" ht="16">
      <c r="A79" s="162"/>
      <c r="B79" s="71" t="s">
        <v>3833</v>
      </c>
      <c r="C79" s="53" t="s">
        <v>433</v>
      </c>
      <c r="D79" s="53" t="s">
        <v>751</v>
      </c>
      <c r="E79" s="53" t="s">
        <v>2538</v>
      </c>
      <c r="F79" s="53" t="s">
        <v>1455</v>
      </c>
      <c r="G79" s="131" t="s">
        <v>30</v>
      </c>
      <c r="H79" s="53">
        <v>14</v>
      </c>
      <c r="I79" s="188">
        <v>775</v>
      </c>
      <c r="J79" s="54">
        <f t="shared" si="4"/>
        <v>10850</v>
      </c>
      <c r="K79" s="55" t="b">
        <v>1</v>
      </c>
      <c r="L79" s="56">
        <v>120320251024</v>
      </c>
      <c r="M79" s="57" t="b">
        <v>1</v>
      </c>
      <c r="N79" s="58" t="s">
        <v>529</v>
      </c>
      <c r="O79" s="226"/>
      <c r="P79" s="191" t="b">
        <v>1</v>
      </c>
      <c r="Q79" s="308" t="s">
        <v>3684</v>
      </c>
      <c r="R79" s="47" t="b">
        <v>1</v>
      </c>
      <c r="S79" s="173" t="s">
        <v>3834</v>
      </c>
      <c r="T79" s="310" t="s">
        <v>3835</v>
      </c>
      <c r="U79" s="54"/>
    </row>
    <row r="80" spans="1:21" ht="13.5" customHeight="1">
      <c r="A80" s="162"/>
      <c r="B80" s="71" t="s">
        <v>3833</v>
      </c>
      <c r="C80" s="53" t="s">
        <v>51</v>
      </c>
      <c r="D80" s="53" t="s">
        <v>61</v>
      </c>
      <c r="E80" s="53" t="s">
        <v>476</v>
      </c>
      <c r="F80" s="53" t="s">
        <v>3115</v>
      </c>
      <c r="G80" s="131" t="s">
        <v>30</v>
      </c>
      <c r="H80" s="53">
        <v>2</v>
      </c>
      <c r="I80" s="188">
        <v>575</v>
      </c>
      <c r="J80" s="54">
        <f t="shared" si="4"/>
        <v>1150</v>
      </c>
      <c r="K80" s="55" t="b">
        <v>1</v>
      </c>
      <c r="L80" s="56">
        <v>120320251222</v>
      </c>
      <c r="M80" s="57" t="b">
        <v>1</v>
      </c>
      <c r="N80" s="58"/>
      <c r="O80" s="226"/>
      <c r="P80" s="191" t="b">
        <v>1</v>
      </c>
      <c r="Q80" s="308" t="s">
        <v>3138</v>
      </c>
      <c r="R80" s="47" t="b">
        <v>1</v>
      </c>
      <c r="S80" s="313"/>
      <c r="T80" s="310" t="s">
        <v>3836</v>
      </c>
      <c r="U80" s="54"/>
    </row>
    <row r="81" spans="1:21" ht="16">
      <c r="A81" s="162"/>
      <c r="B81" s="71" t="s">
        <v>3833</v>
      </c>
      <c r="C81" s="53" t="s">
        <v>262</v>
      </c>
      <c r="D81" s="53" t="s">
        <v>263</v>
      </c>
      <c r="E81" s="53" t="s">
        <v>2855</v>
      </c>
      <c r="F81" s="69" t="s">
        <v>3837</v>
      </c>
      <c r="G81" s="131" t="s">
        <v>30</v>
      </c>
      <c r="H81" s="53">
        <v>50</v>
      </c>
      <c r="I81" s="188">
        <v>135</v>
      </c>
      <c r="J81" s="54">
        <f t="shared" si="4"/>
        <v>6750</v>
      </c>
      <c r="K81" s="55" t="b">
        <v>1</v>
      </c>
      <c r="L81" s="56">
        <v>120320251222</v>
      </c>
      <c r="M81" s="57" t="b">
        <v>1</v>
      </c>
      <c r="N81" s="58" t="s">
        <v>2968</v>
      </c>
      <c r="O81" s="226"/>
      <c r="P81" s="191" t="b">
        <v>1</v>
      </c>
      <c r="Q81" s="308" t="s">
        <v>3138</v>
      </c>
      <c r="R81" s="47" t="b">
        <v>1</v>
      </c>
      <c r="S81" s="173" t="s">
        <v>3838</v>
      </c>
      <c r="T81" s="310" t="s">
        <v>3839</v>
      </c>
      <c r="U81" s="54"/>
    </row>
    <row r="82" spans="1:21" ht="16">
      <c r="A82" s="162"/>
      <c r="B82" s="71" t="s">
        <v>3833</v>
      </c>
      <c r="C82" s="53" t="s">
        <v>262</v>
      </c>
      <c r="D82" s="53" t="s">
        <v>263</v>
      </c>
      <c r="E82" s="53" t="s">
        <v>2855</v>
      </c>
      <c r="F82" s="53" t="s">
        <v>3840</v>
      </c>
      <c r="G82" s="131" t="s">
        <v>30</v>
      </c>
      <c r="H82" s="53">
        <v>50</v>
      </c>
      <c r="I82" s="188">
        <v>115</v>
      </c>
      <c r="J82" s="54">
        <f t="shared" si="4"/>
        <v>5750</v>
      </c>
      <c r="K82" s="55" t="b">
        <v>1</v>
      </c>
      <c r="L82" s="56">
        <v>120320251222</v>
      </c>
      <c r="M82" s="57" t="b">
        <v>1</v>
      </c>
      <c r="N82" s="58" t="s">
        <v>2968</v>
      </c>
      <c r="O82" s="226"/>
      <c r="P82" s="191" t="b">
        <v>1</v>
      </c>
      <c r="Q82" s="308" t="s">
        <v>3138</v>
      </c>
      <c r="R82" s="47" t="b">
        <v>1</v>
      </c>
      <c r="S82" s="173" t="s">
        <v>3838</v>
      </c>
      <c r="T82" s="310" t="s">
        <v>3839</v>
      </c>
      <c r="U82" s="54"/>
    </row>
    <row r="83" spans="1:21" ht="16">
      <c r="A83" s="162"/>
      <c r="B83" s="71" t="s">
        <v>3833</v>
      </c>
      <c r="C83" s="53" t="s">
        <v>262</v>
      </c>
      <c r="D83" s="53" t="s">
        <v>263</v>
      </c>
      <c r="E83" s="53" t="s">
        <v>2855</v>
      </c>
      <c r="F83" s="53" t="s">
        <v>68</v>
      </c>
      <c r="G83" s="131" t="s">
        <v>30</v>
      </c>
      <c r="H83" s="53">
        <v>1</v>
      </c>
      <c r="I83" s="188">
        <v>2350</v>
      </c>
      <c r="J83" s="54">
        <f t="shared" si="4"/>
        <v>2350</v>
      </c>
      <c r="K83" s="55" t="b">
        <v>1</v>
      </c>
      <c r="L83" s="56">
        <v>120320251222</v>
      </c>
      <c r="M83" s="57" t="b">
        <v>1</v>
      </c>
      <c r="N83" s="58" t="s">
        <v>77</v>
      </c>
      <c r="O83" s="226"/>
      <c r="P83" s="191" t="b">
        <v>1</v>
      </c>
      <c r="Q83" s="308" t="s">
        <v>3138</v>
      </c>
      <c r="R83" s="47" t="b">
        <v>1</v>
      </c>
      <c r="S83" s="313"/>
      <c r="T83" s="310" t="s">
        <v>3841</v>
      </c>
      <c r="U83" s="54"/>
    </row>
    <row r="84" spans="1:21" ht="16.5" customHeight="1">
      <c r="A84" s="162"/>
      <c r="B84" s="71" t="s">
        <v>3833</v>
      </c>
      <c r="C84" s="53" t="s">
        <v>104</v>
      </c>
      <c r="D84" s="53" t="s">
        <v>3842</v>
      </c>
      <c r="E84" s="53" t="s">
        <v>866</v>
      </c>
      <c r="F84" s="53" t="s">
        <v>2423</v>
      </c>
      <c r="G84" s="131" t="s">
        <v>30</v>
      </c>
      <c r="H84" s="53">
        <v>20</v>
      </c>
      <c r="I84" s="188">
        <v>635</v>
      </c>
      <c r="J84" s="54">
        <f t="shared" si="4"/>
        <v>12700</v>
      </c>
      <c r="K84" s="55" t="b">
        <v>1</v>
      </c>
      <c r="L84" s="56">
        <v>120320251602</v>
      </c>
      <c r="M84" s="57" t="b">
        <v>1</v>
      </c>
      <c r="N84" s="58" t="s">
        <v>39</v>
      </c>
      <c r="O84" s="226"/>
      <c r="P84" s="191" t="b">
        <v>1</v>
      </c>
      <c r="Q84" s="308" t="s">
        <v>3138</v>
      </c>
      <c r="R84" s="47" t="b">
        <v>1</v>
      </c>
      <c r="S84" s="173" t="s">
        <v>3843</v>
      </c>
      <c r="T84" s="310" t="s">
        <v>3844</v>
      </c>
      <c r="U84" s="54"/>
    </row>
    <row r="85" spans="1:21" ht="16">
      <c r="A85" s="162"/>
      <c r="B85" s="71" t="s">
        <v>3833</v>
      </c>
      <c r="C85" s="53" t="s">
        <v>144</v>
      </c>
      <c r="D85" s="53" t="s">
        <v>1959</v>
      </c>
      <c r="E85" s="53" t="s">
        <v>1235</v>
      </c>
      <c r="F85" s="53" t="s">
        <v>68</v>
      </c>
      <c r="G85" s="131" t="s">
        <v>30</v>
      </c>
      <c r="H85" s="53">
        <v>2</v>
      </c>
      <c r="I85" s="188">
        <v>2350</v>
      </c>
      <c r="J85" s="54">
        <f t="shared" si="4"/>
        <v>4700</v>
      </c>
      <c r="K85" s="55" t="b">
        <v>1</v>
      </c>
      <c r="L85" s="56">
        <v>120320251602</v>
      </c>
      <c r="M85" s="57" t="b">
        <v>1</v>
      </c>
      <c r="N85" s="58" t="s">
        <v>1581</v>
      </c>
      <c r="O85" s="226"/>
      <c r="P85" s="191" t="b">
        <v>1</v>
      </c>
      <c r="Q85" s="308" t="s">
        <v>3138</v>
      </c>
      <c r="R85" s="47" t="b">
        <v>1</v>
      </c>
      <c r="S85" s="173"/>
      <c r="T85" s="310" t="s">
        <v>3845</v>
      </c>
      <c r="U85" s="54"/>
    </row>
    <row r="86" spans="1:21" ht="16">
      <c r="A86" s="162"/>
      <c r="B86" s="71" t="s">
        <v>3846</v>
      </c>
      <c r="C86" s="53" t="s">
        <v>262</v>
      </c>
      <c r="D86" s="53" t="s">
        <v>3446</v>
      </c>
      <c r="E86" s="53" t="s">
        <v>3847</v>
      </c>
      <c r="F86" s="53" t="s">
        <v>3848</v>
      </c>
      <c r="G86" s="131" t="s">
        <v>30</v>
      </c>
      <c r="H86" s="53">
        <v>3</v>
      </c>
      <c r="I86" s="188">
        <v>1750</v>
      </c>
      <c r="J86" s="75">
        <f>(H86*I86)</f>
        <v>5250</v>
      </c>
      <c r="K86" s="55" t="b">
        <v>1</v>
      </c>
      <c r="L86" s="56">
        <v>130320251130</v>
      </c>
      <c r="M86" s="57" t="b">
        <v>1</v>
      </c>
      <c r="N86" s="58" t="s">
        <v>529</v>
      </c>
      <c r="O86" s="226"/>
      <c r="P86" s="191" t="b">
        <v>1</v>
      </c>
      <c r="Q86" s="308" t="s">
        <v>3138</v>
      </c>
      <c r="R86" s="47" t="b">
        <v>1</v>
      </c>
      <c r="S86" s="173" t="s">
        <v>3849</v>
      </c>
      <c r="T86" s="310" t="s">
        <v>3850</v>
      </c>
      <c r="U86" s="54"/>
    </row>
    <row r="87" spans="1:21" ht="16">
      <c r="A87" s="162"/>
      <c r="B87" s="71" t="s">
        <v>3846</v>
      </c>
      <c r="C87" s="53" t="s">
        <v>51</v>
      </c>
      <c r="D87" s="53" t="s">
        <v>475</v>
      </c>
      <c r="E87" s="53" t="s">
        <v>2105</v>
      </c>
      <c r="F87" s="53" t="s">
        <v>3851</v>
      </c>
      <c r="G87" s="131" t="s">
        <v>30</v>
      </c>
      <c r="H87" s="53">
        <v>1</v>
      </c>
      <c r="I87" s="188">
        <v>10250</v>
      </c>
      <c r="J87" s="54">
        <f t="shared" ref="J87:J154" si="5">H87*I87</f>
        <v>10250</v>
      </c>
      <c r="K87" s="55" t="b">
        <v>1</v>
      </c>
      <c r="L87" s="56">
        <v>130320251229</v>
      </c>
      <c r="M87" s="57" t="b">
        <v>1</v>
      </c>
      <c r="N87" s="58" t="s">
        <v>2968</v>
      </c>
      <c r="O87" s="226"/>
      <c r="P87" s="191" t="b">
        <v>1</v>
      </c>
      <c r="Q87" s="308" t="s">
        <v>3138</v>
      </c>
      <c r="R87" s="47" t="b">
        <v>1</v>
      </c>
      <c r="S87" s="313"/>
      <c r="T87" s="310" t="s">
        <v>3852</v>
      </c>
      <c r="U87" s="54"/>
    </row>
    <row r="88" spans="1:21" ht="16">
      <c r="A88" s="162"/>
      <c r="B88" s="71" t="s">
        <v>3846</v>
      </c>
      <c r="C88" s="53" t="s">
        <v>2153</v>
      </c>
      <c r="D88" s="53" t="s">
        <v>2153</v>
      </c>
      <c r="E88" s="53" t="s">
        <v>3853</v>
      </c>
      <c r="F88" s="53" t="s">
        <v>2423</v>
      </c>
      <c r="G88" s="131" t="s">
        <v>30</v>
      </c>
      <c r="H88" s="53">
        <v>10</v>
      </c>
      <c r="I88" s="188">
        <v>635</v>
      </c>
      <c r="J88" s="54">
        <f t="shared" si="5"/>
        <v>6350</v>
      </c>
      <c r="K88" s="55" t="b">
        <v>1</v>
      </c>
      <c r="L88" s="56">
        <v>130320251233</v>
      </c>
      <c r="M88" s="57" t="b">
        <v>1</v>
      </c>
      <c r="N88" s="58" t="s">
        <v>39</v>
      </c>
      <c r="O88" s="226"/>
      <c r="P88" s="191" t="b">
        <v>1</v>
      </c>
      <c r="Q88" s="308" t="s">
        <v>3138</v>
      </c>
      <c r="R88" s="47" t="b">
        <v>1</v>
      </c>
      <c r="S88" s="173" t="s">
        <v>3854</v>
      </c>
      <c r="T88" s="310" t="s">
        <v>3855</v>
      </c>
      <c r="U88" s="54"/>
    </row>
    <row r="89" spans="1:21" ht="13.5" customHeight="1">
      <c r="A89" s="162"/>
      <c r="B89" s="71" t="s">
        <v>3846</v>
      </c>
      <c r="C89" s="53" t="s">
        <v>2153</v>
      </c>
      <c r="D89" s="53" t="s">
        <v>2153</v>
      </c>
      <c r="E89" s="53" t="s">
        <v>3853</v>
      </c>
      <c r="F89" s="53" t="s">
        <v>236</v>
      </c>
      <c r="G89" s="131" t="s">
        <v>30</v>
      </c>
      <c r="H89" s="53">
        <v>6</v>
      </c>
      <c r="I89" s="188">
        <v>195</v>
      </c>
      <c r="J89" s="54">
        <f t="shared" si="5"/>
        <v>1170</v>
      </c>
      <c r="K89" s="55" t="b">
        <v>1</v>
      </c>
      <c r="L89" s="56">
        <v>130320251242</v>
      </c>
      <c r="M89" s="57" t="b">
        <v>1</v>
      </c>
      <c r="N89" s="58"/>
      <c r="O89" s="226"/>
      <c r="P89" s="191" t="b">
        <v>1</v>
      </c>
      <c r="Q89" s="308" t="s">
        <v>3138</v>
      </c>
      <c r="R89" s="47" t="b">
        <v>1</v>
      </c>
      <c r="S89" s="313"/>
      <c r="T89" s="310" t="s">
        <v>3856</v>
      </c>
      <c r="U89" s="54"/>
    </row>
    <row r="90" spans="1:21" ht="16">
      <c r="A90" s="162"/>
      <c r="B90" s="71" t="s">
        <v>3857</v>
      </c>
      <c r="C90" s="53" t="s">
        <v>41</v>
      </c>
      <c r="D90" s="53" t="s">
        <v>84</v>
      </c>
      <c r="E90" s="53" t="s">
        <v>3069</v>
      </c>
      <c r="F90" s="53" t="s">
        <v>3858</v>
      </c>
      <c r="G90" s="131" t="s">
        <v>30</v>
      </c>
      <c r="H90" s="53">
        <v>20</v>
      </c>
      <c r="I90" s="188">
        <v>135</v>
      </c>
      <c r="J90" s="54">
        <f t="shared" si="5"/>
        <v>2700</v>
      </c>
      <c r="K90" s="55" t="b">
        <v>1</v>
      </c>
      <c r="L90" s="56">
        <v>140320250916</v>
      </c>
      <c r="M90" s="57" t="b">
        <v>1</v>
      </c>
      <c r="N90" s="58" t="s">
        <v>2968</v>
      </c>
      <c r="O90" s="226"/>
      <c r="P90" s="191" t="b">
        <v>1</v>
      </c>
      <c r="Q90" s="308" t="s">
        <v>3138</v>
      </c>
      <c r="R90" s="47" t="b">
        <v>1</v>
      </c>
      <c r="S90" s="173" t="s">
        <v>3859</v>
      </c>
      <c r="T90" s="310" t="s">
        <v>3860</v>
      </c>
      <c r="U90" s="54"/>
    </row>
    <row r="91" spans="1:21" ht="14.25" customHeight="1">
      <c r="A91" s="162"/>
      <c r="B91" s="71" t="s">
        <v>3857</v>
      </c>
      <c r="C91" s="53" t="s">
        <v>41</v>
      </c>
      <c r="D91" s="53" t="s">
        <v>84</v>
      </c>
      <c r="E91" s="53" t="s">
        <v>3069</v>
      </c>
      <c r="F91" s="53" t="s">
        <v>447</v>
      </c>
      <c r="G91" s="131" t="s">
        <v>30</v>
      </c>
      <c r="H91" s="53">
        <v>100</v>
      </c>
      <c r="I91" s="188">
        <v>9.8000000000000007</v>
      </c>
      <c r="J91" s="54">
        <f t="shared" si="5"/>
        <v>980.00000000000011</v>
      </c>
      <c r="K91" s="55" t="b">
        <v>1</v>
      </c>
      <c r="L91" s="56">
        <v>140320250916</v>
      </c>
      <c r="M91" s="57" t="b">
        <v>1</v>
      </c>
      <c r="N91" s="58" t="s">
        <v>1581</v>
      </c>
      <c r="O91" s="226"/>
      <c r="P91" s="191" t="b">
        <v>1</v>
      </c>
      <c r="Q91" s="308" t="s">
        <v>3138</v>
      </c>
      <c r="R91" s="47" t="b">
        <v>1</v>
      </c>
      <c r="S91" s="173" t="s">
        <v>3861</v>
      </c>
      <c r="T91" s="310" t="s">
        <v>3862</v>
      </c>
      <c r="U91" s="54"/>
    </row>
    <row r="92" spans="1:21" ht="16">
      <c r="A92" s="162"/>
      <c r="B92" s="71" t="s">
        <v>3857</v>
      </c>
      <c r="C92" s="53" t="s">
        <v>41</v>
      </c>
      <c r="D92" s="53" t="s">
        <v>84</v>
      </c>
      <c r="E92" s="53" t="s">
        <v>3069</v>
      </c>
      <c r="F92" s="53" t="s">
        <v>3743</v>
      </c>
      <c r="G92" s="131" t="s">
        <v>30</v>
      </c>
      <c r="H92" s="53">
        <v>2</v>
      </c>
      <c r="I92" s="188">
        <v>165</v>
      </c>
      <c r="J92" s="54">
        <f t="shared" si="5"/>
        <v>330</v>
      </c>
      <c r="K92" s="55" t="b">
        <v>1</v>
      </c>
      <c r="L92" s="56">
        <v>140320250916</v>
      </c>
      <c r="M92" s="57" t="b">
        <v>1</v>
      </c>
      <c r="N92" s="58" t="s">
        <v>1581</v>
      </c>
      <c r="O92" s="226"/>
      <c r="P92" s="191" t="b">
        <v>1</v>
      </c>
      <c r="Q92" s="308" t="s">
        <v>3138</v>
      </c>
      <c r="R92" s="47" t="b">
        <v>1</v>
      </c>
      <c r="S92" s="173" t="s">
        <v>3861</v>
      </c>
      <c r="T92" s="310" t="s">
        <v>3862</v>
      </c>
      <c r="U92" s="54"/>
    </row>
    <row r="93" spans="1:21" ht="16">
      <c r="A93" s="162"/>
      <c r="B93" s="71" t="s">
        <v>3857</v>
      </c>
      <c r="C93" s="53" t="s">
        <v>41</v>
      </c>
      <c r="D93" s="53" t="s">
        <v>84</v>
      </c>
      <c r="E93" s="53" t="s">
        <v>3069</v>
      </c>
      <c r="F93" s="53" t="s">
        <v>3477</v>
      </c>
      <c r="G93" s="131" t="s">
        <v>30</v>
      </c>
      <c r="H93" s="53">
        <v>1</v>
      </c>
      <c r="I93" s="188">
        <v>2250</v>
      </c>
      <c r="J93" s="54">
        <f t="shared" si="5"/>
        <v>2250</v>
      </c>
      <c r="K93" s="55" t="b">
        <v>1</v>
      </c>
      <c r="L93" s="56">
        <v>140320250916</v>
      </c>
      <c r="M93" s="57" t="b">
        <v>1</v>
      </c>
      <c r="N93" s="58"/>
      <c r="O93" s="226"/>
      <c r="P93" s="191" t="b">
        <v>1</v>
      </c>
      <c r="Q93" s="308" t="s">
        <v>3138</v>
      </c>
      <c r="R93" s="47" t="b">
        <v>1</v>
      </c>
      <c r="S93" s="313"/>
      <c r="T93" s="310" t="s">
        <v>3863</v>
      </c>
      <c r="U93" s="54"/>
    </row>
    <row r="94" spans="1:21" ht="16">
      <c r="A94" s="162" t="s">
        <v>3293</v>
      </c>
      <c r="B94" s="71" t="s">
        <v>3857</v>
      </c>
      <c r="C94" s="53" t="s">
        <v>41</v>
      </c>
      <c r="D94" s="53" t="s">
        <v>84</v>
      </c>
      <c r="E94" s="53" t="s">
        <v>3069</v>
      </c>
      <c r="F94" s="53" t="s">
        <v>2611</v>
      </c>
      <c r="G94" s="131" t="s">
        <v>30</v>
      </c>
      <c r="H94" s="53">
        <v>10</v>
      </c>
      <c r="I94" s="188">
        <v>635</v>
      </c>
      <c r="J94" s="54">
        <f t="shared" si="5"/>
        <v>6350</v>
      </c>
      <c r="K94" s="55" t="b">
        <v>1</v>
      </c>
      <c r="L94" s="56">
        <v>140320250916</v>
      </c>
      <c r="M94" s="57" t="b">
        <v>1</v>
      </c>
      <c r="N94" s="58" t="s">
        <v>39</v>
      </c>
      <c r="O94" s="226"/>
      <c r="P94" s="191" t="b">
        <v>1</v>
      </c>
      <c r="Q94" s="308" t="s">
        <v>3138</v>
      </c>
      <c r="R94" s="47" t="b">
        <v>1</v>
      </c>
      <c r="S94" s="173" t="s">
        <v>3864</v>
      </c>
      <c r="T94" s="310" t="s">
        <v>3865</v>
      </c>
      <c r="U94" s="54"/>
    </row>
    <row r="95" spans="1:21" ht="16">
      <c r="A95" s="162"/>
      <c r="B95" s="71" t="s">
        <v>3857</v>
      </c>
      <c r="C95" s="53" t="s">
        <v>41</v>
      </c>
      <c r="D95" s="53" t="s">
        <v>84</v>
      </c>
      <c r="E95" s="53" t="s">
        <v>3069</v>
      </c>
      <c r="F95" s="53" t="s">
        <v>1024</v>
      </c>
      <c r="G95" s="131" t="s">
        <v>30</v>
      </c>
      <c r="H95" s="53">
        <v>5</v>
      </c>
      <c r="I95" s="188">
        <v>165</v>
      </c>
      <c r="J95" s="54">
        <f t="shared" si="5"/>
        <v>825</v>
      </c>
      <c r="K95" s="55" t="b">
        <v>1</v>
      </c>
      <c r="L95" s="56">
        <v>140320250916</v>
      </c>
      <c r="M95" s="57" t="b">
        <v>1</v>
      </c>
      <c r="N95" s="58" t="s">
        <v>3300</v>
      </c>
      <c r="O95" s="226"/>
      <c r="P95" s="191" t="b">
        <v>1</v>
      </c>
      <c r="Q95" s="308" t="s">
        <v>3138</v>
      </c>
      <c r="R95" s="47" t="b">
        <v>1</v>
      </c>
      <c r="S95" s="313"/>
      <c r="T95" s="310" t="s">
        <v>3866</v>
      </c>
      <c r="U95" s="54"/>
    </row>
    <row r="96" spans="1:21" ht="16">
      <c r="A96" s="162"/>
      <c r="B96" s="71" t="s">
        <v>3857</v>
      </c>
      <c r="C96" s="53" t="s">
        <v>41</v>
      </c>
      <c r="D96" s="53" t="s">
        <v>84</v>
      </c>
      <c r="E96" s="53" t="s">
        <v>3069</v>
      </c>
      <c r="F96" s="53" t="s">
        <v>103</v>
      </c>
      <c r="G96" s="131" t="s">
        <v>30</v>
      </c>
      <c r="H96" s="53">
        <v>15</v>
      </c>
      <c r="I96" s="188">
        <v>325</v>
      </c>
      <c r="J96" s="54">
        <f t="shared" si="5"/>
        <v>4875</v>
      </c>
      <c r="K96" s="55" t="b">
        <v>1</v>
      </c>
      <c r="L96" s="56">
        <v>140320250916</v>
      </c>
      <c r="M96" s="57" t="b">
        <v>1</v>
      </c>
      <c r="N96" s="58" t="s">
        <v>529</v>
      </c>
      <c r="O96" s="226"/>
      <c r="P96" s="191" t="b">
        <v>1</v>
      </c>
      <c r="Q96" s="308" t="s">
        <v>3138</v>
      </c>
      <c r="R96" s="47" t="b">
        <v>1</v>
      </c>
      <c r="S96" s="173" t="s">
        <v>3867</v>
      </c>
      <c r="T96" s="310" t="s">
        <v>3868</v>
      </c>
      <c r="U96" s="54"/>
    </row>
    <row r="97" spans="1:21" ht="16">
      <c r="A97" s="162"/>
      <c r="B97" s="71" t="s">
        <v>3857</v>
      </c>
      <c r="C97" s="53" t="s">
        <v>51</v>
      </c>
      <c r="D97" s="53" t="s">
        <v>66</v>
      </c>
      <c r="E97" s="53" t="s">
        <v>67</v>
      </c>
      <c r="F97" s="53" t="s">
        <v>139</v>
      </c>
      <c r="G97" s="131" t="s">
        <v>30</v>
      </c>
      <c r="H97" s="53">
        <v>100</v>
      </c>
      <c r="I97" s="188">
        <v>30</v>
      </c>
      <c r="J97" s="54">
        <f t="shared" si="5"/>
        <v>3000</v>
      </c>
      <c r="K97" s="55" t="b">
        <v>1</v>
      </c>
      <c r="L97" s="56">
        <v>140320250916</v>
      </c>
      <c r="M97" s="57" t="b">
        <v>1</v>
      </c>
      <c r="N97" s="58" t="s">
        <v>2968</v>
      </c>
      <c r="O97" s="226"/>
      <c r="P97" s="191" t="b">
        <v>1</v>
      </c>
      <c r="Q97" s="308" t="s">
        <v>3138</v>
      </c>
      <c r="R97" s="47" t="b">
        <v>1</v>
      </c>
      <c r="S97" s="173" t="s">
        <v>3869</v>
      </c>
      <c r="T97" s="310" t="s">
        <v>3870</v>
      </c>
      <c r="U97" s="54"/>
    </row>
    <row r="98" spans="1:21" ht="16">
      <c r="A98" s="162"/>
      <c r="B98" s="71" t="s">
        <v>3857</v>
      </c>
      <c r="C98" s="53" t="s">
        <v>51</v>
      </c>
      <c r="D98" s="53" t="s">
        <v>66</v>
      </c>
      <c r="E98" s="53" t="s">
        <v>67</v>
      </c>
      <c r="F98" s="53" t="s">
        <v>3743</v>
      </c>
      <c r="G98" s="131" t="s">
        <v>30</v>
      </c>
      <c r="H98" s="53">
        <v>5</v>
      </c>
      <c r="I98" s="188">
        <v>165</v>
      </c>
      <c r="J98" s="54">
        <f t="shared" si="5"/>
        <v>825</v>
      </c>
      <c r="K98" s="55" t="b">
        <v>1</v>
      </c>
      <c r="L98" s="56">
        <v>140320250916</v>
      </c>
      <c r="M98" s="57" t="b">
        <v>1</v>
      </c>
      <c r="N98" s="58" t="s">
        <v>1581</v>
      </c>
      <c r="O98" s="226"/>
      <c r="P98" s="191" t="b">
        <v>1</v>
      </c>
      <c r="Q98" s="308" t="s">
        <v>3138</v>
      </c>
      <c r="R98" s="47" t="b">
        <v>1</v>
      </c>
      <c r="S98" s="313"/>
      <c r="T98" s="310" t="s">
        <v>3871</v>
      </c>
      <c r="U98" s="54"/>
    </row>
    <row r="99" spans="1:21" ht="16">
      <c r="A99" s="162"/>
      <c r="B99" s="71" t="s">
        <v>3872</v>
      </c>
      <c r="C99" s="53" t="s">
        <v>418</v>
      </c>
      <c r="D99" s="53" t="s">
        <v>84</v>
      </c>
      <c r="E99" s="53" t="s">
        <v>3069</v>
      </c>
      <c r="F99" s="53" t="s">
        <v>58</v>
      </c>
      <c r="G99" s="131" t="s">
        <v>30</v>
      </c>
      <c r="H99" s="53">
        <v>84</v>
      </c>
      <c r="I99" s="188">
        <v>42</v>
      </c>
      <c r="J99" s="54">
        <f t="shared" si="5"/>
        <v>3528</v>
      </c>
      <c r="K99" s="55" t="b">
        <v>1</v>
      </c>
      <c r="L99" s="56">
        <v>170320250917</v>
      </c>
      <c r="M99" s="57" t="b">
        <v>1</v>
      </c>
      <c r="N99" s="58" t="s">
        <v>64</v>
      </c>
      <c r="O99" s="226"/>
      <c r="P99" s="191" t="b">
        <v>1</v>
      </c>
      <c r="Q99" s="308" t="s">
        <v>3138</v>
      </c>
      <c r="R99" s="47" t="b">
        <v>1</v>
      </c>
      <c r="S99" s="173" t="s">
        <v>3859</v>
      </c>
      <c r="T99" s="310" t="s">
        <v>3860</v>
      </c>
      <c r="U99" s="54"/>
    </row>
    <row r="100" spans="1:21" ht="16">
      <c r="A100" s="162"/>
      <c r="B100" s="71" t="s">
        <v>3872</v>
      </c>
      <c r="C100" s="53" t="s">
        <v>2152</v>
      </c>
      <c r="D100" s="53" t="s">
        <v>2152</v>
      </c>
      <c r="E100" s="53" t="s">
        <v>3077</v>
      </c>
      <c r="F100" s="53" t="s">
        <v>68</v>
      </c>
      <c r="G100" s="131" t="s">
        <v>30</v>
      </c>
      <c r="H100" s="53">
        <v>1</v>
      </c>
      <c r="I100" s="188">
        <v>2350</v>
      </c>
      <c r="J100" s="54">
        <f t="shared" si="5"/>
        <v>2350</v>
      </c>
      <c r="K100" s="55" t="b">
        <v>1</v>
      </c>
      <c r="L100" s="56">
        <v>170320251149</v>
      </c>
      <c r="M100" s="57" t="b">
        <v>1</v>
      </c>
      <c r="N100" s="58"/>
      <c r="O100" s="226"/>
      <c r="P100" s="191" t="b">
        <v>1</v>
      </c>
      <c r="Q100" s="308" t="s">
        <v>3138</v>
      </c>
      <c r="R100" s="47" t="b">
        <v>1</v>
      </c>
      <c r="S100" s="173" t="s">
        <v>3873</v>
      </c>
      <c r="T100" s="310" t="s">
        <v>3874</v>
      </c>
      <c r="U100" s="54"/>
    </row>
    <row r="101" spans="1:21" ht="16">
      <c r="A101" s="162"/>
      <c r="B101" s="71" t="s">
        <v>3872</v>
      </c>
      <c r="C101" s="53" t="s">
        <v>2152</v>
      </c>
      <c r="D101" s="53" t="s">
        <v>2152</v>
      </c>
      <c r="E101" s="53" t="s">
        <v>3077</v>
      </c>
      <c r="F101" s="53" t="s">
        <v>2833</v>
      </c>
      <c r="G101" s="131" t="s">
        <v>30</v>
      </c>
      <c r="H101" s="53">
        <v>20</v>
      </c>
      <c r="I101" s="188">
        <v>135</v>
      </c>
      <c r="J101" s="54">
        <f t="shared" si="5"/>
        <v>2700</v>
      </c>
      <c r="K101" s="55" t="b">
        <v>1</v>
      </c>
      <c r="L101" s="56">
        <v>170320251149</v>
      </c>
      <c r="M101" s="57" t="b">
        <v>1</v>
      </c>
      <c r="N101" s="58"/>
      <c r="O101" s="226"/>
      <c r="P101" s="191" t="b">
        <v>1</v>
      </c>
      <c r="Q101" s="308" t="s">
        <v>3138</v>
      </c>
      <c r="R101" s="47" t="b">
        <v>1</v>
      </c>
      <c r="S101" s="173" t="s">
        <v>3873</v>
      </c>
      <c r="T101" s="310" t="s">
        <v>3874</v>
      </c>
      <c r="U101" s="54"/>
    </row>
    <row r="102" spans="1:21" ht="16">
      <c r="A102" s="162"/>
      <c r="B102" s="71" t="s">
        <v>3872</v>
      </c>
      <c r="C102" s="53" t="s">
        <v>51</v>
      </c>
      <c r="D102" s="53" t="s">
        <v>335</v>
      </c>
      <c r="E102" s="53" t="s">
        <v>457</v>
      </c>
      <c r="F102" s="53" t="s">
        <v>3875</v>
      </c>
      <c r="G102" s="131" t="s">
        <v>30</v>
      </c>
      <c r="H102" s="53">
        <v>2</v>
      </c>
      <c r="I102" s="188">
        <v>950</v>
      </c>
      <c r="J102" s="54">
        <f t="shared" si="5"/>
        <v>1900</v>
      </c>
      <c r="K102" s="55" t="b">
        <v>1</v>
      </c>
      <c r="L102" s="56">
        <v>170320251153</v>
      </c>
      <c r="M102" s="57" t="b">
        <v>1</v>
      </c>
      <c r="N102" s="58"/>
      <c r="O102" s="226"/>
      <c r="P102" s="191" t="b">
        <v>1</v>
      </c>
      <c r="Q102" s="308" t="s">
        <v>3138</v>
      </c>
      <c r="R102" s="47" t="b">
        <v>1</v>
      </c>
      <c r="S102" s="173" t="s">
        <v>3876</v>
      </c>
      <c r="T102" s="310" t="s">
        <v>3877</v>
      </c>
      <c r="U102" s="54"/>
    </row>
    <row r="103" spans="1:21" ht="16">
      <c r="A103" s="162"/>
      <c r="B103" s="71" t="s">
        <v>3872</v>
      </c>
      <c r="C103" s="53" t="s">
        <v>51</v>
      </c>
      <c r="D103" s="53" t="s">
        <v>201</v>
      </c>
      <c r="E103" s="53" t="s">
        <v>202</v>
      </c>
      <c r="F103" s="53" t="s">
        <v>3878</v>
      </c>
      <c r="G103" s="131" t="s">
        <v>30</v>
      </c>
      <c r="H103" s="53">
        <v>12</v>
      </c>
      <c r="I103" s="188">
        <v>275</v>
      </c>
      <c r="J103" s="54">
        <f t="shared" si="5"/>
        <v>3300</v>
      </c>
      <c r="K103" s="55" t="b">
        <v>1</v>
      </c>
      <c r="L103" s="56">
        <v>170320251155</v>
      </c>
      <c r="M103" s="57" t="b">
        <v>1</v>
      </c>
      <c r="N103" s="58"/>
      <c r="O103" s="226"/>
      <c r="P103" s="191" t="b">
        <v>1</v>
      </c>
      <c r="Q103" s="308" t="s">
        <v>3138</v>
      </c>
      <c r="R103" s="47" t="b">
        <v>1</v>
      </c>
      <c r="S103" s="313"/>
      <c r="T103" s="310" t="s">
        <v>3879</v>
      </c>
      <c r="U103" s="54"/>
    </row>
    <row r="104" spans="1:21" ht="16">
      <c r="A104" s="162"/>
      <c r="B104" s="71" t="s">
        <v>3880</v>
      </c>
      <c r="C104" s="53" t="s">
        <v>104</v>
      </c>
      <c r="D104" s="53" t="s">
        <v>486</v>
      </c>
      <c r="E104" s="53" t="s">
        <v>241</v>
      </c>
      <c r="F104" s="53" t="s">
        <v>1952</v>
      </c>
      <c r="G104" s="131" t="s">
        <v>30</v>
      </c>
      <c r="H104" s="53">
        <v>10</v>
      </c>
      <c r="I104" s="188">
        <v>635</v>
      </c>
      <c r="J104" s="54">
        <f t="shared" si="5"/>
        <v>6350</v>
      </c>
      <c r="K104" s="55" t="b">
        <v>1</v>
      </c>
      <c r="L104" s="56">
        <v>180320250911</v>
      </c>
      <c r="M104" s="57" t="b">
        <v>1</v>
      </c>
      <c r="N104" s="58" t="s">
        <v>39</v>
      </c>
      <c r="O104" s="226"/>
      <c r="P104" s="191" t="b">
        <v>1</v>
      </c>
      <c r="Q104" s="308" t="s">
        <v>3138</v>
      </c>
      <c r="R104" s="47" t="b">
        <v>1</v>
      </c>
      <c r="S104" s="173" t="s">
        <v>3881</v>
      </c>
      <c r="T104" s="310" t="s">
        <v>3882</v>
      </c>
      <c r="U104" s="54"/>
    </row>
    <row r="105" spans="1:21" ht="16">
      <c r="A105" s="162"/>
      <c r="B105" s="71" t="s">
        <v>3880</v>
      </c>
      <c r="C105" s="53" t="s">
        <v>104</v>
      </c>
      <c r="D105" s="53" t="s">
        <v>486</v>
      </c>
      <c r="E105" s="53" t="s">
        <v>241</v>
      </c>
      <c r="F105" s="53" t="s">
        <v>2025</v>
      </c>
      <c r="G105" s="131" t="s">
        <v>30</v>
      </c>
      <c r="H105" s="53">
        <v>20</v>
      </c>
      <c r="I105" s="188">
        <v>115</v>
      </c>
      <c r="J105" s="54">
        <f t="shared" si="5"/>
        <v>2300</v>
      </c>
      <c r="K105" s="55" t="b">
        <v>1</v>
      </c>
      <c r="L105" s="56">
        <v>180320250911</v>
      </c>
      <c r="M105" s="57" t="b">
        <v>1</v>
      </c>
      <c r="N105" s="58"/>
      <c r="O105" s="215"/>
      <c r="P105" s="191" t="b">
        <v>1</v>
      </c>
      <c r="Q105" s="308" t="s">
        <v>3138</v>
      </c>
      <c r="R105" s="47" t="b">
        <v>1</v>
      </c>
      <c r="S105" s="173" t="s">
        <v>3883</v>
      </c>
      <c r="T105" s="310" t="s">
        <v>3884</v>
      </c>
      <c r="U105" s="54"/>
    </row>
    <row r="106" spans="1:21" ht="16">
      <c r="A106" s="162"/>
      <c r="B106" s="71" t="s">
        <v>3880</v>
      </c>
      <c r="C106" s="53" t="s">
        <v>104</v>
      </c>
      <c r="D106" s="53" t="s">
        <v>486</v>
      </c>
      <c r="E106" s="53" t="s">
        <v>241</v>
      </c>
      <c r="F106" s="53" t="s">
        <v>2627</v>
      </c>
      <c r="G106" s="131" t="s">
        <v>30</v>
      </c>
      <c r="H106" s="53">
        <v>5</v>
      </c>
      <c r="I106" s="188">
        <v>650</v>
      </c>
      <c r="J106" s="54">
        <f t="shared" si="5"/>
        <v>3250</v>
      </c>
      <c r="K106" s="55" t="b">
        <v>1</v>
      </c>
      <c r="L106" s="56">
        <v>180320250911</v>
      </c>
      <c r="M106" s="57" t="b">
        <v>1</v>
      </c>
      <c r="N106" s="58"/>
      <c r="O106" s="226"/>
      <c r="P106" s="191" t="b">
        <v>1</v>
      </c>
      <c r="Q106" s="308" t="s">
        <v>3138</v>
      </c>
      <c r="R106" s="47" t="b">
        <v>1</v>
      </c>
      <c r="S106" s="173" t="s">
        <v>3883</v>
      </c>
      <c r="T106" s="310" t="s">
        <v>3884</v>
      </c>
      <c r="U106" s="54"/>
    </row>
    <row r="107" spans="1:21" ht="16">
      <c r="A107" s="162"/>
      <c r="B107" s="71" t="s">
        <v>3880</v>
      </c>
      <c r="C107" s="53" t="s">
        <v>104</v>
      </c>
      <c r="D107" s="53" t="s">
        <v>486</v>
      </c>
      <c r="E107" s="53" t="s">
        <v>241</v>
      </c>
      <c r="F107" s="69" t="s">
        <v>3837</v>
      </c>
      <c r="G107" s="131" t="s">
        <v>30</v>
      </c>
      <c r="H107" s="53">
        <v>20</v>
      </c>
      <c r="I107" s="188">
        <v>135</v>
      </c>
      <c r="J107" s="54">
        <f t="shared" si="5"/>
        <v>2700</v>
      </c>
      <c r="K107" s="55" t="b">
        <v>1</v>
      </c>
      <c r="L107" s="56">
        <v>180320250911</v>
      </c>
      <c r="M107" s="57" t="b">
        <v>1</v>
      </c>
      <c r="N107" s="58"/>
      <c r="O107" s="226"/>
      <c r="P107" s="191" t="b">
        <v>1</v>
      </c>
      <c r="Q107" s="308" t="s">
        <v>3138</v>
      </c>
      <c r="R107" s="47" t="b">
        <v>1</v>
      </c>
      <c r="S107" s="173" t="s">
        <v>3883</v>
      </c>
      <c r="T107" s="310" t="s">
        <v>3884</v>
      </c>
      <c r="U107" s="54"/>
    </row>
    <row r="108" spans="1:21" ht="16">
      <c r="A108" s="162"/>
      <c r="B108" s="71" t="s">
        <v>3880</v>
      </c>
      <c r="C108" s="53" t="s">
        <v>104</v>
      </c>
      <c r="D108" s="53" t="s">
        <v>486</v>
      </c>
      <c r="E108" s="53" t="s">
        <v>241</v>
      </c>
      <c r="F108" s="53" t="s">
        <v>68</v>
      </c>
      <c r="G108" s="131" t="s">
        <v>30</v>
      </c>
      <c r="H108" s="53">
        <v>1</v>
      </c>
      <c r="I108" s="188">
        <v>2350</v>
      </c>
      <c r="J108" s="54">
        <f t="shared" si="5"/>
        <v>2350</v>
      </c>
      <c r="K108" s="55" t="b">
        <v>1</v>
      </c>
      <c r="L108" s="56">
        <v>180320250911</v>
      </c>
      <c r="M108" s="57" t="b">
        <v>1</v>
      </c>
      <c r="N108" s="58"/>
      <c r="O108" s="226"/>
      <c r="P108" s="191" t="b">
        <v>1</v>
      </c>
      <c r="Q108" s="308" t="s">
        <v>3138</v>
      </c>
      <c r="R108" s="47" t="b">
        <v>1</v>
      </c>
      <c r="S108" s="173" t="s">
        <v>3883</v>
      </c>
      <c r="T108" s="310" t="s">
        <v>3884</v>
      </c>
      <c r="U108" s="54"/>
    </row>
    <row r="109" spans="1:21" ht="16">
      <c r="A109" s="162"/>
      <c r="B109" s="71" t="s">
        <v>3880</v>
      </c>
      <c r="C109" s="53" t="s">
        <v>144</v>
      </c>
      <c r="D109" s="53" t="s">
        <v>1541</v>
      </c>
      <c r="E109" s="53" t="s">
        <v>1631</v>
      </c>
      <c r="F109" s="53" t="s">
        <v>3885</v>
      </c>
      <c r="G109" s="131" t="s">
        <v>30</v>
      </c>
      <c r="H109" s="53">
        <v>1</v>
      </c>
      <c r="I109" s="188">
        <v>2500</v>
      </c>
      <c r="J109" s="54">
        <f t="shared" si="5"/>
        <v>2500</v>
      </c>
      <c r="K109" s="55" t="b">
        <v>1</v>
      </c>
      <c r="L109" s="56">
        <v>180320251102</v>
      </c>
      <c r="M109" s="57" t="b">
        <v>1</v>
      </c>
      <c r="N109" s="58" t="s">
        <v>529</v>
      </c>
      <c r="O109" s="226"/>
      <c r="P109" s="191" t="b">
        <v>1</v>
      </c>
      <c r="Q109" s="308" t="s">
        <v>3138</v>
      </c>
      <c r="R109" s="47" t="b">
        <v>1</v>
      </c>
      <c r="S109" s="313"/>
      <c r="T109" s="310" t="s">
        <v>3171</v>
      </c>
      <c r="U109" s="54"/>
    </row>
    <row r="110" spans="1:21" ht="16">
      <c r="A110" s="162"/>
      <c r="B110" s="71" t="s">
        <v>3880</v>
      </c>
      <c r="C110" s="71" t="s">
        <v>262</v>
      </c>
      <c r="D110" s="53" t="s">
        <v>263</v>
      </c>
      <c r="E110" s="53" t="s">
        <v>2855</v>
      </c>
      <c r="F110" s="53" t="s">
        <v>374</v>
      </c>
      <c r="G110" s="131" t="s">
        <v>30</v>
      </c>
      <c r="H110" s="53">
        <v>100</v>
      </c>
      <c r="I110" s="188">
        <v>27.5</v>
      </c>
      <c r="J110" s="54">
        <f t="shared" si="5"/>
        <v>2750</v>
      </c>
      <c r="K110" s="55" t="b">
        <v>1</v>
      </c>
      <c r="L110" s="56">
        <v>180320252033</v>
      </c>
      <c r="M110" s="57" t="b">
        <v>1</v>
      </c>
      <c r="N110" s="58"/>
      <c r="O110" s="226"/>
      <c r="P110" s="191" t="b">
        <v>1</v>
      </c>
      <c r="Q110" s="308" t="s">
        <v>3138</v>
      </c>
      <c r="R110" s="47" t="b">
        <v>1</v>
      </c>
      <c r="S110" s="173" t="s">
        <v>3886</v>
      </c>
      <c r="T110" s="310" t="s">
        <v>3887</v>
      </c>
      <c r="U110" s="54"/>
    </row>
    <row r="111" spans="1:21" ht="16">
      <c r="A111" s="162"/>
      <c r="B111" s="71" t="s">
        <v>3880</v>
      </c>
      <c r="C111" s="53" t="s">
        <v>51</v>
      </c>
      <c r="D111" s="53" t="s">
        <v>52</v>
      </c>
      <c r="E111" s="53" t="s">
        <v>1710</v>
      </c>
      <c r="F111" s="53" t="s">
        <v>874</v>
      </c>
      <c r="G111" s="131" t="s">
        <v>30</v>
      </c>
      <c r="H111" s="53">
        <v>200</v>
      </c>
      <c r="I111" s="188">
        <v>2.75</v>
      </c>
      <c r="J111" s="54">
        <f t="shared" si="5"/>
        <v>550</v>
      </c>
      <c r="K111" s="55" t="b">
        <v>1</v>
      </c>
      <c r="L111" s="56">
        <v>180320252033</v>
      </c>
      <c r="M111" s="57" t="b">
        <v>1</v>
      </c>
      <c r="N111" s="58"/>
      <c r="O111" s="226"/>
      <c r="P111" s="191" t="b">
        <v>1</v>
      </c>
      <c r="Q111" s="308" t="s">
        <v>3138</v>
      </c>
      <c r="R111" s="47" t="b">
        <v>1</v>
      </c>
      <c r="S111" s="173" t="s">
        <v>3888</v>
      </c>
      <c r="T111" s="310" t="s">
        <v>3889</v>
      </c>
      <c r="U111" s="54"/>
    </row>
    <row r="112" spans="1:21" ht="16">
      <c r="A112" s="162"/>
      <c r="B112" s="71" t="s">
        <v>3890</v>
      </c>
      <c r="C112" s="53" t="s">
        <v>51</v>
      </c>
      <c r="D112" s="53" t="s">
        <v>3891</v>
      </c>
      <c r="E112" s="53" t="s">
        <v>1035</v>
      </c>
      <c r="F112" s="53" t="s">
        <v>3892</v>
      </c>
      <c r="G112" s="131" t="s">
        <v>30</v>
      </c>
      <c r="H112" s="53">
        <v>1</v>
      </c>
      <c r="I112" s="188">
        <v>15250</v>
      </c>
      <c r="J112" s="54">
        <f t="shared" si="5"/>
        <v>15250</v>
      </c>
      <c r="K112" s="55" t="b">
        <v>1</v>
      </c>
      <c r="L112" s="56">
        <v>200320250929</v>
      </c>
      <c r="M112" s="57" t="b">
        <v>1</v>
      </c>
      <c r="N112" s="58"/>
      <c r="O112" s="226"/>
      <c r="P112" s="191" t="b">
        <v>1</v>
      </c>
      <c r="Q112" s="308" t="s">
        <v>3138</v>
      </c>
      <c r="R112" s="47" t="b">
        <v>1</v>
      </c>
      <c r="S112" s="313"/>
      <c r="T112" s="310" t="s">
        <v>3893</v>
      </c>
      <c r="U112" s="54"/>
    </row>
    <row r="113" spans="1:21" ht="16">
      <c r="A113" s="162"/>
      <c r="B113" s="71" t="s">
        <v>3890</v>
      </c>
      <c r="C113" s="53" t="s">
        <v>51</v>
      </c>
      <c r="D113" s="53" t="s">
        <v>201</v>
      </c>
      <c r="E113" s="53" t="s">
        <v>202</v>
      </c>
      <c r="F113" s="53" t="s">
        <v>3894</v>
      </c>
      <c r="G113" s="131" t="s">
        <v>30</v>
      </c>
      <c r="H113" s="53">
        <v>2</v>
      </c>
      <c r="I113" s="188">
        <v>3250</v>
      </c>
      <c r="J113" s="54">
        <f t="shared" si="5"/>
        <v>6500</v>
      </c>
      <c r="K113" s="55" t="b">
        <v>1</v>
      </c>
      <c r="L113" s="56">
        <v>200320251127</v>
      </c>
      <c r="M113" s="57" t="b">
        <v>1</v>
      </c>
      <c r="N113" s="58" t="s">
        <v>529</v>
      </c>
      <c r="O113" s="226"/>
      <c r="P113" s="191" t="b">
        <v>1</v>
      </c>
      <c r="Q113" s="308" t="s">
        <v>3138</v>
      </c>
      <c r="R113" s="47" t="b">
        <v>1</v>
      </c>
      <c r="S113" s="313"/>
      <c r="T113" s="310" t="s">
        <v>3895</v>
      </c>
      <c r="U113" s="54"/>
    </row>
    <row r="114" spans="1:21" ht="16">
      <c r="A114" s="162"/>
      <c r="B114" s="71" t="s">
        <v>3890</v>
      </c>
      <c r="C114" s="53" t="s">
        <v>51</v>
      </c>
      <c r="D114" s="53" t="s">
        <v>89</v>
      </c>
      <c r="E114" s="53" t="s">
        <v>1872</v>
      </c>
      <c r="F114" s="53" t="s">
        <v>3265</v>
      </c>
      <c r="G114" s="131" t="s">
        <v>30</v>
      </c>
      <c r="H114" s="53">
        <v>30</v>
      </c>
      <c r="I114" s="188">
        <v>270</v>
      </c>
      <c r="J114" s="54">
        <f t="shared" si="5"/>
        <v>8100</v>
      </c>
      <c r="K114" s="55" t="b">
        <v>1</v>
      </c>
      <c r="L114" s="56">
        <v>200320251154</v>
      </c>
      <c r="M114" s="57" t="b">
        <v>1</v>
      </c>
      <c r="N114" s="58"/>
      <c r="O114" s="226"/>
      <c r="P114" s="191" t="b">
        <v>1</v>
      </c>
      <c r="Q114" s="308" t="s">
        <v>3138</v>
      </c>
      <c r="R114" s="47" t="b">
        <v>1</v>
      </c>
      <c r="S114" s="313"/>
      <c r="T114" s="310" t="s">
        <v>3896</v>
      </c>
      <c r="U114" s="54"/>
    </row>
    <row r="115" spans="1:21" ht="16">
      <c r="A115" s="162"/>
      <c r="B115" s="71" t="s">
        <v>3890</v>
      </c>
      <c r="C115" s="53" t="s">
        <v>104</v>
      </c>
      <c r="D115" s="53" t="s">
        <v>486</v>
      </c>
      <c r="E115" s="53" t="s">
        <v>241</v>
      </c>
      <c r="F115" s="53" t="s">
        <v>3375</v>
      </c>
      <c r="G115" s="131" t="s">
        <v>30</v>
      </c>
      <c r="H115" s="53">
        <v>2</v>
      </c>
      <c r="I115" s="188">
        <v>2100</v>
      </c>
      <c r="J115" s="54">
        <f t="shared" si="5"/>
        <v>4200</v>
      </c>
      <c r="K115" s="55" t="b">
        <v>1</v>
      </c>
      <c r="L115" s="56">
        <v>200320251730</v>
      </c>
      <c r="M115" s="57" t="b">
        <v>1</v>
      </c>
      <c r="N115" s="58"/>
      <c r="O115" s="226"/>
      <c r="P115" s="191" t="b">
        <v>1</v>
      </c>
      <c r="Q115" s="308" t="s">
        <v>3138</v>
      </c>
      <c r="R115" s="47" t="b">
        <v>1</v>
      </c>
      <c r="S115" s="173" t="s">
        <v>3897</v>
      </c>
      <c r="T115" s="310" t="s">
        <v>3898</v>
      </c>
      <c r="U115" s="54"/>
    </row>
    <row r="116" spans="1:21" ht="16">
      <c r="A116" s="162"/>
      <c r="B116" s="132" t="s">
        <v>3890</v>
      </c>
      <c r="C116" s="66" t="s">
        <v>55</v>
      </c>
      <c r="D116" s="66">
        <v>41</v>
      </c>
      <c r="E116" s="66" t="s">
        <v>1552</v>
      </c>
      <c r="F116" s="66" t="s">
        <v>2611</v>
      </c>
      <c r="G116" s="69" t="s">
        <v>30</v>
      </c>
      <c r="H116" s="66">
        <v>10</v>
      </c>
      <c r="I116" s="70">
        <v>635</v>
      </c>
      <c r="J116" s="54">
        <f t="shared" si="5"/>
        <v>6350</v>
      </c>
      <c r="K116" s="55" t="b">
        <v>1</v>
      </c>
      <c r="L116" s="56">
        <v>200320251737</v>
      </c>
      <c r="M116" s="57" t="b">
        <v>1</v>
      </c>
      <c r="N116" s="58" t="s">
        <v>39</v>
      </c>
      <c r="O116" s="226"/>
      <c r="P116" s="191" t="b">
        <v>1</v>
      </c>
      <c r="Q116" s="308" t="s">
        <v>3138</v>
      </c>
      <c r="R116" s="47" t="b">
        <v>1</v>
      </c>
      <c r="S116" s="313"/>
      <c r="T116" s="310" t="s">
        <v>3899</v>
      </c>
      <c r="U116" s="75"/>
    </row>
    <row r="117" spans="1:21" ht="16">
      <c r="A117" s="162"/>
      <c r="B117" s="132" t="s">
        <v>3890</v>
      </c>
      <c r="C117" s="66" t="s">
        <v>55</v>
      </c>
      <c r="D117" s="66">
        <v>41</v>
      </c>
      <c r="E117" s="66" t="s">
        <v>1552</v>
      </c>
      <c r="F117" s="66" t="s">
        <v>101</v>
      </c>
      <c r="G117" s="69" t="s">
        <v>30</v>
      </c>
      <c r="H117" s="66">
        <v>5</v>
      </c>
      <c r="I117" s="70">
        <v>975</v>
      </c>
      <c r="J117" s="54">
        <f t="shared" si="5"/>
        <v>4875</v>
      </c>
      <c r="K117" s="55" t="b">
        <v>1</v>
      </c>
      <c r="L117" s="56">
        <v>200320251747</v>
      </c>
      <c r="M117" s="57" t="b">
        <v>1</v>
      </c>
      <c r="N117" s="58"/>
      <c r="O117" s="226"/>
      <c r="P117" s="191" t="b">
        <v>1</v>
      </c>
      <c r="Q117" s="308" t="s">
        <v>3138</v>
      </c>
      <c r="R117" s="47" t="b">
        <v>1</v>
      </c>
      <c r="S117" s="173" t="s">
        <v>3900</v>
      </c>
      <c r="T117" s="310" t="s">
        <v>3901</v>
      </c>
      <c r="U117" s="75"/>
    </row>
    <row r="118" spans="1:21" ht="16">
      <c r="A118" s="162"/>
      <c r="B118" s="132" t="s">
        <v>3890</v>
      </c>
      <c r="C118" s="66" t="s">
        <v>55</v>
      </c>
      <c r="D118" s="66">
        <v>41</v>
      </c>
      <c r="E118" s="66" t="s">
        <v>1552</v>
      </c>
      <c r="F118" s="53" t="s">
        <v>3375</v>
      </c>
      <c r="G118" s="131" t="s">
        <v>30</v>
      </c>
      <c r="H118" s="53">
        <v>2</v>
      </c>
      <c r="I118" s="188">
        <v>2100</v>
      </c>
      <c r="J118" s="54">
        <f t="shared" si="5"/>
        <v>4200</v>
      </c>
      <c r="K118" s="55" t="b">
        <v>1</v>
      </c>
      <c r="L118" s="56">
        <v>200320251747</v>
      </c>
      <c r="M118" s="57" t="b">
        <v>1</v>
      </c>
      <c r="N118" s="58"/>
      <c r="O118" s="226"/>
      <c r="P118" s="191" t="b">
        <v>1</v>
      </c>
      <c r="Q118" s="308" t="s">
        <v>3138</v>
      </c>
      <c r="R118" s="47" t="b">
        <v>1</v>
      </c>
      <c r="S118" s="173" t="s">
        <v>3900</v>
      </c>
      <c r="T118" s="310" t="s">
        <v>3901</v>
      </c>
      <c r="U118" s="54"/>
    </row>
    <row r="119" spans="1:21" ht="16">
      <c r="A119" s="162"/>
      <c r="B119" s="132" t="s">
        <v>3890</v>
      </c>
      <c r="C119" s="66" t="s">
        <v>55</v>
      </c>
      <c r="D119" s="66">
        <v>41</v>
      </c>
      <c r="E119" s="66" t="s">
        <v>1552</v>
      </c>
      <c r="F119" s="53" t="s">
        <v>2674</v>
      </c>
      <c r="G119" s="131" t="s">
        <v>30</v>
      </c>
      <c r="H119" s="53">
        <v>2</v>
      </c>
      <c r="I119" s="188">
        <v>575</v>
      </c>
      <c r="J119" s="54">
        <f t="shared" si="5"/>
        <v>1150</v>
      </c>
      <c r="K119" s="55" t="b">
        <v>1</v>
      </c>
      <c r="L119" s="56">
        <v>200320251747</v>
      </c>
      <c r="M119" s="57" t="b">
        <v>1</v>
      </c>
      <c r="N119" s="58"/>
      <c r="O119" s="226"/>
      <c r="P119" s="191" t="b">
        <v>1</v>
      </c>
      <c r="Q119" s="308" t="s">
        <v>3138</v>
      </c>
      <c r="R119" s="47" t="b">
        <v>1</v>
      </c>
      <c r="S119" s="173" t="s">
        <v>3900</v>
      </c>
      <c r="T119" s="310" t="s">
        <v>3901</v>
      </c>
      <c r="U119" s="54"/>
    </row>
    <row r="120" spans="1:21" ht="16">
      <c r="A120" s="162"/>
      <c r="B120" s="71" t="s">
        <v>3890</v>
      </c>
      <c r="C120" s="53" t="s">
        <v>104</v>
      </c>
      <c r="D120" s="53" t="s">
        <v>486</v>
      </c>
      <c r="E120" s="53" t="s">
        <v>241</v>
      </c>
      <c r="F120" s="53" t="s">
        <v>2674</v>
      </c>
      <c r="G120" s="131" t="s">
        <v>30</v>
      </c>
      <c r="H120" s="53">
        <v>5</v>
      </c>
      <c r="I120" s="188">
        <v>575</v>
      </c>
      <c r="J120" s="54">
        <f t="shared" si="5"/>
        <v>2875</v>
      </c>
      <c r="K120" s="55" t="b">
        <v>1</v>
      </c>
      <c r="L120" s="56">
        <v>200320251747</v>
      </c>
      <c r="M120" s="57" t="b">
        <v>1</v>
      </c>
      <c r="N120" s="58"/>
      <c r="O120" s="226"/>
      <c r="P120" s="191" t="b">
        <v>1</v>
      </c>
      <c r="Q120" s="308" t="s">
        <v>3138</v>
      </c>
      <c r="R120" s="47" t="b">
        <v>1</v>
      </c>
      <c r="S120" s="173" t="s">
        <v>3902</v>
      </c>
      <c r="T120" s="310" t="s">
        <v>3903</v>
      </c>
      <c r="U120" s="54"/>
    </row>
    <row r="121" spans="1:21" ht="16">
      <c r="A121" s="162"/>
      <c r="B121" s="71" t="s">
        <v>3890</v>
      </c>
      <c r="C121" s="53" t="s">
        <v>104</v>
      </c>
      <c r="D121" s="53" t="s">
        <v>486</v>
      </c>
      <c r="E121" s="53" t="s">
        <v>241</v>
      </c>
      <c r="F121" s="53" t="s">
        <v>3904</v>
      </c>
      <c r="G121" s="131" t="s">
        <v>30</v>
      </c>
      <c r="H121" s="53">
        <v>1</v>
      </c>
      <c r="I121" s="188">
        <v>1475</v>
      </c>
      <c r="J121" s="54">
        <f t="shared" si="5"/>
        <v>1475</v>
      </c>
      <c r="K121" s="55" t="b">
        <v>1</v>
      </c>
      <c r="L121" s="56">
        <v>200320251747</v>
      </c>
      <c r="M121" s="57" t="b">
        <v>1</v>
      </c>
      <c r="N121" s="58"/>
      <c r="O121" s="226"/>
      <c r="P121" s="191" t="b">
        <v>1</v>
      </c>
      <c r="Q121" s="308" t="s">
        <v>3138</v>
      </c>
      <c r="R121" s="47" t="b">
        <v>1</v>
      </c>
      <c r="S121" s="173" t="s">
        <v>3902</v>
      </c>
      <c r="T121" s="310" t="s">
        <v>3903</v>
      </c>
      <c r="U121" s="54"/>
    </row>
    <row r="122" spans="1:21" ht="16">
      <c r="A122" s="162"/>
      <c r="B122" s="71" t="s">
        <v>3890</v>
      </c>
      <c r="C122" s="53" t="s">
        <v>108</v>
      </c>
      <c r="D122" s="53" t="s">
        <v>109</v>
      </c>
      <c r="E122" s="53" t="s">
        <v>110</v>
      </c>
      <c r="F122" s="53" t="s">
        <v>101</v>
      </c>
      <c r="G122" s="131" t="s">
        <v>30</v>
      </c>
      <c r="H122" s="53">
        <v>10</v>
      </c>
      <c r="I122" s="188">
        <v>995</v>
      </c>
      <c r="J122" s="54">
        <f t="shared" si="5"/>
        <v>9950</v>
      </c>
      <c r="K122" s="55" t="b">
        <v>1</v>
      </c>
      <c r="L122" s="56">
        <v>200320251803</v>
      </c>
      <c r="M122" s="57" t="b">
        <v>1</v>
      </c>
      <c r="N122" s="58" t="s">
        <v>529</v>
      </c>
      <c r="O122" s="215"/>
      <c r="P122" s="191" t="b">
        <v>1</v>
      </c>
      <c r="Q122" s="308" t="s">
        <v>3138</v>
      </c>
      <c r="R122" s="47" t="b">
        <v>1</v>
      </c>
      <c r="S122" s="173" t="s">
        <v>3905</v>
      </c>
      <c r="T122" s="310" t="s">
        <v>3906</v>
      </c>
      <c r="U122" s="54"/>
    </row>
    <row r="123" spans="1:21" ht="16">
      <c r="A123" s="162"/>
      <c r="B123" s="71" t="s">
        <v>3907</v>
      </c>
      <c r="C123" s="53" t="s">
        <v>433</v>
      </c>
      <c r="D123" s="53" t="s">
        <v>706</v>
      </c>
      <c r="E123" s="53" t="s">
        <v>707</v>
      </c>
      <c r="F123" s="53" t="s">
        <v>3908</v>
      </c>
      <c r="G123" s="131" t="s">
        <v>30</v>
      </c>
      <c r="H123" s="53">
        <v>1</v>
      </c>
      <c r="I123" s="188">
        <v>300</v>
      </c>
      <c r="J123" s="54">
        <f t="shared" si="5"/>
        <v>300</v>
      </c>
      <c r="K123" s="55" t="b">
        <v>1</v>
      </c>
      <c r="L123" s="56">
        <v>210320251035</v>
      </c>
      <c r="M123" s="57" t="b">
        <v>1</v>
      </c>
      <c r="N123" s="58" t="s">
        <v>2968</v>
      </c>
      <c r="O123" s="226"/>
      <c r="P123" s="191" t="b">
        <v>1</v>
      </c>
      <c r="Q123" s="308" t="s">
        <v>3138</v>
      </c>
      <c r="R123" s="47" t="b">
        <v>1</v>
      </c>
      <c r="S123" s="173" t="s">
        <v>3909</v>
      </c>
      <c r="T123" s="310" t="s">
        <v>3910</v>
      </c>
      <c r="U123" s="54"/>
    </row>
    <row r="124" spans="1:21" ht="16">
      <c r="A124" s="162"/>
      <c r="B124" s="71" t="s">
        <v>3907</v>
      </c>
      <c r="C124" s="53" t="s">
        <v>750</v>
      </c>
      <c r="D124" s="53" t="s">
        <v>434</v>
      </c>
      <c r="E124" s="53" t="s">
        <v>1754</v>
      </c>
      <c r="F124" s="53" t="s">
        <v>3911</v>
      </c>
      <c r="G124" s="131" t="s">
        <v>30</v>
      </c>
      <c r="H124" s="53">
        <v>50</v>
      </c>
      <c r="I124" s="188">
        <v>275</v>
      </c>
      <c r="J124" s="54">
        <f t="shared" si="5"/>
        <v>13750</v>
      </c>
      <c r="K124" s="55" t="b">
        <v>1</v>
      </c>
      <c r="L124" s="56">
        <v>210320251152</v>
      </c>
      <c r="M124" s="57" t="b">
        <v>1</v>
      </c>
      <c r="N124" s="360"/>
      <c r="O124" s="361" t="s">
        <v>3912</v>
      </c>
      <c r="P124" s="191" t="b">
        <v>1</v>
      </c>
      <c r="Q124" s="308" t="s">
        <v>3138</v>
      </c>
      <c r="R124" s="47" t="b">
        <v>1</v>
      </c>
      <c r="S124" s="173" t="s">
        <v>3913</v>
      </c>
      <c r="T124" s="310" t="s">
        <v>3914</v>
      </c>
      <c r="U124" s="54" t="s">
        <v>3915</v>
      </c>
    </row>
    <row r="125" spans="1:21" ht="16">
      <c r="A125" s="162"/>
      <c r="B125" s="71" t="s">
        <v>3907</v>
      </c>
      <c r="C125" s="53" t="s">
        <v>2152</v>
      </c>
      <c r="D125" s="53" t="s">
        <v>2152</v>
      </c>
      <c r="E125" s="53" t="s">
        <v>3077</v>
      </c>
      <c r="F125" s="53" t="s">
        <v>2674</v>
      </c>
      <c r="G125" s="131" t="s">
        <v>30</v>
      </c>
      <c r="H125" s="53">
        <v>10</v>
      </c>
      <c r="I125" s="188">
        <v>575</v>
      </c>
      <c r="J125" s="54">
        <f t="shared" si="5"/>
        <v>5750</v>
      </c>
      <c r="K125" s="55" t="b">
        <v>1</v>
      </c>
      <c r="L125" s="56">
        <v>210320251210</v>
      </c>
      <c r="M125" s="57" t="b">
        <v>1</v>
      </c>
      <c r="N125" s="58"/>
      <c r="O125" s="226"/>
      <c r="P125" s="191" t="b">
        <v>1</v>
      </c>
      <c r="Q125" s="308" t="s">
        <v>3138</v>
      </c>
      <c r="R125" s="47" t="b">
        <v>1</v>
      </c>
      <c r="S125" s="173" t="s">
        <v>3916</v>
      </c>
      <c r="T125" s="310" t="s">
        <v>3917</v>
      </c>
      <c r="U125" s="54"/>
    </row>
    <row r="126" spans="1:21" ht="16">
      <c r="A126" s="162"/>
      <c r="B126" s="71" t="s">
        <v>3907</v>
      </c>
      <c r="C126" s="53" t="s">
        <v>51</v>
      </c>
      <c r="D126" s="53" t="s">
        <v>66</v>
      </c>
      <c r="E126" s="53" t="s">
        <v>67</v>
      </c>
      <c r="F126" s="53" t="s">
        <v>2674</v>
      </c>
      <c r="G126" s="131" t="s">
        <v>30</v>
      </c>
      <c r="H126" s="53">
        <v>5</v>
      </c>
      <c r="I126" s="188">
        <v>575</v>
      </c>
      <c r="J126" s="54">
        <f t="shared" si="5"/>
        <v>2875</v>
      </c>
      <c r="K126" s="55" t="b">
        <v>1</v>
      </c>
      <c r="L126" s="56">
        <v>210320251217</v>
      </c>
      <c r="M126" s="57" t="b">
        <v>1</v>
      </c>
      <c r="N126" s="58"/>
      <c r="O126" s="226"/>
      <c r="P126" s="191" t="b">
        <v>1</v>
      </c>
      <c r="Q126" s="308" t="s">
        <v>3138</v>
      </c>
      <c r="R126" s="47" t="b">
        <v>1</v>
      </c>
      <c r="S126" s="173" t="s">
        <v>3918</v>
      </c>
      <c r="T126" s="310" t="s">
        <v>3919</v>
      </c>
      <c r="U126" s="54"/>
    </row>
    <row r="127" spans="1:21" ht="16">
      <c r="A127" s="162"/>
      <c r="B127" s="71" t="s">
        <v>3907</v>
      </c>
      <c r="C127" s="53" t="s">
        <v>397</v>
      </c>
      <c r="D127" s="53" t="s">
        <v>3920</v>
      </c>
      <c r="E127" s="53" t="s">
        <v>2260</v>
      </c>
      <c r="F127" s="53" t="s">
        <v>3921</v>
      </c>
      <c r="G127" s="131" t="s">
        <v>30</v>
      </c>
      <c r="H127" s="53">
        <v>43</v>
      </c>
      <c r="I127" s="188">
        <v>135</v>
      </c>
      <c r="J127" s="54">
        <f t="shared" si="5"/>
        <v>5805</v>
      </c>
      <c r="K127" s="55" t="b">
        <v>1</v>
      </c>
      <c r="L127" s="56">
        <v>210320251217</v>
      </c>
      <c r="M127" s="57" t="b">
        <v>1</v>
      </c>
      <c r="N127" s="58"/>
      <c r="O127" s="215"/>
      <c r="P127" s="191" t="b">
        <v>1</v>
      </c>
      <c r="Q127" s="308" t="s">
        <v>3138</v>
      </c>
      <c r="R127" s="47" t="b">
        <v>1</v>
      </c>
      <c r="S127" s="173"/>
      <c r="T127" s="310" t="s">
        <v>3922</v>
      </c>
      <c r="U127" s="54"/>
    </row>
    <row r="128" spans="1:21" ht="16">
      <c r="A128" s="162"/>
      <c r="B128" s="71" t="s">
        <v>3907</v>
      </c>
      <c r="C128" s="53" t="s">
        <v>397</v>
      </c>
      <c r="D128" s="53" t="s">
        <v>3920</v>
      </c>
      <c r="E128" s="53" t="s">
        <v>2260</v>
      </c>
      <c r="F128" s="53" t="s">
        <v>3923</v>
      </c>
      <c r="G128" s="131" t="s">
        <v>30</v>
      </c>
      <c r="H128" s="53">
        <v>1</v>
      </c>
      <c r="I128" s="188">
        <v>1475</v>
      </c>
      <c r="J128" s="54">
        <f t="shared" si="5"/>
        <v>1475</v>
      </c>
      <c r="K128" s="189" t="b">
        <v>1</v>
      </c>
      <c r="L128" s="56">
        <v>210320251217</v>
      </c>
      <c r="M128" s="60" t="b">
        <v>1</v>
      </c>
      <c r="N128" s="190"/>
      <c r="O128" s="289"/>
      <c r="P128" s="191" t="b">
        <v>1</v>
      </c>
      <c r="Q128" s="308" t="s">
        <v>3138</v>
      </c>
      <c r="R128" s="47" t="b">
        <v>1</v>
      </c>
      <c r="S128" s="173" t="s">
        <v>3924</v>
      </c>
      <c r="T128" s="310" t="s">
        <v>3925</v>
      </c>
      <c r="U128" s="54"/>
    </row>
    <row r="129" spans="1:21" ht="16">
      <c r="A129" s="162"/>
      <c r="B129" s="71" t="s">
        <v>3907</v>
      </c>
      <c r="C129" s="53" t="s">
        <v>397</v>
      </c>
      <c r="D129" s="53" t="s">
        <v>3920</v>
      </c>
      <c r="E129" s="53" t="s">
        <v>2260</v>
      </c>
      <c r="F129" s="53" t="s">
        <v>2674</v>
      </c>
      <c r="G129" s="131" t="s">
        <v>30</v>
      </c>
      <c r="H129" s="53">
        <v>5</v>
      </c>
      <c r="I129" s="188">
        <v>575</v>
      </c>
      <c r="J129" s="54">
        <f t="shared" si="5"/>
        <v>2875</v>
      </c>
      <c r="K129" s="55" t="b">
        <v>1</v>
      </c>
      <c r="L129" s="56">
        <v>210320251217</v>
      </c>
      <c r="M129" s="57" t="b">
        <v>1</v>
      </c>
      <c r="N129" s="58"/>
      <c r="O129" s="226"/>
      <c r="P129" s="191" t="b">
        <v>1</v>
      </c>
      <c r="Q129" s="308" t="s">
        <v>3138</v>
      </c>
      <c r="R129" s="47" t="b">
        <v>1</v>
      </c>
      <c r="S129" s="173" t="s">
        <v>3924</v>
      </c>
      <c r="T129" s="310" t="s">
        <v>3925</v>
      </c>
      <c r="U129" s="54"/>
    </row>
    <row r="130" spans="1:21" ht="16">
      <c r="A130" s="162"/>
      <c r="B130" s="71" t="s">
        <v>3907</v>
      </c>
      <c r="C130" s="53" t="s">
        <v>26</v>
      </c>
      <c r="D130" s="53" t="s">
        <v>27</v>
      </c>
      <c r="E130" s="53" t="s">
        <v>1590</v>
      </c>
      <c r="F130" s="53" t="s">
        <v>101</v>
      </c>
      <c r="G130" s="131" t="s">
        <v>30</v>
      </c>
      <c r="H130" s="53">
        <v>15</v>
      </c>
      <c r="I130" s="188">
        <v>995</v>
      </c>
      <c r="J130" s="54">
        <f t="shared" si="5"/>
        <v>14925</v>
      </c>
      <c r="K130" s="55" t="b">
        <v>1</v>
      </c>
      <c r="L130" s="56">
        <v>210320251217</v>
      </c>
      <c r="M130" s="57" t="b">
        <v>1</v>
      </c>
      <c r="N130" s="58" t="s">
        <v>529</v>
      </c>
      <c r="O130" s="226"/>
      <c r="P130" s="191" t="b">
        <v>1</v>
      </c>
      <c r="Q130" s="308" t="s">
        <v>3138</v>
      </c>
      <c r="R130" s="47" t="b">
        <v>1</v>
      </c>
      <c r="S130" s="173" t="s">
        <v>3926</v>
      </c>
      <c r="T130" s="310" t="s">
        <v>3927</v>
      </c>
      <c r="U130" s="54"/>
    </row>
    <row r="131" spans="1:21" ht="16">
      <c r="A131" s="162"/>
      <c r="B131" s="71" t="s">
        <v>3907</v>
      </c>
      <c r="C131" s="53" t="s">
        <v>26</v>
      </c>
      <c r="D131" s="53" t="s">
        <v>27</v>
      </c>
      <c r="E131" s="53" t="s">
        <v>1590</v>
      </c>
      <c r="F131" s="53" t="s">
        <v>72</v>
      </c>
      <c r="G131" s="131" t="s">
        <v>30</v>
      </c>
      <c r="H131" s="53">
        <v>1</v>
      </c>
      <c r="I131" s="188">
        <v>1750</v>
      </c>
      <c r="J131" s="54">
        <f t="shared" si="5"/>
        <v>1750</v>
      </c>
      <c r="K131" s="55" t="b">
        <v>1</v>
      </c>
      <c r="L131" s="56">
        <v>210320251217</v>
      </c>
      <c r="M131" s="57" t="b">
        <v>1</v>
      </c>
      <c r="N131" s="58"/>
      <c r="O131" s="226"/>
      <c r="P131" s="191" t="b">
        <v>1</v>
      </c>
      <c r="Q131" s="308" t="s">
        <v>3138</v>
      </c>
      <c r="R131" s="47" t="b">
        <v>0</v>
      </c>
      <c r="S131" s="173"/>
      <c r="T131" s="310" t="s">
        <v>3928</v>
      </c>
      <c r="U131" s="54"/>
    </row>
    <row r="132" spans="1:21" ht="16">
      <c r="A132" s="162"/>
      <c r="B132" s="71" t="s">
        <v>3907</v>
      </c>
      <c r="C132" s="53" t="s">
        <v>51</v>
      </c>
      <c r="D132" s="53" t="s">
        <v>335</v>
      </c>
      <c r="E132" s="53" t="s">
        <v>457</v>
      </c>
      <c r="F132" s="53" t="s">
        <v>2674</v>
      </c>
      <c r="G132" s="131" t="s">
        <v>30</v>
      </c>
      <c r="H132" s="53">
        <v>5</v>
      </c>
      <c r="I132" s="188">
        <v>575</v>
      </c>
      <c r="J132" s="54">
        <f t="shared" si="5"/>
        <v>2875</v>
      </c>
      <c r="K132" s="55" t="b">
        <v>1</v>
      </c>
      <c r="L132" s="56">
        <v>210320251217</v>
      </c>
      <c r="M132" s="57" t="b">
        <v>1</v>
      </c>
      <c r="N132" s="58"/>
      <c r="O132" s="226"/>
      <c r="P132" s="191" t="b">
        <v>1</v>
      </c>
      <c r="Q132" s="308" t="s">
        <v>3138</v>
      </c>
      <c r="R132" s="47" t="b">
        <v>1</v>
      </c>
      <c r="S132" s="173" t="s">
        <v>3929</v>
      </c>
      <c r="T132" s="310" t="s">
        <v>3930</v>
      </c>
      <c r="U132" s="54"/>
    </row>
    <row r="133" spans="1:21" ht="16">
      <c r="A133" s="162"/>
      <c r="B133" s="71" t="s">
        <v>3907</v>
      </c>
      <c r="C133" s="53" t="s">
        <v>51</v>
      </c>
      <c r="D133" s="53" t="s">
        <v>335</v>
      </c>
      <c r="E133" s="53" t="s">
        <v>457</v>
      </c>
      <c r="F133" s="53" t="s">
        <v>3923</v>
      </c>
      <c r="G133" s="131" t="s">
        <v>30</v>
      </c>
      <c r="H133" s="53">
        <v>1</v>
      </c>
      <c r="I133" s="188">
        <v>1475</v>
      </c>
      <c r="J133" s="54">
        <f t="shared" si="5"/>
        <v>1475</v>
      </c>
      <c r="K133" s="55" t="b">
        <v>1</v>
      </c>
      <c r="L133" s="56">
        <v>210320251217</v>
      </c>
      <c r="M133" s="57" t="b">
        <v>1</v>
      </c>
      <c r="N133" s="58"/>
      <c r="O133" s="226"/>
      <c r="P133" s="191" t="b">
        <v>1</v>
      </c>
      <c r="Q133" s="308" t="s">
        <v>3138</v>
      </c>
      <c r="R133" s="47" t="b">
        <v>1</v>
      </c>
      <c r="S133" s="173" t="s">
        <v>3929</v>
      </c>
      <c r="T133" s="310" t="s">
        <v>3930</v>
      </c>
      <c r="U133" s="54"/>
    </row>
    <row r="134" spans="1:21" ht="16">
      <c r="A134" s="162"/>
      <c r="B134" s="71" t="s">
        <v>3907</v>
      </c>
      <c r="C134" s="53" t="s">
        <v>433</v>
      </c>
      <c r="D134" s="53" t="s">
        <v>751</v>
      </c>
      <c r="E134" s="53" t="s">
        <v>2538</v>
      </c>
      <c r="F134" s="53" t="s">
        <v>2674</v>
      </c>
      <c r="G134" s="131" t="s">
        <v>30</v>
      </c>
      <c r="H134" s="53">
        <v>5</v>
      </c>
      <c r="I134" s="188">
        <v>575</v>
      </c>
      <c r="J134" s="54">
        <f t="shared" si="5"/>
        <v>2875</v>
      </c>
      <c r="K134" s="55" t="b">
        <v>1</v>
      </c>
      <c r="L134" s="56">
        <v>210320252021</v>
      </c>
      <c r="M134" s="57" t="b">
        <v>1</v>
      </c>
      <c r="N134" s="58"/>
      <c r="O134" s="226"/>
      <c r="P134" s="191" t="b">
        <v>1</v>
      </c>
      <c r="Q134" s="308" t="s">
        <v>3138</v>
      </c>
      <c r="R134" s="47" t="b">
        <v>1</v>
      </c>
      <c r="S134" s="173" t="s">
        <v>3931</v>
      </c>
      <c r="T134" s="310" t="s">
        <v>3932</v>
      </c>
      <c r="U134" s="54"/>
    </row>
    <row r="135" spans="1:21" ht="16">
      <c r="A135" s="162"/>
      <c r="B135" s="71" t="s">
        <v>3907</v>
      </c>
      <c r="C135" s="53" t="s">
        <v>433</v>
      </c>
      <c r="D135" s="53" t="s">
        <v>751</v>
      </c>
      <c r="E135" s="53" t="s">
        <v>2538</v>
      </c>
      <c r="F135" s="53" t="s">
        <v>3923</v>
      </c>
      <c r="G135" s="131" t="s">
        <v>30</v>
      </c>
      <c r="H135" s="53">
        <v>1</v>
      </c>
      <c r="I135" s="188">
        <v>1475</v>
      </c>
      <c r="J135" s="54">
        <f t="shared" si="5"/>
        <v>1475</v>
      </c>
      <c r="K135" s="55" t="b">
        <v>1</v>
      </c>
      <c r="L135" s="56">
        <v>210320252022</v>
      </c>
      <c r="M135" s="57" t="b">
        <v>1</v>
      </c>
      <c r="N135" s="58"/>
      <c r="O135" s="226"/>
      <c r="P135" s="191" t="b">
        <v>1</v>
      </c>
      <c r="Q135" s="308" t="s">
        <v>3138</v>
      </c>
      <c r="R135" s="47" t="b">
        <v>1</v>
      </c>
      <c r="S135" s="173" t="s">
        <v>3931</v>
      </c>
      <c r="T135" s="310" t="s">
        <v>3932</v>
      </c>
      <c r="U135" s="54"/>
    </row>
    <row r="136" spans="1:21" ht="16">
      <c r="A136" s="162"/>
      <c r="B136" s="71" t="s">
        <v>3907</v>
      </c>
      <c r="C136" s="53" t="s">
        <v>433</v>
      </c>
      <c r="D136" s="53" t="s">
        <v>751</v>
      </c>
      <c r="E136" s="53" t="s">
        <v>2538</v>
      </c>
      <c r="F136" s="53" t="s">
        <v>124</v>
      </c>
      <c r="G136" s="131" t="s">
        <v>30</v>
      </c>
      <c r="H136" s="53">
        <v>2</v>
      </c>
      <c r="I136" s="188">
        <v>675</v>
      </c>
      <c r="J136" s="54">
        <f t="shared" si="5"/>
        <v>1350</v>
      </c>
      <c r="K136" s="55" t="b">
        <v>1</v>
      </c>
      <c r="L136" s="56">
        <v>210320252022</v>
      </c>
      <c r="M136" s="57" t="b">
        <v>1</v>
      </c>
      <c r="N136" s="58"/>
      <c r="O136" s="226"/>
      <c r="P136" s="191" t="b">
        <v>1</v>
      </c>
      <c r="Q136" s="308" t="s">
        <v>3138</v>
      </c>
      <c r="R136" s="47" t="b">
        <v>1</v>
      </c>
      <c r="S136" s="173" t="s">
        <v>3933</v>
      </c>
      <c r="T136" s="310" t="s">
        <v>3934</v>
      </c>
      <c r="U136" s="54"/>
    </row>
    <row r="137" spans="1:21" ht="16">
      <c r="A137" s="162"/>
      <c r="B137" s="71" t="s">
        <v>3907</v>
      </c>
      <c r="C137" s="53" t="s">
        <v>51</v>
      </c>
      <c r="D137" s="53" t="s">
        <v>89</v>
      </c>
      <c r="E137" s="53" t="s">
        <v>3742</v>
      </c>
      <c r="F137" s="53" t="s">
        <v>3477</v>
      </c>
      <c r="G137" s="131" t="s">
        <v>30</v>
      </c>
      <c r="H137" s="53">
        <v>3</v>
      </c>
      <c r="I137" s="188">
        <v>2250</v>
      </c>
      <c r="J137" s="54">
        <f t="shared" si="5"/>
        <v>6750</v>
      </c>
      <c r="K137" s="55" t="b">
        <v>1</v>
      </c>
      <c r="L137" s="56">
        <v>220320251948</v>
      </c>
      <c r="M137" s="57" t="b">
        <v>1</v>
      </c>
      <c r="N137" s="58"/>
      <c r="O137" s="226"/>
      <c r="P137" s="191" t="b">
        <v>1</v>
      </c>
      <c r="Q137" s="308" t="s">
        <v>3138</v>
      </c>
      <c r="R137" s="47" t="b">
        <v>1</v>
      </c>
      <c r="S137" s="173" t="s">
        <v>3935</v>
      </c>
      <c r="T137" s="310" t="s">
        <v>3936</v>
      </c>
      <c r="U137" s="54"/>
    </row>
    <row r="138" spans="1:21" ht="16">
      <c r="A138" s="162"/>
      <c r="B138" s="71" t="s">
        <v>3907</v>
      </c>
      <c r="C138" s="53" t="s">
        <v>418</v>
      </c>
      <c r="D138" s="53" t="s">
        <v>230</v>
      </c>
      <c r="E138" s="53" t="s">
        <v>1990</v>
      </c>
      <c r="F138" s="53" t="s">
        <v>3937</v>
      </c>
      <c r="G138" s="131" t="s">
        <v>30</v>
      </c>
      <c r="H138" s="53">
        <v>2</v>
      </c>
      <c r="I138" s="188">
        <v>695</v>
      </c>
      <c r="J138" s="54">
        <f t="shared" si="5"/>
        <v>1390</v>
      </c>
      <c r="K138" s="55" t="b">
        <v>1</v>
      </c>
      <c r="L138" s="56">
        <v>220320251950</v>
      </c>
      <c r="M138" s="57" t="b">
        <v>1</v>
      </c>
      <c r="N138" s="58"/>
      <c r="O138" s="226"/>
      <c r="P138" s="191" t="b">
        <v>1</v>
      </c>
      <c r="Q138" s="308" t="s">
        <v>3138</v>
      </c>
      <c r="R138" s="47" t="b">
        <v>1</v>
      </c>
      <c r="S138" s="173" t="s">
        <v>3938</v>
      </c>
      <c r="T138" s="310" t="s">
        <v>3939</v>
      </c>
      <c r="U138" s="54"/>
    </row>
    <row r="139" spans="1:21" ht="16">
      <c r="A139" s="162"/>
      <c r="B139" s="71" t="s">
        <v>3940</v>
      </c>
      <c r="C139" s="53" t="s">
        <v>418</v>
      </c>
      <c r="D139" s="53" t="s">
        <v>42</v>
      </c>
      <c r="E139" s="53" t="s">
        <v>209</v>
      </c>
      <c r="F139" s="53" t="s">
        <v>771</v>
      </c>
      <c r="G139" s="131" t="s">
        <v>30</v>
      </c>
      <c r="H139" s="53">
        <v>10</v>
      </c>
      <c r="I139" s="188">
        <v>125</v>
      </c>
      <c r="J139" s="54">
        <f t="shared" si="5"/>
        <v>1250</v>
      </c>
      <c r="K139" s="55" t="b">
        <v>1</v>
      </c>
      <c r="L139" s="56">
        <v>240320250855</v>
      </c>
      <c r="M139" s="57" t="b">
        <v>1</v>
      </c>
      <c r="N139" s="58"/>
      <c r="O139" s="226"/>
      <c r="P139" s="191" t="b">
        <v>1</v>
      </c>
      <c r="Q139" s="308" t="s">
        <v>3138</v>
      </c>
      <c r="R139" s="47" t="b">
        <v>1</v>
      </c>
      <c r="S139" s="173" t="s">
        <v>3941</v>
      </c>
      <c r="T139" s="310" t="s">
        <v>3942</v>
      </c>
      <c r="U139" s="54"/>
    </row>
    <row r="140" spans="1:21" ht="16">
      <c r="A140" s="162"/>
      <c r="B140" s="71" t="s">
        <v>3940</v>
      </c>
      <c r="C140" s="53" t="s">
        <v>418</v>
      </c>
      <c r="D140" s="53" t="s">
        <v>42</v>
      </c>
      <c r="E140" s="53" t="s">
        <v>209</v>
      </c>
      <c r="F140" s="53" t="s">
        <v>3943</v>
      </c>
      <c r="G140" s="131" t="s">
        <v>30</v>
      </c>
      <c r="H140" s="53">
        <v>10</v>
      </c>
      <c r="I140" s="188">
        <v>135</v>
      </c>
      <c r="J140" s="54">
        <f t="shared" si="5"/>
        <v>1350</v>
      </c>
      <c r="K140" s="55" t="b">
        <v>1</v>
      </c>
      <c r="L140" s="56">
        <v>240320250855</v>
      </c>
      <c r="M140" s="57" t="b">
        <v>1</v>
      </c>
      <c r="N140" s="58"/>
      <c r="O140" s="215"/>
      <c r="P140" s="191" t="b">
        <v>1</v>
      </c>
      <c r="Q140" s="308" t="s">
        <v>3138</v>
      </c>
      <c r="R140" s="47" t="b">
        <v>1</v>
      </c>
      <c r="S140" s="173" t="s">
        <v>3941</v>
      </c>
      <c r="T140" s="310" t="s">
        <v>3942</v>
      </c>
      <c r="U140" s="54"/>
    </row>
    <row r="141" spans="1:21" ht="16">
      <c r="A141" s="162"/>
      <c r="B141" s="71" t="s">
        <v>3940</v>
      </c>
      <c r="C141" s="53" t="s">
        <v>51</v>
      </c>
      <c r="D141" s="53" t="s">
        <v>201</v>
      </c>
      <c r="E141" s="53" t="s">
        <v>202</v>
      </c>
      <c r="F141" s="53" t="s">
        <v>3944</v>
      </c>
      <c r="G141" s="131" t="s">
        <v>30</v>
      </c>
      <c r="H141" s="53">
        <v>80</v>
      </c>
      <c r="I141" s="188">
        <v>14.5</v>
      </c>
      <c r="J141" s="54">
        <f t="shared" si="5"/>
        <v>1160</v>
      </c>
      <c r="K141" s="55" t="b">
        <v>1</v>
      </c>
      <c r="L141" s="56">
        <v>240320250916</v>
      </c>
      <c r="M141" s="57" t="b">
        <v>1</v>
      </c>
      <c r="N141" s="58"/>
      <c r="O141" s="226"/>
      <c r="P141" s="191" t="b">
        <v>1</v>
      </c>
      <c r="Q141" s="308" t="s">
        <v>3138</v>
      </c>
      <c r="R141" s="47" t="b">
        <v>1</v>
      </c>
      <c r="S141" s="173" t="s">
        <v>3945</v>
      </c>
      <c r="T141" s="310" t="s">
        <v>3946</v>
      </c>
      <c r="U141" s="54"/>
    </row>
    <row r="142" spans="1:21" ht="14.25" customHeight="1">
      <c r="A142" s="162"/>
      <c r="B142" s="71" t="s">
        <v>3940</v>
      </c>
      <c r="C142" s="53" t="s">
        <v>418</v>
      </c>
      <c r="D142" s="53" t="s">
        <v>1069</v>
      </c>
      <c r="E142" s="53" t="s">
        <v>420</v>
      </c>
      <c r="F142" s="53" t="s">
        <v>3947</v>
      </c>
      <c r="G142" s="131" t="s">
        <v>30</v>
      </c>
      <c r="H142" s="53">
        <v>30</v>
      </c>
      <c r="I142" s="188">
        <v>60</v>
      </c>
      <c r="J142" s="54">
        <f t="shared" si="5"/>
        <v>1800</v>
      </c>
      <c r="K142" s="55" t="b">
        <v>1</v>
      </c>
      <c r="L142" s="56">
        <v>240320250916</v>
      </c>
      <c r="M142" s="57" t="b">
        <v>1</v>
      </c>
      <c r="N142" s="58"/>
      <c r="O142" s="215" t="s">
        <v>3948</v>
      </c>
      <c r="P142" s="191" t="b">
        <v>1</v>
      </c>
      <c r="Q142" s="308" t="s">
        <v>3138</v>
      </c>
      <c r="R142" s="47" t="b">
        <v>1</v>
      </c>
      <c r="S142" s="173" t="s">
        <v>3949</v>
      </c>
      <c r="T142" s="310" t="s">
        <v>3950</v>
      </c>
      <c r="U142" s="54"/>
    </row>
    <row r="143" spans="1:21" ht="16">
      <c r="A143" s="162"/>
      <c r="B143" s="71" t="s">
        <v>3940</v>
      </c>
      <c r="C143" s="53" t="s">
        <v>418</v>
      </c>
      <c r="D143" s="53" t="s">
        <v>1069</v>
      </c>
      <c r="E143" s="53" t="s">
        <v>420</v>
      </c>
      <c r="F143" s="53" t="s">
        <v>2833</v>
      </c>
      <c r="G143" s="131" t="s">
        <v>30</v>
      </c>
      <c r="H143" s="53">
        <v>10</v>
      </c>
      <c r="I143" s="188">
        <v>135</v>
      </c>
      <c r="J143" s="54">
        <f t="shared" si="5"/>
        <v>1350</v>
      </c>
      <c r="K143" s="55" t="b">
        <v>1</v>
      </c>
      <c r="L143" s="56">
        <v>240320250916</v>
      </c>
      <c r="M143" s="57" t="b">
        <v>1</v>
      </c>
      <c r="N143" s="58"/>
      <c r="O143" s="226"/>
      <c r="P143" s="191" t="b">
        <v>1</v>
      </c>
      <c r="Q143" s="308" t="s">
        <v>3138</v>
      </c>
      <c r="R143" s="47" t="b">
        <v>1</v>
      </c>
      <c r="S143" s="173" t="s">
        <v>3949</v>
      </c>
      <c r="T143" s="310" t="s">
        <v>3950</v>
      </c>
      <c r="U143" s="54"/>
    </row>
    <row r="144" spans="1:21" ht="16">
      <c r="A144" s="162"/>
      <c r="B144" s="71" t="s">
        <v>3940</v>
      </c>
      <c r="C144" s="53" t="s">
        <v>418</v>
      </c>
      <c r="D144" s="53" t="s">
        <v>1069</v>
      </c>
      <c r="E144" s="53" t="s">
        <v>420</v>
      </c>
      <c r="F144" s="53" t="s">
        <v>49</v>
      </c>
      <c r="G144" s="131" t="s">
        <v>30</v>
      </c>
      <c r="H144" s="53">
        <v>10</v>
      </c>
      <c r="I144" s="188">
        <v>635</v>
      </c>
      <c r="J144" s="54">
        <f t="shared" si="5"/>
        <v>6350</v>
      </c>
      <c r="K144" s="55" t="b">
        <v>1</v>
      </c>
      <c r="L144" s="56">
        <v>240320250916</v>
      </c>
      <c r="M144" s="57" t="b">
        <v>1</v>
      </c>
      <c r="N144" s="58" t="s">
        <v>39</v>
      </c>
      <c r="O144" s="226"/>
      <c r="P144" s="191" t="b">
        <v>1</v>
      </c>
      <c r="Q144" s="308" t="s">
        <v>3138</v>
      </c>
      <c r="R144" s="47" t="b">
        <v>1</v>
      </c>
      <c r="S144" s="173" t="s">
        <v>3951</v>
      </c>
      <c r="T144" s="310" t="s">
        <v>3952</v>
      </c>
      <c r="U144" s="54"/>
    </row>
    <row r="145" spans="1:21" ht="16">
      <c r="A145" s="162"/>
      <c r="B145" s="71" t="s">
        <v>3940</v>
      </c>
      <c r="C145" s="53" t="s">
        <v>418</v>
      </c>
      <c r="D145" s="53" t="s">
        <v>1069</v>
      </c>
      <c r="E145" s="53" t="s">
        <v>420</v>
      </c>
      <c r="F145" s="53" t="s">
        <v>300</v>
      </c>
      <c r="G145" s="131" t="s">
        <v>30</v>
      </c>
      <c r="H145" s="53">
        <v>10</v>
      </c>
      <c r="I145" s="188">
        <v>135</v>
      </c>
      <c r="J145" s="54">
        <f t="shared" si="5"/>
        <v>1350</v>
      </c>
      <c r="K145" s="55" t="b">
        <v>1</v>
      </c>
      <c r="L145" s="56">
        <v>240320250916</v>
      </c>
      <c r="M145" s="57" t="b">
        <v>1</v>
      </c>
      <c r="N145" s="58"/>
      <c r="O145" s="226"/>
      <c r="P145" s="191" t="b">
        <v>1</v>
      </c>
      <c r="Q145" s="308" t="s">
        <v>3138</v>
      </c>
      <c r="R145" s="47" t="b">
        <v>1</v>
      </c>
      <c r="S145" s="173" t="s">
        <v>3949</v>
      </c>
      <c r="T145" s="310" t="s">
        <v>3950</v>
      </c>
      <c r="U145" s="54"/>
    </row>
    <row r="146" spans="1:21" ht="16">
      <c r="A146" s="162"/>
      <c r="B146" s="71" t="s">
        <v>3940</v>
      </c>
      <c r="C146" s="53" t="s">
        <v>418</v>
      </c>
      <c r="D146" s="53" t="s">
        <v>1069</v>
      </c>
      <c r="E146" s="53" t="s">
        <v>420</v>
      </c>
      <c r="F146" s="53" t="s">
        <v>3115</v>
      </c>
      <c r="G146" s="131" t="s">
        <v>30</v>
      </c>
      <c r="H146" s="53">
        <v>5</v>
      </c>
      <c r="I146" s="188">
        <v>575</v>
      </c>
      <c r="J146" s="54">
        <f t="shared" si="5"/>
        <v>2875</v>
      </c>
      <c r="K146" s="55" t="b">
        <v>1</v>
      </c>
      <c r="L146" s="56">
        <v>240320250916</v>
      </c>
      <c r="M146" s="57" t="b">
        <v>1</v>
      </c>
      <c r="N146" s="58"/>
      <c r="O146" s="226"/>
      <c r="P146" s="191" t="b">
        <v>1</v>
      </c>
      <c r="Q146" s="308" t="s">
        <v>3138</v>
      </c>
      <c r="R146" s="47" t="b">
        <v>1</v>
      </c>
      <c r="S146" s="173" t="s">
        <v>3949</v>
      </c>
      <c r="T146" s="310" t="s">
        <v>3950</v>
      </c>
      <c r="U146" s="54"/>
    </row>
    <row r="147" spans="1:21" ht="16">
      <c r="A147" s="162"/>
      <c r="B147" s="71" t="s">
        <v>3940</v>
      </c>
      <c r="C147" s="53" t="s">
        <v>194</v>
      </c>
      <c r="D147" s="53" t="s">
        <v>195</v>
      </c>
      <c r="E147" s="53" t="s">
        <v>196</v>
      </c>
      <c r="F147" s="53" t="s">
        <v>49</v>
      </c>
      <c r="G147" s="131" t="s">
        <v>30</v>
      </c>
      <c r="H147" s="53">
        <v>10</v>
      </c>
      <c r="I147" s="188">
        <v>635</v>
      </c>
      <c r="J147" s="54">
        <f t="shared" si="5"/>
        <v>6350</v>
      </c>
      <c r="K147" s="55" t="b">
        <v>1</v>
      </c>
      <c r="L147" s="56">
        <v>24032051007</v>
      </c>
      <c r="M147" s="57" t="b">
        <v>1</v>
      </c>
      <c r="N147" s="58" t="s">
        <v>39</v>
      </c>
      <c r="O147" s="226"/>
      <c r="P147" s="191" t="b">
        <v>1</v>
      </c>
      <c r="Q147" s="308" t="s">
        <v>3138</v>
      </c>
      <c r="R147" s="47" t="b">
        <v>1</v>
      </c>
      <c r="S147" s="313"/>
      <c r="T147" s="310" t="s">
        <v>3953</v>
      </c>
      <c r="U147" s="54"/>
    </row>
    <row r="148" spans="1:21" ht="16">
      <c r="A148" s="162"/>
      <c r="B148" s="71" t="s">
        <v>3940</v>
      </c>
      <c r="C148" s="53" t="s">
        <v>262</v>
      </c>
      <c r="D148" s="53" t="s">
        <v>263</v>
      </c>
      <c r="E148" s="53" t="s">
        <v>2855</v>
      </c>
      <c r="F148" s="53" t="s">
        <v>3954</v>
      </c>
      <c r="G148" s="131" t="s">
        <v>30</v>
      </c>
      <c r="H148" s="53">
        <v>5</v>
      </c>
      <c r="I148" s="188">
        <v>575</v>
      </c>
      <c r="J148" s="54">
        <f t="shared" si="5"/>
        <v>2875</v>
      </c>
      <c r="K148" s="55" t="b">
        <v>1</v>
      </c>
      <c r="L148" s="56">
        <v>240320251136</v>
      </c>
      <c r="M148" s="57" t="b">
        <v>1</v>
      </c>
      <c r="N148" s="58"/>
      <c r="O148" s="226"/>
      <c r="P148" s="191" t="b">
        <v>1</v>
      </c>
      <c r="Q148" s="308" t="s">
        <v>3138</v>
      </c>
      <c r="R148" s="47" t="b">
        <v>1</v>
      </c>
      <c r="S148" s="173" t="s">
        <v>3955</v>
      </c>
      <c r="T148" s="310" t="s">
        <v>3956</v>
      </c>
      <c r="U148" s="54"/>
    </row>
    <row r="149" spans="1:21" ht="16">
      <c r="A149" s="162"/>
      <c r="B149" s="71" t="s">
        <v>3940</v>
      </c>
      <c r="C149" s="53" t="s">
        <v>262</v>
      </c>
      <c r="D149" s="53" t="s">
        <v>263</v>
      </c>
      <c r="E149" s="53" t="s">
        <v>2855</v>
      </c>
      <c r="F149" s="53" t="s">
        <v>3923</v>
      </c>
      <c r="G149" s="131" t="s">
        <v>30</v>
      </c>
      <c r="H149" s="53">
        <v>1</v>
      </c>
      <c r="I149" s="188">
        <v>1475</v>
      </c>
      <c r="J149" s="54">
        <f t="shared" si="5"/>
        <v>1475</v>
      </c>
      <c r="K149" s="55" t="b">
        <v>1</v>
      </c>
      <c r="L149" s="56">
        <v>240320251136</v>
      </c>
      <c r="M149" s="57" t="b">
        <v>1</v>
      </c>
      <c r="N149" s="58"/>
      <c r="O149" s="215"/>
      <c r="P149" s="191" t="b">
        <v>1</v>
      </c>
      <c r="Q149" s="308" t="s">
        <v>3138</v>
      </c>
      <c r="R149" s="47" t="b">
        <v>1</v>
      </c>
      <c r="S149" s="173" t="s">
        <v>3955</v>
      </c>
      <c r="T149" s="310" t="s">
        <v>3956</v>
      </c>
      <c r="U149" s="54"/>
    </row>
    <row r="150" spans="1:21" ht="16">
      <c r="A150" s="162"/>
      <c r="B150" s="71" t="s">
        <v>3940</v>
      </c>
      <c r="C150" s="53" t="s">
        <v>104</v>
      </c>
      <c r="D150" s="53" t="s">
        <v>516</v>
      </c>
      <c r="E150" s="53" t="s">
        <v>517</v>
      </c>
      <c r="F150" s="53" t="s">
        <v>3115</v>
      </c>
      <c r="G150" s="131" t="s">
        <v>30</v>
      </c>
      <c r="H150" s="53">
        <v>5</v>
      </c>
      <c r="I150" s="188">
        <v>575</v>
      </c>
      <c r="J150" s="54">
        <f t="shared" si="5"/>
        <v>2875</v>
      </c>
      <c r="K150" s="55" t="b">
        <v>1</v>
      </c>
      <c r="L150" s="56">
        <v>240320251136</v>
      </c>
      <c r="M150" s="57" t="b">
        <v>1</v>
      </c>
      <c r="N150" s="58"/>
      <c r="O150" s="226"/>
      <c r="P150" s="191" t="b">
        <v>1</v>
      </c>
      <c r="Q150" s="308" t="s">
        <v>3138</v>
      </c>
      <c r="R150" s="47" t="b">
        <v>1</v>
      </c>
      <c r="S150" s="173" t="s">
        <v>3957</v>
      </c>
      <c r="T150" s="310" t="s">
        <v>3958</v>
      </c>
      <c r="U150" s="54"/>
    </row>
    <row r="151" spans="1:21" ht="16">
      <c r="A151" s="162"/>
      <c r="B151" s="71" t="s">
        <v>3940</v>
      </c>
      <c r="C151" s="53" t="s">
        <v>104</v>
      </c>
      <c r="D151" s="53" t="s">
        <v>516</v>
      </c>
      <c r="E151" s="53" t="s">
        <v>517</v>
      </c>
      <c r="F151" s="53" t="s">
        <v>3959</v>
      </c>
      <c r="G151" s="131" t="s">
        <v>30</v>
      </c>
      <c r="H151" s="53">
        <v>1</v>
      </c>
      <c r="I151" s="188">
        <v>1475</v>
      </c>
      <c r="J151" s="54">
        <f t="shared" si="5"/>
        <v>1475</v>
      </c>
      <c r="K151" s="55" t="b">
        <v>1</v>
      </c>
      <c r="L151" s="56">
        <v>240320251136</v>
      </c>
      <c r="M151" s="57" t="b">
        <v>1</v>
      </c>
      <c r="N151" s="58"/>
      <c r="O151" s="215"/>
      <c r="P151" s="191" t="b">
        <v>1</v>
      </c>
      <c r="Q151" s="308" t="s">
        <v>3138</v>
      </c>
      <c r="R151" s="47" t="b">
        <v>1</v>
      </c>
      <c r="S151" s="173" t="s">
        <v>3957</v>
      </c>
      <c r="T151" s="310" t="s">
        <v>3958</v>
      </c>
      <c r="U151" s="54"/>
    </row>
    <row r="152" spans="1:21" ht="16">
      <c r="A152" s="162"/>
      <c r="B152" s="71" t="s">
        <v>3940</v>
      </c>
      <c r="C152" s="53" t="s">
        <v>98</v>
      </c>
      <c r="D152" s="53" t="s">
        <v>2296</v>
      </c>
      <c r="E152" s="53" t="s">
        <v>2297</v>
      </c>
      <c r="F152" s="53" t="s">
        <v>555</v>
      </c>
      <c r="G152" s="131" t="s">
        <v>30</v>
      </c>
      <c r="H152" s="53">
        <v>3</v>
      </c>
      <c r="I152" s="188">
        <v>675</v>
      </c>
      <c r="J152" s="54">
        <f t="shared" si="5"/>
        <v>2025</v>
      </c>
      <c r="K152" s="55" t="b">
        <v>1</v>
      </c>
      <c r="L152" s="56">
        <v>240320251204</v>
      </c>
      <c r="M152" s="57" t="b">
        <v>1</v>
      </c>
      <c r="N152" s="58"/>
      <c r="O152" s="226"/>
      <c r="P152" s="191" t="b">
        <v>1</v>
      </c>
      <c r="Q152" s="308" t="s">
        <v>3138</v>
      </c>
      <c r="R152" s="47" t="b">
        <v>1</v>
      </c>
      <c r="S152" s="173" t="s">
        <v>3960</v>
      </c>
      <c r="T152" s="310" t="s">
        <v>3961</v>
      </c>
      <c r="U152" s="54"/>
    </row>
    <row r="153" spans="1:21" ht="16">
      <c r="A153" s="162"/>
      <c r="B153" s="71" t="s">
        <v>3940</v>
      </c>
      <c r="C153" s="53" t="s">
        <v>104</v>
      </c>
      <c r="D153" s="53" t="s">
        <v>122</v>
      </c>
      <c r="E153" s="53" t="s">
        <v>123</v>
      </c>
      <c r="F153" s="53" t="s">
        <v>3115</v>
      </c>
      <c r="G153" s="131" t="s">
        <v>30</v>
      </c>
      <c r="H153" s="53">
        <v>5</v>
      </c>
      <c r="I153" s="188">
        <v>575</v>
      </c>
      <c r="J153" s="54">
        <f t="shared" si="5"/>
        <v>2875</v>
      </c>
      <c r="K153" s="55" t="b">
        <v>1</v>
      </c>
      <c r="L153" s="56">
        <v>240320251225</v>
      </c>
      <c r="M153" s="57" t="b">
        <v>1</v>
      </c>
      <c r="N153" s="58"/>
      <c r="O153" s="226"/>
      <c r="P153" s="191" t="b">
        <v>1</v>
      </c>
      <c r="Q153" s="308" t="s">
        <v>3138</v>
      </c>
      <c r="R153" s="47" t="b">
        <v>1</v>
      </c>
      <c r="S153" s="173" t="s">
        <v>3962</v>
      </c>
      <c r="T153" s="310" t="s">
        <v>3963</v>
      </c>
      <c r="U153" s="54"/>
    </row>
    <row r="154" spans="1:21" ht="16">
      <c r="A154" s="162"/>
      <c r="B154" s="71" t="s">
        <v>3940</v>
      </c>
      <c r="C154" s="53" t="s">
        <v>104</v>
      </c>
      <c r="D154" s="53" t="s">
        <v>122</v>
      </c>
      <c r="E154" s="53" t="s">
        <v>123</v>
      </c>
      <c r="F154" s="53" t="s">
        <v>3923</v>
      </c>
      <c r="G154" s="131" t="s">
        <v>30</v>
      </c>
      <c r="H154" s="53">
        <v>1</v>
      </c>
      <c r="I154" s="188">
        <v>1475</v>
      </c>
      <c r="J154" s="54">
        <f t="shared" si="5"/>
        <v>1475</v>
      </c>
      <c r="K154" s="55" t="b">
        <v>1</v>
      </c>
      <c r="L154" s="56">
        <v>240320251226</v>
      </c>
      <c r="M154" s="57" t="b">
        <v>1</v>
      </c>
      <c r="N154" s="58"/>
      <c r="O154" s="215"/>
      <c r="P154" s="191" t="b">
        <v>1</v>
      </c>
      <c r="Q154" s="308" t="s">
        <v>3138</v>
      </c>
      <c r="R154" s="47" t="b">
        <v>1</v>
      </c>
      <c r="S154" s="173" t="s">
        <v>3962</v>
      </c>
      <c r="T154" s="310" t="s">
        <v>3963</v>
      </c>
      <c r="U154" s="54"/>
    </row>
    <row r="155" spans="1:21" ht="16">
      <c r="A155" s="162"/>
      <c r="B155" s="71" t="s">
        <v>3940</v>
      </c>
      <c r="C155" s="53" t="s">
        <v>418</v>
      </c>
      <c r="D155" s="53" t="s">
        <v>1069</v>
      </c>
      <c r="E155" s="53" t="s">
        <v>420</v>
      </c>
      <c r="F155" s="53" t="s">
        <v>3964</v>
      </c>
      <c r="G155" s="131" t="s">
        <v>30</v>
      </c>
      <c r="H155" s="53">
        <v>1</v>
      </c>
      <c r="I155" s="188">
        <v>4250</v>
      </c>
      <c r="J155" s="54">
        <v>4250</v>
      </c>
      <c r="K155" s="55" t="b">
        <v>1</v>
      </c>
      <c r="L155" s="56">
        <v>240320251232</v>
      </c>
      <c r="M155" s="57" t="b">
        <v>1</v>
      </c>
      <c r="N155" s="58" t="s">
        <v>39</v>
      </c>
      <c r="O155" s="226"/>
      <c r="P155" s="191" t="b">
        <v>1</v>
      </c>
      <c r="Q155" s="308" t="s">
        <v>3138</v>
      </c>
      <c r="R155" s="47" t="b">
        <v>1</v>
      </c>
      <c r="S155" s="173" t="s">
        <v>3965</v>
      </c>
      <c r="T155" s="310" t="s">
        <v>3966</v>
      </c>
      <c r="U155" s="54" t="s">
        <v>3967</v>
      </c>
    </row>
    <row r="156" spans="1:21" ht="16">
      <c r="A156" s="162"/>
      <c r="B156" s="71" t="s">
        <v>3940</v>
      </c>
      <c r="C156" s="53" t="s">
        <v>93</v>
      </c>
      <c r="D156" s="53" t="s">
        <v>137</v>
      </c>
      <c r="E156" s="53" t="s">
        <v>3968</v>
      </c>
      <c r="F156" s="53" t="s">
        <v>3969</v>
      </c>
      <c r="G156" s="131" t="s">
        <v>30</v>
      </c>
      <c r="H156" s="53">
        <v>5</v>
      </c>
      <c r="I156" s="188">
        <v>575</v>
      </c>
      <c r="J156" s="54">
        <f t="shared" ref="J156:J201" si="6">H156*I156</f>
        <v>2875</v>
      </c>
      <c r="K156" s="55" t="b">
        <v>1</v>
      </c>
      <c r="L156" s="56">
        <v>240320251252</v>
      </c>
      <c r="M156" s="57" t="b">
        <v>1</v>
      </c>
      <c r="N156" s="58"/>
      <c r="O156" s="226"/>
      <c r="P156" s="191" t="b">
        <v>1</v>
      </c>
      <c r="Q156" s="308" t="s">
        <v>3138</v>
      </c>
      <c r="R156" s="47" t="b">
        <v>1</v>
      </c>
      <c r="S156" s="173" t="s">
        <v>3970</v>
      </c>
      <c r="T156" s="310" t="s">
        <v>3971</v>
      </c>
      <c r="U156" s="54"/>
    </row>
    <row r="157" spans="1:21" ht="16">
      <c r="A157" s="162"/>
      <c r="B157" s="71" t="s">
        <v>3940</v>
      </c>
      <c r="C157" s="53" t="s">
        <v>93</v>
      </c>
      <c r="D157" s="53" t="s">
        <v>137</v>
      </c>
      <c r="E157" s="53" t="s">
        <v>3968</v>
      </c>
      <c r="F157" s="53" t="s">
        <v>3972</v>
      </c>
      <c r="G157" s="131" t="s">
        <v>30</v>
      </c>
      <c r="H157" s="53">
        <v>3</v>
      </c>
      <c r="I157" s="188">
        <v>1475</v>
      </c>
      <c r="J157" s="54">
        <f t="shared" si="6"/>
        <v>4425</v>
      </c>
      <c r="K157" s="55" t="b">
        <v>1</v>
      </c>
      <c r="L157" s="56">
        <v>240320251252</v>
      </c>
      <c r="M157" s="57" t="b">
        <v>1</v>
      </c>
      <c r="N157" s="58"/>
      <c r="O157" s="215"/>
      <c r="P157" s="191" t="b">
        <v>1</v>
      </c>
      <c r="Q157" s="308" t="s">
        <v>3138</v>
      </c>
      <c r="R157" s="47" t="b">
        <v>1</v>
      </c>
      <c r="S157" s="173" t="s">
        <v>3970</v>
      </c>
      <c r="T157" s="310" t="s">
        <v>3971</v>
      </c>
      <c r="U157" s="54"/>
    </row>
    <row r="158" spans="1:21" ht="16">
      <c r="A158" s="162"/>
      <c r="B158" s="71" t="s">
        <v>3940</v>
      </c>
      <c r="C158" s="53" t="s">
        <v>93</v>
      </c>
      <c r="D158" s="53" t="s">
        <v>137</v>
      </c>
      <c r="E158" s="53" t="s">
        <v>3968</v>
      </c>
      <c r="F158" s="53" t="s">
        <v>2611</v>
      </c>
      <c r="G158" s="131" t="s">
        <v>30</v>
      </c>
      <c r="H158" s="53">
        <v>20</v>
      </c>
      <c r="I158" s="188">
        <v>635</v>
      </c>
      <c r="J158" s="54">
        <f t="shared" si="6"/>
        <v>12700</v>
      </c>
      <c r="K158" s="55" t="b">
        <v>1</v>
      </c>
      <c r="L158" s="56">
        <v>240320251252</v>
      </c>
      <c r="M158" s="57" t="b">
        <v>1</v>
      </c>
      <c r="N158" s="58" t="s">
        <v>39</v>
      </c>
      <c r="O158" s="226"/>
      <c r="P158" s="191" t="b">
        <v>1</v>
      </c>
      <c r="Q158" s="308" t="s">
        <v>3138</v>
      </c>
      <c r="R158" s="47" t="b">
        <v>1</v>
      </c>
      <c r="S158" s="173" t="s">
        <v>3973</v>
      </c>
      <c r="T158" s="310" t="s">
        <v>3974</v>
      </c>
      <c r="U158" s="54"/>
    </row>
    <row r="159" spans="1:21" ht="16">
      <c r="A159" s="162"/>
      <c r="B159" s="71" t="s">
        <v>3940</v>
      </c>
      <c r="C159" s="53" t="s">
        <v>55</v>
      </c>
      <c r="D159" s="53" t="s">
        <v>56</v>
      </c>
      <c r="E159" s="53" t="s">
        <v>57</v>
      </c>
      <c r="F159" s="53" t="s">
        <v>304</v>
      </c>
      <c r="G159" s="131" t="s">
        <v>30</v>
      </c>
      <c r="H159" s="53">
        <v>24</v>
      </c>
      <c r="I159" s="188">
        <v>58</v>
      </c>
      <c r="J159" s="54">
        <f t="shared" si="6"/>
        <v>1392</v>
      </c>
      <c r="K159" s="55" t="b">
        <v>1</v>
      </c>
      <c r="L159" s="56">
        <v>240320251742</v>
      </c>
      <c r="M159" s="57" t="b">
        <v>1</v>
      </c>
      <c r="N159" s="58" t="s">
        <v>2968</v>
      </c>
      <c r="O159" s="226"/>
      <c r="P159" s="191" t="b">
        <v>1</v>
      </c>
      <c r="Q159" s="308" t="s">
        <v>3138</v>
      </c>
      <c r="R159" s="47" t="b">
        <v>1</v>
      </c>
      <c r="S159" s="173" t="s">
        <v>3975</v>
      </c>
      <c r="T159" s="310" t="s">
        <v>3976</v>
      </c>
      <c r="U159" s="54"/>
    </row>
    <row r="160" spans="1:21" ht="16">
      <c r="A160" s="162"/>
      <c r="B160" s="71" t="s">
        <v>3940</v>
      </c>
      <c r="C160" s="53" t="s">
        <v>144</v>
      </c>
      <c r="D160" s="53" t="s">
        <v>122</v>
      </c>
      <c r="E160" s="53" t="s">
        <v>582</v>
      </c>
      <c r="F160" s="53" t="s">
        <v>49</v>
      </c>
      <c r="G160" s="131" t="s">
        <v>30</v>
      </c>
      <c r="H160" s="53">
        <v>10</v>
      </c>
      <c r="I160" s="188">
        <v>635</v>
      </c>
      <c r="J160" s="54">
        <f t="shared" si="6"/>
        <v>6350</v>
      </c>
      <c r="K160" s="55" t="b">
        <v>1</v>
      </c>
      <c r="L160" s="56">
        <v>240320251746</v>
      </c>
      <c r="M160" s="57" t="b">
        <v>1</v>
      </c>
      <c r="N160" s="58" t="s">
        <v>39</v>
      </c>
      <c r="O160" s="226"/>
      <c r="P160" s="191" t="b">
        <v>1</v>
      </c>
      <c r="Q160" s="308" t="s">
        <v>3138</v>
      </c>
      <c r="R160" s="47" t="b">
        <v>1</v>
      </c>
      <c r="S160" s="313"/>
      <c r="T160" s="310" t="s">
        <v>3977</v>
      </c>
      <c r="U160" s="54"/>
    </row>
    <row r="161" spans="1:21" ht="16">
      <c r="A161" s="162"/>
      <c r="B161" s="132" t="s">
        <v>3978</v>
      </c>
      <c r="C161" s="53" t="s">
        <v>104</v>
      </c>
      <c r="D161" s="53" t="s">
        <v>620</v>
      </c>
      <c r="E161" s="53" t="s">
        <v>3979</v>
      </c>
      <c r="F161" s="53" t="s">
        <v>3115</v>
      </c>
      <c r="G161" s="131" t="s">
        <v>30</v>
      </c>
      <c r="H161" s="53">
        <v>30</v>
      </c>
      <c r="I161" s="188">
        <v>575</v>
      </c>
      <c r="J161" s="54">
        <f t="shared" si="6"/>
        <v>17250</v>
      </c>
      <c r="K161" s="55" t="b">
        <v>1</v>
      </c>
      <c r="L161" s="56">
        <v>240320251746</v>
      </c>
      <c r="M161" s="57" t="b">
        <v>1</v>
      </c>
      <c r="N161" s="58" t="s">
        <v>1581</v>
      </c>
      <c r="O161" s="226"/>
      <c r="P161" s="191" t="b">
        <v>1</v>
      </c>
      <c r="Q161" s="308" t="s">
        <v>3138</v>
      </c>
      <c r="R161" s="47" t="b">
        <v>1</v>
      </c>
      <c r="S161" s="173" t="s">
        <v>3980</v>
      </c>
      <c r="T161" s="310" t="s">
        <v>3981</v>
      </c>
      <c r="U161" s="54"/>
    </row>
    <row r="162" spans="1:21" ht="16">
      <c r="A162" s="162"/>
      <c r="B162" s="132" t="s">
        <v>3978</v>
      </c>
      <c r="C162" s="53" t="s">
        <v>104</v>
      </c>
      <c r="D162" s="53" t="s">
        <v>620</v>
      </c>
      <c r="E162" s="53" t="s">
        <v>3979</v>
      </c>
      <c r="F162" s="53" t="s">
        <v>3904</v>
      </c>
      <c r="G162" s="131" t="s">
        <v>30</v>
      </c>
      <c r="H162" s="53">
        <v>2</v>
      </c>
      <c r="I162" s="188">
        <v>1475</v>
      </c>
      <c r="J162" s="54">
        <f t="shared" si="6"/>
        <v>2950</v>
      </c>
      <c r="K162" s="55" t="b">
        <v>1</v>
      </c>
      <c r="L162" s="56">
        <v>240320251746</v>
      </c>
      <c r="M162" s="57" t="b">
        <v>1</v>
      </c>
      <c r="N162" s="58" t="s">
        <v>351</v>
      </c>
      <c r="O162" s="226"/>
      <c r="P162" s="191" t="b">
        <v>1</v>
      </c>
      <c r="Q162" s="308" t="s">
        <v>3138</v>
      </c>
      <c r="R162" s="47" t="b">
        <v>1</v>
      </c>
      <c r="S162" s="173" t="s">
        <v>3982</v>
      </c>
      <c r="T162" s="310" t="s">
        <v>3983</v>
      </c>
      <c r="U162" s="54"/>
    </row>
    <row r="163" spans="1:21" ht="16">
      <c r="A163" s="162"/>
      <c r="B163" s="132" t="s">
        <v>3978</v>
      </c>
      <c r="C163" s="53" t="s">
        <v>26</v>
      </c>
      <c r="D163" s="53" t="s">
        <v>1976</v>
      </c>
      <c r="E163" s="53" t="s">
        <v>2124</v>
      </c>
      <c r="F163" s="53" t="s">
        <v>2547</v>
      </c>
      <c r="G163" s="131" t="s">
        <v>30</v>
      </c>
      <c r="H163" s="53">
        <v>84</v>
      </c>
      <c r="I163" s="188">
        <v>38</v>
      </c>
      <c r="J163" s="54">
        <f t="shared" si="6"/>
        <v>3192</v>
      </c>
      <c r="K163" s="55" t="b">
        <v>1</v>
      </c>
      <c r="L163" s="56">
        <v>250320251016</v>
      </c>
      <c r="M163" s="57" t="b">
        <v>1</v>
      </c>
      <c r="N163" s="58" t="s">
        <v>3300</v>
      </c>
      <c r="O163" s="226"/>
      <c r="P163" s="191" t="b">
        <v>1</v>
      </c>
      <c r="Q163" s="308" t="s">
        <v>3138</v>
      </c>
      <c r="R163" s="47" t="b">
        <v>1</v>
      </c>
      <c r="S163" s="173" t="s">
        <v>3984</v>
      </c>
      <c r="T163" s="310" t="s">
        <v>3985</v>
      </c>
      <c r="U163" s="54"/>
    </row>
    <row r="164" spans="1:21" ht="16">
      <c r="A164" s="162"/>
      <c r="B164" s="132" t="s">
        <v>3978</v>
      </c>
      <c r="C164" s="53" t="s">
        <v>26</v>
      </c>
      <c r="D164" s="53" t="s">
        <v>1976</v>
      </c>
      <c r="E164" s="53" t="s">
        <v>2124</v>
      </c>
      <c r="F164" s="53" t="s">
        <v>3923</v>
      </c>
      <c r="G164" s="131" t="s">
        <v>30</v>
      </c>
      <c r="H164" s="53">
        <v>1</v>
      </c>
      <c r="I164" s="188">
        <v>1475</v>
      </c>
      <c r="J164" s="54">
        <f t="shared" si="6"/>
        <v>1475</v>
      </c>
      <c r="K164" s="55" t="b">
        <v>1</v>
      </c>
      <c r="L164" s="56">
        <v>250320251016</v>
      </c>
      <c r="M164" s="57" t="b">
        <v>1</v>
      </c>
      <c r="N164" s="58" t="s">
        <v>351</v>
      </c>
      <c r="O164" s="226"/>
      <c r="P164" s="191" t="b">
        <v>1</v>
      </c>
      <c r="Q164" s="308" t="s">
        <v>3138</v>
      </c>
      <c r="R164" s="47" t="b">
        <v>1</v>
      </c>
      <c r="S164" s="173" t="s">
        <v>3986</v>
      </c>
      <c r="T164" s="310" t="s">
        <v>3987</v>
      </c>
      <c r="U164" s="54"/>
    </row>
    <row r="165" spans="1:21" ht="16">
      <c r="A165" s="162"/>
      <c r="B165" s="132" t="s">
        <v>3978</v>
      </c>
      <c r="C165" s="53" t="s">
        <v>26</v>
      </c>
      <c r="D165" s="53" t="s">
        <v>540</v>
      </c>
      <c r="E165" s="53" t="s">
        <v>3988</v>
      </c>
      <c r="F165" s="53" t="s">
        <v>3989</v>
      </c>
      <c r="G165" s="131" t="s">
        <v>30</v>
      </c>
      <c r="H165" s="53">
        <v>6</v>
      </c>
      <c r="I165" s="188">
        <v>775</v>
      </c>
      <c r="J165" s="54">
        <f t="shared" si="6"/>
        <v>4650</v>
      </c>
      <c r="K165" s="55" t="b">
        <v>1</v>
      </c>
      <c r="L165" s="56">
        <v>250320251030</v>
      </c>
      <c r="M165" s="57" t="b">
        <v>1</v>
      </c>
      <c r="N165" s="58" t="s">
        <v>351</v>
      </c>
      <c r="O165" s="226"/>
      <c r="P165" s="191" t="b">
        <v>1</v>
      </c>
      <c r="Q165" s="308" t="s">
        <v>3138</v>
      </c>
      <c r="R165" s="47" t="b">
        <v>1</v>
      </c>
      <c r="S165" s="173" t="s">
        <v>3990</v>
      </c>
      <c r="T165" s="310" t="s">
        <v>3991</v>
      </c>
      <c r="U165" s="54"/>
    </row>
    <row r="166" spans="1:21" ht="16">
      <c r="A166" s="162"/>
      <c r="B166" s="132" t="s">
        <v>3978</v>
      </c>
      <c r="C166" s="53" t="s">
        <v>26</v>
      </c>
      <c r="D166" s="53" t="s">
        <v>540</v>
      </c>
      <c r="E166" s="53" t="s">
        <v>3988</v>
      </c>
      <c r="F166" s="53" t="s">
        <v>3992</v>
      </c>
      <c r="G166" s="131" t="s">
        <v>30</v>
      </c>
      <c r="H166" s="53">
        <v>4</v>
      </c>
      <c r="I166" s="188">
        <v>750</v>
      </c>
      <c r="J166" s="54">
        <f t="shared" si="6"/>
        <v>3000</v>
      </c>
      <c r="K166" s="55" t="b">
        <v>1</v>
      </c>
      <c r="L166" s="56">
        <v>250320251030</v>
      </c>
      <c r="M166" s="57" t="b">
        <v>1</v>
      </c>
      <c r="N166" s="58" t="s">
        <v>351</v>
      </c>
      <c r="O166" s="226"/>
      <c r="P166" s="191" t="b">
        <v>1</v>
      </c>
      <c r="Q166" s="308" t="s">
        <v>3138</v>
      </c>
      <c r="R166" s="47" t="b">
        <v>1</v>
      </c>
      <c r="S166" s="173" t="s">
        <v>3990</v>
      </c>
      <c r="T166" s="310" t="s">
        <v>3991</v>
      </c>
      <c r="U166" s="54"/>
    </row>
    <row r="167" spans="1:21" ht="16">
      <c r="A167" s="162" t="s">
        <v>3993</v>
      </c>
      <c r="B167" s="132" t="s">
        <v>3978</v>
      </c>
      <c r="C167" s="53" t="s">
        <v>433</v>
      </c>
      <c r="D167" s="53" t="s">
        <v>751</v>
      </c>
      <c r="E167" s="53" t="s">
        <v>2538</v>
      </c>
      <c r="F167" s="53" t="s">
        <v>101</v>
      </c>
      <c r="G167" s="131" t="s">
        <v>30</v>
      </c>
      <c r="H167" s="53">
        <v>15</v>
      </c>
      <c r="I167" s="188">
        <v>975</v>
      </c>
      <c r="J167" s="54">
        <f t="shared" si="6"/>
        <v>14625</v>
      </c>
      <c r="K167" s="55" t="b">
        <v>1</v>
      </c>
      <c r="L167" s="56">
        <v>250320251115</v>
      </c>
      <c r="M167" s="57" t="b">
        <v>1</v>
      </c>
      <c r="N167" s="58" t="s">
        <v>351</v>
      </c>
      <c r="O167" s="226"/>
      <c r="P167" s="191" t="b">
        <v>1</v>
      </c>
      <c r="Q167" s="308" t="s">
        <v>3138</v>
      </c>
      <c r="R167" s="47" t="b">
        <v>1</v>
      </c>
      <c r="S167" s="173" t="s">
        <v>3994</v>
      </c>
      <c r="T167" s="310" t="s">
        <v>3995</v>
      </c>
      <c r="U167" s="54"/>
    </row>
    <row r="168" spans="1:21" ht="16">
      <c r="A168" s="162"/>
      <c r="B168" s="132" t="s">
        <v>3978</v>
      </c>
      <c r="C168" s="53" t="s">
        <v>433</v>
      </c>
      <c r="D168" s="53" t="s">
        <v>751</v>
      </c>
      <c r="E168" s="53" t="s">
        <v>2538</v>
      </c>
      <c r="F168" s="53" t="s">
        <v>72</v>
      </c>
      <c r="G168" s="131" t="s">
        <v>30</v>
      </c>
      <c r="H168" s="53">
        <v>1</v>
      </c>
      <c r="I168" s="188">
        <v>1750</v>
      </c>
      <c r="J168" s="54">
        <f t="shared" si="6"/>
        <v>1750</v>
      </c>
      <c r="K168" s="55" t="b">
        <v>1</v>
      </c>
      <c r="L168" s="56">
        <v>250320251115</v>
      </c>
      <c r="M168" s="57" t="b">
        <v>1</v>
      </c>
      <c r="N168" s="58"/>
      <c r="O168" s="226"/>
      <c r="P168" s="191" t="b">
        <v>1</v>
      </c>
      <c r="Q168" s="308" t="s">
        <v>3138</v>
      </c>
      <c r="R168" s="47" t="b">
        <v>1</v>
      </c>
      <c r="S168" s="173"/>
      <c r="T168" s="310" t="s">
        <v>3996</v>
      </c>
      <c r="U168" s="54"/>
    </row>
    <row r="169" spans="1:21" ht="16">
      <c r="A169" s="162"/>
      <c r="B169" s="132" t="s">
        <v>3978</v>
      </c>
      <c r="C169" s="53" t="s">
        <v>104</v>
      </c>
      <c r="D169" s="53" t="s">
        <v>1941</v>
      </c>
      <c r="E169" s="53" t="s">
        <v>1942</v>
      </c>
      <c r="F169" s="53" t="s">
        <v>3156</v>
      </c>
      <c r="G169" s="131" t="s">
        <v>30</v>
      </c>
      <c r="H169" s="53">
        <v>100</v>
      </c>
      <c r="I169" s="188">
        <v>15</v>
      </c>
      <c r="J169" s="54">
        <f t="shared" si="6"/>
        <v>1500</v>
      </c>
      <c r="K169" s="55" t="b">
        <v>1</v>
      </c>
      <c r="L169" s="56">
        <v>250320251122</v>
      </c>
      <c r="M169" s="57" t="b">
        <v>1</v>
      </c>
      <c r="N169" s="58" t="s">
        <v>1581</v>
      </c>
      <c r="O169" s="226"/>
      <c r="P169" s="191" t="b">
        <v>1</v>
      </c>
      <c r="Q169" s="308" t="s">
        <v>3138</v>
      </c>
      <c r="R169" s="47" t="b">
        <v>1</v>
      </c>
      <c r="S169" s="173" t="s">
        <v>3997</v>
      </c>
      <c r="T169" s="310" t="s">
        <v>3998</v>
      </c>
      <c r="U169" s="54"/>
    </row>
    <row r="170" spans="1:21" ht="16">
      <c r="A170" s="162"/>
      <c r="B170" s="132" t="s">
        <v>3978</v>
      </c>
      <c r="C170" s="53" t="s">
        <v>46</v>
      </c>
      <c r="D170" s="53" t="s">
        <v>47</v>
      </c>
      <c r="E170" s="53" t="s">
        <v>48</v>
      </c>
      <c r="F170" s="53" t="s">
        <v>2423</v>
      </c>
      <c r="G170" s="131" t="s">
        <v>30</v>
      </c>
      <c r="H170" s="53">
        <v>10</v>
      </c>
      <c r="I170" s="188">
        <v>635</v>
      </c>
      <c r="J170" s="54">
        <f t="shared" si="6"/>
        <v>6350</v>
      </c>
      <c r="K170" s="55" t="b">
        <v>1</v>
      </c>
      <c r="L170" s="56">
        <v>250320251345</v>
      </c>
      <c r="M170" s="57" t="b">
        <v>1</v>
      </c>
      <c r="N170" s="58" t="s">
        <v>39</v>
      </c>
      <c r="O170" s="226"/>
      <c r="P170" s="191" t="b">
        <v>1</v>
      </c>
      <c r="Q170" s="308" t="s">
        <v>3138</v>
      </c>
      <c r="R170" s="47" t="b">
        <v>1</v>
      </c>
      <c r="S170" s="313"/>
      <c r="T170" s="310" t="s">
        <v>3999</v>
      </c>
      <c r="U170" s="54"/>
    </row>
    <row r="171" spans="1:21" ht="16">
      <c r="A171" s="162"/>
      <c r="B171" s="132" t="s">
        <v>3978</v>
      </c>
      <c r="C171" s="53" t="s">
        <v>51</v>
      </c>
      <c r="D171" s="53" t="s">
        <v>335</v>
      </c>
      <c r="E171" s="53" t="s">
        <v>457</v>
      </c>
      <c r="F171" s="53" t="s">
        <v>49</v>
      </c>
      <c r="G171" s="131" t="s">
        <v>30</v>
      </c>
      <c r="H171" s="53">
        <v>10</v>
      </c>
      <c r="I171" s="188">
        <v>635</v>
      </c>
      <c r="J171" s="54">
        <f t="shared" si="6"/>
        <v>6350</v>
      </c>
      <c r="K171" s="55" t="b">
        <v>1</v>
      </c>
      <c r="L171" s="56">
        <v>250320251345</v>
      </c>
      <c r="M171" s="57" t="b">
        <v>1</v>
      </c>
      <c r="N171" s="58" t="s">
        <v>39</v>
      </c>
      <c r="O171" s="226"/>
      <c r="P171" s="191" t="b">
        <v>1</v>
      </c>
      <c r="Q171" s="308" t="s">
        <v>3138</v>
      </c>
      <c r="R171" s="47" t="b">
        <v>1</v>
      </c>
      <c r="S171" s="313"/>
      <c r="T171" s="310" t="s">
        <v>4000</v>
      </c>
      <c r="U171" s="54"/>
    </row>
    <row r="172" spans="1:21" ht="16">
      <c r="A172" s="162"/>
      <c r="B172" s="132" t="s">
        <v>3978</v>
      </c>
      <c r="C172" s="53" t="s">
        <v>51</v>
      </c>
      <c r="D172" s="53" t="s">
        <v>335</v>
      </c>
      <c r="E172" s="53" t="s">
        <v>457</v>
      </c>
      <c r="F172" s="53" t="s">
        <v>1181</v>
      </c>
      <c r="G172" s="131" t="s">
        <v>30</v>
      </c>
      <c r="H172" s="53">
        <v>15</v>
      </c>
      <c r="I172" s="188">
        <v>85</v>
      </c>
      <c r="J172" s="54">
        <f t="shared" si="6"/>
        <v>1275</v>
      </c>
      <c r="K172" s="55" t="b">
        <v>1</v>
      </c>
      <c r="L172" s="56">
        <v>250320251345</v>
      </c>
      <c r="M172" s="57" t="b">
        <v>1</v>
      </c>
      <c r="N172" s="58"/>
      <c r="O172" s="226"/>
      <c r="P172" s="191" t="b">
        <v>1</v>
      </c>
      <c r="Q172" s="308" t="s">
        <v>3138</v>
      </c>
      <c r="R172" s="47" t="b">
        <v>1</v>
      </c>
      <c r="S172" s="173" t="s">
        <v>4001</v>
      </c>
      <c r="T172" s="310" t="s">
        <v>4002</v>
      </c>
      <c r="U172" s="54"/>
    </row>
    <row r="173" spans="1:21" ht="16">
      <c r="A173" s="162"/>
      <c r="B173" s="132" t="s">
        <v>3978</v>
      </c>
      <c r="C173" s="53" t="s">
        <v>51</v>
      </c>
      <c r="D173" s="53" t="s">
        <v>335</v>
      </c>
      <c r="E173" s="53" t="s">
        <v>457</v>
      </c>
      <c r="F173" s="53" t="s">
        <v>80</v>
      </c>
      <c r="G173" s="131" t="s">
        <v>30</v>
      </c>
      <c r="H173" s="53">
        <f>COUNT(H167:K172)</f>
        <v>18</v>
      </c>
      <c r="I173" s="188">
        <v>200</v>
      </c>
      <c r="J173" s="54">
        <f t="shared" si="6"/>
        <v>3600</v>
      </c>
      <c r="K173" s="55" t="b">
        <v>1</v>
      </c>
      <c r="L173" s="56">
        <v>250320251345</v>
      </c>
      <c r="M173" s="57" t="b">
        <v>1</v>
      </c>
      <c r="N173" s="58"/>
      <c r="O173" s="226"/>
      <c r="P173" s="191" t="b">
        <v>1</v>
      </c>
      <c r="Q173" s="308" t="s">
        <v>3138</v>
      </c>
      <c r="R173" s="47" t="b">
        <v>1</v>
      </c>
      <c r="S173" s="173" t="s">
        <v>4001</v>
      </c>
      <c r="T173" s="310" t="s">
        <v>4002</v>
      </c>
      <c r="U173" s="54"/>
    </row>
    <row r="174" spans="1:21" ht="16">
      <c r="A174" s="162"/>
      <c r="B174" s="132" t="s">
        <v>3978</v>
      </c>
      <c r="C174" s="53" t="s">
        <v>51</v>
      </c>
      <c r="D174" s="53" t="s">
        <v>335</v>
      </c>
      <c r="E174" s="53" t="s">
        <v>457</v>
      </c>
      <c r="F174" s="53" t="s">
        <v>4003</v>
      </c>
      <c r="G174" s="131" t="s">
        <v>30</v>
      </c>
      <c r="H174" s="53">
        <v>1</v>
      </c>
      <c r="I174" s="188">
        <v>1250</v>
      </c>
      <c r="J174" s="54">
        <f t="shared" si="6"/>
        <v>1250</v>
      </c>
      <c r="K174" s="55" t="b">
        <v>1</v>
      </c>
      <c r="L174" s="56">
        <v>250320251345</v>
      </c>
      <c r="M174" s="57" t="b">
        <v>1</v>
      </c>
      <c r="N174" s="58"/>
      <c r="O174" s="226"/>
      <c r="P174" s="191" t="b">
        <v>1</v>
      </c>
      <c r="Q174" s="308" t="s">
        <v>3138</v>
      </c>
      <c r="R174" s="47" t="b">
        <v>1</v>
      </c>
      <c r="S174" s="173" t="s">
        <v>4004</v>
      </c>
      <c r="T174" s="310" t="s">
        <v>4005</v>
      </c>
      <c r="U174" s="54"/>
    </row>
    <row r="175" spans="1:21" ht="16">
      <c r="A175" s="162"/>
      <c r="B175" s="132" t="s">
        <v>3978</v>
      </c>
      <c r="C175" s="53" t="s">
        <v>345</v>
      </c>
      <c r="D175" s="53" t="s">
        <v>1756</v>
      </c>
      <c r="E175" s="53" t="s">
        <v>4006</v>
      </c>
      <c r="F175" s="53" t="s">
        <v>3989</v>
      </c>
      <c r="G175" s="131" t="s">
        <v>30</v>
      </c>
      <c r="H175" s="53">
        <v>10</v>
      </c>
      <c r="I175" s="188">
        <v>775</v>
      </c>
      <c r="J175" s="54">
        <f t="shared" si="6"/>
        <v>7750</v>
      </c>
      <c r="K175" s="55" t="b">
        <v>1</v>
      </c>
      <c r="L175" s="56">
        <v>250320251345</v>
      </c>
      <c r="M175" s="57" t="b">
        <v>1</v>
      </c>
      <c r="N175" s="58" t="s">
        <v>529</v>
      </c>
      <c r="O175" s="226"/>
      <c r="P175" s="191" t="b">
        <v>1</v>
      </c>
      <c r="Q175" s="308" t="s">
        <v>3138</v>
      </c>
      <c r="R175" s="47" t="b">
        <v>1</v>
      </c>
      <c r="S175" s="173" t="s">
        <v>4007</v>
      </c>
      <c r="T175" s="310" t="s">
        <v>4008</v>
      </c>
      <c r="U175" s="54"/>
    </row>
    <row r="176" spans="1:21" ht="16">
      <c r="A176" s="162"/>
      <c r="B176" s="132" t="s">
        <v>4009</v>
      </c>
      <c r="C176" s="53" t="s">
        <v>51</v>
      </c>
      <c r="D176" s="53" t="s">
        <v>66</v>
      </c>
      <c r="E176" s="53" t="s">
        <v>67</v>
      </c>
      <c r="F176" s="53" t="s">
        <v>4010</v>
      </c>
      <c r="G176" s="131" t="s">
        <v>30</v>
      </c>
      <c r="H176" s="53">
        <v>1</v>
      </c>
      <c r="I176" s="188">
        <v>6250</v>
      </c>
      <c r="J176" s="54">
        <f t="shared" si="6"/>
        <v>6250</v>
      </c>
      <c r="K176" s="55" t="b">
        <v>1</v>
      </c>
      <c r="L176" s="56">
        <v>260320251228</v>
      </c>
      <c r="M176" s="57" t="b">
        <v>1</v>
      </c>
      <c r="N176" s="58" t="s">
        <v>529</v>
      </c>
      <c r="O176" s="226"/>
      <c r="P176" s="191" t="b">
        <v>1</v>
      </c>
      <c r="Q176" s="362" t="s">
        <v>3138</v>
      </c>
      <c r="R176" s="47" t="b">
        <v>1</v>
      </c>
      <c r="S176" s="173" t="s">
        <v>4011</v>
      </c>
      <c r="T176" s="310" t="s">
        <v>4012</v>
      </c>
      <c r="U176" s="54" t="s">
        <v>4013</v>
      </c>
    </row>
    <row r="177" spans="1:21" ht="16">
      <c r="A177" s="162"/>
      <c r="B177" s="132" t="s">
        <v>4009</v>
      </c>
      <c r="C177" s="53" t="s">
        <v>26</v>
      </c>
      <c r="D177" s="53" t="s">
        <v>386</v>
      </c>
      <c r="E177" s="53" t="s">
        <v>2935</v>
      </c>
      <c r="F177" s="53" t="s">
        <v>4014</v>
      </c>
      <c r="G177" s="131" t="s">
        <v>30</v>
      </c>
      <c r="H177" s="53">
        <v>2</v>
      </c>
      <c r="I177" s="188">
        <v>7500</v>
      </c>
      <c r="J177" s="54">
        <f t="shared" si="6"/>
        <v>15000</v>
      </c>
      <c r="K177" s="55" t="b">
        <v>1</v>
      </c>
      <c r="L177" s="56">
        <v>260320251232</v>
      </c>
      <c r="M177" s="57" t="b">
        <v>1</v>
      </c>
      <c r="N177" s="58" t="s">
        <v>529</v>
      </c>
      <c r="O177" s="226"/>
      <c r="P177" s="191" t="b">
        <v>1</v>
      </c>
      <c r="Q177" s="362" t="s">
        <v>3138</v>
      </c>
      <c r="R177" s="47" t="b">
        <v>1</v>
      </c>
      <c r="S177" s="313"/>
      <c r="T177" s="310" t="s">
        <v>4015</v>
      </c>
      <c r="U177" s="54"/>
    </row>
    <row r="178" spans="1:21" ht="16">
      <c r="A178" s="162"/>
      <c r="B178" s="132" t="s">
        <v>4009</v>
      </c>
      <c r="C178" s="53" t="s">
        <v>26</v>
      </c>
      <c r="D178" s="53" t="s">
        <v>386</v>
      </c>
      <c r="E178" s="53" t="s">
        <v>2935</v>
      </c>
      <c r="F178" s="53" t="s">
        <v>4016</v>
      </c>
      <c r="G178" s="131" t="s">
        <v>30</v>
      </c>
      <c r="H178" s="53">
        <v>1</v>
      </c>
      <c r="I178" s="188">
        <v>3000</v>
      </c>
      <c r="J178" s="54">
        <f t="shared" si="6"/>
        <v>3000</v>
      </c>
      <c r="K178" s="55" t="b">
        <v>1</v>
      </c>
      <c r="L178" s="56">
        <v>260320251232</v>
      </c>
      <c r="M178" s="57" t="b">
        <v>1</v>
      </c>
      <c r="N178" s="58" t="s">
        <v>529</v>
      </c>
      <c r="O178" s="226"/>
      <c r="P178" s="191" t="b">
        <v>1</v>
      </c>
      <c r="Q178" s="362" t="s">
        <v>3138</v>
      </c>
      <c r="R178" s="47" t="b">
        <v>1</v>
      </c>
      <c r="S178" s="173"/>
      <c r="T178" s="310" t="s">
        <v>4015</v>
      </c>
      <c r="U178" s="54"/>
    </row>
    <row r="179" spans="1:21" ht="16">
      <c r="A179" s="162"/>
      <c r="B179" s="132" t="s">
        <v>4009</v>
      </c>
      <c r="C179" s="53" t="s">
        <v>108</v>
      </c>
      <c r="D179" s="53" t="s">
        <v>109</v>
      </c>
      <c r="E179" s="53" t="s">
        <v>110</v>
      </c>
      <c r="F179" s="53" t="s">
        <v>304</v>
      </c>
      <c r="G179" s="131" t="s">
        <v>30</v>
      </c>
      <c r="H179" s="53">
        <v>24</v>
      </c>
      <c r="I179" s="188">
        <v>58</v>
      </c>
      <c r="J179" s="54">
        <f t="shared" si="6"/>
        <v>1392</v>
      </c>
      <c r="K179" s="55" t="b">
        <v>1</v>
      </c>
      <c r="L179" s="56">
        <v>260320251232</v>
      </c>
      <c r="M179" s="57" t="b">
        <v>1</v>
      </c>
      <c r="N179" s="58"/>
      <c r="O179" s="226"/>
      <c r="P179" s="191" t="b">
        <v>1</v>
      </c>
      <c r="Q179" s="308" t="s">
        <v>3138</v>
      </c>
      <c r="R179" s="47" t="b">
        <v>1</v>
      </c>
      <c r="S179" s="173" t="s">
        <v>4017</v>
      </c>
      <c r="T179" s="310" t="s">
        <v>4018</v>
      </c>
      <c r="U179" s="54"/>
    </row>
    <row r="180" spans="1:21" ht="16">
      <c r="A180" s="162"/>
      <c r="B180" s="132" t="s">
        <v>4009</v>
      </c>
      <c r="C180" s="53" t="s">
        <v>144</v>
      </c>
      <c r="D180" s="53" t="s">
        <v>2153</v>
      </c>
      <c r="E180" s="53" t="s">
        <v>3853</v>
      </c>
      <c r="F180" s="53" t="s">
        <v>3115</v>
      </c>
      <c r="G180" s="131" t="s">
        <v>30</v>
      </c>
      <c r="H180" s="53">
        <v>5</v>
      </c>
      <c r="I180" s="188">
        <v>575</v>
      </c>
      <c r="J180" s="54">
        <f t="shared" si="6"/>
        <v>2875</v>
      </c>
      <c r="K180" s="55" t="b">
        <v>1</v>
      </c>
      <c r="L180" s="56">
        <v>260320251603</v>
      </c>
      <c r="M180" s="57" t="b">
        <v>1</v>
      </c>
      <c r="N180" s="58"/>
      <c r="O180" s="226"/>
      <c r="P180" s="191" t="b">
        <v>1</v>
      </c>
      <c r="Q180" s="308" t="s">
        <v>3138</v>
      </c>
      <c r="R180" s="47" t="b">
        <v>1</v>
      </c>
      <c r="S180" s="173" t="s">
        <v>4019</v>
      </c>
      <c r="T180" s="310" t="s">
        <v>4020</v>
      </c>
      <c r="U180" s="54"/>
    </row>
    <row r="181" spans="1:21" ht="16">
      <c r="A181" s="162"/>
      <c r="B181" s="132" t="s">
        <v>4009</v>
      </c>
      <c r="C181" s="132" t="s">
        <v>4009</v>
      </c>
      <c r="D181" s="53" t="s">
        <v>2153</v>
      </c>
      <c r="E181" s="53" t="s">
        <v>3853</v>
      </c>
      <c r="F181" s="53" t="s">
        <v>3923</v>
      </c>
      <c r="G181" s="131" t="s">
        <v>30</v>
      </c>
      <c r="H181" s="53">
        <v>1</v>
      </c>
      <c r="I181" s="188">
        <v>1475</v>
      </c>
      <c r="J181" s="54">
        <f t="shared" si="6"/>
        <v>1475</v>
      </c>
      <c r="K181" s="55" t="b">
        <v>1</v>
      </c>
      <c r="L181" s="56">
        <v>260320251603</v>
      </c>
      <c r="M181" s="57" t="b">
        <v>1</v>
      </c>
      <c r="N181" s="58"/>
      <c r="O181" s="226"/>
      <c r="P181" s="191" t="b">
        <v>1</v>
      </c>
      <c r="Q181" s="308" t="s">
        <v>3138</v>
      </c>
      <c r="R181" s="47" t="b">
        <v>1</v>
      </c>
      <c r="S181" s="173" t="s">
        <v>4019</v>
      </c>
      <c r="T181" s="310" t="s">
        <v>4020</v>
      </c>
      <c r="U181" s="54"/>
    </row>
    <row r="182" spans="1:21" ht="16">
      <c r="A182" s="162"/>
      <c r="B182" s="132" t="s">
        <v>4021</v>
      </c>
      <c r="C182" s="53" t="s">
        <v>104</v>
      </c>
      <c r="D182" s="53" t="s">
        <v>296</v>
      </c>
      <c r="E182" s="53" t="s">
        <v>297</v>
      </c>
      <c r="F182" s="53" t="s">
        <v>4022</v>
      </c>
      <c r="G182" s="131" t="s">
        <v>30</v>
      </c>
      <c r="H182" s="53">
        <v>3</v>
      </c>
      <c r="I182" s="188">
        <v>775</v>
      </c>
      <c r="J182" s="54">
        <f t="shared" si="6"/>
        <v>2325</v>
      </c>
      <c r="K182" s="55" t="b">
        <v>1</v>
      </c>
      <c r="L182" s="56">
        <v>270320251016</v>
      </c>
      <c r="M182" s="57" t="b">
        <v>1</v>
      </c>
      <c r="N182" s="58" t="s">
        <v>529</v>
      </c>
      <c r="O182" s="226"/>
      <c r="P182" s="191" t="b">
        <v>1</v>
      </c>
      <c r="Q182" s="308" t="s">
        <v>3138</v>
      </c>
      <c r="R182" s="47" t="b">
        <v>1</v>
      </c>
      <c r="S182" s="173" t="s">
        <v>4023</v>
      </c>
      <c r="T182" s="310" t="s">
        <v>4024</v>
      </c>
      <c r="U182" s="54"/>
    </row>
    <row r="183" spans="1:21" ht="16">
      <c r="A183" s="162"/>
      <c r="B183" s="132" t="s">
        <v>4021</v>
      </c>
      <c r="C183" s="53" t="s">
        <v>104</v>
      </c>
      <c r="D183" s="53" t="s">
        <v>296</v>
      </c>
      <c r="E183" s="53" t="s">
        <v>297</v>
      </c>
      <c r="F183" s="53" t="s">
        <v>4025</v>
      </c>
      <c r="G183" s="131" t="s">
        <v>30</v>
      </c>
      <c r="H183" s="53">
        <v>2</v>
      </c>
      <c r="I183" s="188">
        <v>750</v>
      </c>
      <c r="J183" s="54">
        <f t="shared" si="6"/>
        <v>1500</v>
      </c>
      <c r="K183" s="55" t="b">
        <v>1</v>
      </c>
      <c r="L183" s="56">
        <v>270320251016</v>
      </c>
      <c r="M183" s="57" t="b">
        <v>1</v>
      </c>
      <c r="N183" s="58" t="s">
        <v>529</v>
      </c>
      <c r="O183" s="226"/>
      <c r="P183" s="191" t="b">
        <v>1</v>
      </c>
      <c r="Q183" s="308" t="s">
        <v>3138</v>
      </c>
      <c r="R183" s="47" t="b">
        <v>1</v>
      </c>
      <c r="S183" s="173" t="s">
        <v>4023</v>
      </c>
      <c r="T183" s="310" t="s">
        <v>4024</v>
      </c>
      <c r="U183" s="54"/>
    </row>
    <row r="184" spans="1:21" ht="16">
      <c r="A184" s="162"/>
      <c r="B184" s="132" t="s">
        <v>4021</v>
      </c>
      <c r="C184" s="53" t="s">
        <v>104</v>
      </c>
      <c r="D184" s="53" t="s">
        <v>122</v>
      </c>
      <c r="E184" s="53" t="s">
        <v>123</v>
      </c>
      <c r="F184" s="53" t="s">
        <v>3375</v>
      </c>
      <c r="G184" s="131" t="s">
        <v>30</v>
      </c>
      <c r="H184" s="53">
        <v>2</v>
      </c>
      <c r="I184" s="188">
        <v>2100</v>
      </c>
      <c r="J184" s="54">
        <f t="shared" si="6"/>
        <v>4200</v>
      </c>
      <c r="K184" s="55" t="b">
        <v>1</v>
      </c>
      <c r="L184" s="56">
        <v>270320241121</v>
      </c>
      <c r="M184" s="57" t="b">
        <v>1</v>
      </c>
      <c r="N184" s="58"/>
      <c r="O184" s="226"/>
      <c r="P184" s="191" t="b">
        <v>1</v>
      </c>
      <c r="Q184" s="308" t="s">
        <v>3138</v>
      </c>
      <c r="R184" s="47" t="b">
        <v>1</v>
      </c>
      <c r="S184" s="173" t="s">
        <v>4026</v>
      </c>
      <c r="T184" s="310" t="s">
        <v>4027</v>
      </c>
      <c r="U184" s="54"/>
    </row>
    <row r="185" spans="1:21" ht="16">
      <c r="A185" s="162"/>
      <c r="B185" s="132" t="s">
        <v>4028</v>
      </c>
      <c r="C185" s="53" t="s">
        <v>55</v>
      </c>
      <c r="D185" s="53" t="s">
        <v>56</v>
      </c>
      <c r="E185" s="53" t="s">
        <v>57</v>
      </c>
      <c r="F185" s="53" t="s">
        <v>236</v>
      </c>
      <c r="G185" s="131" t="s">
        <v>30</v>
      </c>
      <c r="H185" s="53">
        <v>6</v>
      </c>
      <c r="I185" s="188">
        <v>195</v>
      </c>
      <c r="J185" s="54">
        <f t="shared" si="6"/>
        <v>1170</v>
      </c>
      <c r="K185" s="55" t="b">
        <v>1</v>
      </c>
      <c r="L185" s="56">
        <v>280320250855</v>
      </c>
      <c r="M185" s="57" t="b">
        <v>1</v>
      </c>
      <c r="N185" s="58"/>
      <c r="O185" s="226"/>
      <c r="P185" s="191" t="b">
        <v>1</v>
      </c>
      <c r="Q185" s="308" t="s">
        <v>3138</v>
      </c>
      <c r="R185" s="47" t="b">
        <v>1</v>
      </c>
      <c r="S185" s="173" t="s">
        <v>4029</v>
      </c>
      <c r="T185" s="310" t="s">
        <v>4030</v>
      </c>
      <c r="U185" s="54"/>
    </row>
    <row r="186" spans="1:21" ht="16">
      <c r="A186" s="162"/>
      <c r="B186" s="132" t="s">
        <v>4028</v>
      </c>
      <c r="C186" s="53" t="s">
        <v>51</v>
      </c>
      <c r="D186" s="53" t="s">
        <v>201</v>
      </c>
      <c r="E186" s="53" t="s">
        <v>202</v>
      </c>
      <c r="F186" s="53" t="s">
        <v>68</v>
      </c>
      <c r="G186" s="131" t="s">
        <v>30</v>
      </c>
      <c r="H186" s="53">
        <v>2</v>
      </c>
      <c r="I186" s="188">
        <v>2350</v>
      </c>
      <c r="J186" s="54">
        <f t="shared" si="6"/>
        <v>4700</v>
      </c>
      <c r="K186" s="55" t="b">
        <v>1</v>
      </c>
      <c r="L186" s="56">
        <v>2800320251102</v>
      </c>
      <c r="M186" s="57" t="b">
        <v>1</v>
      </c>
      <c r="N186" s="58"/>
      <c r="O186" s="226"/>
      <c r="P186" s="191" t="b">
        <v>1</v>
      </c>
      <c r="Q186" s="308" t="s">
        <v>3138</v>
      </c>
      <c r="R186" s="47" t="b">
        <v>1</v>
      </c>
      <c r="S186" s="173" t="s">
        <v>4031</v>
      </c>
      <c r="T186" s="310" t="s">
        <v>4032</v>
      </c>
      <c r="U186" s="54"/>
    </row>
    <row r="187" spans="1:21" ht="16">
      <c r="A187" s="162"/>
      <c r="B187" s="132" t="s">
        <v>4028</v>
      </c>
      <c r="C187" s="53" t="s">
        <v>418</v>
      </c>
      <c r="D187" s="53" t="s">
        <v>230</v>
      </c>
      <c r="E187" s="53" t="s">
        <v>1990</v>
      </c>
      <c r="F187" s="53" t="s">
        <v>3767</v>
      </c>
      <c r="G187" s="131" t="s">
        <v>30</v>
      </c>
      <c r="H187" s="53">
        <v>1</v>
      </c>
      <c r="I187" s="188">
        <v>2350</v>
      </c>
      <c r="J187" s="54">
        <f t="shared" si="6"/>
        <v>2350</v>
      </c>
      <c r="K187" s="55" t="b">
        <v>1</v>
      </c>
      <c r="L187" s="56">
        <v>280320251121</v>
      </c>
      <c r="M187" s="57" t="b">
        <v>1</v>
      </c>
      <c r="N187" s="58"/>
      <c r="O187" s="226"/>
      <c r="P187" s="191" t="b">
        <v>1</v>
      </c>
      <c r="Q187" s="308" t="s">
        <v>3138</v>
      </c>
      <c r="R187" s="47" t="b">
        <v>1</v>
      </c>
      <c r="S187" s="173" t="s">
        <v>4033</v>
      </c>
      <c r="T187" s="310" t="s">
        <v>4034</v>
      </c>
      <c r="U187" s="54"/>
    </row>
    <row r="188" spans="1:21" ht="16">
      <c r="A188" s="162"/>
      <c r="B188" s="132" t="s">
        <v>4028</v>
      </c>
      <c r="C188" s="53" t="s">
        <v>418</v>
      </c>
      <c r="D188" s="53" t="s">
        <v>565</v>
      </c>
      <c r="E188" s="53" t="s">
        <v>43</v>
      </c>
      <c r="F188" s="53" t="s">
        <v>49</v>
      </c>
      <c r="G188" s="131" t="s">
        <v>30</v>
      </c>
      <c r="H188" s="53">
        <v>10</v>
      </c>
      <c r="I188" s="188">
        <v>635</v>
      </c>
      <c r="J188" s="54">
        <f t="shared" si="6"/>
        <v>6350</v>
      </c>
      <c r="K188" s="55" t="b">
        <v>1</v>
      </c>
      <c r="L188" s="56">
        <v>280320251126</v>
      </c>
      <c r="M188" s="57" t="b">
        <v>1</v>
      </c>
      <c r="N188" s="58" t="s">
        <v>39</v>
      </c>
      <c r="O188" s="226"/>
      <c r="P188" s="191" t="b">
        <v>1</v>
      </c>
      <c r="Q188" s="308" t="s">
        <v>3138</v>
      </c>
      <c r="R188" s="47" t="b">
        <v>1</v>
      </c>
      <c r="S188" s="173" t="s">
        <v>4035</v>
      </c>
      <c r="T188" s="310" t="s">
        <v>4036</v>
      </c>
      <c r="U188" s="54"/>
    </row>
    <row r="189" spans="1:21" ht="16">
      <c r="A189" s="162"/>
      <c r="B189" s="132" t="s">
        <v>4028</v>
      </c>
      <c r="C189" s="53" t="s">
        <v>418</v>
      </c>
      <c r="D189" s="53" t="s">
        <v>565</v>
      </c>
      <c r="E189" s="53" t="s">
        <v>43</v>
      </c>
      <c r="F189" s="53" t="s">
        <v>2215</v>
      </c>
      <c r="G189" s="131" t="s">
        <v>30</v>
      </c>
      <c r="H189" s="53">
        <v>2</v>
      </c>
      <c r="I189" s="188">
        <v>185</v>
      </c>
      <c r="J189" s="54">
        <f t="shared" si="6"/>
        <v>370</v>
      </c>
      <c r="K189" s="55" t="b">
        <v>1</v>
      </c>
      <c r="L189" s="56">
        <v>280320251126</v>
      </c>
      <c r="M189" s="57" t="b">
        <v>1</v>
      </c>
      <c r="N189" s="58"/>
      <c r="O189" s="226"/>
      <c r="P189" s="191" t="b">
        <v>1</v>
      </c>
      <c r="Q189" s="308" t="s">
        <v>3138</v>
      </c>
      <c r="R189" s="47" t="b">
        <v>1</v>
      </c>
      <c r="S189" s="173" t="s">
        <v>4037</v>
      </c>
      <c r="T189" s="310" t="s">
        <v>4038</v>
      </c>
      <c r="U189" s="54"/>
    </row>
    <row r="190" spans="1:21" ht="16">
      <c r="A190" s="162"/>
      <c r="B190" s="132" t="s">
        <v>4028</v>
      </c>
      <c r="C190" s="53" t="s">
        <v>51</v>
      </c>
      <c r="D190" s="53" t="s">
        <v>201</v>
      </c>
      <c r="E190" s="53" t="s">
        <v>202</v>
      </c>
      <c r="F190" s="53" t="s">
        <v>4039</v>
      </c>
      <c r="G190" s="131" t="s">
        <v>30</v>
      </c>
      <c r="H190" s="53">
        <v>1</v>
      </c>
      <c r="I190" s="188">
        <v>1975</v>
      </c>
      <c r="J190" s="54">
        <f t="shared" si="6"/>
        <v>1975</v>
      </c>
      <c r="K190" s="55" t="b">
        <v>1</v>
      </c>
      <c r="L190" s="56">
        <v>280320251126</v>
      </c>
      <c r="M190" s="57" t="b">
        <v>1</v>
      </c>
      <c r="N190" s="58"/>
      <c r="O190" s="226"/>
      <c r="P190" s="191" t="b">
        <v>1</v>
      </c>
      <c r="Q190" s="308" t="s">
        <v>3138</v>
      </c>
      <c r="R190" s="47" t="b">
        <v>1</v>
      </c>
      <c r="S190" s="173" t="s">
        <v>4040</v>
      </c>
      <c r="T190" s="310" t="s">
        <v>4041</v>
      </c>
      <c r="U190" s="54"/>
    </row>
    <row r="191" spans="1:21" ht="16">
      <c r="A191" s="162"/>
      <c r="B191" s="132" t="s">
        <v>4028</v>
      </c>
      <c r="C191" s="53" t="s">
        <v>51</v>
      </c>
      <c r="D191" s="53" t="s">
        <v>201</v>
      </c>
      <c r="E191" s="53" t="s">
        <v>202</v>
      </c>
      <c r="F191" s="53" t="s">
        <v>1700</v>
      </c>
      <c r="G191" s="131" t="s">
        <v>30</v>
      </c>
      <c r="H191" s="53">
        <v>150</v>
      </c>
      <c r="I191" s="188">
        <v>15</v>
      </c>
      <c r="J191" s="54">
        <f t="shared" si="6"/>
        <v>2250</v>
      </c>
      <c r="K191" s="55" t="b">
        <v>1</v>
      </c>
      <c r="L191" s="56">
        <v>280320251758</v>
      </c>
      <c r="M191" s="57" t="b">
        <v>1</v>
      </c>
      <c r="N191" s="58"/>
      <c r="O191" s="226"/>
      <c r="P191" s="191" t="b">
        <v>1</v>
      </c>
      <c r="Q191" s="308" t="s">
        <v>3138</v>
      </c>
      <c r="R191" s="47" t="b">
        <v>1</v>
      </c>
      <c r="S191" s="173" t="s">
        <v>4042</v>
      </c>
      <c r="T191" s="310" t="s">
        <v>4043</v>
      </c>
      <c r="U191" s="54"/>
    </row>
    <row r="192" spans="1:21" ht="16">
      <c r="A192" s="162"/>
      <c r="B192" s="132"/>
      <c r="C192" s="53"/>
      <c r="D192" s="53"/>
      <c r="E192" s="53"/>
      <c r="F192" s="53"/>
      <c r="G192" s="131"/>
      <c r="H192" s="53"/>
      <c r="I192" s="188"/>
      <c r="J192" s="54">
        <f t="shared" si="6"/>
        <v>0</v>
      </c>
      <c r="K192" s="55" t="b">
        <v>0</v>
      </c>
      <c r="L192" s="56"/>
      <c r="M192" s="57" t="b">
        <v>0</v>
      </c>
      <c r="N192" s="58"/>
      <c r="O192" s="226"/>
      <c r="P192" s="191" t="b">
        <v>0</v>
      </c>
      <c r="Q192" s="226"/>
      <c r="R192" s="47" t="b">
        <v>0</v>
      </c>
      <c r="S192" s="313"/>
      <c r="T192" s="313"/>
      <c r="U192" s="54"/>
    </row>
    <row r="193" spans="1:21" ht="16">
      <c r="A193" s="162"/>
      <c r="B193" s="132"/>
      <c r="C193" s="53"/>
      <c r="D193" s="53"/>
      <c r="E193" s="53"/>
      <c r="F193" s="53"/>
      <c r="G193" s="131"/>
      <c r="H193" s="53"/>
      <c r="I193" s="188"/>
      <c r="J193" s="54">
        <f t="shared" si="6"/>
        <v>0</v>
      </c>
      <c r="K193" s="55" t="b">
        <v>0</v>
      </c>
      <c r="L193" s="56"/>
      <c r="M193" s="57" t="b">
        <v>0</v>
      </c>
      <c r="N193" s="58"/>
      <c r="O193" s="226"/>
      <c r="P193" s="191" t="b">
        <v>0</v>
      </c>
      <c r="Q193" s="226"/>
      <c r="R193" s="47" t="b">
        <v>0</v>
      </c>
      <c r="S193" s="313"/>
      <c r="T193" s="313"/>
      <c r="U193" s="54"/>
    </row>
    <row r="194" spans="1:21" ht="16">
      <c r="A194" s="162"/>
      <c r="B194" s="132"/>
      <c r="C194" s="53"/>
      <c r="D194" s="53"/>
      <c r="E194" s="53"/>
      <c r="F194" s="53"/>
      <c r="G194" s="131"/>
      <c r="H194" s="53"/>
      <c r="I194" s="188"/>
      <c r="J194" s="54">
        <f t="shared" si="6"/>
        <v>0</v>
      </c>
      <c r="K194" s="55" t="b">
        <v>0</v>
      </c>
      <c r="L194" s="56"/>
      <c r="M194" s="57" t="b">
        <v>0</v>
      </c>
      <c r="N194" s="58"/>
      <c r="O194" s="226"/>
      <c r="P194" s="191" t="b">
        <v>0</v>
      </c>
      <c r="Q194" s="226"/>
      <c r="R194" s="47" t="b">
        <v>0</v>
      </c>
      <c r="S194" s="313"/>
      <c r="T194" s="313"/>
      <c r="U194" s="54"/>
    </row>
    <row r="195" spans="1:21" ht="16">
      <c r="A195" s="162"/>
      <c r="B195" s="132"/>
      <c r="C195" s="53"/>
      <c r="D195" s="53"/>
      <c r="E195" s="53"/>
      <c r="F195" s="53"/>
      <c r="G195" s="131"/>
      <c r="H195" s="53"/>
      <c r="I195" s="188"/>
      <c r="J195" s="54">
        <f t="shared" si="6"/>
        <v>0</v>
      </c>
      <c r="K195" s="55" t="b">
        <v>0</v>
      </c>
      <c r="L195" s="56"/>
      <c r="M195" s="57" t="b">
        <v>0</v>
      </c>
      <c r="N195" s="58"/>
      <c r="O195" s="226"/>
      <c r="P195" s="191" t="b">
        <v>0</v>
      </c>
      <c r="Q195" s="226"/>
      <c r="R195" s="47" t="b">
        <v>0</v>
      </c>
      <c r="S195" s="313"/>
      <c r="T195" s="313"/>
      <c r="U195" s="54"/>
    </row>
    <row r="196" spans="1:21" ht="16">
      <c r="A196" s="162"/>
      <c r="B196" s="132"/>
      <c r="C196" s="53"/>
      <c r="D196" s="53"/>
      <c r="E196" s="53"/>
      <c r="F196" s="53"/>
      <c r="G196" s="131"/>
      <c r="H196" s="53"/>
      <c r="I196" s="188"/>
      <c r="J196" s="54">
        <f t="shared" si="6"/>
        <v>0</v>
      </c>
      <c r="K196" s="55" t="b">
        <v>0</v>
      </c>
      <c r="L196" s="56"/>
      <c r="M196" s="57" t="b">
        <v>0</v>
      </c>
      <c r="N196" s="58"/>
      <c r="O196" s="226"/>
      <c r="P196" s="191" t="b">
        <v>0</v>
      </c>
      <c r="Q196" s="226"/>
      <c r="R196" s="47" t="b">
        <v>0</v>
      </c>
      <c r="S196" s="313"/>
      <c r="T196" s="313"/>
      <c r="U196" s="54"/>
    </row>
    <row r="197" spans="1:21" ht="16">
      <c r="A197" s="162"/>
      <c r="B197" s="132"/>
      <c r="C197" s="53"/>
      <c r="D197" s="53"/>
      <c r="E197" s="53"/>
      <c r="F197" s="53"/>
      <c r="G197" s="131"/>
      <c r="H197" s="53"/>
      <c r="I197" s="188"/>
      <c r="J197" s="54">
        <f t="shared" si="6"/>
        <v>0</v>
      </c>
      <c r="K197" s="55" t="b">
        <v>0</v>
      </c>
      <c r="L197" s="56"/>
      <c r="M197" s="57" t="b">
        <v>0</v>
      </c>
      <c r="N197" s="58"/>
      <c r="O197" s="226"/>
      <c r="P197" s="191" t="b">
        <v>0</v>
      </c>
      <c r="Q197" s="226"/>
      <c r="R197" s="47" t="b">
        <v>0</v>
      </c>
      <c r="S197" s="313"/>
      <c r="T197" s="313"/>
      <c r="U197" s="54"/>
    </row>
    <row r="198" spans="1:21" ht="16">
      <c r="A198" s="162"/>
      <c r="B198" s="132"/>
      <c r="C198" s="53"/>
      <c r="D198" s="53"/>
      <c r="E198" s="53"/>
      <c r="F198" s="53"/>
      <c r="G198" s="131"/>
      <c r="H198" s="53"/>
      <c r="I198" s="188"/>
      <c r="J198" s="54">
        <f t="shared" si="6"/>
        <v>0</v>
      </c>
      <c r="K198" s="55" t="b">
        <v>0</v>
      </c>
      <c r="L198" s="56"/>
      <c r="M198" s="57" t="b">
        <v>0</v>
      </c>
      <c r="N198" s="58"/>
      <c r="O198" s="226"/>
      <c r="P198" s="191" t="b">
        <v>0</v>
      </c>
      <c r="Q198" s="226"/>
      <c r="R198" s="47" t="b">
        <v>0</v>
      </c>
      <c r="S198" s="313"/>
      <c r="T198" s="313"/>
      <c r="U198" s="54"/>
    </row>
    <row r="199" spans="1:21" ht="16">
      <c r="A199" s="162"/>
      <c r="B199" s="132"/>
      <c r="C199" s="53"/>
      <c r="D199" s="53"/>
      <c r="E199" s="53"/>
      <c r="F199" s="53"/>
      <c r="G199" s="131"/>
      <c r="H199" s="53"/>
      <c r="I199" s="188"/>
      <c r="J199" s="54">
        <f t="shared" si="6"/>
        <v>0</v>
      </c>
      <c r="K199" s="55" t="b">
        <v>0</v>
      </c>
      <c r="L199" s="56"/>
      <c r="M199" s="57" t="b">
        <v>0</v>
      </c>
      <c r="N199" s="58"/>
      <c r="O199" s="226"/>
      <c r="P199" s="191" t="b">
        <v>0</v>
      </c>
      <c r="Q199" s="226"/>
      <c r="R199" s="47" t="b">
        <v>0</v>
      </c>
      <c r="S199" s="313"/>
      <c r="T199" s="313"/>
      <c r="U199" s="54"/>
    </row>
    <row r="200" spans="1:21" ht="16">
      <c r="A200" s="162"/>
      <c r="B200" s="132"/>
      <c r="C200" s="53"/>
      <c r="D200" s="53"/>
      <c r="E200" s="53"/>
      <c r="F200" s="53"/>
      <c r="G200" s="131"/>
      <c r="H200" s="53"/>
      <c r="I200" s="188"/>
      <c r="J200" s="54">
        <f t="shared" si="6"/>
        <v>0</v>
      </c>
      <c r="K200" s="55" t="b">
        <v>0</v>
      </c>
      <c r="L200" s="56"/>
      <c r="M200" s="57" t="b">
        <v>0</v>
      </c>
      <c r="N200" s="58"/>
      <c r="O200" s="226"/>
      <c r="P200" s="191" t="b">
        <v>0</v>
      </c>
      <c r="Q200" s="226"/>
      <c r="R200" s="47" t="b">
        <v>0</v>
      </c>
      <c r="S200" s="313"/>
      <c r="T200" s="313"/>
      <c r="U200" s="54"/>
    </row>
    <row r="201" spans="1:21" ht="16">
      <c r="A201" s="162"/>
      <c r="B201" s="132"/>
      <c r="C201" s="53"/>
      <c r="D201" s="53"/>
      <c r="E201" s="53"/>
      <c r="F201" s="53"/>
      <c r="G201" s="131"/>
      <c r="H201" s="53"/>
      <c r="I201" s="188"/>
      <c r="J201" s="54">
        <f t="shared" si="6"/>
        <v>0</v>
      </c>
      <c r="K201" s="55" t="b">
        <v>0</v>
      </c>
      <c r="L201" s="56"/>
      <c r="M201" s="57" t="b">
        <v>0</v>
      </c>
      <c r="N201" s="58"/>
      <c r="O201" s="226"/>
      <c r="P201" s="191" t="b">
        <v>0</v>
      </c>
      <c r="Q201" s="226"/>
      <c r="R201" s="47" t="b">
        <v>0</v>
      </c>
      <c r="S201" s="313"/>
      <c r="T201" s="313"/>
      <c r="U201" s="54"/>
    </row>
    <row r="202" spans="1:21" ht="16">
      <c r="A202" s="162"/>
      <c r="B202" s="132"/>
      <c r="C202" s="53"/>
      <c r="D202" s="53"/>
      <c r="E202" s="53"/>
      <c r="F202" s="53"/>
      <c r="G202" s="131"/>
      <c r="H202" s="53"/>
      <c r="I202" s="188"/>
      <c r="J202" s="75"/>
      <c r="K202" s="55" t="b">
        <v>0</v>
      </c>
      <c r="L202" s="56"/>
      <c r="M202" s="57" t="b">
        <v>0</v>
      </c>
      <c r="N202" s="58"/>
      <c r="O202" s="226"/>
      <c r="P202" s="191" t="b">
        <v>0</v>
      </c>
      <c r="Q202" s="226"/>
      <c r="R202" s="47" t="b">
        <v>0</v>
      </c>
      <c r="S202" s="313"/>
      <c r="T202" s="313"/>
      <c r="U202" s="54"/>
    </row>
    <row r="203" spans="1:21" ht="16">
      <c r="A203" s="162"/>
      <c r="B203" s="132"/>
      <c r="C203" s="53"/>
      <c r="D203" s="53"/>
      <c r="E203" s="53"/>
      <c r="F203" s="53"/>
      <c r="G203" s="131"/>
      <c r="H203" s="53"/>
      <c r="I203" s="188"/>
      <c r="J203" s="75"/>
      <c r="K203" s="55" t="b">
        <v>0</v>
      </c>
      <c r="L203" s="56"/>
      <c r="M203" s="57" t="b">
        <v>0</v>
      </c>
      <c r="N203" s="58"/>
      <c r="O203" s="226"/>
      <c r="P203" s="191" t="b">
        <v>0</v>
      </c>
      <c r="Q203" s="226"/>
      <c r="R203" s="47" t="b">
        <v>0</v>
      </c>
      <c r="S203" s="313"/>
      <c r="T203" s="313"/>
      <c r="U203" s="54"/>
    </row>
    <row r="204" spans="1:21" ht="16">
      <c r="A204" s="162"/>
      <c r="B204" s="132"/>
      <c r="C204" s="53"/>
      <c r="D204" s="53"/>
      <c r="E204" s="53"/>
      <c r="F204" s="53"/>
      <c r="G204" s="131"/>
      <c r="H204" s="53"/>
      <c r="I204" s="188"/>
      <c r="J204" s="75"/>
      <c r="K204" s="55" t="b">
        <v>0</v>
      </c>
      <c r="L204" s="56"/>
      <c r="M204" s="57" t="b">
        <v>0</v>
      </c>
      <c r="N204" s="58"/>
      <c r="O204" s="226"/>
      <c r="P204" s="191" t="b">
        <v>0</v>
      </c>
      <c r="Q204" s="226"/>
      <c r="R204" s="47" t="b">
        <v>0</v>
      </c>
      <c r="S204" s="313"/>
      <c r="T204" s="313"/>
      <c r="U204" s="54"/>
    </row>
    <row r="205" spans="1:21" ht="16">
      <c r="A205" s="162"/>
      <c r="B205" s="132"/>
      <c r="C205" s="53"/>
      <c r="D205" s="53"/>
      <c r="E205" s="53"/>
      <c r="F205" s="53"/>
      <c r="G205" s="131"/>
      <c r="H205" s="53"/>
      <c r="I205" s="188"/>
      <c r="J205" s="75"/>
      <c r="K205" s="55" t="b">
        <v>0</v>
      </c>
      <c r="L205" s="56"/>
      <c r="M205" s="57" t="b">
        <v>0</v>
      </c>
      <c r="N205" s="58"/>
      <c r="O205" s="226"/>
      <c r="P205" s="191" t="b">
        <v>0</v>
      </c>
      <c r="Q205" s="226"/>
      <c r="R205" s="47" t="b">
        <v>0</v>
      </c>
      <c r="S205" s="313"/>
      <c r="T205" s="313"/>
      <c r="U205" s="54"/>
    </row>
    <row r="206" spans="1:21" ht="16">
      <c r="A206" s="162"/>
      <c r="B206" s="132"/>
      <c r="C206" s="53"/>
      <c r="D206" s="53"/>
      <c r="E206" s="53"/>
      <c r="F206" s="53"/>
      <c r="G206" s="131"/>
      <c r="H206" s="53"/>
      <c r="I206" s="188"/>
      <c r="J206" s="75"/>
      <c r="K206" s="55" t="b">
        <v>0</v>
      </c>
      <c r="L206" s="56"/>
      <c r="M206" s="57" t="b">
        <v>0</v>
      </c>
      <c r="N206" s="58"/>
      <c r="O206" s="226"/>
      <c r="P206" s="191" t="b">
        <v>0</v>
      </c>
      <c r="Q206" s="226"/>
      <c r="R206" s="47" t="b">
        <v>0</v>
      </c>
      <c r="S206" s="313"/>
      <c r="T206" s="313"/>
      <c r="U206" s="54"/>
    </row>
    <row r="207" spans="1:21" ht="16">
      <c r="A207" s="162"/>
      <c r="B207" s="132"/>
      <c r="C207" s="53"/>
      <c r="D207" s="53"/>
      <c r="E207" s="53"/>
      <c r="F207" s="53"/>
      <c r="G207" s="131"/>
      <c r="H207" s="53"/>
      <c r="I207" s="188"/>
      <c r="J207" s="75"/>
      <c r="K207" s="55" t="b">
        <v>0</v>
      </c>
      <c r="L207" s="56"/>
      <c r="M207" s="57" t="b">
        <v>0</v>
      </c>
      <c r="N207" s="58"/>
      <c r="O207" s="226"/>
      <c r="P207" s="191" t="b">
        <v>0</v>
      </c>
      <c r="Q207" s="226"/>
      <c r="R207" s="47" t="b">
        <v>0</v>
      </c>
      <c r="S207" s="313"/>
      <c r="T207" s="313"/>
      <c r="U207" s="54"/>
    </row>
    <row r="208" spans="1:21" ht="16">
      <c r="A208" s="162"/>
      <c r="B208" s="132"/>
      <c r="C208" s="53"/>
      <c r="D208" s="53"/>
      <c r="E208" s="53"/>
      <c r="F208" s="53"/>
      <c r="G208" s="131"/>
      <c r="H208" s="53"/>
      <c r="I208" s="188"/>
      <c r="J208" s="75"/>
      <c r="K208" s="55" t="b">
        <v>0</v>
      </c>
      <c r="L208" s="56"/>
      <c r="M208" s="57" t="b">
        <v>0</v>
      </c>
      <c r="N208" s="58"/>
      <c r="O208" s="226"/>
      <c r="P208" s="191" t="b">
        <v>0</v>
      </c>
      <c r="Q208" s="226"/>
      <c r="R208" s="47" t="b">
        <v>0</v>
      </c>
      <c r="S208" s="313"/>
      <c r="T208" s="313"/>
      <c r="U208" s="54"/>
    </row>
    <row r="209" spans="1:21" ht="16">
      <c r="A209" s="162"/>
      <c r="B209" s="132"/>
      <c r="C209" s="53"/>
      <c r="D209" s="53"/>
      <c r="E209" s="53"/>
      <c r="F209" s="53"/>
      <c r="G209" s="131"/>
      <c r="H209" s="53"/>
      <c r="I209" s="188"/>
      <c r="J209" s="75"/>
      <c r="K209" s="55" t="b">
        <v>0</v>
      </c>
      <c r="L209" s="56"/>
      <c r="M209" s="57" t="b">
        <v>0</v>
      </c>
      <c r="N209" s="58"/>
      <c r="O209" s="226"/>
      <c r="P209" s="191" t="b">
        <v>0</v>
      </c>
      <c r="Q209" s="226"/>
      <c r="R209" s="47" t="b">
        <v>0</v>
      </c>
      <c r="S209" s="313"/>
      <c r="T209" s="313"/>
      <c r="U209" s="54"/>
    </row>
    <row r="210" spans="1:21" ht="16">
      <c r="A210" s="162"/>
      <c r="B210" s="132"/>
      <c r="C210" s="53"/>
      <c r="D210" s="53"/>
      <c r="E210" s="53"/>
      <c r="F210" s="53"/>
      <c r="G210" s="131"/>
      <c r="H210" s="53"/>
      <c r="I210" s="188"/>
      <c r="J210" s="75"/>
      <c r="K210" s="55" t="b">
        <v>0</v>
      </c>
      <c r="L210" s="56"/>
      <c r="M210" s="57" t="b">
        <v>0</v>
      </c>
      <c r="N210" s="58"/>
      <c r="O210" s="226"/>
      <c r="P210" s="191" t="b">
        <v>0</v>
      </c>
      <c r="Q210" s="226"/>
      <c r="R210" s="47" t="b">
        <v>0</v>
      </c>
      <c r="S210" s="313"/>
      <c r="T210" s="313"/>
      <c r="U210" s="54"/>
    </row>
    <row r="211" spans="1:21" ht="16">
      <c r="A211" s="162"/>
      <c r="B211" s="132"/>
      <c r="C211" s="53"/>
      <c r="D211" s="53"/>
      <c r="E211" s="53"/>
      <c r="F211" s="53"/>
      <c r="G211" s="131"/>
      <c r="H211" s="53"/>
      <c r="I211" s="188"/>
      <c r="J211" s="75"/>
      <c r="K211" s="55" t="b">
        <v>0</v>
      </c>
      <c r="L211" s="56"/>
      <c r="M211" s="57" t="b">
        <v>0</v>
      </c>
      <c r="N211" s="58"/>
      <c r="O211" s="226"/>
      <c r="P211" s="191" t="b">
        <v>0</v>
      </c>
      <c r="Q211" s="226"/>
      <c r="R211" s="47" t="b">
        <v>0</v>
      </c>
      <c r="S211" s="313"/>
      <c r="T211" s="313"/>
      <c r="U211" s="54"/>
    </row>
    <row r="212" spans="1:21" ht="16">
      <c r="A212" s="162"/>
      <c r="B212" s="132"/>
      <c r="C212" s="53"/>
      <c r="D212" s="53"/>
      <c r="E212" s="53"/>
      <c r="F212" s="53"/>
      <c r="G212" s="131"/>
      <c r="H212" s="53"/>
      <c r="I212" s="188"/>
      <c r="J212" s="75"/>
      <c r="K212" s="55" t="b">
        <v>0</v>
      </c>
      <c r="L212" s="56"/>
      <c r="M212" s="57" t="b">
        <v>0</v>
      </c>
      <c r="N212" s="58"/>
      <c r="O212" s="226"/>
      <c r="P212" s="191" t="b">
        <v>0</v>
      </c>
      <c r="Q212" s="226"/>
      <c r="R212" s="47" t="b">
        <v>0</v>
      </c>
      <c r="S212" s="313"/>
      <c r="T212" s="313"/>
      <c r="U212" s="54"/>
    </row>
    <row r="213" spans="1:21" ht="16">
      <c r="A213" s="162"/>
      <c r="B213" s="132"/>
      <c r="C213" s="53"/>
      <c r="D213" s="53"/>
      <c r="E213" s="53"/>
      <c r="F213" s="53"/>
      <c r="G213" s="131"/>
      <c r="H213" s="53"/>
      <c r="I213" s="188"/>
      <c r="J213" s="75"/>
      <c r="K213" s="55" t="b">
        <v>0</v>
      </c>
      <c r="L213" s="56"/>
      <c r="M213" s="57" t="b">
        <v>0</v>
      </c>
      <c r="N213" s="58"/>
      <c r="O213" s="226"/>
      <c r="P213" s="191" t="b">
        <v>0</v>
      </c>
      <c r="Q213" s="226"/>
      <c r="R213" s="47" t="b">
        <v>0</v>
      </c>
      <c r="S213" s="313"/>
      <c r="T213" s="313"/>
      <c r="U213" s="54"/>
    </row>
    <row r="214" spans="1:21" ht="16">
      <c r="A214" s="162"/>
      <c r="B214" s="132"/>
      <c r="C214" s="53"/>
      <c r="D214" s="53"/>
      <c r="E214" s="53"/>
      <c r="F214" s="53"/>
      <c r="G214" s="131"/>
      <c r="H214" s="53"/>
      <c r="I214" s="188"/>
      <c r="J214" s="75"/>
      <c r="K214" s="55" t="b">
        <v>0</v>
      </c>
      <c r="L214" s="56"/>
      <c r="M214" s="57" t="b">
        <v>0</v>
      </c>
      <c r="N214" s="58"/>
      <c r="O214" s="226"/>
      <c r="P214" s="191" t="b">
        <v>0</v>
      </c>
      <c r="Q214" s="226"/>
      <c r="R214" s="47" t="b">
        <v>0</v>
      </c>
      <c r="S214" s="313"/>
      <c r="T214" s="313"/>
      <c r="U214" s="54"/>
    </row>
    <row r="215" spans="1:21" ht="16">
      <c r="A215" s="162"/>
      <c r="B215" s="132"/>
      <c r="C215" s="53"/>
      <c r="D215" s="53"/>
      <c r="E215" s="53"/>
      <c r="F215" s="53"/>
      <c r="G215" s="131"/>
      <c r="H215" s="53"/>
      <c r="I215" s="188"/>
      <c r="J215" s="75"/>
      <c r="K215" s="55" t="b">
        <v>0</v>
      </c>
      <c r="L215" s="56"/>
      <c r="M215" s="57" t="b">
        <v>0</v>
      </c>
      <c r="N215" s="58"/>
      <c r="O215" s="226"/>
      <c r="P215" s="191" t="b">
        <v>0</v>
      </c>
      <c r="Q215" s="226"/>
      <c r="R215" s="47" t="b">
        <v>0</v>
      </c>
      <c r="S215" s="313"/>
      <c r="T215" s="313"/>
      <c r="U215" s="54"/>
    </row>
    <row r="216" spans="1:21" ht="16">
      <c r="A216" s="162"/>
      <c r="B216" s="132"/>
      <c r="C216" s="53"/>
      <c r="D216" s="53"/>
      <c r="E216" s="53"/>
      <c r="F216" s="53"/>
      <c r="G216" s="131"/>
      <c r="H216" s="53"/>
      <c r="I216" s="188"/>
      <c r="J216" s="75"/>
      <c r="K216" s="55" t="b">
        <v>0</v>
      </c>
      <c r="L216" s="56"/>
      <c r="M216" s="57" t="b">
        <v>0</v>
      </c>
      <c r="N216" s="58"/>
      <c r="O216" s="226"/>
      <c r="P216" s="191" t="b">
        <v>0</v>
      </c>
      <c r="Q216" s="226"/>
      <c r="R216" s="47" t="b">
        <v>0</v>
      </c>
      <c r="S216" s="313"/>
      <c r="T216" s="313"/>
      <c r="U216" s="54"/>
    </row>
    <row r="217" spans="1:21" ht="16">
      <c r="A217" s="162"/>
      <c r="B217" s="132"/>
      <c r="C217" s="53"/>
      <c r="D217" s="53"/>
      <c r="E217" s="53"/>
      <c r="F217" s="53"/>
      <c r="G217" s="131"/>
      <c r="H217" s="53"/>
      <c r="I217" s="188"/>
      <c r="J217" s="75"/>
      <c r="K217" s="55" t="b">
        <v>0</v>
      </c>
      <c r="L217" s="56"/>
      <c r="M217" s="57" t="b">
        <v>0</v>
      </c>
      <c r="N217" s="58"/>
      <c r="O217" s="226"/>
      <c r="P217" s="191" t="b">
        <v>0</v>
      </c>
      <c r="Q217" s="226"/>
      <c r="R217" s="47" t="b">
        <v>0</v>
      </c>
      <c r="S217" s="313"/>
      <c r="T217" s="313"/>
      <c r="U217" s="54"/>
    </row>
    <row r="218" spans="1:21" ht="16">
      <c r="A218" s="162"/>
      <c r="B218" s="132"/>
      <c r="C218" s="53"/>
      <c r="D218" s="53"/>
      <c r="E218" s="53"/>
      <c r="F218" s="53"/>
      <c r="G218" s="131"/>
      <c r="H218" s="53"/>
      <c r="I218" s="188"/>
      <c r="J218" s="75"/>
      <c r="K218" s="55" t="b">
        <v>0</v>
      </c>
      <c r="L218" s="56"/>
      <c r="M218" s="57" t="b">
        <v>0</v>
      </c>
      <c r="N218" s="58"/>
      <c r="O218" s="226"/>
      <c r="P218" s="191" t="b">
        <v>0</v>
      </c>
      <c r="Q218" s="226"/>
      <c r="R218" s="47" t="b">
        <v>0</v>
      </c>
      <c r="S218" s="313"/>
      <c r="T218" s="313"/>
      <c r="U218" s="54"/>
    </row>
    <row r="219" spans="1:21" ht="16">
      <c r="A219" s="162"/>
      <c r="B219" s="132"/>
      <c r="C219" s="53"/>
      <c r="D219" s="53"/>
      <c r="E219" s="53"/>
      <c r="F219" s="53"/>
      <c r="G219" s="131"/>
      <c r="H219" s="53"/>
      <c r="I219" s="188"/>
      <c r="J219" s="75"/>
      <c r="K219" s="55" t="b">
        <v>0</v>
      </c>
      <c r="L219" s="56"/>
      <c r="M219" s="57" t="b">
        <v>0</v>
      </c>
      <c r="N219" s="58"/>
      <c r="O219" s="226"/>
      <c r="P219" s="191" t="b">
        <v>0</v>
      </c>
      <c r="Q219" s="226"/>
      <c r="R219" s="47" t="b">
        <v>0</v>
      </c>
      <c r="S219" s="313"/>
      <c r="T219" s="313"/>
      <c r="U219" s="54"/>
    </row>
    <row r="220" spans="1:21" ht="16">
      <c r="A220" s="162"/>
      <c r="B220" s="132"/>
      <c r="C220" s="53"/>
      <c r="D220" s="53"/>
      <c r="E220" s="53"/>
      <c r="F220" s="53"/>
      <c r="G220" s="131"/>
      <c r="H220" s="53"/>
      <c r="I220" s="188"/>
      <c r="J220" s="75"/>
      <c r="K220" s="55" t="b">
        <v>0</v>
      </c>
      <c r="L220" s="56"/>
      <c r="M220" s="57" t="b">
        <v>0</v>
      </c>
      <c r="N220" s="58"/>
      <c r="O220" s="226"/>
      <c r="P220" s="191" t="b">
        <v>0</v>
      </c>
      <c r="Q220" s="226"/>
      <c r="R220" s="47" t="b">
        <v>0</v>
      </c>
      <c r="S220" s="313"/>
      <c r="T220" s="313"/>
      <c r="U220" s="54"/>
    </row>
    <row r="221" spans="1:21" ht="16">
      <c r="A221" s="162"/>
      <c r="B221" s="132"/>
      <c r="C221" s="53"/>
      <c r="D221" s="53"/>
      <c r="E221" s="53"/>
      <c r="F221" s="53"/>
      <c r="G221" s="131"/>
      <c r="H221" s="53"/>
      <c r="I221" s="188"/>
      <c r="J221" s="75"/>
      <c r="K221" s="55" t="b">
        <v>0</v>
      </c>
      <c r="L221" s="56"/>
      <c r="M221" s="57" t="b">
        <v>0</v>
      </c>
      <c r="N221" s="58"/>
      <c r="O221" s="226"/>
      <c r="P221" s="191" t="b">
        <v>0</v>
      </c>
      <c r="Q221" s="226"/>
      <c r="R221" s="47" t="b">
        <v>0</v>
      </c>
      <c r="S221" s="313"/>
      <c r="T221" s="313"/>
      <c r="U221" s="54"/>
    </row>
    <row r="222" spans="1:21" ht="16">
      <c r="A222" s="162"/>
      <c r="B222" s="132"/>
      <c r="C222" s="53"/>
      <c r="D222" s="53"/>
      <c r="E222" s="53"/>
      <c r="F222" s="53"/>
      <c r="G222" s="131"/>
      <c r="H222" s="53"/>
      <c r="I222" s="188"/>
      <c r="J222" s="75"/>
      <c r="K222" s="55" t="b">
        <v>0</v>
      </c>
      <c r="L222" s="56"/>
      <c r="M222" s="57" t="b">
        <v>0</v>
      </c>
      <c r="N222" s="58"/>
      <c r="O222" s="226"/>
      <c r="P222" s="191" t="b">
        <v>0</v>
      </c>
      <c r="Q222" s="226"/>
      <c r="R222" s="47" t="b">
        <v>0</v>
      </c>
      <c r="S222" s="313"/>
      <c r="T222" s="313"/>
      <c r="U222" s="54"/>
    </row>
    <row r="223" spans="1:21" ht="16">
      <c r="A223" s="162"/>
      <c r="B223" s="132"/>
      <c r="C223" s="53"/>
      <c r="D223" s="53"/>
      <c r="E223" s="53"/>
      <c r="F223" s="53"/>
      <c r="G223" s="131"/>
      <c r="H223" s="53"/>
      <c r="I223" s="188"/>
      <c r="J223" s="75"/>
      <c r="K223" s="55" t="b">
        <v>0</v>
      </c>
      <c r="L223" s="56"/>
      <c r="M223" s="57" t="b">
        <v>0</v>
      </c>
      <c r="N223" s="58"/>
      <c r="O223" s="226"/>
      <c r="P223" s="191" t="b">
        <v>0</v>
      </c>
      <c r="Q223" s="226"/>
      <c r="R223" s="47" t="b">
        <v>0</v>
      </c>
      <c r="S223" s="313"/>
      <c r="T223" s="313"/>
      <c r="U223" s="54"/>
    </row>
    <row r="224" spans="1:21" ht="16">
      <c r="A224" s="162"/>
      <c r="B224" s="132"/>
      <c r="C224" s="53"/>
      <c r="D224" s="53"/>
      <c r="E224" s="53"/>
      <c r="F224" s="53"/>
      <c r="G224" s="131"/>
      <c r="H224" s="53"/>
      <c r="I224" s="188"/>
      <c r="J224" s="75"/>
      <c r="K224" s="55" t="b">
        <v>0</v>
      </c>
      <c r="L224" s="56"/>
      <c r="M224" s="57" t="b">
        <v>0</v>
      </c>
      <c r="N224" s="58"/>
      <c r="O224" s="226"/>
      <c r="P224" s="191" t="b">
        <v>0</v>
      </c>
      <c r="Q224" s="226"/>
      <c r="R224" s="47" t="b">
        <v>0</v>
      </c>
      <c r="S224" s="313"/>
      <c r="T224" s="313"/>
      <c r="U224" s="54"/>
    </row>
    <row r="225" spans="1:21" ht="16">
      <c r="A225" s="162"/>
      <c r="B225" s="132"/>
      <c r="C225" s="53"/>
      <c r="D225" s="53"/>
      <c r="E225" s="53"/>
      <c r="F225" s="53"/>
      <c r="G225" s="131"/>
      <c r="H225" s="53"/>
      <c r="I225" s="188"/>
      <c r="J225" s="75"/>
      <c r="K225" s="55" t="b">
        <v>0</v>
      </c>
      <c r="L225" s="56"/>
      <c r="M225" s="57" t="b">
        <v>0</v>
      </c>
      <c r="N225" s="58"/>
      <c r="O225" s="226"/>
      <c r="P225" s="191" t="b">
        <v>0</v>
      </c>
      <c r="Q225" s="226"/>
      <c r="R225" s="47" t="b">
        <v>0</v>
      </c>
      <c r="S225" s="313"/>
      <c r="T225" s="313"/>
      <c r="U225" s="54"/>
    </row>
    <row r="226" spans="1:21" ht="16">
      <c r="A226" s="162"/>
      <c r="B226" s="132"/>
      <c r="C226" s="53"/>
      <c r="D226" s="53"/>
      <c r="E226" s="53"/>
      <c r="F226" s="53"/>
      <c r="G226" s="131"/>
      <c r="H226" s="53"/>
      <c r="I226" s="188"/>
      <c r="J226" s="75"/>
      <c r="K226" s="55" t="b">
        <v>0</v>
      </c>
      <c r="L226" s="56"/>
      <c r="M226" s="57" t="b">
        <v>0</v>
      </c>
      <c r="N226" s="58"/>
      <c r="O226" s="226"/>
      <c r="P226" s="191" t="b">
        <v>0</v>
      </c>
      <c r="Q226" s="226"/>
      <c r="R226" s="47" t="b">
        <v>0</v>
      </c>
      <c r="S226" s="313"/>
      <c r="T226" s="313"/>
      <c r="U226" s="54"/>
    </row>
    <row r="227" spans="1:21" ht="16">
      <c r="A227" s="162"/>
      <c r="B227" s="132"/>
      <c r="C227" s="53"/>
      <c r="D227" s="53"/>
      <c r="E227" s="53"/>
      <c r="F227" s="53"/>
      <c r="G227" s="131"/>
      <c r="H227" s="53"/>
      <c r="I227" s="188"/>
      <c r="J227" s="75"/>
      <c r="K227" s="55" t="b">
        <v>0</v>
      </c>
      <c r="L227" s="56"/>
      <c r="M227" s="57" t="b">
        <v>0</v>
      </c>
      <c r="N227" s="58"/>
      <c r="O227" s="226"/>
      <c r="P227" s="191" t="b">
        <v>0</v>
      </c>
      <c r="Q227" s="226"/>
      <c r="R227" s="47" t="b">
        <v>0</v>
      </c>
      <c r="S227" s="313"/>
      <c r="T227" s="313"/>
      <c r="U227" s="54"/>
    </row>
    <row r="228" spans="1:21" ht="16">
      <c r="I228" s="314"/>
      <c r="L228" s="350"/>
      <c r="O228" s="225"/>
      <c r="S228" s="315"/>
      <c r="T228" s="315"/>
    </row>
    <row r="229" spans="1:21" ht="16">
      <c r="I229" s="314"/>
      <c r="L229" s="350"/>
      <c r="O229" s="225"/>
      <c r="S229" s="315"/>
      <c r="T229" s="315"/>
    </row>
    <row r="230" spans="1:21" ht="16">
      <c r="I230" s="314"/>
      <c r="L230" s="350"/>
      <c r="O230" s="225"/>
      <c r="S230" s="315"/>
      <c r="T230" s="315"/>
    </row>
    <row r="231" spans="1:21" ht="16">
      <c r="I231" s="314"/>
      <c r="L231" s="350"/>
      <c r="O231" s="225"/>
      <c r="S231" s="315"/>
      <c r="T231" s="315"/>
    </row>
    <row r="232" spans="1:21" ht="16">
      <c r="I232" s="314"/>
      <c r="L232" s="350"/>
      <c r="O232" s="225"/>
      <c r="S232" s="315"/>
      <c r="T232" s="315"/>
    </row>
    <row r="233" spans="1:21" ht="16">
      <c r="I233" s="314"/>
      <c r="L233" s="350"/>
      <c r="O233" s="225"/>
      <c r="S233" s="315"/>
      <c r="T233" s="315"/>
    </row>
    <row r="234" spans="1:21" ht="16">
      <c r="I234" s="314"/>
      <c r="L234" s="350"/>
      <c r="O234" s="225"/>
      <c r="S234" s="315"/>
      <c r="T234" s="315"/>
    </row>
    <row r="235" spans="1:21" ht="16">
      <c r="I235" s="314"/>
      <c r="L235" s="350"/>
      <c r="O235" s="225"/>
      <c r="S235" s="315"/>
      <c r="T235" s="315"/>
    </row>
    <row r="236" spans="1:21" ht="16">
      <c r="I236" s="314"/>
      <c r="L236" s="350"/>
      <c r="O236" s="225"/>
      <c r="S236" s="315"/>
      <c r="T236" s="315"/>
    </row>
    <row r="237" spans="1:21" ht="16">
      <c r="I237" s="314"/>
      <c r="L237" s="350"/>
      <c r="O237" s="225"/>
      <c r="S237" s="315"/>
      <c r="T237" s="315"/>
    </row>
    <row r="238" spans="1:21" ht="16">
      <c r="I238" s="314"/>
      <c r="L238" s="350"/>
      <c r="O238" s="225"/>
      <c r="S238" s="315"/>
      <c r="T238" s="315"/>
    </row>
    <row r="239" spans="1:21" ht="16">
      <c r="I239" s="314"/>
      <c r="L239" s="350"/>
      <c r="O239" s="225"/>
      <c r="S239" s="315"/>
      <c r="T239" s="315"/>
    </row>
    <row r="240" spans="1:21" ht="16">
      <c r="I240" s="314"/>
      <c r="L240" s="350"/>
      <c r="O240" s="225"/>
      <c r="S240" s="315"/>
      <c r="T240" s="315"/>
    </row>
    <row r="241" spans="9:20" ht="16">
      <c r="I241" s="314"/>
      <c r="L241" s="350"/>
      <c r="O241" s="225"/>
      <c r="S241" s="315"/>
      <c r="T241" s="315"/>
    </row>
    <row r="242" spans="9:20" ht="16">
      <c r="I242" s="314"/>
      <c r="L242" s="350"/>
      <c r="O242" s="225"/>
      <c r="S242" s="315"/>
      <c r="T242" s="315"/>
    </row>
    <row r="243" spans="9:20" ht="16">
      <c r="I243" s="314"/>
      <c r="L243" s="350"/>
      <c r="O243" s="225"/>
      <c r="S243" s="315"/>
      <c r="T243" s="315"/>
    </row>
    <row r="244" spans="9:20" ht="16">
      <c r="I244" s="314"/>
      <c r="L244" s="350"/>
      <c r="O244" s="225"/>
      <c r="S244" s="315"/>
      <c r="T244" s="315"/>
    </row>
    <row r="245" spans="9:20" ht="16">
      <c r="I245" s="314"/>
      <c r="L245" s="350"/>
      <c r="O245" s="225"/>
      <c r="S245" s="315"/>
      <c r="T245" s="315"/>
    </row>
    <row r="246" spans="9:20" ht="16">
      <c r="I246" s="314"/>
      <c r="L246" s="350"/>
      <c r="O246" s="225"/>
      <c r="S246" s="315"/>
      <c r="T246" s="315"/>
    </row>
    <row r="247" spans="9:20" ht="16">
      <c r="I247" s="314"/>
      <c r="L247" s="350"/>
      <c r="O247" s="225"/>
      <c r="S247" s="315"/>
      <c r="T247" s="315"/>
    </row>
    <row r="248" spans="9:20" ht="16">
      <c r="I248" s="314"/>
      <c r="L248" s="350"/>
      <c r="O248" s="225"/>
      <c r="S248" s="315"/>
      <c r="T248" s="315"/>
    </row>
    <row r="249" spans="9:20" ht="16">
      <c r="I249" s="314"/>
      <c r="L249" s="350"/>
      <c r="O249" s="225"/>
      <c r="S249" s="315"/>
      <c r="T249" s="315"/>
    </row>
    <row r="250" spans="9:20" ht="16">
      <c r="I250" s="314"/>
      <c r="L250" s="350"/>
      <c r="O250" s="225"/>
      <c r="S250" s="315"/>
      <c r="T250" s="315"/>
    </row>
    <row r="251" spans="9:20" ht="16">
      <c r="I251" s="314"/>
      <c r="L251" s="350"/>
      <c r="O251" s="225"/>
      <c r="S251" s="315"/>
      <c r="T251" s="315"/>
    </row>
    <row r="252" spans="9:20" ht="16">
      <c r="I252" s="314"/>
      <c r="L252" s="350"/>
      <c r="O252" s="225"/>
      <c r="S252" s="315"/>
      <c r="T252" s="315"/>
    </row>
    <row r="253" spans="9:20" ht="16">
      <c r="I253" s="314"/>
      <c r="L253" s="350"/>
      <c r="O253" s="225"/>
      <c r="S253" s="315"/>
      <c r="T253" s="315"/>
    </row>
    <row r="254" spans="9:20" ht="16">
      <c r="I254" s="314"/>
      <c r="L254" s="350"/>
      <c r="O254" s="225"/>
      <c r="S254" s="315"/>
      <c r="T254" s="315"/>
    </row>
    <row r="255" spans="9:20" ht="16">
      <c r="I255" s="314"/>
      <c r="L255" s="350"/>
      <c r="O255" s="225"/>
      <c r="S255" s="315"/>
      <c r="T255" s="315"/>
    </row>
    <row r="256" spans="9:20" ht="16">
      <c r="I256" s="314"/>
      <c r="L256" s="350"/>
      <c r="O256" s="225"/>
      <c r="S256" s="315"/>
      <c r="T256" s="315"/>
    </row>
    <row r="257" spans="9:20" ht="16">
      <c r="I257" s="314"/>
      <c r="L257" s="350"/>
      <c r="O257" s="225"/>
      <c r="S257" s="315"/>
      <c r="T257" s="315"/>
    </row>
    <row r="258" spans="9:20" ht="16">
      <c r="I258" s="314"/>
      <c r="L258" s="350"/>
      <c r="O258" s="225"/>
      <c r="S258" s="315"/>
      <c r="T258" s="315"/>
    </row>
    <row r="259" spans="9:20" ht="16">
      <c r="I259" s="314"/>
      <c r="L259" s="350"/>
      <c r="O259" s="225"/>
      <c r="S259" s="315"/>
      <c r="T259" s="315"/>
    </row>
    <row r="260" spans="9:20" ht="16">
      <c r="I260" s="314"/>
      <c r="L260" s="350"/>
      <c r="O260" s="225"/>
      <c r="S260" s="315"/>
      <c r="T260" s="315"/>
    </row>
    <row r="261" spans="9:20" ht="16">
      <c r="I261" s="314"/>
      <c r="L261" s="350"/>
      <c r="O261" s="225"/>
      <c r="S261" s="315"/>
      <c r="T261" s="315"/>
    </row>
    <row r="262" spans="9:20" ht="16">
      <c r="I262" s="314"/>
      <c r="L262" s="350"/>
      <c r="O262" s="225"/>
      <c r="S262" s="315"/>
      <c r="T262" s="315"/>
    </row>
    <row r="263" spans="9:20" ht="16">
      <c r="I263" s="314"/>
      <c r="L263" s="350"/>
      <c r="O263" s="225"/>
      <c r="S263" s="315"/>
      <c r="T263" s="315"/>
    </row>
    <row r="264" spans="9:20" ht="16">
      <c r="I264" s="314"/>
      <c r="L264" s="350"/>
      <c r="O264" s="225"/>
      <c r="S264" s="315"/>
      <c r="T264" s="315"/>
    </row>
    <row r="265" spans="9:20" ht="16">
      <c r="I265" s="314"/>
      <c r="L265" s="350"/>
      <c r="O265" s="225"/>
      <c r="S265" s="315"/>
      <c r="T265" s="315"/>
    </row>
    <row r="266" spans="9:20" ht="16">
      <c r="I266" s="314"/>
      <c r="L266" s="350"/>
      <c r="O266" s="225"/>
      <c r="S266" s="315"/>
      <c r="T266" s="315"/>
    </row>
    <row r="267" spans="9:20" ht="16">
      <c r="I267" s="314"/>
      <c r="L267" s="350"/>
      <c r="O267" s="225"/>
      <c r="S267" s="315"/>
      <c r="T267" s="315"/>
    </row>
    <row r="268" spans="9:20" ht="16">
      <c r="I268" s="314"/>
      <c r="L268" s="350"/>
      <c r="O268" s="225"/>
      <c r="S268" s="315"/>
      <c r="T268" s="315"/>
    </row>
    <row r="269" spans="9:20" ht="16">
      <c r="I269" s="314"/>
      <c r="L269" s="350"/>
      <c r="O269" s="225"/>
      <c r="S269" s="315"/>
      <c r="T269" s="315"/>
    </row>
    <row r="270" spans="9:20" ht="16">
      <c r="I270" s="314"/>
      <c r="L270" s="350"/>
      <c r="O270" s="225"/>
      <c r="S270" s="315"/>
      <c r="T270" s="315"/>
    </row>
    <row r="271" spans="9:20" ht="16">
      <c r="I271" s="314"/>
      <c r="L271" s="350"/>
      <c r="O271" s="225"/>
      <c r="S271" s="315"/>
      <c r="T271" s="315"/>
    </row>
    <row r="272" spans="9:20" ht="16">
      <c r="I272" s="314"/>
      <c r="L272" s="350"/>
      <c r="O272" s="225"/>
      <c r="S272" s="315"/>
      <c r="T272" s="315"/>
    </row>
    <row r="273" spans="9:20" ht="16">
      <c r="I273" s="314"/>
      <c r="L273" s="350"/>
      <c r="O273" s="225"/>
      <c r="S273" s="315"/>
      <c r="T273" s="315"/>
    </row>
    <row r="274" spans="9:20" ht="16">
      <c r="I274" s="314"/>
      <c r="L274" s="350"/>
      <c r="O274" s="225"/>
      <c r="S274" s="315"/>
      <c r="T274" s="315"/>
    </row>
    <row r="275" spans="9:20" ht="16">
      <c r="I275" s="314"/>
      <c r="L275" s="350"/>
      <c r="O275" s="225"/>
      <c r="S275" s="315"/>
      <c r="T275" s="315"/>
    </row>
    <row r="276" spans="9:20" ht="16">
      <c r="I276" s="314"/>
      <c r="L276" s="350"/>
      <c r="O276" s="225"/>
      <c r="S276" s="315"/>
      <c r="T276" s="315"/>
    </row>
    <row r="277" spans="9:20" ht="16">
      <c r="I277" s="314"/>
      <c r="L277" s="350"/>
      <c r="O277" s="225"/>
      <c r="S277" s="315"/>
      <c r="T277" s="315"/>
    </row>
    <row r="278" spans="9:20" ht="16">
      <c r="I278" s="314"/>
      <c r="L278" s="350"/>
      <c r="O278" s="225"/>
      <c r="S278" s="315"/>
      <c r="T278" s="315"/>
    </row>
    <row r="279" spans="9:20" ht="16">
      <c r="I279" s="314"/>
      <c r="L279" s="350"/>
      <c r="O279" s="225"/>
      <c r="S279" s="315"/>
      <c r="T279" s="315"/>
    </row>
    <row r="280" spans="9:20" ht="16">
      <c r="I280" s="314"/>
      <c r="L280" s="350"/>
      <c r="O280" s="225"/>
      <c r="S280" s="315"/>
      <c r="T280" s="315"/>
    </row>
    <row r="281" spans="9:20" ht="16">
      <c r="I281" s="314"/>
      <c r="L281" s="350"/>
      <c r="O281" s="225"/>
      <c r="S281" s="315"/>
      <c r="T281" s="315"/>
    </row>
    <row r="282" spans="9:20" ht="16">
      <c r="I282" s="314"/>
      <c r="L282" s="350"/>
      <c r="O282" s="225"/>
      <c r="S282" s="315"/>
      <c r="T282" s="315"/>
    </row>
    <row r="283" spans="9:20" ht="16">
      <c r="I283" s="314"/>
      <c r="L283" s="350"/>
      <c r="O283" s="225"/>
      <c r="S283" s="315"/>
      <c r="T283" s="315"/>
    </row>
    <row r="284" spans="9:20" ht="16">
      <c r="I284" s="314"/>
      <c r="L284" s="350"/>
      <c r="O284" s="225"/>
      <c r="S284" s="315"/>
      <c r="T284" s="315"/>
    </row>
    <row r="285" spans="9:20" ht="16">
      <c r="I285" s="314"/>
      <c r="L285" s="350"/>
      <c r="O285" s="225"/>
      <c r="S285" s="315"/>
      <c r="T285" s="315"/>
    </row>
    <row r="286" spans="9:20" ht="16">
      <c r="I286" s="314"/>
      <c r="L286" s="350"/>
      <c r="O286" s="225"/>
      <c r="S286" s="315"/>
      <c r="T286" s="315"/>
    </row>
    <row r="287" spans="9:20" ht="16">
      <c r="I287" s="314"/>
      <c r="L287" s="350"/>
      <c r="O287" s="225"/>
      <c r="S287" s="315"/>
      <c r="T287" s="315"/>
    </row>
    <row r="288" spans="9:20" ht="16">
      <c r="I288" s="314"/>
      <c r="L288" s="350"/>
      <c r="O288" s="225"/>
      <c r="S288" s="315"/>
      <c r="T288" s="315"/>
    </row>
    <row r="289" spans="9:20" ht="16">
      <c r="I289" s="314"/>
      <c r="L289" s="350"/>
      <c r="O289" s="225"/>
      <c r="S289" s="315"/>
      <c r="T289" s="315"/>
    </row>
    <row r="290" spans="9:20" ht="16">
      <c r="I290" s="314"/>
      <c r="L290" s="350"/>
      <c r="O290" s="225"/>
      <c r="S290" s="315"/>
      <c r="T290" s="315"/>
    </row>
    <row r="291" spans="9:20" ht="16">
      <c r="I291" s="314"/>
      <c r="L291" s="350"/>
      <c r="O291" s="225"/>
      <c r="S291" s="315"/>
      <c r="T291" s="315"/>
    </row>
    <row r="292" spans="9:20" ht="16">
      <c r="I292" s="314"/>
      <c r="L292" s="350"/>
      <c r="O292" s="225"/>
      <c r="S292" s="315"/>
      <c r="T292" s="315"/>
    </row>
    <row r="293" spans="9:20" ht="16">
      <c r="I293" s="314"/>
      <c r="L293" s="350"/>
      <c r="O293" s="225"/>
      <c r="S293" s="315"/>
      <c r="T293" s="315"/>
    </row>
    <row r="294" spans="9:20" ht="16">
      <c r="I294" s="314"/>
      <c r="L294" s="350"/>
      <c r="O294" s="225"/>
      <c r="S294" s="315"/>
      <c r="T294" s="315"/>
    </row>
    <row r="295" spans="9:20" ht="16">
      <c r="I295" s="314"/>
      <c r="L295" s="350"/>
      <c r="O295" s="225"/>
      <c r="S295" s="315"/>
      <c r="T295" s="315"/>
    </row>
    <row r="296" spans="9:20" ht="16">
      <c r="I296" s="314"/>
      <c r="L296" s="350"/>
      <c r="O296" s="225"/>
      <c r="S296" s="315"/>
      <c r="T296" s="315"/>
    </row>
    <row r="297" spans="9:20" ht="16">
      <c r="I297" s="314"/>
      <c r="L297" s="350"/>
      <c r="O297" s="225"/>
      <c r="S297" s="315"/>
      <c r="T297" s="315"/>
    </row>
    <row r="298" spans="9:20" ht="16">
      <c r="I298" s="314"/>
      <c r="L298" s="350"/>
      <c r="O298" s="225"/>
      <c r="S298" s="315"/>
      <c r="T298" s="315"/>
    </row>
    <row r="299" spans="9:20" ht="16">
      <c r="I299" s="314"/>
      <c r="L299" s="350"/>
      <c r="O299" s="225"/>
      <c r="S299" s="315"/>
      <c r="T299" s="315"/>
    </row>
    <row r="300" spans="9:20" ht="16">
      <c r="I300" s="314"/>
      <c r="L300" s="350"/>
      <c r="O300" s="225"/>
      <c r="S300" s="315"/>
      <c r="T300" s="315"/>
    </row>
    <row r="301" spans="9:20" ht="16">
      <c r="I301" s="314"/>
      <c r="L301" s="350"/>
      <c r="O301" s="225"/>
      <c r="S301" s="315"/>
      <c r="T301" s="315"/>
    </row>
    <row r="302" spans="9:20" ht="16">
      <c r="I302" s="314"/>
      <c r="L302" s="350"/>
      <c r="O302" s="225"/>
      <c r="S302" s="315"/>
      <c r="T302" s="315"/>
    </row>
    <row r="303" spans="9:20" ht="16">
      <c r="I303" s="314"/>
      <c r="L303" s="350"/>
      <c r="O303" s="225"/>
      <c r="S303" s="315"/>
      <c r="T303" s="315"/>
    </row>
    <row r="304" spans="9:20" ht="16">
      <c r="I304" s="314"/>
      <c r="L304" s="350"/>
      <c r="O304" s="225"/>
      <c r="S304" s="315"/>
      <c r="T304" s="315"/>
    </row>
    <row r="305" spans="9:20" ht="16">
      <c r="I305" s="314"/>
      <c r="L305" s="350"/>
      <c r="O305" s="225"/>
      <c r="S305" s="315"/>
      <c r="T305" s="315"/>
    </row>
    <row r="306" spans="9:20" ht="16">
      <c r="I306" s="314"/>
      <c r="L306" s="350"/>
      <c r="O306" s="225"/>
      <c r="S306" s="315"/>
      <c r="T306" s="315"/>
    </row>
    <row r="307" spans="9:20" ht="16">
      <c r="I307" s="314"/>
      <c r="L307" s="350"/>
      <c r="O307" s="225"/>
      <c r="S307" s="315"/>
      <c r="T307" s="315"/>
    </row>
    <row r="308" spans="9:20" ht="16">
      <c r="I308" s="314"/>
      <c r="L308" s="350"/>
      <c r="O308" s="225"/>
      <c r="S308" s="315"/>
      <c r="T308" s="315"/>
    </row>
    <row r="309" spans="9:20" ht="16">
      <c r="I309" s="314"/>
      <c r="L309" s="350"/>
      <c r="O309" s="225"/>
      <c r="S309" s="315"/>
      <c r="T309" s="315"/>
    </row>
    <row r="310" spans="9:20" ht="16">
      <c r="I310" s="314"/>
      <c r="L310" s="350"/>
      <c r="O310" s="225"/>
      <c r="S310" s="315"/>
      <c r="T310" s="315"/>
    </row>
    <row r="311" spans="9:20" ht="16">
      <c r="I311" s="314"/>
      <c r="L311" s="350"/>
      <c r="O311" s="225"/>
      <c r="S311" s="315"/>
      <c r="T311" s="315"/>
    </row>
    <row r="312" spans="9:20" ht="16">
      <c r="I312" s="314"/>
      <c r="L312" s="350"/>
      <c r="O312" s="225"/>
      <c r="S312" s="315"/>
      <c r="T312" s="315"/>
    </row>
    <row r="313" spans="9:20" ht="16">
      <c r="I313" s="314"/>
      <c r="L313" s="350"/>
      <c r="O313" s="225"/>
      <c r="S313" s="315"/>
      <c r="T313" s="315"/>
    </row>
    <row r="314" spans="9:20" ht="16">
      <c r="I314" s="314"/>
      <c r="L314" s="350"/>
      <c r="O314" s="225"/>
      <c r="S314" s="315"/>
      <c r="T314" s="315"/>
    </row>
    <row r="315" spans="9:20" ht="16">
      <c r="I315" s="314"/>
      <c r="L315" s="350"/>
      <c r="O315" s="225"/>
      <c r="S315" s="315"/>
      <c r="T315" s="315"/>
    </row>
    <row r="316" spans="9:20" ht="16">
      <c r="I316" s="314"/>
      <c r="L316" s="350"/>
      <c r="O316" s="225"/>
      <c r="S316" s="315"/>
      <c r="T316" s="315"/>
    </row>
    <row r="317" spans="9:20" ht="16">
      <c r="I317" s="314"/>
      <c r="L317" s="350"/>
      <c r="O317" s="225"/>
      <c r="S317" s="315"/>
      <c r="T317" s="315"/>
    </row>
    <row r="318" spans="9:20" ht="16">
      <c r="I318" s="314"/>
      <c r="L318" s="350"/>
      <c r="O318" s="225"/>
      <c r="S318" s="315"/>
      <c r="T318" s="315"/>
    </row>
    <row r="319" spans="9:20" ht="16">
      <c r="I319" s="314"/>
      <c r="L319" s="350"/>
      <c r="O319" s="225"/>
      <c r="S319" s="315"/>
      <c r="T319" s="315"/>
    </row>
    <row r="320" spans="9:20" ht="16">
      <c r="I320" s="314"/>
      <c r="L320" s="350"/>
      <c r="O320" s="225"/>
      <c r="S320" s="315"/>
      <c r="T320" s="315"/>
    </row>
    <row r="321" spans="9:20" ht="16">
      <c r="I321" s="314"/>
      <c r="L321" s="350"/>
      <c r="O321" s="225"/>
      <c r="S321" s="315"/>
      <c r="T321" s="315"/>
    </row>
    <row r="322" spans="9:20" ht="16">
      <c r="I322" s="314"/>
      <c r="L322" s="350"/>
      <c r="O322" s="225"/>
      <c r="S322" s="315"/>
      <c r="T322" s="315"/>
    </row>
    <row r="323" spans="9:20" ht="16">
      <c r="I323" s="314"/>
      <c r="L323" s="350"/>
      <c r="O323" s="225"/>
      <c r="S323" s="315"/>
      <c r="T323" s="315"/>
    </row>
    <row r="324" spans="9:20" ht="16">
      <c r="I324" s="314"/>
      <c r="L324" s="350"/>
      <c r="O324" s="225"/>
      <c r="S324" s="315"/>
      <c r="T324" s="315"/>
    </row>
    <row r="325" spans="9:20" ht="16">
      <c r="I325" s="314"/>
      <c r="L325" s="350"/>
      <c r="O325" s="225"/>
      <c r="S325" s="315"/>
      <c r="T325" s="315"/>
    </row>
    <row r="326" spans="9:20" ht="16">
      <c r="I326" s="314"/>
      <c r="L326" s="350"/>
      <c r="O326" s="225"/>
      <c r="S326" s="315"/>
      <c r="T326" s="315"/>
    </row>
    <row r="327" spans="9:20" ht="16">
      <c r="I327" s="314"/>
      <c r="L327" s="350"/>
      <c r="O327" s="225"/>
      <c r="S327" s="315"/>
      <c r="T327" s="315"/>
    </row>
    <row r="328" spans="9:20" ht="16">
      <c r="I328" s="314"/>
      <c r="L328" s="350"/>
      <c r="O328" s="225"/>
      <c r="S328" s="315"/>
      <c r="T328" s="315"/>
    </row>
    <row r="329" spans="9:20" ht="16">
      <c r="I329" s="314"/>
      <c r="L329" s="350"/>
      <c r="O329" s="225"/>
      <c r="S329" s="315"/>
      <c r="T329" s="315"/>
    </row>
    <row r="330" spans="9:20" ht="16">
      <c r="I330" s="314"/>
      <c r="L330" s="350"/>
      <c r="O330" s="225"/>
      <c r="S330" s="315"/>
      <c r="T330" s="315"/>
    </row>
    <row r="331" spans="9:20" ht="16">
      <c r="I331" s="314"/>
      <c r="L331" s="350"/>
      <c r="O331" s="225"/>
      <c r="S331" s="315"/>
      <c r="T331" s="315"/>
    </row>
    <row r="332" spans="9:20" ht="16">
      <c r="I332" s="314"/>
      <c r="L332" s="350"/>
      <c r="O332" s="225"/>
      <c r="S332" s="315"/>
      <c r="T332" s="315"/>
    </row>
    <row r="333" spans="9:20" ht="16">
      <c r="I333" s="314"/>
      <c r="L333" s="350"/>
      <c r="O333" s="225"/>
      <c r="S333" s="315"/>
      <c r="T333" s="315"/>
    </row>
    <row r="334" spans="9:20" ht="16">
      <c r="I334" s="314"/>
      <c r="L334" s="350"/>
      <c r="O334" s="225"/>
      <c r="S334" s="315"/>
      <c r="T334" s="315"/>
    </row>
    <row r="335" spans="9:20" ht="16">
      <c r="I335" s="314"/>
      <c r="L335" s="350"/>
      <c r="O335" s="225"/>
      <c r="S335" s="315"/>
      <c r="T335" s="315"/>
    </row>
    <row r="336" spans="9:20" ht="16">
      <c r="I336" s="314"/>
      <c r="L336" s="350"/>
      <c r="O336" s="225"/>
      <c r="S336" s="315"/>
      <c r="T336" s="315"/>
    </row>
    <row r="337" spans="9:20" ht="16">
      <c r="I337" s="314"/>
      <c r="L337" s="350"/>
      <c r="O337" s="225"/>
      <c r="S337" s="315"/>
      <c r="T337" s="315"/>
    </row>
    <row r="338" spans="9:20" ht="16">
      <c r="I338" s="314"/>
      <c r="L338" s="350"/>
      <c r="O338" s="225"/>
      <c r="S338" s="315"/>
      <c r="T338" s="315"/>
    </row>
    <row r="339" spans="9:20" ht="16">
      <c r="I339" s="314"/>
      <c r="L339" s="350"/>
      <c r="O339" s="225"/>
      <c r="S339" s="315"/>
      <c r="T339" s="315"/>
    </row>
    <row r="340" spans="9:20" ht="16">
      <c r="I340" s="314"/>
      <c r="L340" s="350"/>
      <c r="O340" s="225"/>
      <c r="S340" s="315"/>
      <c r="T340" s="315"/>
    </row>
    <row r="341" spans="9:20" ht="16">
      <c r="I341" s="314"/>
      <c r="L341" s="350"/>
      <c r="O341" s="225"/>
      <c r="S341" s="315"/>
      <c r="T341" s="315"/>
    </row>
    <row r="342" spans="9:20" ht="16">
      <c r="I342" s="314"/>
      <c r="L342" s="350"/>
      <c r="O342" s="225"/>
      <c r="S342" s="315"/>
      <c r="T342" s="315"/>
    </row>
    <row r="343" spans="9:20" ht="16">
      <c r="I343" s="314"/>
      <c r="L343" s="350"/>
      <c r="O343" s="225"/>
      <c r="S343" s="315"/>
      <c r="T343" s="315"/>
    </row>
    <row r="344" spans="9:20" ht="16">
      <c r="I344" s="314"/>
      <c r="L344" s="350"/>
      <c r="O344" s="225"/>
      <c r="S344" s="315"/>
      <c r="T344" s="315"/>
    </row>
    <row r="345" spans="9:20" ht="16">
      <c r="I345" s="314"/>
      <c r="L345" s="350"/>
      <c r="O345" s="225"/>
      <c r="S345" s="315"/>
      <c r="T345" s="315"/>
    </row>
    <row r="346" spans="9:20" ht="16">
      <c r="I346" s="314"/>
      <c r="L346" s="350"/>
      <c r="O346" s="225"/>
      <c r="S346" s="315"/>
      <c r="T346" s="315"/>
    </row>
    <row r="347" spans="9:20" ht="16">
      <c r="I347" s="314"/>
      <c r="L347" s="350"/>
      <c r="O347" s="225"/>
      <c r="S347" s="315"/>
      <c r="T347" s="315"/>
    </row>
    <row r="348" spans="9:20" ht="16">
      <c r="I348" s="314"/>
      <c r="L348" s="350"/>
      <c r="O348" s="225"/>
      <c r="S348" s="315"/>
      <c r="T348" s="315"/>
    </row>
    <row r="349" spans="9:20" ht="16">
      <c r="I349" s="314"/>
      <c r="L349" s="350"/>
      <c r="O349" s="225"/>
      <c r="S349" s="315"/>
      <c r="T349" s="315"/>
    </row>
    <row r="350" spans="9:20" ht="16">
      <c r="I350" s="314"/>
      <c r="L350" s="350"/>
      <c r="O350" s="225"/>
      <c r="S350" s="315"/>
      <c r="T350" s="315"/>
    </row>
    <row r="351" spans="9:20" ht="16">
      <c r="I351" s="314"/>
      <c r="L351" s="350"/>
      <c r="O351" s="225"/>
      <c r="S351" s="315"/>
      <c r="T351" s="315"/>
    </row>
    <row r="352" spans="9:20" ht="16">
      <c r="I352" s="314"/>
      <c r="L352" s="350"/>
      <c r="O352" s="225"/>
      <c r="S352" s="315"/>
      <c r="T352" s="315"/>
    </row>
    <row r="353" spans="9:20" ht="16">
      <c r="I353" s="314"/>
      <c r="L353" s="350"/>
      <c r="O353" s="225"/>
      <c r="S353" s="315"/>
      <c r="T353" s="315"/>
    </row>
    <row r="354" spans="9:20" ht="16">
      <c r="I354" s="314"/>
      <c r="L354" s="350"/>
      <c r="O354" s="225"/>
      <c r="S354" s="315"/>
      <c r="T354" s="315"/>
    </row>
    <row r="355" spans="9:20" ht="16">
      <c r="I355" s="314"/>
      <c r="L355" s="350"/>
      <c r="O355" s="225"/>
      <c r="S355" s="315"/>
      <c r="T355" s="315"/>
    </row>
    <row r="356" spans="9:20" ht="16">
      <c r="I356" s="314"/>
      <c r="L356" s="350"/>
      <c r="O356" s="225"/>
      <c r="S356" s="315"/>
      <c r="T356" s="315"/>
    </row>
    <row r="357" spans="9:20" ht="16">
      <c r="I357" s="314"/>
      <c r="L357" s="350"/>
      <c r="O357" s="225"/>
      <c r="S357" s="315"/>
      <c r="T357" s="315"/>
    </row>
    <row r="358" spans="9:20" ht="16">
      <c r="I358" s="314"/>
      <c r="L358" s="350"/>
      <c r="O358" s="225"/>
      <c r="S358" s="315"/>
      <c r="T358" s="315"/>
    </row>
    <row r="359" spans="9:20" ht="16">
      <c r="I359" s="314"/>
      <c r="L359" s="350"/>
      <c r="O359" s="225"/>
      <c r="S359" s="315"/>
      <c r="T359" s="315"/>
    </row>
    <row r="360" spans="9:20" ht="16">
      <c r="I360" s="314"/>
      <c r="L360" s="350"/>
      <c r="O360" s="225"/>
      <c r="S360" s="315"/>
      <c r="T360" s="315"/>
    </row>
    <row r="361" spans="9:20" ht="16">
      <c r="I361" s="314"/>
      <c r="L361" s="350"/>
      <c r="O361" s="225"/>
      <c r="S361" s="315"/>
      <c r="T361" s="315"/>
    </row>
    <row r="362" spans="9:20" ht="16">
      <c r="I362" s="314"/>
      <c r="L362" s="350"/>
      <c r="O362" s="225"/>
      <c r="S362" s="315"/>
      <c r="T362" s="315"/>
    </row>
    <row r="363" spans="9:20" ht="16">
      <c r="I363" s="314"/>
      <c r="L363" s="350"/>
      <c r="O363" s="225"/>
      <c r="S363" s="315"/>
      <c r="T363" s="315"/>
    </row>
    <row r="364" spans="9:20" ht="16">
      <c r="I364" s="314"/>
      <c r="L364" s="350"/>
      <c r="O364" s="225"/>
      <c r="S364" s="315"/>
      <c r="T364" s="315"/>
    </row>
    <row r="365" spans="9:20" ht="16">
      <c r="I365" s="314"/>
      <c r="L365" s="350"/>
      <c r="O365" s="225"/>
      <c r="S365" s="315"/>
      <c r="T365" s="315"/>
    </row>
    <row r="366" spans="9:20" ht="16">
      <c r="I366" s="314"/>
      <c r="L366" s="350"/>
      <c r="O366" s="225"/>
      <c r="S366" s="315"/>
      <c r="T366" s="315"/>
    </row>
    <row r="367" spans="9:20" ht="16">
      <c r="I367" s="314"/>
      <c r="L367" s="350"/>
      <c r="O367" s="225"/>
      <c r="S367" s="315"/>
      <c r="T367" s="315"/>
    </row>
    <row r="368" spans="9:20" ht="16">
      <c r="I368" s="314"/>
      <c r="L368" s="350"/>
      <c r="O368" s="225"/>
      <c r="S368" s="315"/>
      <c r="T368" s="315"/>
    </row>
    <row r="369" spans="9:20" ht="16">
      <c r="I369" s="314"/>
      <c r="L369" s="350"/>
      <c r="O369" s="225"/>
      <c r="S369" s="315"/>
      <c r="T369" s="315"/>
    </row>
    <row r="370" spans="9:20" ht="16">
      <c r="I370" s="314"/>
      <c r="L370" s="350"/>
      <c r="O370" s="225"/>
      <c r="S370" s="315"/>
      <c r="T370" s="315"/>
    </row>
    <row r="371" spans="9:20" ht="16">
      <c r="I371" s="314"/>
      <c r="L371" s="350"/>
      <c r="O371" s="225"/>
      <c r="S371" s="315"/>
      <c r="T371" s="315"/>
    </row>
    <row r="372" spans="9:20" ht="16">
      <c r="I372" s="314"/>
      <c r="L372" s="350"/>
      <c r="O372" s="225"/>
      <c r="S372" s="315"/>
      <c r="T372" s="315"/>
    </row>
    <row r="373" spans="9:20" ht="16">
      <c r="I373" s="314"/>
      <c r="L373" s="350"/>
      <c r="O373" s="225"/>
      <c r="S373" s="315"/>
      <c r="T373" s="315"/>
    </row>
    <row r="374" spans="9:20" ht="16">
      <c r="I374" s="314"/>
      <c r="L374" s="350"/>
      <c r="O374" s="225"/>
      <c r="S374" s="315"/>
      <c r="T374" s="315"/>
    </row>
    <row r="375" spans="9:20" ht="16">
      <c r="I375" s="314"/>
      <c r="L375" s="350"/>
      <c r="O375" s="225"/>
      <c r="S375" s="315"/>
      <c r="T375" s="315"/>
    </row>
    <row r="376" spans="9:20" ht="16">
      <c r="I376" s="314"/>
      <c r="L376" s="350"/>
      <c r="O376" s="225"/>
      <c r="S376" s="315"/>
      <c r="T376" s="315"/>
    </row>
    <row r="377" spans="9:20" ht="16">
      <c r="I377" s="314"/>
      <c r="L377" s="350"/>
      <c r="O377" s="225"/>
      <c r="S377" s="315"/>
      <c r="T377" s="315"/>
    </row>
    <row r="378" spans="9:20" ht="16">
      <c r="I378" s="314"/>
      <c r="L378" s="350"/>
      <c r="O378" s="225"/>
      <c r="S378" s="315"/>
      <c r="T378" s="315"/>
    </row>
    <row r="379" spans="9:20" ht="16">
      <c r="I379" s="314"/>
      <c r="L379" s="350"/>
      <c r="O379" s="225"/>
      <c r="S379" s="315"/>
      <c r="T379" s="315"/>
    </row>
    <row r="380" spans="9:20" ht="16">
      <c r="I380" s="314"/>
      <c r="L380" s="350"/>
      <c r="O380" s="225"/>
      <c r="S380" s="315"/>
      <c r="T380" s="315"/>
    </row>
    <row r="381" spans="9:20" ht="16">
      <c r="I381" s="314"/>
      <c r="L381" s="350"/>
      <c r="O381" s="225"/>
      <c r="S381" s="315"/>
      <c r="T381" s="315"/>
    </row>
    <row r="382" spans="9:20" ht="16">
      <c r="I382" s="314"/>
      <c r="L382" s="350"/>
      <c r="O382" s="225"/>
      <c r="S382" s="315"/>
      <c r="T382" s="315"/>
    </row>
    <row r="383" spans="9:20" ht="16">
      <c r="I383" s="314"/>
      <c r="L383" s="350"/>
      <c r="O383" s="225"/>
      <c r="S383" s="315"/>
      <c r="T383" s="315"/>
    </row>
    <row r="384" spans="9:20" ht="16">
      <c r="I384" s="314"/>
      <c r="L384" s="350"/>
      <c r="O384" s="225"/>
      <c r="S384" s="315"/>
      <c r="T384" s="315"/>
    </row>
    <row r="385" spans="9:20" ht="16">
      <c r="I385" s="314"/>
      <c r="L385" s="350"/>
      <c r="O385" s="225"/>
      <c r="S385" s="315"/>
      <c r="T385" s="315"/>
    </row>
    <row r="386" spans="9:20" ht="16">
      <c r="I386" s="314"/>
      <c r="L386" s="350"/>
      <c r="O386" s="225"/>
      <c r="S386" s="315"/>
      <c r="T386" s="315"/>
    </row>
    <row r="387" spans="9:20" ht="16">
      <c r="I387" s="314"/>
      <c r="L387" s="350"/>
      <c r="O387" s="225"/>
      <c r="S387" s="315"/>
      <c r="T387" s="315"/>
    </row>
    <row r="388" spans="9:20" ht="16">
      <c r="I388" s="314"/>
      <c r="L388" s="350"/>
      <c r="O388" s="225"/>
      <c r="S388" s="315"/>
      <c r="T388" s="315"/>
    </row>
    <row r="389" spans="9:20" ht="16">
      <c r="I389" s="314"/>
      <c r="L389" s="350"/>
      <c r="O389" s="225"/>
      <c r="S389" s="315"/>
      <c r="T389" s="315"/>
    </row>
    <row r="390" spans="9:20" ht="16">
      <c r="I390" s="314"/>
      <c r="L390" s="350"/>
      <c r="O390" s="225"/>
      <c r="S390" s="315"/>
      <c r="T390" s="315"/>
    </row>
    <row r="391" spans="9:20" ht="16">
      <c r="I391" s="314"/>
      <c r="L391" s="350"/>
      <c r="O391" s="225"/>
      <c r="S391" s="315"/>
      <c r="T391" s="315"/>
    </row>
    <row r="392" spans="9:20" ht="16">
      <c r="I392" s="314"/>
      <c r="L392" s="350"/>
      <c r="O392" s="225"/>
      <c r="S392" s="315"/>
      <c r="T392" s="315"/>
    </row>
    <row r="393" spans="9:20" ht="16">
      <c r="I393" s="314"/>
      <c r="L393" s="350"/>
      <c r="O393" s="225"/>
      <c r="S393" s="315"/>
      <c r="T393" s="315"/>
    </row>
    <row r="394" spans="9:20" ht="16">
      <c r="I394" s="314"/>
      <c r="L394" s="350"/>
      <c r="O394" s="225"/>
      <c r="S394" s="315"/>
      <c r="T394" s="315"/>
    </row>
    <row r="395" spans="9:20" ht="16">
      <c r="I395" s="314"/>
      <c r="L395" s="350"/>
      <c r="O395" s="225"/>
      <c r="S395" s="315"/>
      <c r="T395" s="315"/>
    </row>
    <row r="396" spans="9:20" ht="16">
      <c r="I396" s="314"/>
      <c r="L396" s="350"/>
      <c r="O396" s="225"/>
      <c r="S396" s="315"/>
      <c r="T396" s="315"/>
    </row>
    <row r="397" spans="9:20" ht="16">
      <c r="I397" s="314"/>
      <c r="L397" s="350"/>
      <c r="O397" s="225"/>
      <c r="S397" s="315"/>
      <c r="T397" s="315"/>
    </row>
    <row r="398" spans="9:20" ht="16">
      <c r="I398" s="314"/>
      <c r="L398" s="350"/>
      <c r="O398" s="225"/>
      <c r="S398" s="315"/>
      <c r="T398" s="315"/>
    </row>
    <row r="399" spans="9:20" ht="16">
      <c r="I399" s="314"/>
      <c r="L399" s="350"/>
      <c r="O399" s="225"/>
      <c r="S399" s="315"/>
      <c r="T399" s="315"/>
    </row>
    <row r="400" spans="9:20" ht="16">
      <c r="I400" s="314"/>
      <c r="L400" s="350"/>
      <c r="O400" s="225"/>
      <c r="S400" s="315"/>
      <c r="T400" s="315"/>
    </row>
    <row r="401" spans="9:20" ht="16">
      <c r="I401" s="314"/>
      <c r="L401" s="350"/>
      <c r="O401" s="225"/>
      <c r="S401" s="315"/>
      <c r="T401" s="315"/>
    </row>
    <row r="402" spans="9:20" ht="16">
      <c r="I402" s="314"/>
      <c r="L402" s="350"/>
      <c r="O402" s="225"/>
      <c r="S402" s="315"/>
      <c r="T402" s="315"/>
    </row>
    <row r="403" spans="9:20" ht="16">
      <c r="I403" s="314"/>
      <c r="L403" s="350"/>
      <c r="O403" s="225"/>
      <c r="S403" s="315"/>
      <c r="T403" s="315"/>
    </row>
    <row r="404" spans="9:20" ht="16">
      <c r="I404" s="314"/>
      <c r="L404" s="350"/>
      <c r="O404" s="225"/>
      <c r="S404" s="315"/>
      <c r="T404" s="315"/>
    </row>
    <row r="405" spans="9:20" ht="16">
      <c r="I405" s="314"/>
      <c r="L405" s="350"/>
      <c r="O405" s="225"/>
      <c r="S405" s="315"/>
      <c r="T405" s="315"/>
    </row>
    <row r="406" spans="9:20" ht="16">
      <c r="I406" s="314"/>
      <c r="L406" s="350"/>
      <c r="O406" s="225"/>
      <c r="S406" s="315"/>
      <c r="T406" s="315"/>
    </row>
    <row r="407" spans="9:20" ht="16">
      <c r="I407" s="314"/>
      <c r="L407" s="350"/>
      <c r="O407" s="225"/>
      <c r="S407" s="315"/>
      <c r="T407" s="315"/>
    </row>
    <row r="408" spans="9:20" ht="16">
      <c r="I408" s="314"/>
      <c r="L408" s="350"/>
      <c r="O408" s="225"/>
      <c r="S408" s="315"/>
      <c r="T408" s="315"/>
    </row>
    <row r="409" spans="9:20" ht="16">
      <c r="I409" s="314"/>
      <c r="L409" s="350"/>
      <c r="O409" s="225"/>
      <c r="S409" s="315"/>
      <c r="T409" s="315"/>
    </row>
    <row r="410" spans="9:20" ht="16">
      <c r="I410" s="314"/>
      <c r="L410" s="350"/>
      <c r="O410" s="225"/>
      <c r="S410" s="315"/>
      <c r="T410" s="315"/>
    </row>
    <row r="411" spans="9:20" ht="16">
      <c r="I411" s="314"/>
      <c r="L411" s="350"/>
      <c r="O411" s="225"/>
      <c r="S411" s="315"/>
      <c r="T411" s="315"/>
    </row>
    <row r="412" spans="9:20" ht="16">
      <c r="I412" s="314"/>
      <c r="L412" s="350"/>
      <c r="O412" s="225"/>
      <c r="S412" s="315"/>
      <c r="T412" s="315"/>
    </row>
    <row r="413" spans="9:20" ht="16">
      <c r="I413" s="314"/>
      <c r="L413" s="350"/>
      <c r="O413" s="225"/>
      <c r="S413" s="315"/>
      <c r="T413" s="315"/>
    </row>
    <row r="414" spans="9:20" ht="16">
      <c r="I414" s="314"/>
      <c r="L414" s="350"/>
      <c r="O414" s="225"/>
      <c r="S414" s="315"/>
      <c r="T414" s="315"/>
    </row>
    <row r="415" spans="9:20" ht="16">
      <c r="I415" s="314"/>
      <c r="L415" s="350"/>
      <c r="O415" s="225"/>
      <c r="S415" s="315"/>
      <c r="T415" s="315"/>
    </row>
    <row r="416" spans="9:20" ht="16">
      <c r="I416" s="314"/>
      <c r="L416" s="350"/>
      <c r="O416" s="225"/>
      <c r="S416" s="315"/>
      <c r="T416" s="315"/>
    </row>
    <row r="417" spans="9:20" ht="16">
      <c r="I417" s="314"/>
      <c r="L417" s="350"/>
      <c r="O417" s="225"/>
      <c r="S417" s="315"/>
      <c r="T417" s="315"/>
    </row>
    <row r="418" spans="9:20" ht="16">
      <c r="I418" s="314"/>
      <c r="L418" s="350"/>
      <c r="O418" s="225"/>
      <c r="S418" s="315"/>
      <c r="T418" s="315"/>
    </row>
    <row r="419" spans="9:20" ht="16">
      <c r="I419" s="314"/>
      <c r="L419" s="350"/>
      <c r="O419" s="225"/>
      <c r="S419" s="315"/>
      <c r="T419" s="315"/>
    </row>
    <row r="420" spans="9:20" ht="16">
      <c r="I420" s="314"/>
      <c r="L420" s="350"/>
      <c r="O420" s="225"/>
      <c r="S420" s="315"/>
      <c r="T420" s="315"/>
    </row>
    <row r="421" spans="9:20" ht="16">
      <c r="I421" s="314"/>
      <c r="L421" s="350"/>
      <c r="O421" s="225"/>
      <c r="S421" s="315"/>
      <c r="T421" s="315"/>
    </row>
    <row r="422" spans="9:20" ht="16">
      <c r="I422" s="314"/>
      <c r="L422" s="350"/>
      <c r="O422" s="225"/>
      <c r="S422" s="315"/>
      <c r="T422" s="315"/>
    </row>
    <row r="423" spans="9:20" ht="16">
      <c r="I423" s="314"/>
      <c r="L423" s="350"/>
      <c r="O423" s="225"/>
      <c r="S423" s="315"/>
      <c r="T423" s="315"/>
    </row>
    <row r="424" spans="9:20" ht="16">
      <c r="I424" s="314"/>
      <c r="L424" s="350"/>
      <c r="O424" s="225"/>
      <c r="S424" s="315"/>
      <c r="T424" s="315"/>
    </row>
    <row r="425" spans="9:20" ht="16">
      <c r="I425" s="314"/>
      <c r="L425" s="350"/>
      <c r="O425" s="225"/>
      <c r="S425" s="315"/>
      <c r="T425" s="315"/>
    </row>
    <row r="426" spans="9:20" ht="16">
      <c r="I426" s="314"/>
      <c r="L426" s="350"/>
      <c r="O426" s="225"/>
      <c r="S426" s="315"/>
      <c r="T426" s="315"/>
    </row>
    <row r="427" spans="9:20" ht="16">
      <c r="I427" s="314"/>
      <c r="L427" s="350"/>
      <c r="O427" s="225"/>
      <c r="S427" s="315"/>
      <c r="T427" s="315"/>
    </row>
    <row r="428" spans="9:20" ht="16">
      <c r="I428" s="314"/>
      <c r="L428" s="350"/>
      <c r="O428" s="225"/>
      <c r="S428" s="315"/>
      <c r="T428" s="315"/>
    </row>
    <row r="429" spans="9:20" ht="16">
      <c r="I429" s="314"/>
      <c r="L429" s="350"/>
      <c r="O429" s="225"/>
      <c r="S429" s="315"/>
      <c r="T429" s="315"/>
    </row>
    <row r="430" spans="9:20" ht="16">
      <c r="I430" s="314"/>
      <c r="L430" s="350"/>
      <c r="O430" s="225"/>
      <c r="S430" s="315"/>
      <c r="T430" s="315"/>
    </row>
    <row r="431" spans="9:20" ht="16">
      <c r="I431" s="314"/>
      <c r="L431" s="350"/>
      <c r="O431" s="225"/>
      <c r="S431" s="315"/>
      <c r="T431" s="315"/>
    </row>
    <row r="432" spans="9:20" ht="16">
      <c r="I432" s="314"/>
      <c r="L432" s="350"/>
      <c r="O432" s="225"/>
      <c r="S432" s="315"/>
      <c r="T432" s="315"/>
    </row>
    <row r="433" spans="9:20" ht="16">
      <c r="I433" s="314"/>
      <c r="L433" s="350"/>
      <c r="O433" s="225"/>
      <c r="S433" s="315"/>
      <c r="T433" s="315"/>
    </row>
    <row r="434" spans="9:20" ht="16">
      <c r="I434" s="314"/>
      <c r="L434" s="350"/>
      <c r="O434" s="225"/>
      <c r="S434" s="315"/>
      <c r="T434" s="315"/>
    </row>
    <row r="435" spans="9:20" ht="16">
      <c r="I435" s="314"/>
      <c r="L435" s="350"/>
      <c r="O435" s="225"/>
      <c r="S435" s="315"/>
      <c r="T435" s="315"/>
    </row>
    <row r="436" spans="9:20" ht="16">
      <c r="I436" s="314"/>
      <c r="L436" s="350"/>
      <c r="O436" s="225"/>
      <c r="S436" s="315"/>
      <c r="T436" s="315"/>
    </row>
    <row r="437" spans="9:20" ht="16">
      <c r="I437" s="314"/>
      <c r="L437" s="350"/>
      <c r="O437" s="225"/>
      <c r="S437" s="315"/>
      <c r="T437" s="315"/>
    </row>
    <row r="438" spans="9:20" ht="16">
      <c r="I438" s="314"/>
      <c r="L438" s="350"/>
      <c r="O438" s="225"/>
      <c r="S438" s="315"/>
      <c r="T438" s="315"/>
    </row>
    <row r="439" spans="9:20" ht="16">
      <c r="I439" s="314"/>
      <c r="L439" s="350"/>
      <c r="O439" s="225"/>
      <c r="S439" s="315"/>
      <c r="T439" s="315"/>
    </row>
    <row r="440" spans="9:20" ht="16">
      <c r="I440" s="314"/>
      <c r="L440" s="350"/>
      <c r="O440" s="225"/>
      <c r="S440" s="315"/>
      <c r="T440" s="315"/>
    </row>
    <row r="441" spans="9:20" ht="16">
      <c r="I441" s="314"/>
      <c r="L441" s="350"/>
      <c r="O441" s="225"/>
      <c r="S441" s="315"/>
      <c r="T441" s="315"/>
    </row>
    <row r="442" spans="9:20" ht="16">
      <c r="I442" s="314"/>
      <c r="L442" s="350"/>
      <c r="O442" s="225"/>
      <c r="S442" s="315"/>
      <c r="T442" s="315"/>
    </row>
    <row r="443" spans="9:20" ht="16">
      <c r="I443" s="314"/>
      <c r="L443" s="350"/>
      <c r="O443" s="225"/>
      <c r="S443" s="315"/>
      <c r="T443" s="315"/>
    </row>
    <row r="444" spans="9:20" ht="16">
      <c r="I444" s="314"/>
      <c r="L444" s="350"/>
      <c r="O444" s="225"/>
      <c r="S444" s="315"/>
      <c r="T444" s="315"/>
    </row>
    <row r="445" spans="9:20" ht="16">
      <c r="I445" s="314"/>
      <c r="L445" s="350"/>
      <c r="O445" s="225"/>
      <c r="S445" s="315"/>
      <c r="T445" s="315"/>
    </row>
    <row r="446" spans="9:20" ht="16">
      <c r="I446" s="314"/>
      <c r="L446" s="350"/>
      <c r="O446" s="225"/>
      <c r="S446" s="315"/>
      <c r="T446" s="315"/>
    </row>
    <row r="447" spans="9:20" ht="16">
      <c r="I447" s="314"/>
      <c r="L447" s="350"/>
      <c r="O447" s="225"/>
      <c r="S447" s="315"/>
      <c r="T447" s="315"/>
    </row>
    <row r="448" spans="9:20" ht="16">
      <c r="I448" s="314"/>
      <c r="L448" s="350"/>
      <c r="O448" s="225"/>
      <c r="S448" s="315"/>
      <c r="T448" s="315"/>
    </row>
    <row r="449" spans="9:20" ht="16">
      <c r="I449" s="314"/>
      <c r="L449" s="350"/>
      <c r="O449" s="225"/>
      <c r="S449" s="315"/>
      <c r="T449" s="315"/>
    </row>
    <row r="450" spans="9:20" ht="16">
      <c r="I450" s="314"/>
      <c r="L450" s="350"/>
      <c r="O450" s="225"/>
      <c r="S450" s="315"/>
      <c r="T450" s="315"/>
    </row>
    <row r="451" spans="9:20" ht="16">
      <c r="I451" s="314"/>
      <c r="L451" s="350"/>
      <c r="O451" s="225"/>
      <c r="S451" s="315"/>
      <c r="T451" s="315"/>
    </row>
    <row r="452" spans="9:20" ht="16">
      <c r="I452" s="314"/>
      <c r="L452" s="350"/>
      <c r="O452" s="225"/>
      <c r="S452" s="315"/>
      <c r="T452" s="315"/>
    </row>
    <row r="453" spans="9:20" ht="16">
      <c r="I453" s="314"/>
      <c r="L453" s="350"/>
      <c r="O453" s="225"/>
      <c r="S453" s="315"/>
      <c r="T453" s="315"/>
    </row>
    <row r="454" spans="9:20" ht="16">
      <c r="I454" s="314"/>
      <c r="L454" s="350"/>
      <c r="O454" s="225"/>
      <c r="S454" s="315"/>
      <c r="T454" s="315"/>
    </row>
    <row r="455" spans="9:20" ht="16">
      <c r="I455" s="314"/>
      <c r="L455" s="350"/>
      <c r="O455" s="225"/>
      <c r="S455" s="315"/>
      <c r="T455" s="315"/>
    </row>
    <row r="456" spans="9:20" ht="16">
      <c r="I456" s="314"/>
      <c r="L456" s="350"/>
      <c r="O456" s="225"/>
      <c r="S456" s="315"/>
      <c r="T456" s="315"/>
    </row>
    <row r="457" spans="9:20" ht="16">
      <c r="I457" s="314"/>
      <c r="L457" s="350"/>
      <c r="O457" s="225"/>
      <c r="S457" s="315"/>
      <c r="T457" s="315"/>
    </row>
    <row r="458" spans="9:20" ht="16">
      <c r="I458" s="314"/>
      <c r="L458" s="350"/>
      <c r="O458" s="225"/>
      <c r="S458" s="315"/>
      <c r="T458" s="315"/>
    </row>
    <row r="459" spans="9:20" ht="16">
      <c r="I459" s="314"/>
      <c r="L459" s="350"/>
      <c r="O459" s="225"/>
      <c r="S459" s="315"/>
      <c r="T459" s="315"/>
    </row>
    <row r="460" spans="9:20" ht="16">
      <c r="I460" s="314"/>
      <c r="L460" s="350"/>
      <c r="O460" s="225"/>
      <c r="S460" s="315"/>
      <c r="T460" s="315"/>
    </row>
    <row r="461" spans="9:20" ht="16">
      <c r="I461" s="314"/>
      <c r="L461" s="350"/>
      <c r="O461" s="225"/>
      <c r="S461" s="315"/>
      <c r="T461" s="315"/>
    </row>
    <row r="462" spans="9:20" ht="16">
      <c r="I462" s="314"/>
      <c r="L462" s="350"/>
      <c r="O462" s="225"/>
      <c r="S462" s="315"/>
      <c r="T462" s="315"/>
    </row>
    <row r="463" spans="9:20" ht="16">
      <c r="I463" s="314"/>
      <c r="L463" s="350"/>
      <c r="O463" s="225"/>
      <c r="S463" s="315"/>
      <c r="T463" s="315"/>
    </row>
    <row r="464" spans="9:20" ht="16">
      <c r="I464" s="314"/>
      <c r="L464" s="350"/>
      <c r="O464" s="225"/>
      <c r="S464" s="315"/>
      <c r="T464" s="315"/>
    </row>
    <row r="465" spans="9:20" ht="16">
      <c r="I465" s="314"/>
      <c r="L465" s="350"/>
      <c r="O465" s="225"/>
      <c r="S465" s="315"/>
      <c r="T465" s="315"/>
    </row>
    <row r="466" spans="9:20" ht="16">
      <c r="I466" s="314"/>
      <c r="L466" s="350"/>
      <c r="O466" s="225"/>
      <c r="S466" s="315"/>
      <c r="T466" s="315"/>
    </row>
    <row r="467" spans="9:20" ht="16">
      <c r="I467" s="314"/>
      <c r="L467" s="350"/>
      <c r="O467" s="225"/>
      <c r="S467" s="315"/>
      <c r="T467" s="315"/>
    </row>
    <row r="468" spans="9:20" ht="16">
      <c r="I468" s="314"/>
      <c r="L468" s="350"/>
      <c r="O468" s="225"/>
      <c r="S468" s="315"/>
      <c r="T468" s="315"/>
    </row>
    <row r="469" spans="9:20" ht="16">
      <c r="I469" s="314"/>
      <c r="L469" s="350"/>
      <c r="O469" s="225"/>
      <c r="S469" s="315"/>
      <c r="T469" s="315"/>
    </row>
    <row r="470" spans="9:20" ht="16">
      <c r="I470" s="314"/>
      <c r="L470" s="350"/>
      <c r="O470" s="225"/>
      <c r="S470" s="315"/>
      <c r="T470" s="315"/>
    </row>
    <row r="471" spans="9:20" ht="16">
      <c r="I471" s="314"/>
      <c r="L471" s="350"/>
      <c r="O471" s="225"/>
      <c r="S471" s="315"/>
      <c r="T471" s="315"/>
    </row>
    <row r="472" spans="9:20" ht="16">
      <c r="I472" s="314"/>
      <c r="L472" s="350"/>
      <c r="O472" s="225"/>
      <c r="S472" s="315"/>
      <c r="T472" s="315"/>
    </row>
    <row r="473" spans="9:20" ht="16">
      <c r="I473" s="314"/>
      <c r="L473" s="350"/>
      <c r="O473" s="225"/>
      <c r="S473" s="315"/>
      <c r="T473" s="315"/>
    </row>
    <row r="474" spans="9:20" ht="16">
      <c r="I474" s="314"/>
      <c r="L474" s="350"/>
      <c r="O474" s="225"/>
      <c r="S474" s="315"/>
      <c r="T474" s="315"/>
    </row>
    <row r="475" spans="9:20" ht="16">
      <c r="I475" s="314"/>
      <c r="L475" s="350"/>
      <c r="O475" s="225"/>
      <c r="S475" s="315"/>
      <c r="T475" s="315"/>
    </row>
    <row r="476" spans="9:20" ht="16">
      <c r="I476" s="314"/>
      <c r="L476" s="350"/>
      <c r="O476" s="225"/>
      <c r="S476" s="315"/>
      <c r="T476" s="315"/>
    </row>
    <row r="477" spans="9:20" ht="16">
      <c r="I477" s="314"/>
      <c r="L477" s="350"/>
      <c r="O477" s="225"/>
      <c r="S477" s="315"/>
      <c r="T477" s="315"/>
    </row>
    <row r="478" spans="9:20" ht="16">
      <c r="I478" s="314"/>
      <c r="L478" s="350"/>
      <c r="O478" s="225"/>
      <c r="S478" s="315"/>
      <c r="T478" s="315"/>
    </row>
    <row r="479" spans="9:20" ht="16">
      <c r="I479" s="314"/>
      <c r="L479" s="350"/>
      <c r="O479" s="225"/>
      <c r="S479" s="315"/>
      <c r="T479" s="315"/>
    </row>
    <row r="480" spans="9:20" ht="16">
      <c r="I480" s="314"/>
      <c r="L480" s="350"/>
      <c r="O480" s="225"/>
      <c r="S480" s="315"/>
      <c r="T480" s="315"/>
    </row>
    <row r="481" spans="9:20" ht="16">
      <c r="I481" s="314"/>
      <c r="L481" s="350"/>
      <c r="O481" s="225"/>
      <c r="S481" s="315"/>
      <c r="T481" s="315"/>
    </row>
    <row r="482" spans="9:20" ht="16">
      <c r="I482" s="314"/>
      <c r="L482" s="350"/>
      <c r="O482" s="225"/>
      <c r="S482" s="315"/>
      <c r="T482" s="315"/>
    </row>
    <row r="483" spans="9:20" ht="16">
      <c r="I483" s="314"/>
      <c r="L483" s="350"/>
      <c r="O483" s="225"/>
      <c r="S483" s="315"/>
      <c r="T483" s="315"/>
    </row>
    <row r="484" spans="9:20" ht="16">
      <c r="I484" s="314"/>
      <c r="L484" s="350"/>
      <c r="O484" s="225"/>
      <c r="S484" s="315"/>
      <c r="T484" s="315"/>
    </row>
    <row r="485" spans="9:20" ht="16">
      <c r="I485" s="314"/>
      <c r="L485" s="350"/>
      <c r="O485" s="225"/>
      <c r="S485" s="315"/>
      <c r="T485" s="315"/>
    </row>
    <row r="486" spans="9:20" ht="16">
      <c r="I486" s="314"/>
      <c r="L486" s="350"/>
      <c r="O486" s="225"/>
      <c r="S486" s="315"/>
      <c r="T486" s="315"/>
    </row>
    <row r="487" spans="9:20" ht="16">
      <c r="I487" s="314"/>
      <c r="L487" s="350"/>
      <c r="O487" s="225"/>
      <c r="S487" s="315"/>
      <c r="T487" s="315"/>
    </row>
    <row r="488" spans="9:20" ht="16">
      <c r="I488" s="314"/>
      <c r="L488" s="350"/>
      <c r="O488" s="225"/>
      <c r="S488" s="315"/>
      <c r="T488" s="315"/>
    </row>
    <row r="489" spans="9:20" ht="16">
      <c r="I489" s="314"/>
      <c r="L489" s="350"/>
      <c r="O489" s="225"/>
      <c r="S489" s="315"/>
      <c r="T489" s="315"/>
    </row>
    <row r="490" spans="9:20" ht="16">
      <c r="I490" s="314"/>
      <c r="L490" s="350"/>
      <c r="O490" s="225"/>
      <c r="S490" s="315"/>
      <c r="T490" s="315"/>
    </row>
    <row r="491" spans="9:20" ht="16">
      <c r="I491" s="314"/>
      <c r="L491" s="350"/>
      <c r="O491" s="225"/>
      <c r="S491" s="315"/>
      <c r="T491" s="315"/>
    </row>
    <row r="492" spans="9:20" ht="16">
      <c r="I492" s="314"/>
      <c r="L492" s="350"/>
      <c r="O492" s="225"/>
      <c r="S492" s="315"/>
      <c r="T492" s="315"/>
    </row>
    <row r="493" spans="9:20" ht="16">
      <c r="I493" s="314"/>
      <c r="L493" s="350"/>
      <c r="O493" s="225"/>
      <c r="S493" s="315"/>
      <c r="T493" s="315"/>
    </row>
    <row r="494" spans="9:20" ht="16">
      <c r="I494" s="314"/>
      <c r="L494" s="350"/>
      <c r="O494" s="225"/>
      <c r="S494" s="315"/>
      <c r="T494" s="315"/>
    </row>
    <row r="495" spans="9:20" ht="16">
      <c r="I495" s="314"/>
      <c r="L495" s="350"/>
      <c r="O495" s="225"/>
      <c r="S495" s="315"/>
      <c r="T495" s="315"/>
    </row>
    <row r="496" spans="9:20" ht="16">
      <c r="I496" s="314"/>
      <c r="L496" s="350"/>
      <c r="O496" s="225"/>
      <c r="S496" s="315"/>
      <c r="T496" s="315"/>
    </row>
    <row r="497" spans="9:20" ht="16">
      <c r="I497" s="314"/>
      <c r="L497" s="350"/>
      <c r="O497" s="225"/>
      <c r="S497" s="315"/>
      <c r="T497" s="315"/>
    </row>
    <row r="498" spans="9:20" ht="16">
      <c r="I498" s="314"/>
      <c r="L498" s="350"/>
      <c r="O498" s="225"/>
      <c r="S498" s="315"/>
      <c r="T498" s="315"/>
    </row>
    <row r="499" spans="9:20" ht="16">
      <c r="I499" s="314"/>
      <c r="L499" s="350"/>
      <c r="O499" s="225"/>
      <c r="S499" s="315"/>
      <c r="T499" s="315"/>
    </row>
    <row r="500" spans="9:20" ht="16">
      <c r="I500" s="314"/>
      <c r="L500" s="350"/>
      <c r="O500" s="225"/>
      <c r="S500" s="315"/>
      <c r="T500" s="315"/>
    </row>
    <row r="501" spans="9:20" ht="16">
      <c r="I501" s="314"/>
      <c r="L501" s="350"/>
      <c r="O501" s="225"/>
      <c r="S501" s="315"/>
      <c r="T501" s="315"/>
    </row>
    <row r="502" spans="9:20" ht="16">
      <c r="I502" s="314"/>
      <c r="L502" s="350"/>
      <c r="O502" s="225"/>
      <c r="S502" s="315"/>
      <c r="T502" s="315"/>
    </row>
    <row r="503" spans="9:20" ht="16">
      <c r="I503" s="314"/>
      <c r="L503" s="350"/>
      <c r="O503" s="225"/>
      <c r="S503" s="315"/>
      <c r="T503" s="315"/>
    </row>
    <row r="504" spans="9:20" ht="16">
      <c r="I504" s="314"/>
      <c r="L504" s="350"/>
      <c r="O504" s="225"/>
      <c r="S504" s="315"/>
      <c r="T504" s="315"/>
    </row>
    <row r="505" spans="9:20" ht="16">
      <c r="I505" s="314"/>
      <c r="L505" s="350"/>
      <c r="O505" s="225"/>
      <c r="S505" s="315"/>
      <c r="T505" s="315"/>
    </row>
    <row r="506" spans="9:20" ht="16">
      <c r="I506" s="314"/>
      <c r="L506" s="350"/>
      <c r="O506" s="225"/>
      <c r="S506" s="315"/>
      <c r="T506" s="315"/>
    </row>
    <row r="507" spans="9:20" ht="16">
      <c r="I507" s="314"/>
      <c r="L507" s="350"/>
      <c r="O507" s="225"/>
      <c r="S507" s="315"/>
      <c r="T507" s="315"/>
    </row>
    <row r="508" spans="9:20" ht="16">
      <c r="I508" s="314"/>
      <c r="L508" s="350"/>
      <c r="O508" s="225"/>
      <c r="S508" s="315"/>
      <c r="T508" s="315"/>
    </row>
    <row r="509" spans="9:20" ht="16">
      <c r="I509" s="314"/>
      <c r="L509" s="350"/>
      <c r="O509" s="225"/>
      <c r="S509" s="315"/>
      <c r="T509" s="315"/>
    </row>
    <row r="510" spans="9:20" ht="16">
      <c r="I510" s="314"/>
      <c r="L510" s="350"/>
      <c r="O510" s="225"/>
      <c r="S510" s="315"/>
      <c r="T510" s="315"/>
    </row>
    <row r="511" spans="9:20" ht="16">
      <c r="I511" s="314"/>
      <c r="L511" s="350"/>
      <c r="O511" s="225"/>
      <c r="S511" s="315"/>
      <c r="T511" s="315"/>
    </row>
    <row r="512" spans="9:20" ht="16">
      <c r="I512" s="314"/>
      <c r="L512" s="350"/>
      <c r="O512" s="225"/>
      <c r="S512" s="315"/>
      <c r="T512" s="315"/>
    </row>
    <row r="513" spans="9:20" ht="16">
      <c r="I513" s="314"/>
      <c r="L513" s="350"/>
      <c r="O513" s="225"/>
      <c r="S513" s="315"/>
      <c r="T513" s="315"/>
    </row>
    <row r="514" spans="9:20" ht="16">
      <c r="I514" s="314"/>
      <c r="L514" s="350"/>
      <c r="O514" s="225"/>
      <c r="S514" s="315"/>
      <c r="T514" s="315"/>
    </row>
    <row r="515" spans="9:20" ht="16">
      <c r="I515" s="314"/>
      <c r="L515" s="350"/>
      <c r="O515" s="225"/>
      <c r="S515" s="315"/>
      <c r="T515" s="315"/>
    </row>
    <row r="516" spans="9:20" ht="16">
      <c r="I516" s="314"/>
      <c r="L516" s="350"/>
      <c r="O516" s="225"/>
      <c r="S516" s="315"/>
      <c r="T516" s="315"/>
    </row>
    <row r="517" spans="9:20" ht="16">
      <c r="I517" s="314"/>
      <c r="L517" s="350"/>
      <c r="O517" s="225"/>
      <c r="S517" s="315"/>
      <c r="T517" s="315"/>
    </row>
    <row r="518" spans="9:20" ht="16">
      <c r="I518" s="314"/>
      <c r="L518" s="350"/>
      <c r="O518" s="225"/>
      <c r="S518" s="315"/>
      <c r="T518" s="315"/>
    </row>
    <row r="519" spans="9:20" ht="16">
      <c r="I519" s="314"/>
      <c r="L519" s="350"/>
      <c r="O519" s="225"/>
      <c r="S519" s="315"/>
      <c r="T519" s="315"/>
    </row>
    <row r="520" spans="9:20" ht="16">
      <c r="I520" s="314"/>
      <c r="L520" s="350"/>
      <c r="O520" s="225"/>
      <c r="S520" s="315"/>
      <c r="T520" s="315"/>
    </row>
    <row r="521" spans="9:20" ht="16">
      <c r="I521" s="314"/>
      <c r="L521" s="350"/>
      <c r="O521" s="225"/>
      <c r="S521" s="315"/>
      <c r="T521" s="315"/>
    </row>
    <row r="522" spans="9:20" ht="16">
      <c r="I522" s="314"/>
      <c r="L522" s="350"/>
      <c r="O522" s="225"/>
      <c r="S522" s="315"/>
      <c r="T522" s="315"/>
    </row>
    <row r="523" spans="9:20" ht="16">
      <c r="I523" s="314"/>
      <c r="L523" s="350"/>
      <c r="O523" s="225"/>
      <c r="S523" s="315"/>
      <c r="T523" s="315"/>
    </row>
    <row r="524" spans="9:20" ht="16">
      <c r="I524" s="314"/>
      <c r="L524" s="350"/>
      <c r="O524" s="225"/>
      <c r="S524" s="315"/>
      <c r="T524" s="315"/>
    </row>
    <row r="525" spans="9:20" ht="16">
      <c r="I525" s="314"/>
      <c r="L525" s="350"/>
      <c r="O525" s="225"/>
      <c r="S525" s="315"/>
      <c r="T525" s="315"/>
    </row>
    <row r="526" spans="9:20" ht="16">
      <c r="I526" s="314"/>
      <c r="L526" s="350"/>
      <c r="O526" s="225"/>
      <c r="S526" s="315"/>
      <c r="T526" s="315"/>
    </row>
    <row r="527" spans="9:20" ht="16">
      <c r="I527" s="314"/>
      <c r="L527" s="350"/>
      <c r="O527" s="225"/>
      <c r="S527" s="315"/>
      <c r="T527" s="315"/>
    </row>
    <row r="528" spans="9:20" ht="16">
      <c r="I528" s="314"/>
      <c r="L528" s="350"/>
      <c r="O528" s="225"/>
      <c r="S528" s="315"/>
      <c r="T528" s="315"/>
    </row>
    <row r="529" spans="9:20" ht="16">
      <c r="I529" s="314"/>
      <c r="L529" s="350"/>
      <c r="O529" s="225"/>
      <c r="S529" s="315"/>
      <c r="T529" s="315"/>
    </row>
    <row r="530" spans="9:20" ht="16">
      <c r="I530" s="314"/>
      <c r="L530" s="350"/>
      <c r="O530" s="225"/>
      <c r="S530" s="315"/>
      <c r="T530" s="315"/>
    </row>
    <row r="531" spans="9:20" ht="16">
      <c r="I531" s="314"/>
      <c r="L531" s="350"/>
      <c r="O531" s="225"/>
      <c r="S531" s="315"/>
      <c r="T531" s="315"/>
    </row>
    <row r="532" spans="9:20" ht="16">
      <c r="I532" s="314"/>
      <c r="L532" s="350"/>
      <c r="O532" s="225"/>
      <c r="S532" s="315"/>
      <c r="T532" s="315"/>
    </row>
    <row r="533" spans="9:20" ht="16">
      <c r="I533" s="314"/>
      <c r="L533" s="350"/>
      <c r="O533" s="225"/>
      <c r="S533" s="315"/>
      <c r="T533" s="315"/>
    </row>
    <row r="534" spans="9:20" ht="16">
      <c r="I534" s="314"/>
      <c r="L534" s="350"/>
      <c r="O534" s="225"/>
      <c r="S534" s="315"/>
      <c r="T534" s="315"/>
    </row>
    <row r="535" spans="9:20" ht="16">
      <c r="I535" s="314"/>
      <c r="L535" s="350"/>
      <c r="O535" s="225"/>
      <c r="S535" s="315"/>
      <c r="T535" s="315"/>
    </row>
    <row r="536" spans="9:20" ht="16">
      <c r="I536" s="314"/>
      <c r="L536" s="350"/>
      <c r="O536" s="225"/>
      <c r="S536" s="315"/>
      <c r="T536" s="315"/>
    </row>
    <row r="537" spans="9:20" ht="16">
      <c r="I537" s="314"/>
      <c r="L537" s="350"/>
      <c r="O537" s="225"/>
      <c r="S537" s="315"/>
      <c r="T537" s="315"/>
    </row>
    <row r="538" spans="9:20" ht="16">
      <c r="I538" s="314"/>
      <c r="L538" s="350"/>
      <c r="O538" s="225"/>
      <c r="S538" s="315"/>
      <c r="T538" s="315"/>
    </row>
    <row r="539" spans="9:20" ht="16">
      <c r="I539" s="314"/>
      <c r="L539" s="350"/>
      <c r="O539" s="225"/>
      <c r="S539" s="315"/>
      <c r="T539" s="315"/>
    </row>
    <row r="540" spans="9:20" ht="16">
      <c r="I540" s="314"/>
      <c r="L540" s="350"/>
      <c r="O540" s="225"/>
      <c r="S540" s="315"/>
      <c r="T540" s="315"/>
    </row>
    <row r="541" spans="9:20" ht="16">
      <c r="I541" s="314"/>
      <c r="L541" s="350"/>
      <c r="O541" s="225"/>
      <c r="S541" s="315"/>
      <c r="T541" s="315"/>
    </row>
    <row r="542" spans="9:20" ht="16">
      <c r="I542" s="314"/>
      <c r="L542" s="350"/>
      <c r="O542" s="225"/>
      <c r="S542" s="315"/>
      <c r="T542" s="315"/>
    </row>
    <row r="543" spans="9:20" ht="16">
      <c r="I543" s="314"/>
      <c r="L543" s="350"/>
      <c r="O543" s="225"/>
      <c r="S543" s="315"/>
      <c r="T543" s="315"/>
    </row>
    <row r="544" spans="9:20" ht="16">
      <c r="I544" s="314"/>
      <c r="L544" s="350"/>
      <c r="O544" s="225"/>
      <c r="S544" s="315"/>
      <c r="T544" s="315"/>
    </row>
    <row r="545" spans="9:20" ht="16">
      <c r="I545" s="314"/>
      <c r="L545" s="350"/>
      <c r="O545" s="225"/>
      <c r="S545" s="315"/>
      <c r="T545" s="315"/>
    </row>
    <row r="546" spans="9:20" ht="16">
      <c r="I546" s="314"/>
      <c r="L546" s="350"/>
      <c r="O546" s="225"/>
      <c r="S546" s="315"/>
      <c r="T546" s="315"/>
    </row>
    <row r="547" spans="9:20" ht="16">
      <c r="I547" s="314"/>
      <c r="L547" s="350"/>
      <c r="O547" s="225"/>
      <c r="S547" s="315"/>
      <c r="T547" s="315"/>
    </row>
    <row r="548" spans="9:20" ht="16">
      <c r="I548" s="314"/>
      <c r="L548" s="350"/>
      <c r="O548" s="225"/>
      <c r="S548" s="315"/>
      <c r="T548" s="315"/>
    </row>
    <row r="549" spans="9:20" ht="16">
      <c r="I549" s="314"/>
      <c r="L549" s="350"/>
      <c r="O549" s="225"/>
      <c r="S549" s="315"/>
      <c r="T549" s="315"/>
    </row>
    <row r="550" spans="9:20" ht="16">
      <c r="I550" s="314"/>
      <c r="L550" s="350"/>
      <c r="O550" s="225"/>
      <c r="S550" s="315"/>
      <c r="T550" s="315"/>
    </row>
    <row r="551" spans="9:20" ht="16">
      <c r="I551" s="314"/>
      <c r="L551" s="350"/>
      <c r="O551" s="225"/>
      <c r="S551" s="315"/>
      <c r="T551" s="315"/>
    </row>
    <row r="552" spans="9:20" ht="16">
      <c r="I552" s="314"/>
      <c r="L552" s="350"/>
      <c r="O552" s="225"/>
      <c r="S552" s="315"/>
      <c r="T552" s="315"/>
    </row>
    <row r="553" spans="9:20" ht="16">
      <c r="I553" s="314"/>
      <c r="L553" s="350"/>
      <c r="O553" s="225"/>
      <c r="S553" s="315"/>
      <c r="T553" s="315"/>
    </row>
    <row r="554" spans="9:20" ht="16">
      <c r="I554" s="314"/>
      <c r="L554" s="350"/>
      <c r="O554" s="225"/>
      <c r="S554" s="315"/>
      <c r="T554" s="315"/>
    </row>
    <row r="555" spans="9:20" ht="16">
      <c r="I555" s="314"/>
      <c r="L555" s="350"/>
      <c r="O555" s="225"/>
      <c r="S555" s="315"/>
      <c r="T555" s="315"/>
    </row>
    <row r="556" spans="9:20" ht="16">
      <c r="I556" s="314"/>
      <c r="L556" s="350"/>
      <c r="O556" s="225"/>
      <c r="S556" s="315"/>
      <c r="T556" s="315"/>
    </row>
    <row r="557" spans="9:20" ht="16">
      <c r="I557" s="314"/>
      <c r="L557" s="350"/>
      <c r="O557" s="225"/>
      <c r="S557" s="315"/>
      <c r="T557" s="315"/>
    </row>
    <row r="558" spans="9:20" ht="16">
      <c r="I558" s="314"/>
      <c r="L558" s="350"/>
      <c r="O558" s="225"/>
      <c r="S558" s="315"/>
      <c r="T558" s="315"/>
    </row>
    <row r="559" spans="9:20" ht="16">
      <c r="I559" s="314"/>
      <c r="L559" s="350"/>
      <c r="O559" s="225"/>
      <c r="S559" s="315"/>
      <c r="T559" s="315"/>
    </row>
    <row r="560" spans="9:20" ht="16">
      <c r="I560" s="314"/>
      <c r="L560" s="350"/>
      <c r="O560" s="225"/>
      <c r="S560" s="315"/>
      <c r="T560" s="315"/>
    </row>
    <row r="561" spans="9:20" ht="16">
      <c r="I561" s="314"/>
      <c r="L561" s="350"/>
      <c r="O561" s="225"/>
      <c r="S561" s="315"/>
      <c r="T561" s="315"/>
    </row>
    <row r="562" spans="9:20" ht="16">
      <c r="I562" s="314"/>
      <c r="L562" s="350"/>
      <c r="O562" s="225"/>
      <c r="S562" s="315"/>
      <c r="T562" s="315"/>
    </row>
    <row r="563" spans="9:20" ht="16">
      <c r="I563" s="314"/>
      <c r="L563" s="350"/>
      <c r="O563" s="225"/>
      <c r="S563" s="315"/>
      <c r="T563" s="315"/>
    </row>
    <row r="564" spans="9:20" ht="16">
      <c r="I564" s="314"/>
      <c r="L564" s="350"/>
      <c r="O564" s="225"/>
      <c r="S564" s="315"/>
      <c r="T564" s="315"/>
    </row>
    <row r="565" spans="9:20" ht="16">
      <c r="I565" s="314"/>
      <c r="L565" s="350"/>
      <c r="O565" s="225"/>
      <c r="S565" s="315"/>
      <c r="T565" s="315"/>
    </row>
    <row r="566" spans="9:20" ht="16">
      <c r="I566" s="314"/>
      <c r="L566" s="350"/>
      <c r="O566" s="225"/>
      <c r="S566" s="315"/>
      <c r="T566" s="315"/>
    </row>
    <row r="567" spans="9:20" ht="16">
      <c r="I567" s="314"/>
      <c r="L567" s="350"/>
      <c r="O567" s="225"/>
      <c r="S567" s="315"/>
      <c r="T567" s="315"/>
    </row>
    <row r="568" spans="9:20" ht="16">
      <c r="I568" s="314"/>
      <c r="L568" s="350"/>
      <c r="O568" s="225"/>
      <c r="S568" s="315"/>
      <c r="T568" s="315"/>
    </row>
    <row r="569" spans="9:20" ht="16">
      <c r="I569" s="314"/>
      <c r="L569" s="350"/>
      <c r="O569" s="225"/>
      <c r="S569" s="315"/>
      <c r="T569" s="315"/>
    </row>
    <row r="570" spans="9:20" ht="16">
      <c r="I570" s="314"/>
      <c r="L570" s="350"/>
      <c r="O570" s="225"/>
      <c r="S570" s="315"/>
      <c r="T570" s="315"/>
    </row>
    <row r="571" spans="9:20" ht="16">
      <c r="I571" s="314"/>
      <c r="L571" s="350"/>
      <c r="O571" s="225"/>
      <c r="S571" s="315"/>
      <c r="T571" s="315"/>
    </row>
    <row r="572" spans="9:20" ht="16">
      <c r="I572" s="314"/>
      <c r="L572" s="350"/>
      <c r="O572" s="225"/>
      <c r="S572" s="315"/>
      <c r="T572" s="315"/>
    </row>
    <row r="573" spans="9:20" ht="16">
      <c r="I573" s="314"/>
      <c r="L573" s="350"/>
      <c r="O573" s="225"/>
      <c r="S573" s="315"/>
      <c r="T573" s="315"/>
    </row>
    <row r="574" spans="9:20" ht="16">
      <c r="I574" s="314"/>
      <c r="L574" s="350"/>
      <c r="O574" s="225"/>
      <c r="S574" s="315"/>
      <c r="T574" s="315"/>
    </row>
    <row r="575" spans="9:20" ht="16">
      <c r="I575" s="314"/>
      <c r="L575" s="350"/>
      <c r="O575" s="225"/>
      <c r="S575" s="315"/>
      <c r="T575" s="315"/>
    </row>
    <row r="576" spans="9:20" ht="16">
      <c r="I576" s="314"/>
      <c r="L576" s="350"/>
      <c r="O576" s="225"/>
      <c r="S576" s="315"/>
      <c r="T576" s="315"/>
    </row>
    <row r="577" spans="9:20" ht="16">
      <c r="I577" s="314"/>
      <c r="L577" s="350"/>
      <c r="O577" s="225"/>
      <c r="S577" s="315"/>
      <c r="T577" s="315"/>
    </row>
    <row r="578" spans="9:20" ht="16">
      <c r="I578" s="314"/>
      <c r="L578" s="350"/>
      <c r="O578" s="225"/>
      <c r="S578" s="315"/>
      <c r="T578" s="315"/>
    </row>
    <row r="579" spans="9:20" ht="16">
      <c r="I579" s="314"/>
      <c r="L579" s="350"/>
      <c r="O579" s="225"/>
      <c r="S579" s="315"/>
      <c r="T579" s="315"/>
    </row>
    <row r="580" spans="9:20" ht="16">
      <c r="I580" s="314"/>
      <c r="L580" s="350"/>
      <c r="O580" s="225"/>
      <c r="S580" s="315"/>
      <c r="T580" s="315"/>
    </row>
    <row r="581" spans="9:20" ht="16">
      <c r="I581" s="314"/>
      <c r="L581" s="350"/>
      <c r="O581" s="225"/>
      <c r="S581" s="315"/>
      <c r="T581" s="315"/>
    </row>
    <row r="582" spans="9:20" ht="16">
      <c r="I582" s="314"/>
      <c r="L582" s="350"/>
      <c r="O582" s="225"/>
      <c r="S582" s="315"/>
      <c r="T582" s="315"/>
    </row>
    <row r="583" spans="9:20" ht="16">
      <c r="I583" s="314"/>
      <c r="L583" s="350"/>
      <c r="O583" s="225"/>
      <c r="S583" s="315"/>
      <c r="T583" s="315"/>
    </row>
    <row r="584" spans="9:20" ht="16">
      <c r="I584" s="314"/>
      <c r="L584" s="350"/>
      <c r="O584" s="225"/>
      <c r="S584" s="315"/>
      <c r="T584" s="315"/>
    </row>
    <row r="585" spans="9:20" ht="16">
      <c r="I585" s="314"/>
      <c r="L585" s="350"/>
      <c r="O585" s="225"/>
      <c r="S585" s="315"/>
      <c r="T585" s="315"/>
    </row>
    <row r="586" spans="9:20" ht="16">
      <c r="I586" s="314"/>
      <c r="L586" s="350"/>
      <c r="O586" s="225"/>
      <c r="S586" s="315"/>
      <c r="T586" s="315"/>
    </row>
    <row r="587" spans="9:20" ht="16">
      <c r="I587" s="314"/>
      <c r="L587" s="350"/>
      <c r="O587" s="225"/>
      <c r="S587" s="315"/>
      <c r="T587" s="315"/>
    </row>
    <row r="588" spans="9:20" ht="16">
      <c r="I588" s="314"/>
      <c r="L588" s="350"/>
      <c r="O588" s="225"/>
      <c r="S588" s="315"/>
      <c r="T588" s="315"/>
    </row>
    <row r="589" spans="9:20" ht="16">
      <c r="I589" s="314"/>
      <c r="L589" s="350"/>
      <c r="O589" s="225"/>
      <c r="S589" s="315"/>
      <c r="T589" s="315"/>
    </row>
    <row r="590" spans="9:20" ht="16">
      <c r="I590" s="314"/>
      <c r="L590" s="350"/>
      <c r="O590" s="225"/>
      <c r="S590" s="315"/>
      <c r="T590" s="315"/>
    </row>
    <row r="591" spans="9:20" ht="16">
      <c r="I591" s="314"/>
      <c r="L591" s="350"/>
      <c r="O591" s="225"/>
      <c r="S591" s="315"/>
      <c r="T591" s="315"/>
    </row>
    <row r="592" spans="9:20" ht="16">
      <c r="I592" s="314"/>
      <c r="L592" s="350"/>
      <c r="O592" s="225"/>
      <c r="S592" s="315"/>
      <c r="T592" s="315"/>
    </row>
    <row r="593" spans="9:20" ht="16">
      <c r="I593" s="314"/>
      <c r="L593" s="350"/>
      <c r="O593" s="225"/>
      <c r="S593" s="315"/>
      <c r="T593" s="315"/>
    </row>
    <row r="594" spans="9:20" ht="16">
      <c r="I594" s="314"/>
      <c r="L594" s="350"/>
      <c r="O594" s="225"/>
      <c r="S594" s="315"/>
      <c r="T594" s="315"/>
    </row>
    <row r="595" spans="9:20" ht="16">
      <c r="I595" s="314"/>
      <c r="L595" s="350"/>
      <c r="O595" s="225"/>
      <c r="S595" s="315"/>
      <c r="T595" s="315"/>
    </row>
    <row r="596" spans="9:20" ht="16">
      <c r="I596" s="314"/>
      <c r="L596" s="350"/>
      <c r="O596" s="225"/>
      <c r="S596" s="315"/>
      <c r="T596" s="315"/>
    </row>
    <row r="597" spans="9:20" ht="16">
      <c r="I597" s="314"/>
      <c r="L597" s="350"/>
      <c r="O597" s="225"/>
      <c r="S597" s="315"/>
      <c r="T597" s="315"/>
    </row>
    <row r="598" spans="9:20" ht="16">
      <c r="I598" s="314"/>
      <c r="L598" s="350"/>
      <c r="O598" s="225"/>
      <c r="S598" s="315"/>
      <c r="T598" s="315"/>
    </row>
    <row r="599" spans="9:20" ht="16">
      <c r="I599" s="314"/>
      <c r="L599" s="350"/>
      <c r="O599" s="225"/>
      <c r="S599" s="315"/>
      <c r="T599" s="315"/>
    </row>
    <row r="600" spans="9:20" ht="16">
      <c r="I600" s="314"/>
      <c r="L600" s="350"/>
      <c r="O600" s="225"/>
      <c r="S600" s="315"/>
      <c r="T600" s="315"/>
    </row>
    <row r="601" spans="9:20" ht="16">
      <c r="I601" s="314"/>
      <c r="L601" s="350"/>
      <c r="O601" s="225"/>
      <c r="S601" s="315"/>
      <c r="T601" s="315"/>
    </row>
    <row r="602" spans="9:20" ht="16">
      <c r="I602" s="314"/>
      <c r="L602" s="350"/>
      <c r="O602" s="225"/>
      <c r="S602" s="315"/>
      <c r="T602" s="315"/>
    </row>
    <row r="603" spans="9:20" ht="16">
      <c r="I603" s="314"/>
      <c r="L603" s="350"/>
      <c r="O603" s="225"/>
      <c r="S603" s="315"/>
      <c r="T603" s="315"/>
    </row>
    <row r="604" spans="9:20" ht="16">
      <c r="I604" s="314"/>
      <c r="L604" s="350"/>
      <c r="O604" s="225"/>
      <c r="S604" s="315"/>
      <c r="T604" s="315"/>
    </row>
    <row r="605" spans="9:20" ht="16">
      <c r="I605" s="314"/>
      <c r="L605" s="350"/>
      <c r="O605" s="225"/>
      <c r="S605" s="315"/>
      <c r="T605" s="315"/>
    </row>
    <row r="606" spans="9:20" ht="16">
      <c r="I606" s="314"/>
      <c r="L606" s="350"/>
      <c r="O606" s="225"/>
      <c r="S606" s="315"/>
      <c r="T606" s="315"/>
    </row>
    <row r="607" spans="9:20" ht="16">
      <c r="I607" s="314"/>
      <c r="L607" s="350"/>
      <c r="O607" s="225"/>
      <c r="S607" s="315"/>
      <c r="T607" s="315"/>
    </row>
    <row r="608" spans="9:20" ht="16">
      <c r="I608" s="314"/>
      <c r="L608" s="350"/>
      <c r="O608" s="225"/>
      <c r="S608" s="315"/>
      <c r="T608" s="315"/>
    </row>
    <row r="609" spans="9:20" ht="16">
      <c r="I609" s="314"/>
      <c r="L609" s="350"/>
      <c r="O609" s="225"/>
      <c r="S609" s="315"/>
      <c r="T609" s="315"/>
    </row>
    <row r="610" spans="9:20" ht="16">
      <c r="I610" s="314"/>
      <c r="L610" s="350"/>
      <c r="O610" s="225"/>
      <c r="S610" s="315"/>
      <c r="T610" s="315"/>
    </row>
    <row r="611" spans="9:20" ht="16">
      <c r="I611" s="314"/>
      <c r="L611" s="350"/>
      <c r="O611" s="225"/>
      <c r="S611" s="315"/>
      <c r="T611" s="315"/>
    </row>
    <row r="612" spans="9:20" ht="16">
      <c r="I612" s="314"/>
      <c r="L612" s="350"/>
      <c r="O612" s="225"/>
      <c r="S612" s="315"/>
      <c r="T612" s="315"/>
    </row>
    <row r="613" spans="9:20" ht="16">
      <c r="I613" s="314"/>
      <c r="L613" s="350"/>
      <c r="O613" s="225"/>
      <c r="S613" s="315"/>
      <c r="T613" s="315"/>
    </row>
    <row r="614" spans="9:20" ht="16">
      <c r="I614" s="314"/>
      <c r="L614" s="350"/>
      <c r="O614" s="225"/>
      <c r="S614" s="315"/>
      <c r="T614" s="315"/>
    </row>
    <row r="615" spans="9:20" ht="16">
      <c r="I615" s="314"/>
      <c r="L615" s="350"/>
      <c r="O615" s="225"/>
      <c r="S615" s="315"/>
      <c r="T615" s="315"/>
    </row>
    <row r="616" spans="9:20" ht="16">
      <c r="I616" s="314"/>
      <c r="L616" s="350"/>
      <c r="O616" s="225"/>
      <c r="S616" s="315"/>
      <c r="T616" s="315"/>
    </row>
    <row r="617" spans="9:20" ht="16">
      <c r="I617" s="314"/>
      <c r="L617" s="350"/>
      <c r="O617" s="225"/>
      <c r="S617" s="315"/>
      <c r="T617" s="315"/>
    </row>
    <row r="618" spans="9:20" ht="16">
      <c r="I618" s="314"/>
      <c r="L618" s="350"/>
      <c r="O618" s="225"/>
      <c r="S618" s="315"/>
      <c r="T618" s="315"/>
    </row>
    <row r="619" spans="9:20" ht="16">
      <c r="I619" s="314"/>
      <c r="L619" s="350"/>
      <c r="O619" s="225"/>
      <c r="S619" s="315"/>
      <c r="T619" s="315"/>
    </row>
    <row r="620" spans="9:20" ht="16">
      <c r="I620" s="314"/>
      <c r="L620" s="350"/>
      <c r="O620" s="225"/>
      <c r="S620" s="315"/>
      <c r="T620" s="315"/>
    </row>
    <row r="621" spans="9:20" ht="16">
      <c r="I621" s="314"/>
      <c r="L621" s="350"/>
      <c r="O621" s="225"/>
      <c r="S621" s="315"/>
      <c r="T621" s="315"/>
    </row>
    <row r="622" spans="9:20" ht="16">
      <c r="I622" s="314"/>
      <c r="L622" s="350"/>
      <c r="O622" s="225"/>
      <c r="S622" s="315"/>
      <c r="T622" s="315"/>
    </row>
    <row r="623" spans="9:20" ht="16">
      <c r="I623" s="314"/>
      <c r="L623" s="350"/>
      <c r="O623" s="225"/>
      <c r="S623" s="315"/>
      <c r="T623" s="315"/>
    </row>
    <row r="624" spans="9:20" ht="16">
      <c r="I624" s="314"/>
      <c r="L624" s="350"/>
      <c r="O624" s="225"/>
      <c r="S624" s="315"/>
      <c r="T624" s="315"/>
    </row>
    <row r="625" spans="9:20" ht="16">
      <c r="I625" s="314"/>
      <c r="L625" s="350"/>
      <c r="O625" s="225"/>
      <c r="S625" s="315"/>
      <c r="T625" s="315"/>
    </row>
    <row r="626" spans="9:20" ht="16">
      <c r="I626" s="314"/>
      <c r="L626" s="350"/>
      <c r="O626" s="225"/>
      <c r="S626" s="315"/>
      <c r="T626" s="315"/>
    </row>
    <row r="627" spans="9:20" ht="16">
      <c r="I627" s="314"/>
      <c r="L627" s="350"/>
      <c r="O627" s="225"/>
      <c r="S627" s="315"/>
      <c r="T627" s="315"/>
    </row>
    <row r="628" spans="9:20" ht="16">
      <c r="I628" s="314"/>
      <c r="L628" s="350"/>
      <c r="O628" s="225"/>
      <c r="S628" s="315"/>
      <c r="T628" s="315"/>
    </row>
    <row r="629" spans="9:20" ht="16">
      <c r="I629" s="314"/>
      <c r="L629" s="350"/>
      <c r="O629" s="225"/>
      <c r="S629" s="315"/>
      <c r="T629" s="315"/>
    </row>
    <row r="630" spans="9:20" ht="16">
      <c r="I630" s="314"/>
      <c r="L630" s="350"/>
      <c r="O630" s="225"/>
      <c r="S630" s="315"/>
      <c r="T630" s="315"/>
    </row>
    <row r="631" spans="9:20" ht="16">
      <c r="I631" s="314"/>
      <c r="L631" s="350"/>
      <c r="O631" s="225"/>
      <c r="S631" s="315"/>
      <c r="T631" s="315"/>
    </row>
    <row r="632" spans="9:20" ht="16">
      <c r="I632" s="314"/>
      <c r="L632" s="350"/>
      <c r="O632" s="225"/>
      <c r="S632" s="315"/>
      <c r="T632" s="315"/>
    </row>
    <row r="633" spans="9:20" ht="16">
      <c r="I633" s="314"/>
      <c r="L633" s="350"/>
      <c r="O633" s="225"/>
      <c r="S633" s="315"/>
      <c r="T633" s="315"/>
    </row>
    <row r="634" spans="9:20" ht="16">
      <c r="I634" s="314"/>
      <c r="L634" s="350"/>
      <c r="O634" s="225"/>
      <c r="S634" s="315"/>
      <c r="T634" s="315"/>
    </row>
    <row r="635" spans="9:20" ht="16">
      <c r="I635" s="314"/>
      <c r="L635" s="350"/>
      <c r="O635" s="225"/>
      <c r="S635" s="315"/>
      <c r="T635" s="315"/>
    </row>
    <row r="636" spans="9:20" ht="16">
      <c r="I636" s="314"/>
      <c r="L636" s="350"/>
      <c r="O636" s="225"/>
      <c r="S636" s="315"/>
      <c r="T636" s="315"/>
    </row>
    <row r="637" spans="9:20" ht="16">
      <c r="I637" s="314"/>
      <c r="L637" s="350"/>
      <c r="O637" s="225"/>
      <c r="S637" s="315"/>
      <c r="T637" s="315"/>
    </row>
    <row r="638" spans="9:20" ht="16">
      <c r="I638" s="314"/>
      <c r="L638" s="350"/>
      <c r="O638" s="225"/>
      <c r="S638" s="315"/>
      <c r="T638" s="315"/>
    </row>
    <row r="639" spans="9:20" ht="16">
      <c r="I639" s="314"/>
      <c r="L639" s="350"/>
      <c r="O639" s="225"/>
      <c r="S639" s="315"/>
      <c r="T639" s="315"/>
    </row>
    <row r="640" spans="9:20" ht="16">
      <c r="I640" s="314"/>
      <c r="L640" s="350"/>
      <c r="O640" s="225"/>
      <c r="S640" s="315"/>
      <c r="T640" s="315"/>
    </row>
    <row r="641" spans="9:20" ht="16">
      <c r="I641" s="314"/>
      <c r="L641" s="350"/>
      <c r="O641" s="225"/>
      <c r="S641" s="315"/>
      <c r="T641" s="315"/>
    </row>
    <row r="642" spans="9:20" ht="16">
      <c r="I642" s="314"/>
      <c r="L642" s="350"/>
      <c r="O642" s="225"/>
      <c r="S642" s="315"/>
      <c r="T642" s="315"/>
    </row>
    <row r="643" spans="9:20" ht="16">
      <c r="I643" s="314"/>
      <c r="L643" s="350"/>
      <c r="O643" s="225"/>
      <c r="S643" s="315"/>
      <c r="T643" s="315"/>
    </row>
    <row r="644" spans="9:20" ht="16">
      <c r="I644" s="314"/>
      <c r="L644" s="350"/>
      <c r="O644" s="225"/>
      <c r="S644" s="315"/>
      <c r="T644" s="315"/>
    </row>
    <row r="645" spans="9:20" ht="16">
      <c r="I645" s="314"/>
      <c r="L645" s="350"/>
      <c r="O645" s="225"/>
      <c r="S645" s="315"/>
      <c r="T645" s="315"/>
    </row>
    <row r="646" spans="9:20" ht="16">
      <c r="I646" s="314"/>
      <c r="L646" s="350"/>
      <c r="O646" s="225"/>
      <c r="S646" s="315"/>
      <c r="T646" s="315"/>
    </row>
    <row r="647" spans="9:20" ht="16">
      <c r="I647" s="314"/>
      <c r="L647" s="350"/>
      <c r="O647" s="225"/>
      <c r="S647" s="315"/>
      <c r="T647" s="315"/>
    </row>
    <row r="648" spans="9:20" ht="16">
      <c r="I648" s="314"/>
      <c r="L648" s="350"/>
      <c r="O648" s="225"/>
      <c r="S648" s="315"/>
      <c r="T648" s="315"/>
    </row>
    <row r="649" spans="9:20" ht="16">
      <c r="I649" s="314"/>
      <c r="L649" s="350"/>
      <c r="O649" s="225"/>
      <c r="S649" s="315"/>
      <c r="T649" s="315"/>
    </row>
    <row r="650" spans="9:20" ht="16">
      <c r="I650" s="314"/>
      <c r="L650" s="350"/>
      <c r="O650" s="225"/>
      <c r="S650" s="315"/>
      <c r="T650" s="315"/>
    </row>
    <row r="651" spans="9:20" ht="16">
      <c r="I651" s="314"/>
      <c r="L651" s="350"/>
      <c r="O651" s="225"/>
      <c r="S651" s="315"/>
      <c r="T651" s="315"/>
    </row>
    <row r="652" spans="9:20" ht="16">
      <c r="I652" s="314"/>
      <c r="L652" s="350"/>
      <c r="O652" s="225"/>
      <c r="S652" s="315"/>
      <c r="T652" s="315"/>
    </row>
    <row r="653" spans="9:20" ht="16">
      <c r="I653" s="314"/>
      <c r="L653" s="350"/>
      <c r="O653" s="225"/>
      <c r="S653" s="315"/>
      <c r="T653" s="315"/>
    </row>
    <row r="654" spans="9:20" ht="16">
      <c r="I654" s="314"/>
      <c r="L654" s="350"/>
      <c r="O654" s="225"/>
      <c r="S654" s="315"/>
      <c r="T654" s="315"/>
    </row>
    <row r="655" spans="9:20" ht="16">
      <c r="I655" s="314"/>
      <c r="L655" s="350"/>
      <c r="O655" s="225"/>
      <c r="S655" s="315"/>
      <c r="T655" s="315"/>
    </row>
    <row r="656" spans="9:20" ht="16">
      <c r="I656" s="314"/>
      <c r="L656" s="350"/>
      <c r="O656" s="225"/>
      <c r="S656" s="315"/>
      <c r="T656" s="315"/>
    </row>
    <row r="657" spans="9:20" ht="16">
      <c r="I657" s="314"/>
      <c r="L657" s="350"/>
      <c r="O657" s="225"/>
      <c r="S657" s="315"/>
      <c r="T657" s="315"/>
    </row>
    <row r="658" spans="9:20" ht="16">
      <c r="I658" s="314"/>
      <c r="L658" s="350"/>
      <c r="O658" s="225"/>
      <c r="S658" s="315"/>
      <c r="T658" s="315"/>
    </row>
    <row r="659" spans="9:20" ht="16">
      <c r="I659" s="314"/>
      <c r="L659" s="350"/>
      <c r="O659" s="225"/>
      <c r="S659" s="315"/>
      <c r="T659" s="315"/>
    </row>
    <row r="660" spans="9:20" ht="16">
      <c r="I660" s="314"/>
      <c r="L660" s="350"/>
      <c r="O660" s="225"/>
      <c r="S660" s="315"/>
      <c r="T660" s="315"/>
    </row>
    <row r="661" spans="9:20" ht="16">
      <c r="I661" s="314"/>
      <c r="L661" s="350"/>
      <c r="O661" s="225"/>
      <c r="S661" s="315"/>
      <c r="T661" s="315"/>
    </row>
    <row r="662" spans="9:20" ht="16">
      <c r="I662" s="314"/>
      <c r="L662" s="350"/>
      <c r="O662" s="225"/>
      <c r="S662" s="315"/>
      <c r="T662" s="315"/>
    </row>
    <row r="663" spans="9:20" ht="16">
      <c r="I663" s="314"/>
      <c r="L663" s="350"/>
      <c r="O663" s="225"/>
      <c r="S663" s="315"/>
      <c r="T663" s="315"/>
    </row>
    <row r="664" spans="9:20" ht="16">
      <c r="I664" s="314"/>
      <c r="L664" s="350"/>
      <c r="O664" s="225"/>
      <c r="S664" s="315"/>
      <c r="T664" s="315"/>
    </row>
    <row r="665" spans="9:20" ht="16">
      <c r="I665" s="314"/>
      <c r="L665" s="350"/>
      <c r="O665" s="225"/>
      <c r="S665" s="315"/>
      <c r="T665" s="315"/>
    </row>
    <row r="666" spans="9:20" ht="16">
      <c r="I666" s="314"/>
      <c r="L666" s="350"/>
      <c r="O666" s="225"/>
      <c r="S666" s="315"/>
      <c r="T666" s="315"/>
    </row>
    <row r="667" spans="9:20" ht="16">
      <c r="I667" s="314"/>
      <c r="L667" s="350"/>
      <c r="O667" s="225"/>
      <c r="S667" s="315"/>
      <c r="T667" s="315"/>
    </row>
    <row r="668" spans="9:20" ht="16">
      <c r="I668" s="314"/>
      <c r="L668" s="350"/>
      <c r="O668" s="225"/>
      <c r="S668" s="315"/>
      <c r="T668" s="315"/>
    </row>
    <row r="669" spans="9:20" ht="16">
      <c r="I669" s="314"/>
      <c r="L669" s="350"/>
      <c r="O669" s="225"/>
      <c r="S669" s="315"/>
      <c r="T669" s="315"/>
    </row>
    <row r="670" spans="9:20" ht="16">
      <c r="I670" s="314"/>
      <c r="L670" s="350"/>
      <c r="O670" s="225"/>
      <c r="S670" s="315"/>
      <c r="T670" s="315"/>
    </row>
    <row r="671" spans="9:20" ht="16">
      <c r="I671" s="314"/>
      <c r="L671" s="350"/>
      <c r="O671" s="225"/>
      <c r="S671" s="315"/>
      <c r="T671" s="315"/>
    </row>
    <row r="672" spans="9:20" ht="16">
      <c r="I672" s="314"/>
      <c r="L672" s="350"/>
      <c r="O672" s="225"/>
      <c r="S672" s="315"/>
      <c r="T672" s="315"/>
    </row>
    <row r="673" spans="9:20" ht="16">
      <c r="I673" s="314"/>
      <c r="L673" s="350"/>
      <c r="O673" s="225"/>
      <c r="S673" s="315"/>
      <c r="T673" s="315"/>
    </row>
    <row r="674" spans="9:20" ht="16">
      <c r="I674" s="314"/>
      <c r="L674" s="350"/>
      <c r="O674" s="225"/>
      <c r="S674" s="315"/>
      <c r="T674" s="315"/>
    </row>
    <row r="675" spans="9:20" ht="16">
      <c r="I675" s="314"/>
      <c r="L675" s="350"/>
      <c r="O675" s="225"/>
      <c r="S675" s="315"/>
      <c r="T675" s="315"/>
    </row>
    <row r="676" spans="9:20" ht="16">
      <c r="I676" s="314"/>
      <c r="L676" s="350"/>
      <c r="O676" s="225"/>
      <c r="S676" s="315"/>
      <c r="T676" s="315"/>
    </row>
    <row r="677" spans="9:20" ht="16">
      <c r="I677" s="314"/>
      <c r="L677" s="350"/>
      <c r="O677" s="225"/>
      <c r="S677" s="315"/>
      <c r="T677" s="315"/>
    </row>
    <row r="678" spans="9:20" ht="16">
      <c r="I678" s="314"/>
      <c r="L678" s="350"/>
      <c r="O678" s="225"/>
      <c r="S678" s="315"/>
      <c r="T678" s="315"/>
    </row>
    <row r="679" spans="9:20" ht="16">
      <c r="I679" s="314"/>
      <c r="L679" s="350"/>
      <c r="O679" s="225"/>
      <c r="S679" s="315"/>
      <c r="T679" s="315"/>
    </row>
    <row r="680" spans="9:20" ht="16">
      <c r="I680" s="314"/>
      <c r="L680" s="350"/>
      <c r="O680" s="225"/>
      <c r="S680" s="315"/>
      <c r="T680" s="315"/>
    </row>
    <row r="681" spans="9:20" ht="16">
      <c r="I681" s="314"/>
      <c r="L681" s="350"/>
      <c r="O681" s="225"/>
      <c r="S681" s="315"/>
      <c r="T681" s="315"/>
    </row>
    <row r="682" spans="9:20" ht="16">
      <c r="I682" s="314"/>
      <c r="L682" s="350"/>
      <c r="O682" s="225"/>
      <c r="S682" s="315"/>
      <c r="T682" s="315"/>
    </row>
    <row r="683" spans="9:20" ht="16">
      <c r="I683" s="314"/>
      <c r="L683" s="350"/>
      <c r="O683" s="225"/>
      <c r="S683" s="315"/>
      <c r="T683" s="315"/>
    </row>
    <row r="684" spans="9:20" ht="16">
      <c r="I684" s="314"/>
      <c r="L684" s="350"/>
      <c r="O684" s="225"/>
      <c r="S684" s="315"/>
      <c r="T684" s="315"/>
    </row>
    <row r="685" spans="9:20" ht="16">
      <c r="I685" s="314"/>
      <c r="L685" s="350"/>
      <c r="O685" s="225"/>
      <c r="S685" s="315"/>
      <c r="T685" s="315"/>
    </row>
    <row r="686" spans="9:20" ht="16">
      <c r="I686" s="314"/>
      <c r="L686" s="350"/>
      <c r="O686" s="225"/>
      <c r="S686" s="315"/>
      <c r="T686" s="315"/>
    </row>
    <row r="687" spans="9:20" ht="16">
      <c r="I687" s="314"/>
      <c r="L687" s="350"/>
      <c r="O687" s="225"/>
      <c r="S687" s="315"/>
      <c r="T687" s="315"/>
    </row>
    <row r="688" spans="9:20" ht="16">
      <c r="I688" s="314"/>
      <c r="L688" s="350"/>
      <c r="O688" s="225"/>
      <c r="S688" s="315"/>
      <c r="T688" s="315"/>
    </row>
    <row r="689" spans="9:20" ht="16">
      <c r="I689" s="314"/>
      <c r="L689" s="350"/>
      <c r="O689" s="225"/>
      <c r="S689" s="315"/>
      <c r="T689" s="315"/>
    </row>
    <row r="690" spans="9:20" ht="16">
      <c r="I690" s="314"/>
      <c r="L690" s="350"/>
      <c r="O690" s="225"/>
      <c r="S690" s="315"/>
      <c r="T690" s="315"/>
    </row>
    <row r="691" spans="9:20" ht="16">
      <c r="I691" s="314"/>
      <c r="L691" s="350"/>
      <c r="O691" s="225"/>
      <c r="S691" s="315"/>
      <c r="T691" s="315"/>
    </row>
    <row r="692" spans="9:20" ht="16">
      <c r="I692" s="314"/>
      <c r="L692" s="350"/>
      <c r="O692" s="225"/>
      <c r="S692" s="315"/>
      <c r="T692" s="315"/>
    </row>
    <row r="693" spans="9:20" ht="16">
      <c r="I693" s="314"/>
      <c r="L693" s="350"/>
      <c r="O693" s="225"/>
      <c r="S693" s="315"/>
      <c r="T693" s="315"/>
    </row>
    <row r="694" spans="9:20" ht="16">
      <c r="I694" s="314"/>
      <c r="L694" s="350"/>
      <c r="O694" s="225"/>
      <c r="S694" s="315"/>
      <c r="T694" s="315"/>
    </row>
    <row r="695" spans="9:20" ht="16">
      <c r="I695" s="314"/>
      <c r="L695" s="350"/>
      <c r="O695" s="225"/>
      <c r="S695" s="315"/>
      <c r="T695" s="315"/>
    </row>
    <row r="696" spans="9:20" ht="16">
      <c r="I696" s="314"/>
      <c r="L696" s="350"/>
      <c r="O696" s="225"/>
      <c r="S696" s="315"/>
      <c r="T696" s="315"/>
    </row>
    <row r="697" spans="9:20" ht="16">
      <c r="I697" s="314"/>
      <c r="L697" s="350"/>
      <c r="O697" s="225"/>
      <c r="S697" s="315"/>
      <c r="T697" s="315"/>
    </row>
    <row r="698" spans="9:20" ht="16">
      <c r="I698" s="314"/>
      <c r="L698" s="350"/>
      <c r="O698" s="225"/>
      <c r="S698" s="315"/>
      <c r="T698" s="315"/>
    </row>
    <row r="699" spans="9:20" ht="16">
      <c r="I699" s="314"/>
      <c r="L699" s="350"/>
      <c r="O699" s="225"/>
      <c r="S699" s="315"/>
      <c r="T699" s="315"/>
    </row>
    <row r="700" spans="9:20" ht="16">
      <c r="I700" s="314"/>
      <c r="L700" s="350"/>
      <c r="O700" s="225"/>
      <c r="S700" s="315"/>
      <c r="T700" s="315"/>
    </row>
    <row r="701" spans="9:20" ht="16">
      <c r="I701" s="314"/>
      <c r="L701" s="350"/>
      <c r="O701" s="225"/>
      <c r="S701" s="315"/>
      <c r="T701" s="315"/>
    </row>
    <row r="702" spans="9:20" ht="16">
      <c r="I702" s="314"/>
      <c r="L702" s="350"/>
      <c r="O702" s="225"/>
      <c r="S702" s="315"/>
      <c r="T702" s="315"/>
    </row>
    <row r="703" spans="9:20" ht="16">
      <c r="I703" s="314"/>
      <c r="L703" s="350"/>
      <c r="O703" s="225"/>
      <c r="S703" s="315"/>
      <c r="T703" s="315"/>
    </row>
    <row r="704" spans="9:20" ht="16">
      <c r="I704" s="314"/>
      <c r="L704" s="350"/>
      <c r="O704" s="225"/>
      <c r="S704" s="315"/>
      <c r="T704" s="315"/>
    </row>
    <row r="705" spans="9:20" ht="16">
      <c r="I705" s="314"/>
      <c r="L705" s="350"/>
      <c r="O705" s="225"/>
      <c r="S705" s="315"/>
      <c r="T705" s="315"/>
    </row>
    <row r="706" spans="9:20" ht="16">
      <c r="I706" s="314"/>
      <c r="L706" s="350"/>
      <c r="O706" s="225"/>
      <c r="S706" s="315"/>
      <c r="T706" s="315"/>
    </row>
    <row r="707" spans="9:20" ht="16">
      <c r="I707" s="314"/>
      <c r="L707" s="350"/>
      <c r="O707" s="225"/>
      <c r="S707" s="315"/>
      <c r="T707" s="315"/>
    </row>
    <row r="708" spans="9:20" ht="16">
      <c r="I708" s="314"/>
      <c r="L708" s="350"/>
      <c r="O708" s="225"/>
      <c r="S708" s="315"/>
      <c r="T708" s="315"/>
    </row>
    <row r="709" spans="9:20" ht="16">
      <c r="I709" s="314"/>
      <c r="L709" s="350"/>
      <c r="O709" s="225"/>
      <c r="S709" s="315"/>
      <c r="T709" s="315"/>
    </row>
    <row r="710" spans="9:20" ht="16">
      <c r="I710" s="314"/>
      <c r="L710" s="350"/>
      <c r="O710" s="225"/>
      <c r="S710" s="315"/>
      <c r="T710" s="315"/>
    </row>
    <row r="711" spans="9:20" ht="16">
      <c r="I711" s="314"/>
      <c r="L711" s="350"/>
      <c r="O711" s="225"/>
      <c r="S711" s="315"/>
      <c r="T711" s="315"/>
    </row>
    <row r="712" spans="9:20" ht="16">
      <c r="I712" s="314"/>
      <c r="L712" s="350"/>
      <c r="O712" s="225"/>
      <c r="S712" s="315"/>
      <c r="T712" s="315"/>
    </row>
    <row r="713" spans="9:20" ht="16">
      <c r="I713" s="314"/>
      <c r="L713" s="350"/>
      <c r="O713" s="225"/>
      <c r="S713" s="315"/>
      <c r="T713" s="315"/>
    </row>
    <row r="714" spans="9:20" ht="16">
      <c r="I714" s="314"/>
      <c r="L714" s="350"/>
      <c r="O714" s="225"/>
      <c r="S714" s="315"/>
      <c r="T714" s="315"/>
    </row>
    <row r="715" spans="9:20" ht="16">
      <c r="I715" s="314"/>
      <c r="L715" s="350"/>
      <c r="O715" s="225"/>
      <c r="S715" s="315"/>
      <c r="T715" s="315"/>
    </row>
    <row r="716" spans="9:20" ht="16">
      <c r="I716" s="314"/>
      <c r="L716" s="350"/>
      <c r="O716" s="225"/>
      <c r="S716" s="315"/>
      <c r="T716" s="315"/>
    </row>
    <row r="717" spans="9:20" ht="16">
      <c r="I717" s="314"/>
      <c r="L717" s="350"/>
      <c r="O717" s="225"/>
      <c r="S717" s="315"/>
      <c r="T717" s="315"/>
    </row>
    <row r="718" spans="9:20" ht="16">
      <c r="I718" s="314"/>
      <c r="L718" s="350"/>
      <c r="O718" s="225"/>
      <c r="S718" s="315"/>
      <c r="T718" s="315"/>
    </row>
    <row r="719" spans="9:20" ht="16">
      <c r="I719" s="314"/>
      <c r="L719" s="350"/>
      <c r="O719" s="225"/>
      <c r="S719" s="315"/>
      <c r="T719" s="315"/>
    </row>
    <row r="720" spans="9:20" ht="16">
      <c r="I720" s="314"/>
      <c r="L720" s="350"/>
      <c r="O720" s="225"/>
      <c r="S720" s="315"/>
      <c r="T720" s="315"/>
    </row>
    <row r="721" spans="9:20" ht="16">
      <c r="I721" s="314"/>
      <c r="L721" s="350"/>
      <c r="O721" s="225"/>
      <c r="S721" s="315"/>
      <c r="T721" s="315"/>
    </row>
    <row r="722" spans="9:20" ht="16">
      <c r="I722" s="314"/>
      <c r="L722" s="350"/>
      <c r="O722" s="225"/>
      <c r="S722" s="315"/>
      <c r="T722" s="315"/>
    </row>
    <row r="723" spans="9:20" ht="16">
      <c r="I723" s="314"/>
      <c r="L723" s="350"/>
      <c r="O723" s="225"/>
      <c r="S723" s="315"/>
      <c r="T723" s="315"/>
    </row>
    <row r="724" spans="9:20" ht="16">
      <c r="I724" s="314"/>
      <c r="L724" s="350"/>
      <c r="O724" s="225"/>
      <c r="S724" s="315"/>
      <c r="T724" s="315"/>
    </row>
    <row r="725" spans="9:20" ht="16">
      <c r="I725" s="314"/>
      <c r="L725" s="350"/>
      <c r="O725" s="225"/>
      <c r="S725" s="315"/>
      <c r="T725" s="315"/>
    </row>
    <row r="726" spans="9:20" ht="16">
      <c r="I726" s="314"/>
      <c r="L726" s="350"/>
      <c r="O726" s="225"/>
      <c r="S726" s="315"/>
      <c r="T726" s="315"/>
    </row>
    <row r="727" spans="9:20" ht="16">
      <c r="I727" s="314"/>
      <c r="L727" s="350"/>
      <c r="O727" s="225"/>
      <c r="S727" s="315"/>
      <c r="T727" s="315"/>
    </row>
    <row r="728" spans="9:20" ht="16">
      <c r="I728" s="314"/>
      <c r="L728" s="350"/>
      <c r="O728" s="225"/>
      <c r="S728" s="315"/>
      <c r="T728" s="315"/>
    </row>
    <row r="729" spans="9:20" ht="16">
      <c r="I729" s="314"/>
      <c r="L729" s="350"/>
      <c r="O729" s="225"/>
      <c r="S729" s="315"/>
      <c r="T729" s="315"/>
    </row>
    <row r="730" spans="9:20" ht="16">
      <c r="I730" s="314"/>
      <c r="L730" s="350"/>
      <c r="O730" s="225"/>
      <c r="S730" s="315"/>
      <c r="T730" s="315"/>
    </row>
    <row r="731" spans="9:20" ht="16">
      <c r="I731" s="314"/>
      <c r="L731" s="350"/>
      <c r="O731" s="225"/>
      <c r="S731" s="315"/>
      <c r="T731" s="315"/>
    </row>
    <row r="732" spans="9:20" ht="16">
      <c r="I732" s="314"/>
      <c r="L732" s="350"/>
      <c r="O732" s="225"/>
      <c r="S732" s="315"/>
      <c r="T732" s="315"/>
    </row>
    <row r="733" spans="9:20" ht="16">
      <c r="I733" s="314"/>
      <c r="L733" s="350"/>
      <c r="O733" s="225"/>
      <c r="S733" s="315"/>
      <c r="T733" s="315"/>
    </row>
    <row r="734" spans="9:20" ht="16">
      <c r="I734" s="314"/>
      <c r="L734" s="350"/>
      <c r="O734" s="225"/>
      <c r="S734" s="315"/>
      <c r="T734" s="315"/>
    </row>
    <row r="735" spans="9:20" ht="16">
      <c r="I735" s="314"/>
      <c r="L735" s="350"/>
      <c r="O735" s="225"/>
      <c r="S735" s="315"/>
      <c r="T735" s="315"/>
    </row>
    <row r="736" spans="9:20" ht="16">
      <c r="I736" s="314"/>
      <c r="L736" s="350"/>
      <c r="O736" s="225"/>
      <c r="S736" s="315"/>
      <c r="T736" s="315"/>
    </row>
    <row r="737" spans="9:20" ht="16">
      <c r="I737" s="314"/>
      <c r="L737" s="350"/>
      <c r="O737" s="225"/>
      <c r="S737" s="315"/>
      <c r="T737" s="315"/>
    </row>
    <row r="738" spans="9:20" ht="16">
      <c r="I738" s="314"/>
      <c r="L738" s="350"/>
      <c r="O738" s="225"/>
      <c r="S738" s="315"/>
      <c r="T738" s="315"/>
    </row>
    <row r="739" spans="9:20" ht="16">
      <c r="I739" s="314"/>
      <c r="L739" s="350"/>
      <c r="O739" s="225"/>
      <c r="S739" s="315"/>
      <c r="T739" s="315"/>
    </row>
    <row r="740" spans="9:20" ht="16">
      <c r="I740" s="314"/>
      <c r="L740" s="350"/>
      <c r="O740" s="225"/>
      <c r="S740" s="315"/>
      <c r="T740" s="315"/>
    </row>
    <row r="741" spans="9:20" ht="16">
      <c r="I741" s="314"/>
      <c r="L741" s="350"/>
      <c r="O741" s="225"/>
      <c r="S741" s="315"/>
      <c r="T741" s="315"/>
    </row>
    <row r="742" spans="9:20" ht="16">
      <c r="I742" s="314"/>
      <c r="L742" s="350"/>
      <c r="O742" s="225"/>
      <c r="S742" s="315"/>
      <c r="T742" s="315"/>
    </row>
    <row r="743" spans="9:20" ht="16">
      <c r="I743" s="314"/>
      <c r="L743" s="350"/>
      <c r="O743" s="225"/>
      <c r="S743" s="315"/>
      <c r="T743" s="315"/>
    </row>
    <row r="744" spans="9:20" ht="16">
      <c r="I744" s="314"/>
      <c r="L744" s="350"/>
      <c r="O744" s="225"/>
      <c r="S744" s="315"/>
      <c r="T744" s="315"/>
    </row>
    <row r="745" spans="9:20" ht="16">
      <c r="I745" s="314"/>
      <c r="L745" s="350"/>
      <c r="O745" s="225"/>
      <c r="S745" s="315"/>
      <c r="T745" s="315"/>
    </row>
    <row r="746" spans="9:20" ht="16">
      <c r="I746" s="314"/>
      <c r="L746" s="350"/>
      <c r="O746" s="225"/>
      <c r="S746" s="315"/>
      <c r="T746" s="315"/>
    </row>
    <row r="747" spans="9:20" ht="16">
      <c r="I747" s="314"/>
      <c r="L747" s="350"/>
      <c r="O747" s="225"/>
      <c r="S747" s="315"/>
      <c r="T747" s="315"/>
    </row>
    <row r="748" spans="9:20" ht="16">
      <c r="I748" s="314"/>
      <c r="L748" s="350"/>
      <c r="O748" s="225"/>
      <c r="S748" s="315"/>
      <c r="T748" s="315"/>
    </row>
    <row r="749" spans="9:20" ht="16">
      <c r="I749" s="314"/>
      <c r="L749" s="350"/>
      <c r="O749" s="225"/>
      <c r="S749" s="315"/>
      <c r="T749" s="315"/>
    </row>
    <row r="750" spans="9:20" ht="16">
      <c r="I750" s="314"/>
      <c r="L750" s="350"/>
      <c r="O750" s="225"/>
      <c r="S750" s="315"/>
      <c r="T750" s="315"/>
    </row>
    <row r="751" spans="9:20" ht="16">
      <c r="I751" s="314"/>
      <c r="L751" s="350"/>
      <c r="O751" s="225"/>
      <c r="S751" s="315"/>
      <c r="T751" s="315"/>
    </row>
    <row r="752" spans="9:20" ht="16">
      <c r="I752" s="314"/>
      <c r="L752" s="350"/>
      <c r="O752" s="225"/>
      <c r="S752" s="315"/>
      <c r="T752" s="315"/>
    </row>
    <row r="753" spans="9:20" ht="16">
      <c r="I753" s="314"/>
      <c r="L753" s="350"/>
      <c r="O753" s="225"/>
      <c r="S753" s="315"/>
      <c r="T753" s="315"/>
    </row>
    <row r="754" spans="9:20" ht="16">
      <c r="I754" s="314"/>
      <c r="L754" s="350"/>
      <c r="O754" s="225"/>
      <c r="S754" s="315"/>
      <c r="T754" s="315"/>
    </row>
    <row r="755" spans="9:20" ht="16">
      <c r="I755" s="314"/>
      <c r="L755" s="350"/>
      <c r="O755" s="225"/>
      <c r="S755" s="315"/>
      <c r="T755" s="315"/>
    </row>
    <row r="756" spans="9:20" ht="16">
      <c r="I756" s="314"/>
      <c r="L756" s="350"/>
      <c r="O756" s="225"/>
      <c r="S756" s="315"/>
      <c r="T756" s="315"/>
    </row>
    <row r="757" spans="9:20" ht="16">
      <c r="I757" s="314"/>
      <c r="L757" s="350"/>
      <c r="O757" s="225"/>
      <c r="S757" s="315"/>
      <c r="T757" s="315"/>
    </row>
    <row r="758" spans="9:20" ht="16">
      <c r="I758" s="314"/>
      <c r="L758" s="350"/>
      <c r="O758" s="225"/>
      <c r="S758" s="315"/>
      <c r="T758" s="315"/>
    </row>
    <row r="759" spans="9:20" ht="16">
      <c r="I759" s="314"/>
      <c r="L759" s="350"/>
      <c r="O759" s="225"/>
      <c r="S759" s="315"/>
      <c r="T759" s="315"/>
    </row>
    <row r="760" spans="9:20" ht="16">
      <c r="I760" s="314"/>
      <c r="L760" s="350"/>
      <c r="O760" s="225"/>
      <c r="S760" s="315"/>
      <c r="T760" s="315"/>
    </row>
    <row r="761" spans="9:20" ht="16">
      <c r="I761" s="314"/>
      <c r="L761" s="350"/>
      <c r="O761" s="225"/>
      <c r="S761" s="315"/>
      <c r="T761" s="315"/>
    </row>
    <row r="762" spans="9:20" ht="16">
      <c r="I762" s="314"/>
      <c r="L762" s="350"/>
      <c r="O762" s="225"/>
      <c r="S762" s="315"/>
      <c r="T762" s="315"/>
    </row>
    <row r="763" spans="9:20" ht="16">
      <c r="I763" s="314"/>
      <c r="L763" s="350"/>
      <c r="O763" s="225"/>
      <c r="S763" s="315"/>
      <c r="T763" s="315"/>
    </row>
    <row r="764" spans="9:20" ht="16">
      <c r="I764" s="314"/>
      <c r="L764" s="350"/>
      <c r="O764" s="225"/>
      <c r="S764" s="315"/>
      <c r="T764" s="315"/>
    </row>
    <row r="765" spans="9:20" ht="16">
      <c r="I765" s="314"/>
      <c r="L765" s="350"/>
      <c r="O765" s="225"/>
      <c r="S765" s="315"/>
      <c r="T765" s="315"/>
    </row>
    <row r="766" spans="9:20" ht="16">
      <c r="I766" s="314"/>
      <c r="L766" s="350"/>
      <c r="O766" s="225"/>
      <c r="S766" s="315"/>
      <c r="T766" s="315"/>
    </row>
    <row r="767" spans="9:20" ht="16">
      <c r="I767" s="314"/>
      <c r="L767" s="350"/>
      <c r="O767" s="225"/>
      <c r="S767" s="315"/>
      <c r="T767" s="315"/>
    </row>
    <row r="768" spans="9:20" ht="16">
      <c r="I768" s="314"/>
      <c r="L768" s="350"/>
      <c r="O768" s="225"/>
      <c r="S768" s="315"/>
      <c r="T768" s="315"/>
    </row>
    <row r="769" spans="9:20" ht="16">
      <c r="I769" s="314"/>
      <c r="L769" s="350"/>
      <c r="O769" s="225"/>
      <c r="S769" s="315"/>
      <c r="T769" s="315"/>
    </row>
    <row r="770" spans="9:20" ht="16">
      <c r="I770" s="314"/>
      <c r="L770" s="350"/>
      <c r="O770" s="225"/>
      <c r="S770" s="315"/>
      <c r="T770" s="315"/>
    </row>
    <row r="771" spans="9:20" ht="16">
      <c r="I771" s="314"/>
      <c r="L771" s="350"/>
      <c r="O771" s="225"/>
      <c r="S771" s="315"/>
      <c r="T771" s="315"/>
    </row>
    <row r="772" spans="9:20" ht="16">
      <c r="I772" s="314"/>
      <c r="L772" s="350"/>
      <c r="O772" s="225"/>
      <c r="S772" s="315"/>
      <c r="T772" s="315"/>
    </row>
    <row r="773" spans="9:20" ht="16">
      <c r="I773" s="314"/>
      <c r="L773" s="350"/>
      <c r="O773" s="225"/>
      <c r="S773" s="315"/>
      <c r="T773" s="315"/>
    </row>
    <row r="774" spans="9:20" ht="16">
      <c r="I774" s="314"/>
      <c r="L774" s="350"/>
      <c r="O774" s="225"/>
      <c r="S774" s="315"/>
      <c r="T774" s="315"/>
    </row>
    <row r="775" spans="9:20" ht="16">
      <c r="I775" s="314"/>
      <c r="L775" s="350"/>
      <c r="O775" s="225"/>
      <c r="S775" s="315"/>
      <c r="T775" s="315"/>
    </row>
    <row r="776" spans="9:20" ht="16">
      <c r="I776" s="314"/>
      <c r="L776" s="350"/>
      <c r="O776" s="225"/>
      <c r="S776" s="315"/>
      <c r="T776" s="315"/>
    </row>
    <row r="777" spans="9:20" ht="16">
      <c r="I777" s="314"/>
      <c r="L777" s="350"/>
      <c r="O777" s="225"/>
      <c r="S777" s="315"/>
      <c r="T777" s="315"/>
    </row>
    <row r="778" spans="9:20" ht="16">
      <c r="I778" s="314"/>
      <c r="L778" s="350"/>
      <c r="O778" s="225"/>
      <c r="S778" s="315"/>
      <c r="T778" s="315"/>
    </row>
    <row r="779" spans="9:20" ht="16">
      <c r="I779" s="314"/>
      <c r="L779" s="350"/>
      <c r="O779" s="225"/>
      <c r="S779" s="315"/>
      <c r="T779" s="315"/>
    </row>
    <row r="780" spans="9:20" ht="16">
      <c r="I780" s="314"/>
      <c r="L780" s="350"/>
      <c r="O780" s="225"/>
      <c r="S780" s="315"/>
      <c r="T780" s="315"/>
    </row>
    <row r="781" spans="9:20" ht="16">
      <c r="I781" s="314"/>
      <c r="L781" s="350"/>
      <c r="O781" s="225"/>
      <c r="S781" s="315"/>
      <c r="T781" s="315"/>
    </row>
    <row r="782" spans="9:20" ht="16">
      <c r="I782" s="314"/>
      <c r="L782" s="350"/>
      <c r="O782" s="225"/>
      <c r="S782" s="315"/>
      <c r="T782" s="315"/>
    </row>
    <row r="783" spans="9:20" ht="16">
      <c r="I783" s="314"/>
      <c r="L783" s="350"/>
      <c r="O783" s="225"/>
      <c r="S783" s="315"/>
      <c r="T783" s="315"/>
    </row>
    <row r="784" spans="9:20" ht="16">
      <c r="I784" s="314"/>
      <c r="L784" s="350"/>
      <c r="O784" s="225"/>
      <c r="S784" s="315"/>
      <c r="T784" s="315"/>
    </row>
    <row r="785" spans="9:20" ht="16">
      <c r="I785" s="314"/>
      <c r="L785" s="350"/>
      <c r="O785" s="225"/>
      <c r="S785" s="315"/>
      <c r="T785" s="315"/>
    </row>
    <row r="786" spans="9:20" ht="16">
      <c r="I786" s="314"/>
      <c r="L786" s="350"/>
      <c r="O786" s="225"/>
      <c r="S786" s="315"/>
      <c r="T786" s="315"/>
    </row>
    <row r="787" spans="9:20" ht="16">
      <c r="I787" s="314"/>
      <c r="L787" s="350"/>
      <c r="O787" s="225"/>
      <c r="S787" s="315"/>
      <c r="T787" s="315"/>
    </row>
    <row r="788" spans="9:20" ht="16">
      <c r="I788" s="314"/>
      <c r="L788" s="350"/>
      <c r="O788" s="225"/>
      <c r="S788" s="315"/>
      <c r="T788" s="315"/>
    </row>
    <row r="789" spans="9:20" ht="16">
      <c r="I789" s="314"/>
      <c r="L789" s="350"/>
      <c r="O789" s="225"/>
      <c r="S789" s="315"/>
      <c r="T789" s="315"/>
    </row>
    <row r="790" spans="9:20" ht="16">
      <c r="I790" s="314"/>
      <c r="L790" s="350"/>
      <c r="O790" s="225"/>
      <c r="S790" s="315"/>
      <c r="T790" s="315"/>
    </row>
    <row r="791" spans="9:20" ht="16">
      <c r="I791" s="314"/>
      <c r="L791" s="350"/>
      <c r="O791" s="225"/>
      <c r="S791" s="315"/>
      <c r="T791" s="315"/>
    </row>
    <row r="792" spans="9:20" ht="16">
      <c r="I792" s="314"/>
      <c r="L792" s="350"/>
      <c r="O792" s="225"/>
      <c r="S792" s="315"/>
      <c r="T792" s="315"/>
    </row>
    <row r="793" spans="9:20" ht="16">
      <c r="I793" s="314"/>
      <c r="L793" s="350"/>
      <c r="O793" s="225"/>
      <c r="S793" s="315"/>
      <c r="T793" s="315"/>
    </row>
    <row r="794" spans="9:20" ht="16">
      <c r="I794" s="314"/>
      <c r="L794" s="350"/>
      <c r="O794" s="225"/>
      <c r="S794" s="315"/>
      <c r="T794" s="315"/>
    </row>
    <row r="795" spans="9:20" ht="16">
      <c r="I795" s="314"/>
      <c r="L795" s="350"/>
      <c r="O795" s="225"/>
      <c r="S795" s="315"/>
      <c r="T795" s="315"/>
    </row>
    <row r="796" spans="9:20" ht="16">
      <c r="I796" s="314"/>
      <c r="L796" s="350"/>
      <c r="O796" s="225"/>
      <c r="S796" s="315"/>
      <c r="T796" s="315"/>
    </row>
    <row r="797" spans="9:20" ht="16">
      <c r="I797" s="314"/>
      <c r="L797" s="350"/>
      <c r="O797" s="225"/>
      <c r="S797" s="315"/>
      <c r="T797" s="315"/>
    </row>
    <row r="798" spans="9:20" ht="16">
      <c r="I798" s="314"/>
      <c r="L798" s="350"/>
      <c r="O798" s="225"/>
      <c r="S798" s="315"/>
      <c r="T798" s="315"/>
    </row>
    <row r="799" spans="9:20" ht="16">
      <c r="I799" s="314"/>
      <c r="L799" s="350"/>
      <c r="O799" s="225"/>
      <c r="S799" s="315"/>
      <c r="T799" s="315"/>
    </row>
    <row r="800" spans="9:20" ht="16">
      <c r="I800" s="314"/>
      <c r="L800" s="350"/>
      <c r="O800" s="225"/>
      <c r="S800" s="315"/>
      <c r="T800" s="315"/>
    </row>
    <row r="801" spans="9:20" ht="16">
      <c r="I801" s="314"/>
      <c r="L801" s="350"/>
      <c r="O801" s="225"/>
      <c r="S801" s="315"/>
      <c r="T801" s="315"/>
    </row>
    <row r="802" spans="9:20" ht="16">
      <c r="I802" s="314"/>
      <c r="L802" s="350"/>
      <c r="O802" s="225"/>
      <c r="S802" s="315"/>
      <c r="T802" s="315"/>
    </row>
    <row r="803" spans="9:20" ht="16">
      <c r="I803" s="314"/>
      <c r="L803" s="350"/>
      <c r="O803" s="225"/>
      <c r="S803" s="315"/>
      <c r="T803" s="315"/>
    </row>
    <row r="804" spans="9:20" ht="16">
      <c r="I804" s="314"/>
      <c r="L804" s="350"/>
      <c r="O804" s="225"/>
      <c r="S804" s="315"/>
      <c r="T804" s="315"/>
    </row>
    <row r="805" spans="9:20" ht="16">
      <c r="I805" s="314"/>
      <c r="L805" s="350"/>
      <c r="O805" s="225"/>
      <c r="S805" s="315"/>
      <c r="T805" s="315"/>
    </row>
    <row r="806" spans="9:20" ht="16">
      <c r="I806" s="314"/>
      <c r="L806" s="350"/>
      <c r="O806" s="225"/>
      <c r="S806" s="315"/>
      <c r="T806" s="315"/>
    </row>
    <row r="807" spans="9:20" ht="16">
      <c r="I807" s="314"/>
      <c r="L807" s="350"/>
      <c r="O807" s="225"/>
      <c r="S807" s="315"/>
      <c r="T807" s="315"/>
    </row>
    <row r="808" spans="9:20" ht="16">
      <c r="I808" s="314"/>
      <c r="L808" s="350"/>
      <c r="O808" s="225"/>
      <c r="S808" s="315"/>
      <c r="T808" s="315"/>
    </row>
    <row r="809" spans="9:20" ht="16">
      <c r="I809" s="314"/>
      <c r="L809" s="350"/>
      <c r="O809" s="225"/>
      <c r="S809" s="315"/>
      <c r="T809" s="315"/>
    </row>
    <row r="810" spans="9:20" ht="16">
      <c r="I810" s="314"/>
      <c r="L810" s="350"/>
      <c r="O810" s="225"/>
      <c r="S810" s="315"/>
      <c r="T810" s="315"/>
    </row>
    <row r="811" spans="9:20" ht="16">
      <c r="I811" s="314"/>
      <c r="L811" s="350"/>
      <c r="O811" s="225"/>
      <c r="S811" s="315"/>
      <c r="T811" s="315"/>
    </row>
    <row r="812" spans="9:20" ht="16">
      <c r="I812" s="314"/>
      <c r="L812" s="350"/>
      <c r="O812" s="225"/>
      <c r="S812" s="315"/>
      <c r="T812" s="315"/>
    </row>
    <row r="813" spans="9:20" ht="16">
      <c r="I813" s="314"/>
      <c r="L813" s="350"/>
      <c r="O813" s="225"/>
      <c r="S813" s="315"/>
      <c r="T813" s="315"/>
    </row>
    <row r="814" spans="9:20" ht="16">
      <c r="I814" s="314"/>
      <c r="L814" s="350"/>
      <c r="O814" s="225"/>
      <c r="S814" s="315"/>
      <c r="T814" s="315"/>
    </row>
    <row r="815" spans="9:20" ht="16">
      <c r="I815" s="314"/>
      <c r="L815" s="350"/>
      <c r="O815" s="225"/>
      <c r="S815" s="315"/>
      <c r="T815" s="315"/>
    </row>
    <row r="816" spans="9:20" ht="16">
      <c r="I816" s="314"/>
      <c r="L816" s="350"/>
      <c r="O816" s="225"/>
      <c r="S816" s="315"/>
      <c r="T816" s="315"/>
    </row>
    <row r="817" spans="9:20" ht="16">
      <c r="I817" s="314"/>
      <c r="L817" s="350"/>
      <c r="O817" s="225"/>
      <c r="S817" s="315"/>
      <c r="T817" s="315"/>
    </row>
    <row r="818" spans="9:20" ht="16">
      <c r="I818" s="314"/>
      <c r="L818" s="350"/>
      <c r="O818" s="225"/>
      <c r="S818" s="315"/>
      <c r="T818" s="315"/>
    </row>
    <row r="819" spans="9:20" ht="16">
      <c r="I819" s="314"/>
      <c r="L819" s="350"/>
      <c r="O819" s="225"/>
      <c r="S819" s="315"/>
      <c r="T819" s="315"/>
    </row>
    <row r="820" spans="9:20" ht="16">
      <c r="I820" s="314"/>
      <c r="L820" s="350"/>
      <c r="O820" s="225"/>
      <c r="S820" s="315"/>
      <c r="T820" s="315"/>
    </row>
    <row r="821" spans="9:20" ht="16">
      <c r="I821" s="314"/>
      <c r="L821" s="350"/>
      <c r="O821" s="225"/>
      <c r="S821" s="315"/>
      <c r="T821" s="315"/>
    </row>
    <row r="822" spans="9:20" ht="16">
      <c r="I822" s="314"/>
      <c r="L822" s="350"/>
      <c r="O822" s="225"/>
      <c r="S822" s="315"/>
      <c r="T822" s="315"/>
    </row>
    <row r="823" spans="9:20" ht="16">
      <c r="I823" s="314"/>
      <c r="L823" s="350"/>
      <c r="O823" s="225"/>
      <c r="S823" s="315"/>
      <c r="T823" s="315"/>
    </row>
    <row r="824" spans="9:20" ht="16">
      <c r="I824" s="314"/>
      <c r="L824" s="350"/>
      <c r="O824" s="225"/>
      <c r="S824" s="315"/>
      <c r="T824" s="315"/>
    </row>
    <row r="825" spans="9:20" ht="16">
      <c r="I825" s="314"/>
      <c r="L825" s="350"/>
      <c r="O825" s="225"/>
      <c r="S825" s="315"/>
      <c r="T825" s="315"/>
    </row>
    <row r="826" spans="9:20" ht="16">
      <c r="I826" s="314"/>
      <c r="L826" s="350"/>
      <c r="O826" s="225"/>
      <c r="S826" s="315"/>
      <c r="T826" s="315"/>
    </row>
    <row r="827" spans="9:20" ht="16">
      <c r="I827" s="314"/>
      <c r="L827" s="350"/>
      <c r="O827" s="225"/>
      <c r="S827" s="315"/>
      <c r="T827" s="315"/>
    </row>
    <row r="828" spans="9:20" ht="16">
      <c r="I828" s="314"/>
      <c r="L828" s="350"/>
      <c r="O828" s="225"/>
      <c r="S828" s="315"/>
      <c r="T828" s="315"/>
    </row>
    <row r="829" spans="9:20" ht="16">
      <c r="I829" s="314"/>
      <c r="L829" s="350"/>
      <c r="O829" s="225"/>
      <c r="S829" s="315"/>
      <c r="T829" s="315"/>
    </row>
    <row r="830" spans="9:20" ht="16">
      <c r="I830" s="314"/>
      <c r="L830" s="350"/>
      <c r="O830" s="225"/>
      <c r="S830" s="315"/>
      <c r="T830" s="315"/>
    </row>
    <row r="831" spans="9:20" ht="16">
      <c r="I831" s="314"/>
      <c r="L831" s="350"/>
      <c r="O831" s="225"/>
      <c r="S831" s="315"/>
      <c r="T831" s="315"/>
    </row>
    <row r="832" spans="9:20" ht="16">
      <c r="I832" s="314"/>
      <c r="L832" s="350"/>
      <c r="O832" s="225"/>
      <c r="S832" s="315"/>
      <c r="T832" s="315"/>
    </row>
    <row r="833" spans="9:20" ht="16">
      <c r="I833" s="314"/>
      <c r="L833" s="350"/>
      <c r="O833" s="225"/>
      <c r="S833" s="315"/>
      <c r="T833" s="315"/>
    </row>
    <row r="834" spans="9:20" ht="16">
      <c r="I834" s="314"/>
      <c r="L834" s="350"/>
      <c r="O834" s="225"/>
      <c r="S834" s="315"/>
      <c r="T834" s="315"/>
    </row>
    <row r="835" spans="9:20" ht="16">
      <c r="I835" s="314"/>
      <c r="L835" s="350"/>
      <c r="O835" s="225"/>
      <c r="S835" s="315"/>
      <c r="T835" s="315"/>
    </row>
    <row r="836" spans="9:20" ht="16">
      <c r="I836" s="314"/>
      <c r="L836" s="350"/>
      <c r="O836" s="225"/>
      <c r="S836" s="315"/>
      <c r="T836" s="315"/>
    </row>
    <row r="837" spans="9:20" ht="16">
      <c r="I837" s="314"/>
      <c r="L837" s="350"/>
      <c r="O837" s="225"/>
      <c r="S837" s="315"/>
      <c r="T837" s="315"/>
    </row>
    <row r="838" spans="9:20" ht="16">
      <c r="I838" s="314"/>
      <c r="L838" s="350"/>
      <c r="O838" s="225"/>
      <c r="S838" s="315"/>
      <c r="T838" s="315"/>
    </row>
    <row r="839" spans="9:20" ht="16">
      <c r="I839" s="314"/>
      <c r="L839" s="350"/>
      <c r="O839" s="225"/>
      <c r="S839" s="315"/>
      <c r="T839" s="315"/>
    </row>
    <row r="840" spans="9:20" ht="16">
      <c r="I840" s="314"/>
      <c r="L840" s="350"/>
      <c r="O840" s="225"/>
      <c r="S840" s="315"/>
      <c r="T840" s="315"/>
    </row>
    <row r="841" spans="9:20" ht="16">
      <c r="I841" s="314"/>
      <c r="L841" s="350"/>
      <c r="O841" s="225"/>
      <c r="S841" s="315"/>
      <c r="T841" s="315"/>
    </row>
    <row r="842" spans="9:20" ht="16">
      <c r="I842" s="314"/>
      <c r="L842" s="350"/>
      <c r="O842" s="225"/>
      <c r="S842" s="315"/>
      <c r="T842" s="315"/>
    </row>
    <row r="843" spans="9:20" ht="16">
      <c r="I843" s="314"/>
      <c r="L843" s="350"/>
      <c r="O843" s="225"/>
      <c r="S843" s="315"/>
      <c r="T843" s="315"/>
    </row>
    <row r="844" spans="9:20" ht="16">
      <c r="I844" s="314"/>
      <c r="L844" s="350"/>
      <c r="O844" s="225"/>
      <c r="S844" s="315"/>
      <c r="T844" s="315"/>
    </row>
    <row r="845" spans="9:20" ht="16">
      <c r="I845" s="314"/>
      <c r="L845" s="350"/>
      <c r="O845" s="225"/>
      <c r="S845" s="315"/>
      <c r="T845" s="315"/>
    </row>
    <row r="846" spans="9:20" ht="16">
      <c r="I846" s="314"/>
      <c r="L846" s="350"/>
      <c r="O846" s="225"/>
      <c r="S846" s="315"/>
      <c r="T846" s="315"/>
    </row>
    <row r="847" spans="9:20" ht="16">
      <c r="I847" s="314"/>
      <c r="L847" s="350"/>
      <c r="O847" s="225"/>
      <c r="S847" s="315"/>
      <c r="T847" s="315"/>
    </row>
    <row r="848" spans="9:20" ht="16">
      <c r="I848" s="314"/>
      <c r="L848" s="350"/>
      <c r="O848" s="225"/>
      <c r="S848" s="315"/>
      <c r="T848" s="315"/>
    </row>
    <row r="849" spans="9:20" ht="16">
      <c r="I849" s="314"/>
      <c r="L849" s="350"/>
      <c r="O849" s="225"/>
      <c r="S849" s="315"/>
      <c r="T849" s="315"/>
    </row>
    <row r="850" spans="9:20" ht="16">
      <c r="I850" s="314"/>
      <c r="L850" s="350"/>
      <c r="O850" s="225"/>
      <c r="S850" s="315"/>
      <c r="T850" s="315"/>
    </row>
    <row r="851" spans="9:20" ht="16">
      <c r="I851" s="314"/>
      <c r="L851" s="350"/>
      <c r="O851" s="225"/>
      <c r="S851" s="315"/>
      <c r="T851" s="315"/>
    </row>
    <row r="852" spans="9:20" ht="16">
      <c r="I852" s="314"/>
      <c r="L852" s="350"/>
      <c r="O852" s="225"/>
      <c r="S852" s="315"/>
      <c r="T852" s="315"/>
    </row>
    <row r="853" spans="9:20" ht="16">
      <c r="I853" s="314"/>
      <c r="L853" s="350"/>
      <c r="O853" s="225"/>
      <c r="S853" s="315"/>
      <c r="T853" s="315"/>
    </row>
    <row r="854" spans="9:20" ht="16">
      <c r="I854" s="314"/>
      <c r="L854" s="350"/>
      <c r="O854" s="225"/>
      <c r="S854" s="315"/>
      <c r="T854" s="315"/>
    </row>
    <row r="855" spans="9:20" ht="16">
      <c r="I855" s="314"/>
      <c r="L855" s="350"/>
      <c r="O855" s="225"/>
      <c r="S855" s="315"/>
      <c r="T855" s="315"/>
    </row>
    <row r="856" spans="9:20" ht="16">
      <c r="I856" s="314"/>
      <c r="L856" s="350"/>
      <c r="O856" s="225"/>
      <c r="S856" s="315"/>
      <c r="T856" s="315"/>
    </row>
    <row r="857" spans="9:20" ht="16">
      <c r="I857" s="314"/>
      <c r="L857" s="350"/>
      <c r="O857" s="225"/>
      <c r="S857" s="315"/>
      <c r="T857" s="315"/>
    </row>
    <row r="858" spans="9:20" ht="16">
      <c r="I858" s="314"/>
      <c r="L858" s="350"/>
      <c r="O858" s="225"/>
      <c r="S858" s="315"/>
      <c r="T858" s="315"/>
    </row>
    <row r="859" spans="9:20" ht="16">
      <c r="I859" s="314"/>
      <c r="L859" s="350"/>
      <c r="O859" s="225"/>
      <c r="S859" s="315"/>
      <c r="T859" s="315"/>
    </row>
    <row r="860" spans="9:20" ht="16">
      <c r="I860" s="314"/>
      <c r="L860" s="350"/>
      <c r="O860" s="225"/>
      <c r="S860" s="315"/>
      <c r="T860" s="315"/>
    </row>
    <row r="861" spans="9:20" ht="16">
      <c r="I861" s="314"/>
      <c r="L861" s="350"/>
      <c r="O861" s="225"/>
      <c r="S861" s="315"/>
      <c r="T861" s="315"/>
    </row>
    <row r="862" spans="9:20" ht="16">
      <c r="I862" s="314"/>
      <c r="L862" s="350"/>
      <c r="O862" s="225"/>
      <c r="S862" s="315"/>
      <c r="T862" s="315"/>
    </row>
    <row r="863" spans="9:20" ht="16">
      <c r="I863" s="314"/>
      <c r="L863" s="350"/>
      <c r="O863" s="225"/>
      <c r="S863" s="315"/>
      <c r="T863" s="315"/>
    </row>
    <row r="864" spans="9:20" ht="16">
      <c r="I864" s="314"/>
      <c r="L864" s="350"/>
      <c r="O864" s="225"/>
      <c r="S864" s="315"/>
      <c r="T864" s="315"/>
    </row>
    <row r="865" spans="9:20" ht="16">
      <c r="I865" s="314"/>
      <c r="L865" s="350"/>
      <c r="O865" s="225"/>
      <c r="S865" s="315"/>
      <c r="T865" s="315"/>
    </row>
    <row r="866" spans="9:20" ht="16">
      <c r="I866" s="314"/>
      <c r="L866" s="350"/>
      <c r="O866" s="225"/>
      <c r="S866" s="315"/>
      <c r="T866" s="315"/>
    </row>
    <row r="867" spans="9:20" ht="16">
      <c r="I867" s="314"/>
      <c r="L867" s="350"/>
      <c r="O867" s="225"/>
      <c r="S867" s="315"/>
      <c r="T867" s="315"/>
    </row>
    <row r="868" spans="9:20" ht="16">
      <c r="I868" s="314"/>
      <c r="L868" s="350"/>
      <c r="O868" s="225"/>
      <c r="S868" s="315"/>
      <c r="T868" s="315"/>
    </row>
    <row r="869" spans="9:20" ht="16">
      <c r="I869" s="314"/>
      <c r="L869" s="350"/>
      <c r="O869" s="225"/>
      <c r="S869" s="315"/>
      <c r="T869" s="315"/>
    </row>
    <row r="870" spans="9:20" ht="16">
      <c r="I870" s="314"/>
      <c r="L870" s="350"/>
      <c r="O870" s="225"/>
      <c r="S870" s="315"/>
      <c r="T870" s="315"/>
    </row>
    <row r="871" spans="9:20" ht="16">
      <c r="I871" s="314"/>
      <c r="L871" s="350"/>
      <c r="O871" s="225"/>
      <c r="S871" s="315"/>
      <c r="T871" s="315"/>
    </row>
    <row r="872" spans="9:20" ht="16">
      <c r="I872" s="314"/>
      <c r="L872" s="350"/>
      <c r="O872" s="225"/>
      <c r="S872" s="315"/>
      <c r="T872" s="315"/>
    </row>
    <row r="873" spans="9:20" ht="16">
      <c r="I873" s="314"/>
      <c r="L873" s="350"/>
      <c r="O873" s="225"/>
      <c r="S873" s="315"/>
      <c r="T873" s="315"/>
    </row>
    <row r="874" spans="9:20" ht="16">
      <c r="I874" s="314"/>
      <c r="L874" s="350"/>
      <c r="O874" s="225"/>
      <c r="S874" s="315"/>
      <c r="T874" s="315"/>
    </row>
    <row r="875" spans="9:20" ht="16">
      <c r="I875" s="314"/>
      <c r="L875" s="350"/>
      <c r="O875" s="225"/>
      <c r="S875" s="315"/>
      <c r="T875" s="315"/>
    </row>
    <row r="876" spans="9:20" ht="16">
      <c r="I876" s="314"/>
      <c r="L876" s="350"/>
      <c r="O876" s="225"/>
      <c r="S876" s="315"/>
      <c r="T876" s="315"/>
    </row>
    <row r="877" spans="9:20" ht="16">
      <c r="I877" s="314"/>
      <c r="L877" s="350"/>
      <c r="O877" s="225"/>
      <c r="S877" s="315"/>
      <c r="T877" s="315"/>
    </row>
    <row r="878" spans="9:20" ht="16">
      <c r="I878" s="314"/>
      <c r="L878" s="350"/>
      <c r="O878" s="225"/>
      <c r="S878" s="315"/>
      <c r="T878" s="315"/>
    </row>
    <row r="879" spans="9:20" ht="16">
      <c r="I879" s="314"/>
      <c r="L879" s="350"/>
      <c r="O879" s="225"/>
      <c r="S879" s="315"/>
      <c r="T879" s="315"/>
    </row>
    <row r="880" spans="9:20" ht="16">
      <c r="I880" s="314"/>
      <c r="L880" s="350"/>
      <c r="O880" s="225"/>
      <c r="S880" s="315"/>
      <c r="T880" s="315"/>
    </row>
    <row r="881" spans="9:20" ht="16">
      <c r="I881" s="314"/>
      <c r="L881" s="350"/>
      <c r="O881" s="225"/>
      <c r="S881" s="315"/>
      <c r="T881" s="315"/>
    </row>
    <row r="882" spans="9:20" ht="16">
      <c r="I882" s="314"/>
      <c r="L882" s="350"/>
      <c r="O882" s="225"/>
      <c r="S882" s="315"/>
      <c r="T882" s="315"/>
    </row>
    <row r="883" spans="9:20" ht="16">
      <c r="I883" s="314"/>
      <c r="L883" s="350"/>
      <c r="O883" s="225"/>
      <c r="S883" s="315"/>
      <c r="T883" s="315"/>
    </row>
    <row r="884" spans="9:20" ht="16">
      <c r="I884" s="314"/>
      <c r="L884" s="350"/>
      <c r="O884" s="225"/>
      <c r="S884" s="315"/>
      <c r="T884" s="315"/>
    </row>
    <row r="885" spans="9:20" ht="16">
      <c r="I885" s="314"/>
      <c r="L885" s="350"/>
      <c r="O885" s="225"/>
      <c r="S885" s="315"/>
      <c r="T885" s="315"/>
    </row>
    <row r="886" spans="9:20" ht="16">
      <c r="I886" s="314"/>
      <c r="L886" s="350"/>
      <c r="O886" s="225"/>
      <c r="S886" s="315"/>
      <c r="T886" s="315"/>
    </row>
    <row r="887" spans="9:20" ht="16">
      <c r="I887" s="314"/>
      <c r="L887" s="350"/>
      <c r="O887" s="225"/>
      <c r="S887" s="315"/>
      <c r="T887" s="315"/>
    </row>
    <row r="888" spans="9:20" ht="16">
      <c r="I888" s="314"/>
      <c r="L888" s="350"/>
      <c r="O888" s="225"/>
      <c r="S888" s="315"/>
      <c r="T888" s="315"/>
    </row>
    <row r="889" spans="9:20" ht="16">
      <c r="I889" s="314"/>
      <c r="L889" s="350"/>
      <c r="O889" s="225"/>
      <c r="S889" s="315"/>
      <c r="T889" s="315"/>
    </row>
    <row r="890" spans="9:20" ht="16">
      <c r="I890" s="314"/>
      <c r="L890" s="350"/>
      <c r="O890" s="225"/>
      <c r="S890" s="315"/>
      <c r="T890" s="315"/>
    </row>
    <row r="891" spans="9:20" ht="16">
      <c r="I891" s="314"/>
      <c r="L891" s="350"/>
      <c r="O891" s="225"/>
      <c r="S891" s="315"/>
      <c r="T891" s="315"/>
    </row>
    <row r="892" spans="9:20" ht="16">
      <c r="I892" s="314"/>
      <c r="L892" s="350"/>
      <c r="O892" s="225"/>
      <c r="S892" s="315"/>
      <c r="T892" s="315"/>
    </row>
    <row r="893" spans="9:20" ht="16">
      <c r="I893" s="314"/>
      <c r="L893" s="350"/>
      <c r="O893" s="225"/>
      <c r="S893" s="315"/>
      <c r="T893" s="315"/>
    </row>
    <row r="894" spans="9:20" ht="16">
      <c r="I894" s="314"/>
      <c r="L894" s="350"/>
      <c r="O894" s="225"/>
      <c r="S894" s="315"/>
      <c r="T894" s="315"/>
    </row>
    <row r="895" spans="9:20" ht="16">
      <c r="I895" s="314"/>
      <c r="L895" s="350"/>
      <c r="O895" s="225"/>
      <c r="S895" s="315"/>
      <c r="T895" s="315"/>
    </row>
    <row r="896" spans="9:20" ht="16">
      <c r="I896" s="314"/>
      <c r="L896" s="350"/>
      <c r="O896" s="225"/>
      <c r="S896" s="315"/>
      <c r="T896" s="315"/>
    </row>
    <row r="897" spans="9:20" ht="16">
      <c r="I897" s="314"/>
      <c r="L897" s="350"/>
      <c r="O897" s="225"/>
      <c r="S897" s="315"/>
      <c r="T897" s="315"/>
    </row>
    <row r="898" spans="9:20" ht="16">
      <c r="I898" s="314"/>
      <c r="L898" s="350"/>
      <c r="O898" s="225"/>
      <c r="S898" s="315"/>
      <c r="T898" s="315"/>
    </row>
    <row r="899" spans="9:20" ht="16">
      <c r="I899" s="314"/>
      <c r="L899" s="350"/>
      <c r="O899" s="225"/>
      <c r="S899" s="315"/>
      <c r="T899" s="315"/>
    </row>
    <row r="900" spans="9:20" ht="16">
      <c r="I900" s="314"/>
      <c r="L900" s="350"/>
      <c r="O900" s="225"/>
      <c r="S900" s="315"/>
      <c r="T900" s="315"/>
    </row>
    <row r="901" spans="9:20" ht="16">
      <c r="I901" s="314"/>
      <c r="L901" s="350"/>
      <c r="O901" s="225"/>
      <c r="S901" s="315"/>
      <c r="T901" s="315"/>
    </row>
    <row r="902" spans="9:20" ht="16">
      <c r="I902" s="314"/>
      <c r="L902" s="350"/>
      <c r="O902" s="225"/>
      <c r="S902" s="315"/>
      <c r="T902" s="315"/>
    </row>
    <row r="903" spans="9:20" ht="16">
      <c r="I903" s="314"/>
      <c r="L903" s="350"/>
      <c r="O903" s="225"/>
      <c r="S903" s="315"/>
      <c r="T903" s="315"/>
    </row>
    <row r="904" spans="9:20" ht="16">
      <c r="I904" s="314"/>
      <c r="L904" s="350"/>
      <c r="O904" s="225"/>
      <c r="S904" s="315"/>
      <c r="T904" s="315"/>
    </row>
    <row r="905" spans="9:20" ht="16">
      <c r="I905" s="314"/>
      <c r="L905" s="350"/>
      <c r="O905" s="225"/>
      <c r="S905" s="315"/>
      <c r="T905" s="315"/>
    </row>
    <row r="906" spans="9:20" ht="16">
      <c r="I906" s="314"/>
      <c r="L906" s="350"/>
      <c r="O906" s="225"/>
      <c r="S906" s="315"/>
      <c r="T906" s="315"/>
    </row>
    <row r="907" spans="9:20" ht="16">
      <c r="I907" s="314"/>
      <c r="L907" s="350"/>
      <c r="O907" s="225"/>
      <c r="S907" s="315"/>
      <c r="T907" s="315"/>
    </row>
    <row r="908" spans="9:20" ht="16">
      <c r="I908" s="314"/>
      <c r="L908" s="350"/>
      <c r="O908" s="225"/>
      <c r="S908" s="315"/>
      <c r="T908" s="315"/>
    </row>
    <row r="909" spans="9:20" ht="16">
      <c r="I909" s="314"/>
      <c r="L909" s="350"/>
      <c r="O909" s="225"/>
      <c r="S909" s="315"/>
      <c r="T909" s="315"/>
    </row>
    <row r="910" spans="9:20" ht="16">
      <c r="I910" s="314"/>
      <c r="L910" s="350"/>
      <c r="O910" s="225"/>
      <c r="S910" s="315"/>
      <c r="T910" s="315"/>
    </row>
    <row r="911" spans="9:20" ht="16">
      <c r="I911" s="314"/>
      <c r="L911" s="350"/>
      <c r="O911" s="225"/>
      <c r="S911" s="315"/>
      <c r="T911" s="315"/>
    </row>
    <row r="912" spans="9:20" ht="16">
      <c r="I912" s="314"/>
      <c r="L912" s="350"/>
      <c r="O912" s="225"/>
      <c r="S912" s="315"/>
      <c r="T912" s="315"/>
    </row>
    <row r="913" spans="9:20" ht="16">
      <c r="I913" s="314"/>
      <c r="L913" s="350"/>
      <c r="O913" s="225"/>
      <c r="S913" s="315"/>
      <c r="T913" s="315"/>
    </row>
    <row r="914" spans="9:20" ht="16">
      <c r="I914" s="314"/>
      <c r="L914" s="350"/>
      <c r="O914" s="225"/>
      <c r="S914" s="315"/>
      <c r="T914" s="315"/>
    </row>
    <row r="915" spans="9:20" ht="16">
      <c r="I915" s="314"/>
      <c r="L915" s="350"/>
      <c r="O915" s="225"/>
      <c r="S915" s="315"/>
      <c r="T915" s="315"/>
    </row>
    <row r="916" spans="9:20" ht="16">
      <c r="I916" s="314"/>
      <c r="L916" s="350"/>
      <c r="O916" s="225"/>
      <c r="S916" s="315"/>
      <c r="T916" s="315"/>
    </row>
    <row r="917" spans="9:20" ht="16">
      <c r="I917" s="314"/>
      <c r="L917" s="350"/>
      <c r="O917" s="225"/>
      <c r="S917" s="315"/>
      <c r="T917" s="315"/>
    </row>
    <row r="918" spans="9:20" ht="16">
      <c r="I918" s="314"/>
      <c r="L918" s="350"/>
      <c r="O918" s="225"/>
      <c r="S918" s="315"/>
      <c r="T918" s="315"/>
    </row>
    <row r="919" spans="9:20" ht="16">
      <c r="I919" s="314"/>
      <c r="L919" s="350"/>
      <c r="O919" s="225"/>
      <c r="S919" s="315"/>
      <c r="T919" s="315"/>
    </row>
    <row r="920" spans="9:20" ht="16">
      <c r="I920" s="314"/>
      <c r="L920" s="350"/>
      <c r="O920" s="225"/>
      <c r="S920" s="315"/>
      <c r="T920" s="315"/>
    </row>
    <row r="921" spans="9:20" ht="16">
      <c r="I921" s="314"/>
      <c r="L921" s="350"/>
      <c r="O921" s="225"/>
      <c r="S921" s="315"/>
      <c r="T921" s="315"/>
    </row>
    <row r="922" spans="9:20" ht="16">
      <c r="I922" s="314"/>
      <c r="L922" s="350"/>
      <c r="O922" s="225"/>
      <c r="S922" s="315"/>
      <c r="T922" s="315"/>
    </row>
    <row r="923" spans="9:20" ht="16">
      <c r="I923" s="314"/>
      <c r="L923" s="350"/>
      <c r="O923" s="225"/>
      <c r="S923" s="315"/>
      <c r="T923" s="315"/>
    </row>
    <row r="924" spans="9:20" ht="16">
      <c r="I924" s="314"/>
      <c r="L924" s="350"/>
      <c r="O924" s="225"/>
      <c r="S924" s="315"/>
      <c r="T924" s="315"/>
    </row>
    <row r="925" spans="9:20" ht="16">
      <c r="I925" s="314"/>
      <c r="L925" s="350"/>
      <c r="O925" s="225"/>
      <c r="S925" s="315"/>
      <c r="T925" s="315"/>
    </row>
    <row r="926" spans="9:20" ht="16">
      <c r="I926" s="314"/>
      <c r="L926" s="350"/>
      <c r="O926" s="225"/>
      <c r="S926" s="315"/>
      <c r="T926" s="315"/>
    </row>
    <row r="927" spans="9:20" ht="16">
      <c r="I927" s="314"/>
      <c r="L927" s="350"/>
      <c r="O927" s="225"/>
      <c r="S927" s="315"/>
      <c r="T927" s="315"/>
    </row>
    <row r="928" spans="9:20" ht="16">
      <c r="I928" s="314"/>
      <c r="L928" s="350"/>
      <c r="O928" s="225"/>
      <c r="S928" s="315"/>
      <c r="T928" s="315"/>
    </row>
    <row r="929" spans="9:20" ht="16">
      <c r="I929" s="314"/>
      <c r="L929" s="350"/>
      <c r="O929" s="225"/>
      <c r="S929" s="315"/>
      <c r="T929" s="315"/>
    </row>
    <row r="930" spans="9:20" ht="16">
      <c r="I930" s="314"/>
      <c r="L930" s="350"/>
      <c r="O930" s="225"/>
      <c r="S930" s="315"/>
      <c r="T930" s="315"/>
    </row>
    <row r="931" spans="9:20" ht="16">
      <c r="I931" s="314"/>
      <c r="L931" s="350"/>
      <c r="O931" s="225"/>
      <c r="S931" s="315"/>
      <c r="T931" s="315"/>
    </row>
    <row r="932" spans="9:20" ht="16">
      <c r="I932" s="314"/>
      <c r="L932" s="350"/>
      <c r="O932" s="225"/>
      <c r="S932" s="315"/>
      <c r="T932" s="315"/>
    </row>
    <row r="933" spans="9:20" ht="16">
      <c r="I933" s="314"/>
      <c r="L933" s="350"/>
      <c r="O933" s="225"/>
      <c r="S933" s="315"/>
      <c r="T933" s="315"/>
    </row>
    <row r="934" spans="9:20" ht="16">
      <c r="I934" s="314"/>
      <c r="L934" s="350"/>
      <c r="O934" s="225"/>
      <c r="S934" s="315"/>
      <c r="T934" s="315"/>
    </row>
    <row r="935" spans="9:20" ht="16">
      <c r="I935" s="314"/>
      <c r="L935" s="350"/>
      <c r="O935" s="225"/>
      <c r="S935" s="315"/>
      <c r="T935" s="315"/>
    </row>
    <row r="936" spans="9:20" ht="16">
      <c r="I936" s="314"/>
      <c r="L936" s="350"/>
      <c r="O936" s="225"/>
      <c r="S936" s="315"/>
      <c r="T936" s="315"/>
    </row>
    <row r="937" spans="9:20" ht="16">
      <c r="I937" s="314"/>
      <c r="L937" s="350"/>
      <c r="O937" s="225"/>
      <c r="S937" s="315"/>
      <c r="T937" s="315"/>
    </row>
    <row r="938" spans="9:20" ht="16">
      <c r="I938" s="314"/>
      <c r="L938" s="350"/>
      <c r="O938" s="225"/>
      <c r="S938" s="315"/>
      <c r="T938" s="315"/>
    </row>
    <row r="939" spans="9:20" ht="16">
      <c r="I939" s="314"/>
      <c r="L939" s="350"/>
      <c r="O939" s="225"/>
      <c r="S939" s="315"/>
      <c r="T939" s="315"/>
    </row>
    <row r="940" spans="9:20" ht="16">
      <c r="I940" s="314"/>
      <c r="L940" s="350"/>
      <c r="O940" s="225"/>
      <c r="S940" s="315"/>
      <c r="T940" s="315"/>
    </row>
    <row r="941" spans="9:20" ht="16">
      <c r="I941" s="314"/>
      <c r="L941" s="350"/>
      <c r="O941" s="225"/>
      <c r="S941" s="315"/>
      <c r="T941" s="315"/>
    </row>
    <row r="942" spans="9:20" ht="16">
      <c r="I942" s="314"/>
      <c r="L942" s="350"/>
      <c r="O942" s="225"/>
      <c r="S942" s="315"/>
      <c r="T942" s="315"/>
    </row>
    <row r="943" spans="9:20" ht="16">
      <c r="I943" s="314"/>
      <c r="L943" s="350"/>
      <c r="O943" s="225"/>
      <c r="S943" s="315"/>
      <c r="T943" s="315"/>
    </row>
    <row r="944" spans="9:20" ht="16">
      <c r="I944" s="314"/>
      <c r="L944" s="350"/>
      <c r="O944" s="225"/>
      <c r="S944" s="315"/>
      <c r="T944" s="315"/>
    </row>
    <row r="945" spans="9:20" ht="16">
      <c r="I945" s="314"/>
      <c r="L945" s="350"/>
      <c r="O945" s="225"/>
      <c r="S945" s="315"/>
      <c r="T945" s="315"/>
    </row>
    <row r="946" spans="9:20" ht="16">
      <c r="I946" s="314"/>
      <c r="L946" s="350"/>
      <c r="O946" s="225"/>
      <c r="S946" s="315"/>
      <c r="T946" s="315"/>
    </row>
    <row r="947" spans="9:20" ht="16">
      <c r="I947" s="314"/>
      <c r="L947" s="350"/>
      <c r="O947" s="225"/>
      <c r="S947" s="315"/>
      <c r="T947" s="315"/>
    </row>
    <row r="948" spans="9:20" ht="16">
      <c r="I948" s="314"/>
      <c r="L948" s="350"/>
      <c r="O948" s="225"/>
      <c r="S948" s="315"/>
      <c r="T948" s="315"/>
    </row>
    <row r="949" spans="9:20" ht="16">
      <c r="I949" s="314"/>
      <c r="L949" s="350"/>
      <c r="O949" s="225"/>
      <c r="S949" s="315"/>
      <c r="T949" s="315"/>
    </row>
    <row r="950" spans="9:20" ht="16">
      <c r="I950" s="314"/>
      <c r="L950" s="350"/>
      <c r="O950" s="225"/>
      <c r="S950" s="315"/>
      <c r="T950" s="315"/>
    </row>
    <row r="951" spans="9:20" ht="16">
      <c r="I951" s="314"/>
      <c r="L951" s="350"/>
      <c r="O951" s="225"/>
      <c r="S951" s="315"/>
      <c r="T951" s="315"/>
    </row>
    <row r="952" spans="9:20" ht="16">
      <c r="I952" s="314"/>
      <c r="L952" s="350"/>
      <c r="O952" s="225"/>
      <c r="S952" s="315"/>
      <c r="T952" s="315"/>
    </row>
    <row r="953" spans="9:20" ht="16">
      <c r="I953" s="314"/>
      <c r="L953" s="350"/>
      <c r="O953" s="225"/>
      <c r="S953" s="315"/>
      <c r="T953" s="315"/>
    </row>
    <row r="954" spans="9:20" ht="16">
      <c r="I954" s="314"/>
      <c r="L954" s="350"/>
      <c r="O954" s="225"/>
      <c r="S954" s="315"/>
      <c r="T954" s="315"/>
    </row>
    <row r="955" spans="9:20" ht="16">
      <c r="I955" s="314"/>
      <c r="L955" s="350"/>
      <c r="O955" s="225"/>
      <c r="S955" s="315"/>
      <c r="T955" s="315"/>
    </row>
    <row r="956" spans="9:20" ht="16">
      <c r="I956" s="314"/>
      <c r="L956" s="350"/>
      <c r="O956" s="225"/>
      <c r="S956" s="315"/>
      <c r="T956" s="315"/>
    </row>
    <row r="957" spans="9:20" ht="16">
      <c r="I957" s="314"/>
      <c r="L957" s="350"/>
      <c r="O957" s="225"/>
      <c r="S957" s="315"/>
      <c r="T957" s="315"/>
    </row>
    <row r="958" spans="9:20" ht="16">
      <c r="I958" s="314"/>
      <c r="L958" s="350"/>
      <c r="O958" s="225"/>
      <c r="S958" s="315"/>
      <c r="T958" s="315"/>
    </row>
    <row r="959" spans="9:20" ht="16">
      <c r="I959" s="314"/>
      <c r="L959" s="350"/>
      <c r="O959" s="225"/>
      <c r="S959" s="315"/>
      <c r="T959" s="315"/>
    </row>
    <row r="960" spans="9:20" ht="16">
      <c r="I960" s="314"/>
      <c r="L960" s="350"/>
      <c r="O960" s="225"/>
      <c r="S960" s="315"/>
      <c r="T960" s="315"/>
    </row>
    <row r="961" spans="9:20" ht="16">
      <c r="I961" s="314"/>
      <c r="L961" s="350"/>
      <c r="O961" s="225"/>
      <c r="S961" s="315"/>
      <c r="T961" s="315"/>
    </row>
    <row r="962" spans="9:20" ht="16">
      <c r="I962" s="314"/>
      <c r="L962" s="350"/>
      <c r="O962" s="225"/>
      <c r="S962" s="315"/>
      <c r="T962" s="315"/>
    </row>
    <row r="963" spans="9:20" ht="16">
      <c r="I963" s="314"/>
      <c r="L963" s="350"/>
      <c r="O963" s="225"/>
      <c r="S963" s="315"/>
      <c r="T963" s="315"/>
    </row>
    <row r="964" spans="9:20" ht="16">
      <c r="I964" s="314"/>
      <c r="L964" s="350"/>
      <c r="O964" s="225"/>
      <c r="S964" s="315"/>
      <c r="T964" s="315"/>
    </row>
    <row r="965" spans="9:20" ht="16">
      <c r="I965" s="314"/>
      <c r="L965" s="350"/>
      <c r="O965" s="225"/>
      <c r="S965" s="315"/>
      <c r="T965" s="315"/>
    </row>
    <row r="966" spans="9:20" ht="16">
      <c r="I966" s="314"/>
      <c r="L966" s="350"/>
      <c r="O966" s="225"/>
      <c r="S966" s="315"/>
      <c r="T966" s="315"/>
    </row>
    <row r="967" spans="9:20" ht="16">
      <c r="I967" s="314"/>
      <c r="L967" s="350"/>
      <c r="O967" s="225"/>
      <c r="S967" s="315"/>
      <c r="T967" s="315"/>
    </row>
    <row r="968" spans="9:20" ht="16">
      <c r="I968" s="314"/>
      <c r="L968" s="350"/>
      <c r="O968" s="225"/>
      <c r="S968" s="315"/>
      <c r="T968" s="315"/>
    </row>
    <row r="969" spans="9:20" ht="16">
      <c r="I969" s="314"/>
      <c r="L969" s="350"/>
      <c r="O969" s="225"/>
      <c r="S969" s="315"/>
      <c r="T969" s="315"/>
    </row>
    <row r="970" spans="9:20" ht="16">
      <c r="I970" s="314"/>
      <c r="L970" s="350"/>
      <c r="O970" s="225"/>
      <c r="S970" s="315"/>
      <c r="T970" s="315"/>
    </row>
    <row r="971" spans="9:20" ht="16">
      <c r="I971" s="314"/>
      <c r="L971" s="350"/>
      <c r="O971" s="225"/>
      <c r="S971" s="315"/>
      <c r="T971" s="315"/>
    </row>
    <row r="972" spans="9:20" ht="16">
      <c r="I972" s="314"/>
      <c r="L972" s="350"/>
      <c r="O972" s="225"/>
      <c r="S972" s="315"/>
      <c r="T972" s="315"/>
    </row>
    <row r="973" spans="9:20" ht="16">
      <c r="I973" s="314"/>
      <c r="L973" s="350"/>
      <c r="O973" s="225"/>
      <c r="S973" s="315"/>
      <c r="T973" s="315"/>
    </row>
    <row r="974" spans="9:20" ht="16">
      <c r="I974" s="314"/>
      <c r="L974" s="350"/>
      <c r="O974" s="225"/>
      <c r="S974" s="315"/>
      <c r="T974" s="315"/>
    </row>
    <row r="975" spans="9:20" ht="16">
      <c r="I975" s="314"/>
      <c r="L975" s="350"/>
      <c r="O975" s="225"/>
      <c r="S975" s="315"/>
      <c r="T975" s="315"/>
    </row>
    <row r="976" spans="9:20" ht="16">
      <c r="I976" s="314"/>
      <c r="L976" s="350"/>
      <c r="O976" s="225"/>
      <c r="S976" s="315"/>
      <c r="T976" s="315"/>
    </row>
    <row r="977" spans="9:20" ht="16">
      <c r="I977" s="314"/>
      <c r="L977" s="350"/>
      <c r="O977" s="225"/>
      <c r="S977" s="315"/>
      <c r="T977" s="315"/>
    </row>
    <row r="978" spans="9:20" ht="16">
      <c r="I978" s="314"/>
      <c r="L978" s="350"/>
      <c r="O978" s="225"/>
      <c r="S978" s="315"/>
      <c r="T978" s="315"/>
    </row>
    <row r="979" spans="9:20" ht="16">
      <c r="I979" s="314"/>
      <c r="L979" s="350"/>
      <c r="O979" s="225"/>
      <c r="S979" s="315"/>
      <c r="T979" s="315"/>
    </row>
    <row r="980" spans="9:20" ht="16">
      <c r="I980" s="314"/>
      <c r="L980" s="350"/>
      <c r="O980" s="225"/>
      <c r="S980" s="315"/>
      <c r="T980" s="315"/>
    </row>
    <row r="981" spans="9:20" ht="16">
      <c r="I981" s="314"/>
      <c r="L981" s="350"/>
      <c r="O981" s="225"/>
      <c r="S981" s="315"/>
      <c r="T981" s="315"/>
    </row>
    <row r="982" spans="9:20" ht="16">
      <c r="I982" s="314"/>
      <c r="L982" s="350"/>
      <c r="O982" s="225"/>
      <c r="S982" s="315"/>
      <c r="T982" s="315"/>
    </row>
    <row r="983" spans="9:20" ht="16">
      <c r="I983" s="314"/>
      <c r="L983" s="350"/>
      <c r="O983" s="225"/>
      <c r="S983" s="315"/>
      <c r="T983" s="315"/>
    </row>
    <row r="984" spans="9:20" ht="16">
      <c r="I984" s="314"/>
      <c r="L984" s="350"/>
      <c r="O984" s="225"/>
      <c r="S984" s="315"/>
      <c r="T984" s="315"/>
    </row>
    <row r="985" spans="9:20" ht="16">
      <c r="I985" s="314"/>
      <c r="L985" s="350"/>
      <c r="O985" s="225"/>
      <c r="S985" s="315"/>
      <c r="T985" s="315"/>
    </row>
    <row r="986" spans="9:20" ht="16">
      <c r="I986" s="314"/>
      <c r="L986" s="350"/>
      <c r="O986" s="225"/>
      <c r="S986" s="315"/>
      <c r="T986" s="315"/>
    </row>
    <row r="987" spans="9:20" ht="16">
      <c r="I987" s="314"/>
      <c r="L987" s="350"/>
      <c r="O987" s="225"/>
      <c r="S987" s="315"/>
      <c r="T987" s="315"/>
    </row>
    <row r="988" spans="9:20" ht="16">
      <c r="I988" s="314"/>
      <c r="L988" s="350"/>
      <c r="O988" s="225"/>
      <c r="S988" s="315"/>
      <c r="T988" s="315"/>
    </row>
    <row r="989" spans="9:20" ht="16">
      <c r="I989" s="314"/>
      <c r="L989" s="350"/>
      <c r="O989" s="225"/>
      <c r="S989" s="315"/>
      <c r="T989" s="315"/>
    </row>
    <row r="990" spans="9:20" ht="16">
      <c r="I990" s="314"/>
      <c r="L990" s="350"/>
      <c r="O990" s="225"/>
      <c r="S990" s="315"/>
      <c r="T990" s="315"/>
    </row>
    <row r="991" spans="9:20" ht="16">
      <c r="I991" s="314"/>
      <c r="L991" s="350"/>
      <c r="O991" s="225"/>
      <c r="S991" s="315"/>
      <c r="T991" s="315"/>
    </row>
    <row r="992" spans="9:20" ht="16">
      <c r="I992" s="314"/>
      <c r="L992" s="350"/>
      <c r="O992" s="225"/>
      <c r="S992" s="315"/>
      <c r="T992" s="315"/>
    </row>
    <row r="993" spans="9:20" ht="16">
      <c r="I993" s="314"/>
      <c r="L993" s="350"/>
      <c r="O993" s="225"/>
      <c r="S993" s="315"/>
      <c r="T993" s="315"/>
    </row>
    <row r="994" spans="9:20" ht="16">
      <c r="I994" s="314"/>
      <c r="L994" s="350"/>
      <c r="O994" s="225"/>
      <c r="S994" s="315"/>
      <c r="T994" s="315"/>
    </row>
    <row r="995" spans="9:20" ht="16">
      <c r="I995" s="314"/>
      <c r="L995" s="350"/>
      <c r="O995" s="225"/>
      <c r="S995" s="315"/>
      <c r="T995" s="315"/>
    </row>
    <row r="996" spans="9:20" ht="16">
      <c r="I996" s="314"/>
      <c r="L996" s="350"/>
      <c r="O996" s="225"/>
      <c r="S996" s="315"/>
      <c r="T996" s="315"/>
    </row>
    <row r="997" spans="9:20" ht="16">
      <c r="I997" s="314"/>
      <c r="L997" s="350"/>
      <c r="O997" s="225"/>
      <c r="S997" s="315"/>
      <c r="T997" s="315"/>
    </row>
    <row r="998" spans="9:20" ht="16">
      <c r="I998" s="314"/>
      <c r="L998" s="350"/>
      <c r="O998" s="225"/>
      <c r="S998" s="315"/>
      <c r="T998" s="315"/>
    </row>
    <row r="999" spans="9:20" ht="16">
      <c r="I999" s="314"/>
      <c r="L999" s="350"/>
      <c r="O999" s="225"/>
      <c r="S999" s="315"/>
      <c r="T999" s="315"/>
    </row>
    <row r="1000" spans="9:20" ht="16">
      <c r="I1000" s="314"/>
      <c r="L1000" s="350"/>
      <c r="S1000" s="316"/>
      <c r="T1000" s="316"/>
    </row>
    <row r="1001" spans="9:20" ht="16">
      <c r="I1001" s="314"/>
      <c r="L1001" s="350"/>
      <c r="S1001" s="316"/>
      <c r="T1001" s="316"/>
    </row>
    <row r="1002" spans="9:20" ht="16">
      <c r="I1002" s="314"/>
      <c r="L1002" s="350"/>
      <c r="S1002" s="316"/>
      <c r="T1002" s="316"/>
    </row>
    <row r="1003" spans="9:20" ht="16">
      <c r="I1003" s="314"/>
      <c r="L1003" s="350"/>
      <c r="S1003" s="316"/>
      <c r="T1003" s="316"/>
    </row>
  </sheetData>
  <mergeCells count="3">
    <mergeCell ref="A1:T1"/>
    <mergeCell ref="B6:E6"/>
    <mergeCell ref="G7:H7"/>
  </mergeCells>
  <conditionalFormatting sqref="D2">
    <cfRule type="notContainsBlanks" dxfId="9" priority="1">
      <formula>LEN(TRIM(D2))&gt;0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27"/>
  <sheetViews>
    <sheetView workbookViewId="0">
      <pane ySplit="6" topLeftCell="A7" activePane="bottomLeft" state="frozen"/>
      <selection pane="bottomLeft" activeCell="B37" sqref="B37"/>
    </sheetView>
  </sheetViews>
  <sheetFormatPr baseColWidth="10" defaultColWidth="14.5" defaultRowHeight="15" customHeight="1"/>
  <cols>
    <col min="1" max="1" width="2" customWidth="1"/>
    <col min="2" max="2" width="13.6640625" customWidth="1"/>
    <col min="3" max="4" width="12.33203125" customWidth="1"/>
    <col min="5" max="5" width="21.1640625" customWidth="1"/>
    <col min="6" max="6" width="16.83203125" customWidth="1"/>
    <col min="7" max="7" width="94.6640625" customWidth="1"/>
    <col min="8" max="8" width="6.83203125" customWidth="1"/>
    <col min="9" max="9" width="5.5" customWidth="1"/>
    <col min="10" max="10" width="12.5" customWidth="1"/>
    <col min="11" max="11" width="10.6640625" customWidth="1"/>
    <col min="12" max="12" width="4.5" customWidth="1"/>
    <col min="13" max="13" width="12.33203125" customWidth="1"/>
    <col min="14" max="14" width="5.5" customWidth="1"/>
    <col min="15" max="15" width="4.1640625" customWidth="1"/>
    <col min="16" max="16" width="14" customWidth="1"/>
    <col min="17" max="17" width="4.83203125" customWidth="1"/>
    <col min="18" max="18" width="20.33203125" customWidth="1"/>
    <col min="19" max="19" width="26.6640625" customWidth="1"/>
    <col min="20" max="20" width="6.1640625" customWidth="1"/>
    <col min="21" max="21" width="37.5" customWidth="1"/>
    <col min="22" max="22" width="23.33203125" customWidth="1"/>
  </cols>
  <sheetData>
    <row r="1" spans="1:23" ht="63.75" customHeight="1">
      <c r="A1" s="173"/>
      <c r="C1" s="297"/>
      <c r="D1" s="297"/>
      <c r="E1" s="297"/>
      <c r="F1" s="317"/>
      <c r="G1" s="317"/>
      <c r="H1" s="297"/>
      <c r="I1" s="297"/>
      <c r="J1" s="297"/>
      <c r="K1" s="1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1"/>
    </row>
    <row r="2" spans="1:23" ht="16">
      <c r="A2" s="1"/>
      <c r="B2" s="318" t="s">
        <v>1</v>
      </c>
      <c r="C2" s="319">
        <v>800000</v>
      </c>
      <c r="D2" s="319"/>
      <c r="E2" s="320">
        <f>C3/C2</f>
        <v>1.2790718750000001</v>
      </c>
      <c r="G2" s="49"/>
      <c r="H2" s="90"/>
      <c r="I2" s="90"/>
      <c r="J2" s="90"/>
      <c r="K2" s="90"/>
      <c r="L2" s="90"/>
      <c r="M2" s="321"/>
      <c r="N2" s="90"/>
      <c r="O2" s="90"/>
      <c r="P2" s="90"/>
      <c r="Q2" s="90"/>
      <c r="R2" s="90"/>
      <c r="S2" s="90"/>
      <c r="T2" s="90"/>
      <c r="U2" s="90"/>
      <c r="V2" s="90"/>
      <c r="W2" s="1"/>
    </row>
    <row r="3" spans="1:23" ht="16">
      <c r="A3" s="1"/>
      <c r="B3" s="322" t="s">
        <v>2</v>
      </c>
      <c r="C3" s="319">
        <f>SUM(K8:K269)</f>
        <v>1023257.5</v>
      </c>
      <c r="D3" s="319"/>
      <c r="E3" s="323" t="s">
        <v>3</v>
      </c>
      <c r="F3" s="324"/>
      <c r="G3" s="363" t="s">
        <v>4044</v>
      </c>
      <c r="H3" s="299"/>
      <c r="I3" s="90"/>
      <c r="J3" s="299"/>
      <c r="K3" s="299"/>
      <c r="L3" s="299"/>
      <c r="M3" s="325"/>
      <c r="N3" s="299"/>
      <c r="O3" s="299"/>
      <c r="P3" s="299"/>
      <c r="Q3" s="299"/>
      <c r="R3" s="299"/>
      <c r="S3" s="299"/>
      <c r="T3" s="299"/>
      <c r="U3" s="299"/>
      <c r="V3" s="299"/>
      <c r="W3" s="1"/>
    </row>
    <row r="4" spans="1:23">
      <c r="A4" s="1"/>
      <c r="B4" s="326" t="s">
        <v>2218</v>
      </c>
      <c r="C4" s="326">
        <f ca="1">(E5-TODAY())</f>
        <v>-96</v>
      </c>
      <c r="D4" s="326"/>
      <c r="E4" s="17"/>
      <c r="F4" s="327"/>
      <c r="G4" s="363" t="s">
        <v>4045</v>
      </c>
      <c r="H4" s="90"/>
      <c r="J4" s="90"/>
      <c r="L4" s="90"/>
      <c r="M4" s="321"/>
      <c r="N4" s="90"/>
      <c r="O4" s="90"/>
      <c r="P4" s="90"/>
      <c r="Q4" s="90"/>
      <c r="R4" s="90"/>
      <c r="S4" s="90"/>
      <c r="T4" s="90"/>
      <c r="U4" s="90"/>
      <c r="V4" s="90"/>
      <c r="W4" s="1"/>
    </row>
    <row r="5" spans="1:23" ht="16">
      <c r="A5" s="1"/>
      <c r="B5" s="328" t="s">
        <v>6</v>
      </c>
      <c r="C5" s="329">
        <f ca="1">TODAY()</f>
        <v>46026</v>
      </c>
      <c r="D5" s="328"/>
      <c r="E5" s="330">
        <v>45930</v>
      </c>
      <c r="F5" s="90"/>
      <c r="G5" s="299"/>
      <c r="H5" s="90"/>
      <c r="I5" s="90"/>
      <c r="J5" s="300"/>
      <c r="K5" s="300"/>
      <c r="L5" s="90"/>
      <c r="M5" s="321"/>
      <c r="N5" s="301"/>
      <c r="O5" s="302"/>
      <c r="P5" s="303"/>
      <c r="Q5" s="90"/>
      <c r="R5" s="304"/>
      <c r="S5" s="304"/>
      <c r="T5" s="90"/>
      <c r="U5" s="305"/>
      <c r="V5" s="305"/>
      <c r="W5" s="1"/>
    </row>
    <row r="6" spans="1:23" ht="22">
      <c r="A6" s="1"/>
      <c r="B6" s="549" t="s">
        <v>2734</v>
      </c>
      <c r="C6" s="537"/>
      <c r="D6" s="537"/>
      <c r="E6" s="537"/>
      <c r="F6" s="537"/>
      <c r="G6" s="26"/>
      <c r="H6" s="23"/>
      <c r="I6" s="23"/>
      <c r="J6" s="23"/>
      <c r="K6" s="23"/>
      <c r="L6" s="23"/>
      <c r="M6" s="331"/>
      <c r="N6" s="23"/>
      <c r="O6" s="24"/>
      <c r="P6" s="211"/>
      <c r="Q6" s="23"/>
      <c r="R6" s="332"/>
      <c r="S6" s="127"/>
      <c r="T6" s="26"/>
      <c r="U6" s="306"/>
      <c r="V6" s="306"/>
      <c r="W6" s="1"/>
    </row>
    <row r="7" spans="1:23" ht="14.25" customHeight="1">
      <c r="A7" s="98"/>
      <c r="B7" s="38" t="s">
        <v>18</v>
      </c>
      <c r="C7" s="38" t="s">
        <v>3442</v>
      </c>
      <c r="D7" s="38" t="s">
        <v>19</v>
      </c>
      <c r="E7" s="38" t="s">
        <v>20</v>
      </c>
      <c r="F7" s="38" t="s">
        <v>21</v>
      </c>
      <c r="G7" s="38" t="s">
        <v>2018</v>
      </c>
      <c r="H7" s="538" t="s">
        <v>22</v>
      </c>
      <c r="I7" s="528"/>
      <c r="J7" s="40" t="s">
        <v>4046</v>
      </c>
      <c r="K7" s="41" t="s">
        <v>23</v>
      </c>
      <c r="L7" s="42"/>
      <c r="M7" s="333"/>
      <c r="N7" s="43"/>
      <c r="O7" s="44"/>
      <c r="P7" s="213"/>
      <c r="Q7" s="45"/>
      <c r="R7" s="128"/>
      <c r="S7" s="307" t="s">
        <v>3443</v>
      </c>
      <c r="T7" s="47"/>
      <c r="U7" s="307"/>
      <c r="V7" s="307"/>
      <c r="W7" s="100" t="s">
        <v>24</v>
      </c>
    </row>
    <row r="8" spans="1:23" ht="16.5" customHeight="1">
      <c r="A8" s="18"/>
      <c r="B8" s="71" t="s">
        <v>3444</v>
      </c>
      <c r="C8" s="53" t="s">
        <v>3641</v>
      </c>
      <c r="D8" s="151" t="s">
        <v>51</v>
      </c>
      <c r="E8" s="151" t="s">
        <v>335</v>
      </c>
      <c r="F8" s="151" t="s">
        <v>457</v>
      </c>
      <c r="G8" s="151" t="s">
        <v>139</v>
      </c>
      <c r="H8" s="131" t="s">
        <v>30</v>
      </c>
      <c r="I8" s="151">
        <v>100</v>
      </c>
      <c r="J8" s="364">
        <v>33</v>
      </c>
      <c r="K8" s="54">
        <f t="shared" ref="K8:K25" si="0">(J8*I8)</f>
        <v>3300</v>
      </c>
      <c r="L8" s="55" t="b">
        <v>1</v>
      </c>
      <c r="M8" s="56" t="s">
        <v>529</v>
      </c>
      <c r="N8" s="57" t="b">
        <v>1</v>
      </c>
      <c r="O8" s="296"/>
      <c r="P8" s="308" t="s">
        <v>3138</v>
      </c>
      <c r="Q8" s="312" t="b">
        <v>1</v>
      </c>
      <c r="R8" s="49"/>
      <c r="S8" s="173" t="s">
        <v>4047</v>
      </c>
      <c r="T8" s="57" t="b">
        <v>1</v>
      </c>
      <c r="U8" s="310" t="s">
        <v>4048</v>
      </c>
      <c r="V8" s="307"/>
      <c r="W8" s="54"/>
    </row>
    <row r="9" spans="1:23" ht="16.5" customHeight="1">
      <c r="A9" s="18"/>
      <c r="B9" s="71" t="s">
        <v>3444</v>
      </c>
      <c r="C9" s="151" t="s">
        <v>3532</v>
      </c>
      <c r="D9" s="151" t="s">
        <v>51</v>
      </c>
      <c r="E9" s="151" t="s">
        <v>52</v>
      </c>
      <c r="F9" s="151" t="s">
        <v>1710</v>
      </c>
      <c r="G9" s="151" t="s">
        <v>4049</v>
      </c>
      <c r="H9" s="131" t="s">
        <v>30</v>
      </c>
      <c r="I9" s="151">
        <v>10</v>
      </c>
      <c r="J9" s="364">
        <v>165</v>
      </c>
      <c r="K9" s="54">
        <f t="shared" si="0"/>
        <v>1650</v>
      </c>
      <c r="L9" s="55" t="b">
        <v>1</v>
      </c>
      <c r="M9" s="56" t="s">
        <v>529</v>
      </c>
      <c r="N9" s="57" t="b">
        <v>1</v>
      </c>
      <c r="O9" s="296"/>
      <c r="P9" s="308" t="s">
        <v>3138</v>
      </c>
      <c r="Q9" s="312" t="b">
        <v>1</v>
      </c>
      <c r="R9" s="49"/>
      <c r="S9" s="173"/>
      <c r="T9" s="57" t="b">
        <v>1</v>
      </c>
      <c r="U9" s="310" t="s">
        <v>4050</v>
      </c>
      <c r="V9" s="307"/>
      <c r="W9" s="54"/>
    </row>
    <row r="10" spans="1:23" ht="16">
      <c r="A10" s="162"/>
      <c r="B10" s="71" t="s">
        <v>3444</v>
      </c>
      <c r="C10" s="151" t="s">
        <v>4051</v>
      </c>
      <c r="D10" s="151" t="s">
        <v>418</v>
      </c>
      <c r="E10" s="151" t="s">
        <v>42</v>
      </c>
      <c r="F10" s="151" t="s">
        <v>4052</v>
      </c>
      <c r="G10" s="151" t="s">
        <v>2719</v>
      </c>
      <c r="H10" s="53" t="s">
        <v>30</v>
      </c>
      <c r="I10" s="151">
        <v>20</v>
      </c>
      <c r="J10" s="364">
        <v>135</v>
      </c>
      <c r="K10" s="54">
        <f t="shared" si="0"/>
        <v>2700</v>
      </c>
      <c r="L10" s="55" t="b">
        <v>1</v>
      </c>
      <c r="M10" s="56">
        <v>10920251800</v>
      </c>
      <c r="N10" s="57" t="b">
        <v>1</v>
      </c>
      <c r="O10" s="296"/>
      <c r="P10" s="308" t="s">
        <v>3138</v>
      </c>
      <c r="Q10" s="312" t="b">
        <v>1</v>
      </c>
      <c r="R10" s="49"/>
      <c r="S10" s="173" t="s">
        <v>4053</v>
      </c>
      <c r="T10" s="57" t="b">
        <v>1</v>
      </c>
      <c r="U10" s="310" t="s">
        <v>4054</v>
      </c>
      <c r="V10" s="307"/>
      <c r="W10" s="54"/>
    </row>
    <row r="11" spans="1:23" ht="16">
      <c r="A11" s="162"/>
      <c r="B11" s="71" t="s">
        <v>4055</v>
      </c>
      <c r="C11" s="151" t="s">
        <v>4051</v>
      </c>
      <c r="D11" s="151" t="s">
        <v>418</v>
      </c>
      <c r="E11" s="151" t="s">
        <v>42</v>
      </c>
      <c r="F11" s="151" t="s">
        <v>4052</v>
      </c>
      <c r="G11" s="151" t="s">
        <v>4056</v>
      </c>
      <c r="H11" s="53" t="s">
        <v>30</v>
      </c>
      <c r="I11" s="151">
        <v>84</v>
      </c>
      <c r="J11" s="364">
        <v>37</v>
      </c>
      <c r="K11" s="54">
        <f t="shared" si="0"/>
        <v>3108</v>
      </c>
      <c r="L11" s="55" t="b">
        <v>1</v>
      </c>
      <c r="M11" s="56">
        <v>10920252041</v>
      </c>
      <c r="N11" s="57" t="b">
        <v>1</v>
      </c>
      <c r="O11" s="296"/>
      <c r="P11" s="308" t="s">
        <v>3138</v>
      </c>
      <c r="Q11" s="312" t="b">
        <v>1</v>
      </c>
      <c r="R11" s="49"/>
      <c r="S11" s="173" t="s">
        <v>4053</v>
      </c>
      <c r="T11" s="57" t="b">
        <v>1</v>
      </c>
      <c r="U11" s="310" t="s">
        <v>4054</v>
      </c>
      <c r="V11" s="307"/>
      <c r="W11" s="54"/>
    </row>
    <row r="12" spans="1:23" ht="16">
      <c r="A12" s="162"/>
      <c r="B12" s="71" t="s">
        <v>4057</v>
      </c>
      <c r="C12" s="151" t="s">
        <v>3641</v>
      </c>
      <c r="D12" s="151" t="s">
        <v>51</v>
      </c>
      <c r="E12" s="151" t="s">
        <v>335</v>
      </c>
      <c r="F12" s="151" t="s">
        <v>339</v>
      </c>
      <c r="G12" s="151" t="s">
        <v>4058</v>
      </c>
      <c r="H12" s="53" t="s">
        <v>30</v>
      </c>
      <c r="I12" s="151">
        <v>1</v>
      </c>
      <c r="J12" s="364">
        <v>8950</v>
      </c>
      <c r="K12" s="54">
        <f t="shared" si="0"/>
        <v>8950</v>
      </c>
      <c r="L12" s="55" t="b">
        <v>1</v>
      </c>
      <c r="M12" s="56">
        <v>10920252041</v>
      </c>
      <c r="N12" s="57" t="b">
        <v>1</v>
      </c>
      <c r="O12" s="296" t="s">
        <v>39</v>
      </c>
      <c r="P12" s="308" t="s">
        <v>3138</v>
      </c>
      <c r="Q12" s="312" t="b">
        <v>1</v>
      </c>
      <c r="R12" s="49"/>
      <c r="S12" s="173"/>
      <c r="T12" s="57" t="b">
        <v>1</v>
      </c>
      <c r="U12" s="310" t="s">
        <v>4059</v>
      </c>
      <c r="V12" s="307"/>
      <c r="W12" s="49" t="s">
        <v>4060</v>
      </c>
    </row>
    <row r="13" spans="1:23" ht="16">
      <c r="A13" s="162"/>
      <c r="B13" s="71" t="s">
        <v>4057</v>
      </c>
      <c r="C13" s="151" t="s">
        <v>3534</v>
      </c>
      <c r="D13" s="151" t="s">
        <v>418</v>
      </c>
      <c r="E13" s="151" t="s">
        <v>1865</v>
      </c>
      <c r="F13" s="151" t="s">
        <v>420</v>
      </c>
      <c r="G13" s="151" t="s">
        <v>2719</v>
      </c>
      <c r="H13" s="53" t="s">
        <v>30</v>
      </c>
      <c r="I13" s="151">
        <v>10</v>
      </c>
      <c r="J13" s="364">
        <v>135</v>
      </c>
      <c r="K13" s="54">
        <f t="shared" si="0"/>
        <v>1350</v>
      </c>
      <c r="L13" s="55" t="b">
        <v>1</v>
      </c>
      <c r="M13" s="56">
        <v>20920251315</v>
      </c>
      <c r="N13" s="57" t="b">
        <v>1</v>
      </c>
      <c r="O13" s="296"/>
      <c r="P13" s="342" t="s">
        <v>3684</v>
      </c>
      <c r="Q13" s="312" t="b">
        <v>1</v>
      </c>
      <c r="R13" s="49"/>
      <c r="S13" s="173" t="s">
        <v>4061</v>
      </c>
      <c r="T13" s="57" t="b">
        <v>1</v>
      </c>
      <c r="U13" s="310" t="s">
        <v>4062</v>
      </c>
      <c r="V13" s="307"/>
      <c r="W13" s="54"/>
    </row>
    <row r="14" spans="1:23" ht="14.25" customHeight="1">
      <c r="A14" s="162"/>
      <c r="B14" s="71" t="s">
        <v>4057</v>
      </c>
      <c r="C14" s="151" t="s">
        <v>3534</v>
      </c>
      <c r="D14" s="151" t="s">
        <v>418</v>
      </c>
      <c r="E14" s="151" t="s">
        <v>1865</v>
      </c>
      <c r="F14" s="151" t="s">
        <v>420</v>
      </c>
      <c r="G14" s="151" t="s">
        <v>4063</v>
      </c>
      <c r="H14" s="53" t="s">
        <v>30</v>
      </c>
      <c r="I14" s="151">
        <v>10</v>
      </c>
      <c r="J14" s="364">
        <v>650</v>
      </c>
      <c r="K14" s="54">
        <f t="shared" si="0"/>
        <v>6500</v>
      </c>
      <c r="L14" s="55" t="b">
        <v>1</v>
      </c>
      <c r="M14" s="56">
        <v>20920251315</v>
      </c>
      <c r="N14" s="57" t="b">
        <v>1</v>
      </c>
      <c r="O14" s="296" t="s">
        <v>39</v>
      </c>
      <c r="P14" s="342" t="s">
        <v>3684</v>
      </c>
      <c r="Q14" s="312" t="b">
        <v>1</v>
      </c>
      <c r="R14" s="49"/>
      <c r="S14" s="173" t="s">
        <v>4064</v>
      </c>
      <c r="T14" s="57" t="b">
        <v>1</v>
      </c>
      <c r="U14" s="310" t="s">
        <v>4065</v>
      </c>
      <c r="V14" s="307"/>
      <c r="W14" s="54"/>
    </row>
    <row r="15" spans="1:23" ht="16">
      <c r="A15" s="162"/>
      <c r="B15" s="71" t="s">
        <v>4057</v>
      </c>
      <c r="C15" s="151" t="s">
        <v>3534</v>
      </c>
      <c r="D15" s="151" t="s">
        <v>418</v>
      </c>
      <c r="E15" s="151" t="s">
        <v>1865</v>
      </c>
      <c r="F15" s="151" t="s">
        <v>420</v>
      </c>
      <c r="G15" s="151" t="s">
        <v>4066</v>
      </c>
      <c r="H15" s="53" t="s">
        <v>30</v>
      </c>
      <c r="I15" s="151">
        <v>504</v>
      </c>
      <c r="J15" s="364">
        <v>42.5</v>
      </c>
      <c r="K15" s="54">
        <f t="shared" si="0"/>
        <v>21420</v>
      </c>
      <c r="L15" s="55" t="b">
        <v>1</v>
      </c>
      <c r="M15" s="56">
        <v>20920251315</v>
      </c>
      <c r="N15" s="57" t="b">
        <v>1</v>
      </c>
      <c r="O15" s="296"/>
      <c r="P15" s="342" t="s">
        <v>3684</v>
      </c>
      <c r="Q15" s="312" t="b">
        <v>1</v>
      </c>
      <c r="R15" s="49"/>
      <c r="S15" s="173" t="s">
        <v>4067</v>
      </c>
      <c r="T15" s="57" t="b">
        <v>1</v>
      </c>
      <c r="U15" s="310" t="s">
        <v>4068</v>
      </c>
      <c r="V15" s="307"/>
      <c r="W15" s="54"/>
    </row>
    <row r="16" spans="1:23" ht="16">
      <c r="A16" s="162"/>
      <c r="B16" s="71" t="s">
        <v>4057</v>
      </c>
      <c r="C16" s="151" t="s">
        <v>3534</v>
      </c>
      <c r="D16" s="151" t="s">
        <v>51</v>
      </c>
      <c r="E16" s="151" t="s">
        <v>61</v>
      </c>
      <c r="F16" s="151" t="s">
        <v>476</v>
      </c>
      <c r="G16" s="151" t="s">
        <v>3459</v>
      </c>
      <c r="H16" s="131" t="s">
        <v>30</v>
      </c>
      <c r="I16" s="151">
        <v>5</v>
      </c>
      <c r="J16" s="335">
        <v>775</v>
      </c>
      <c r="K16" s="54">
        <f t="shared" si="0"/>
        <v>3875</v>
      </c>
      <c r="L16" s="55" t="b">
        <v>1</v>
      </c>
      <c r="M16" s="56" t="s">
        <v>529</v>
      </c>
      <c r="N16" s="57" t="b">
        <v>1</v>
      </c>
      <c r="O16" s="296"/>
      <c r="P16" s="342" t="s">
        <v>3684</v>
      </c>
      <c r="Q16" s="312" t="b">
        <v>1</v>
      </c>
      <c r="R16" s="49"/>
      <c r="S16" s="49"/>
      <c r="T16" s="57" t="b">
        <v>1</v>
      </c>
      <c r="U16" s="310" t="s">
        <v>4069</v>
      </c>
      <c r="V16" s="307"/>
      <c r="W16" s="54"/>
    </row>
    <row r="17" spans="1:26" ht="16">
      <c r="A17" s="162"/>
      <c r="B17" s="71" t="s">
        <v>4070</v>
      </c>
      <c r="C17" s="151" t="s">
        <v>3663</v>
      </c>
      <c r="D17" s="151" t="s">
        <v>2152</v>
      </c>
      <c r="E17" s="151" t="s">
        <v>137</v>
      </c>
      <c r="F17" s="151" t="s">
        <v>3077</v>
      </c>
      <c r="G17" s="151" t="s">
        <v>4063</v>
      </c>
      <c r="H17" s="53" t="s">
        <v>30</v>
      </c>
      <c r="I17" s="151">
        <v>20</v>
      </c>
      <c r="J17" s="364">
        <v>650</v>
      </c>
      <c r="K17" s="54">
        <f t="shared" si="0"/>
        <v>13000</v>
      </c>
      <c r="L17" s="55" t="b">
        <v>1</v>
      </c>
      <c r="M17" s="56">
        <v>30920251204</v>
      </c>
      <c r="N17" s="57" t="b">
        <v>1</v>
      </c>
      <c r="O17" s="296" t="s">
        <v>39</v>
      </c>
      <c r="P17" s="342" t="s">
        <v>3684</v>
      </c>
      <c r="Q17" s="312" t="b">
        <v>1</v>
      </c>
      <c r="R17" s="49"/>
      <c r="S17" s="173" t="s">
        <v>4071</v>
      </c>
      <c r="T17" s="57" t="b">
        <v>1</v>
      </c>
      <c r="U17" s="310" t="s">
        <v>4072</v>
      </c>
      <c r="V17" s="307"/>
      <c r="W17" s="54"/>
    </row>
    <row r="18" spans="1:26" ht="16">
      <c r="A18" s="162"/>
      <c r="B18" s="71" t="s">
        <v>4070</v>
      </c>
      <c r="C18" s="151" t="s">
        <v>3663</v>
      </c>
      <c r="D18" s="151" t="s">
        <v>2152</v>
      </c>
      <c r="E18" s="151" t="s">
        <v>137</v>
      </c>
      <c r="F18" s="151" t="s">
        <v>3077</v>
      </c>
      <c r="G18" s="53" t="s">
        <v>4073</v>
      </c>
      <c r="H18" s="53" t="s">
        <v>30</v>
      </c>
      <c r="I18" s="151">
        <v>42</v>
      </c>
      <c r="J18" s="364">
        <v>165</v>
      </c>
      <c r="K18" s="54">
        <f t="shared" si="0"/>
        <v>6930</v>
      </c>
      <c r="L18" s="55" t="b">
        <v>1</v>
      </c>
      <c r="M18" s="56">
        <v>30920251313</v>
      </c>
      <c r="N18" s="57" t="b">
        <v>1</v>
      </c>
      <c r="O18" s="296"/>
      <c r="P18" s="342" t="s">
        <v>3684</v>
      </c>
      <c r="Q18" s="312" t="b">
        <v>1</v>
      </c>
      <c r="R18" s="49"/>
      <c r="S18" s="173" t="s">
        <v>4074</v>
      </c>
      <c r="T18" s="57" t="b">
        <v>1</v>
      </c>
      <c r="U18" s="310" t="s">
        <v>4075</v>
      </c>
      <c r="V18" s="307"/>
      <c r="W18" s="54"/>
    </row>
    <row r="19" spans="1:26" ht="16">
      <c r="A19" s="162"/>
      <c r="B19" s="71" t="s">
        <v>4070</v>
      </c>
      <c r="C19" s="151" t="s">
        <v>4076</v>
      </c>
      <c r="D19" s="151" t="s">
        <v>569</v>
      </c>
      <c r="E19" s="151" t="s">
        <v>4077</v>
      </c>
      <c r="F19" s="151" t="s">
        <v>4078</v>
      </c>
      <c r="G19" s="151" t="s">
        <v>4079</v>
      </c>
      <c r="H19" s="53" t="s">
        <v>30</v>
      </c>
      <c r="I19" s="151">
        <v>10</v>
      </c>
      <c r="J19" s="364">
        <v>725</v>
      </c>
      <c r="K19" s="54">
        <f t="shared" si="0"/>
        <v>7250</v>
      </c>
      <c r="L19" s="55" t="b">
        <v>1</v>
      </c>
      <c r="M19" s="56">
        <v>30920251352</v>
      </c>
      <c r="N19" s="57" t="b">
        <v>1</v>
      </c>
      <c r="O19" s="296"/>
      <c r="P19" s="342" t="s">
        <v>3684</v>
      </c>
      <c r="Q19" s="312" t="b">
        <v>1</v>
      </c>
      <c r="R19" s="49"/>
      <c r="S19" s="173" t="s">
        <v>4080</v>
      </c>
      <c r="T19" s="57" t="b">
        <v>1</v>
      </c>
      <c r="U19" s="310" t="s">
        <v>4081</v>
      </c>
      <c r="V19" s="307"/>
      <c r="W19" s="54"/>
    </row>
    <row r="20" spans="1:26" ht="16">
      <c r="A20" s="162"/>
      <c r="B20" s="71" t="s">
        <v>4070</v>
      </c>
      <c r="C20" s="53" t="s">
        <v>3706</v>
      </c>
      <c r="D20" s="53" t="s">
        <v>418</v>
      </c>
      <c r="E20" s="53" t="s">
        <v>61</v>
      </c>
      <c r="F20" s="53" t="s">
        <v>607</v>
      </c>
      <c r="G20" s="53" t="s">
        <v>436</v>
      </c>
      <c r="H20" s="53" t="s">
        <v>30</v>
      </c>
      <c r="I20" s="151">
        <v>100</v>
      </c>
      <c r="J20" s="364">
        <v>270</v>
      </c>
      <c r="K20" s="54">
        <f t="shared" si="0"/>
        <v>27000</v>
      </c>
      <c r="L20" s="55" t="b">
        <v>1</v>
      </c>
      <c r="M20" s="56">
        <v>30920251545</v>
      </c>
      <c r="N20" s="57" t="b">
        <v>1</v>
      </c>
      <c r="O20" s="296"/>
      <c r="P20" s="342" t="s">
        <v>3684</v>
      </c>
      <c r="Q20" s="312" t="b">
        <v>1</v>
      </c>
      <c r="R20" s="49"/>
      <c r="S20" s="173" t="s">
        <v>4082</v>
      </c>
      <c r="T20" s="57" t="b">
        <v>1</v>
      </c>
      <c r="U20" s="310" t="s">
        <v>4083</v>
      </c>
      <c r="V20" s="307"/>
      <c r="W20" s="54"/>
    </row>
    <row r="21" spans="1:26" ht="16">
      <c r="A21" s="162"/>
      <c r="B21" s="71" t="s">
        <v>4070</v>
      </c>
      <c r="C21" s="53" t="s">
        <v>3706</v>
      </c>
      <c r="D21" s="53" t="s">
        <v>418</v>
      </c>
      <c r="E21" s="53" t="s">
        <v>61</v>
      </c>
      <c r="F21" s="53" t="s">
        <v>607</v>
      </c>
      <c r="G21" s="151" t="s">
        <v>72</v>
      </c>
      <c r="H21" s="53" t="s">
        <v>30</v>
      </c>
      <c r="I21" s="151">
        <v>1</v>
      </c>
      <c r="J21" s="364">
        <v>2750</v>
      </c>
      <c r="K21" s="54">
        <f t="shared" si="0"/>
        <v>2750</v>
      </c>
      <c r="L21" s="55" t="b">
        <v>1</v>
      </c>
      <c r="M21" s="56">
        <v>30920251545</v>
      </c>
      <c r="N21" s="57" t="b">
        <v>1</v>
      </c>
      <c r="O21" s="296"/>
      <c r="P21" s="342" t="s">
        <v>3684</v>
      </c>
      <c r="Q21" s="312" t="b">
        <v>1</v>
      </c>
      <c r="R21" s="49"/>
      <c r="S21" s="173"/>
      <c r="T21" s="57" t="b">
        <v>1</v>
      </c>
      <c r="U21" s="310" t="s">
        <v>4084</v>
      </c>
      <c r="V21" s="307"/>
      <c r="W21" s="54"/>
    </row>
    <row r="22" spans="1:26" ht="16">
      <c r="A22" s="162"/>
      <c r="B22" s="71" t="s">
        <v>4070</v>
      </c>
      <c r="C22" s="151" t="s">
        <v>3601</v>
      </c>
      <c r="D22" s="151" t="s">
        <v>523</v>
      </c>
      <c r="E22" s="151" t="s">
        <v>524</v>
      </c>
      <c r="F22" s="151" t="s">
        <v>525</v>
      </c>
      <c r="G22" s="151" t="s">
        <v>236</v>
      </c>
      <c r="H22" s="53" t="s">
        <v>30</v>
      </c>
      <c r="I22" s="151">
        <v>6</v>
      </c>
      <c r="J22" s="364">
        <v>230</v>
      </c>
      <c r="K22" s="54">
        <f t="shared" si="0"/>
        <v>1380</v>
      </c>
      <c r="L22" s="55" t="b">
        <v>1</v>
      </c>
      <c r="M22" s="56">
        <v>30920251545</v>
      </c>
      <c r="N22" s="57" t="b">
        <v>1</v>
      </c>
      <c r="O22" s="296"/>
      <c r="P22" s="342" t="s">
        <v>3684</v>
      </c>
      <c r="Q22" s="312" t="b">
        <v>1</v>
      </c>
      <c r="R22" s="49"/>
      <c r="S22" s="173" t="s">
        <v>4085</v>
      </c>
      <c r="T22" s="57" t="b">
        <v>1</v>
      </c>
      <c r="U22" s="310" t="s">
        <v>4086</v>
      </c>
      <c r="V22" s="307"/>
      <c r="W22" s="54"/>
    </row>
    <row r="23" spans="1:26" ht="16">
      <c r="A23" s="162"/>
      <c r="B23" s="71" t="s">
        <v>4070</v>
      </c>
      <c r="C23" s="151" t="s">
        <v>4087</v>
      </c>
      <c r="D23" s="151" t="s">
        <v>1503</v>
      </c>
      <c r="E23" s="151" t="s">
        <v>1503</v>
      </c>
      <c r="F23" s="151" t="s">
        <v>3117</v>
      </c>
      <c r="G23" s="151" t="s">
        <v>4088</v>
      </c>
      <c r="H23" s="53" t="s">
        <v>30</v>
      </c>
      <c r="I23" s="151">
        <v>5</v>
      </c>
      <c r="J23" s="364">
        <v>2650</v>
      </c>
      <c r="K23" s="54">
        <f t="shared" si="0"/>
        <v>13250</v>
      </c>
      <c r="L23" s="55" t="b">
        <v>1</v>
      </c>
      <c r="M23" s="56">
        <v>30920251700</v>
      </c>
      <c r="N23" s="57" t="b">
        <v>1</v>
      </c>
      <c r="O23" s="296"/>
      <c r="P23" s="342" t="s">
        <v>3684</v>
      </c>
      <c r="Q23" s="312" t="b">
        <v>1</v>
      </c>
      <c r="R23" s="49"/>
      <c r="S23" s="173" t="s">
        <v>4089</v>
      </c>
      <c r="T23" s="57" t="b">
        <v>1</v>
      </c>
      <c r="U23" s="310" t="s">
        <v>4090</v>
      </c>
      <c r="V23" s="307"/>
      <c r="W23" s="54"/>
    </row>
    <row r="24" spans="1:26" ht="16">
      <c r="A24" s="162"/>
      <c r="B24" s="71" t="s">
        <v>4091</v>
      </c>
      <c r="C24" s="151" t="s">
        <v>3706</v>
      </c>
      <c r="D24" s="151" t="s">
        <v>418</v>
      </c>
      <c r="E24" s="151" t="s">
        <v>61</v>
      </c>
      <c r="F24" s="151" t="s">
        <v>607</v>
      </c>
      <c r="G24" s="151" t="s">
        <v>4092</v>
      </c>
      <c r="H24" s="53" t="s">
        <v>30</v>
      </c>
      <c r="I24" s="151">
        <v>6</v>
      </c>
      <c r="J24" s="364">
        <v>2750</v>
      </c>
      <c r="K24" s="54">
        <f t="shared" si="0"/>
        <v>16500</v>
      </c>
      <c r="L24" s="55" t="b">
        <v>1</v>
      </c>
      <c r="M24" s="56">
        <v>40920250947</v>
      </c>
      <c r="N24" s="57" t="b">
        <v>1</v>
      </c>
      <c r="O24" s="296"/>
      <c r="P24" s="342" t="s">
        <v>3684</v>
      </c>
      <c r="Q24" s="312" t="b">
        <v>1</v>
      </c>
      <c r="R24" s="49"/>
      <c r="S24" s="173" t="s">
        <v>4093</v>
      </c>
      <c r="T24" s="57" t="b">
        <v>1</v>
      </c>
      <c r="U24" s="310" t="s">
        <v>4094</v>
      </c>
      <c r="V24" s="307"/>
      <c r="W24" s="54"/>
    </row>
    <row r="25" spans="1:26" ht="16">
      <c r="A25" s="101"/>
      <c r="B25" s="71" t="s">
        <v>4091</v>
      </c>
      <c r="C25" s="53" t="s">
        <v>4095</v>
      </c>
      <c r="D25" s="53" t="s">
        <v>345</v>
      </c>
      <c r="E25" s="53" t="s">
        <v>342</v>
      </c>
      <c r="F25" s="53" t="s">
        <v>2823</v>
      </c>
      <c r="G25" s="53" t="s">
        <v>4096</v>
      </c>
      <c r="H25" s="53" t="s">
        <v>30</v>
      </c>
      <c r="I25" s="53">
        <v>72</v>
      </c>
      <c r="J25" s="54">
        <v>152.5</v>
      </c>
      <c r="K25" s="54">
        <f t="shared" si="0"/>
        <v>10980</v>
      </c>
      <c r="L25" s="189" t="b">
        <v>1</v>
      </c>
      <c r="M25" s="56">
        <v>40920250949</v>
      </c>
      <c r="N25" s="60" t="b">
        <v>1</v>
      </c>
      <c r="O25" s="294" t="s">
        <v>39</v>
      </c>
      <c r="P25" s="342" t="s">
        <v>3684</v>
      </c>
      <c r="Q25" s="312" t="b">
        <v>1</v>
      </c>
      <c r="R25" s="192"/>
      <c r="S25" s="365" t="s">
        <v>4097</v>
      </c>
      <c r="T25" s="60" t="b">
        <v>1</v>
      </c>
      <c r="U25" s="310" t="s">
        <v>4098</v>
      </c>
      <c r="V25" s="313"/>
      <c r="W25" s="54"/>
      <c r="X25" s="193"/>
      <c r="Y25" s="193"/>
      <c r="Z25" s="193"/>
    </row>
    <row r="26" spans="1:26" ht="16">
      <c r="A26" s="101"/>
      <c r="B26" s="71" t="s">
        <v>4091</v>
      </c>
      <c r="C26" s="53" t="s">
        <v>4095</v>
      </c>
      <c r="D26" s="53" t="s">
        <v>345</v>
      </c>
      <c r="E26" s="53" t="s">
        <v>342</v>
      </c>
      <c r="F26" s="53" t="s">
        <v>2823</v>
      </c>
      <c r="G26" s="53" t="s">
        <v>3562</v>
      </c>
      <c r="H26" s="53" t="s">
        <v>30</v>
      </c>
      <c r="I26" s="53">
        <v>1</v>
      </c>
      <c r="J26" s="54">
        <v>1250</v>
      </c>
      <c r="K26" s="54">
        <v>1250</v>
      </c>
      <c r="L26" s="189" t="b">
        <v>1</v>
      </c>
      <c r="M26" s="56">
        <v>40920250949</v>
      </c>
      <c r="N26" s="60" t="b">
        <v>1</v>
      </c>
      <c r="O26" s="294"/>
      <c r="P26" s="342" t="s">
        <v>3684</v>
      </c>
      <c r="Q26" s="312" t="b">
        <v>1</v>
      </c>
      <c r="R26" s="192"/>
      <c r="S26" s="365" t="s">
        <v>4097</v>
      </c>
      <c r="T26" s="60" t="b">
        <v>1</v>
      </c>
      <c r="U26" s="310" t="s">
        <v>4098</v>
      </c>
      <c r="V26" s="313"/>
      <c r="W26" s="54"/>
      <c r="X26" s="193"/>
      <c r="Y26" s="193"/>
      <c r="Z26" s="193"/>
    </row>
    <row r="27" spans="1:26" ht="16">
      <c r="A27" s="162"/>
      <c r="B27" s="132" t="s">
        <v>4091</v>
      </c>
      <c r="C27" s="53" t="s">
        <v>4099</v>
      </c>
      <c r="D27" s="53" t="s">
        <v>51</v>
      </c>
      <c r="E27" s="53" t="s">
        <v>594</v>
      </c>
      <c r="F27" s="53" t="s">
        <v>595</v>
      </c>
      <c r="G27" s="53" t="s">
        <v>595</v>
      </c>
      <c r="H27" s="53" t="s">
        <v>30</v>
      </c>
      <c r="I27" s="151">
        <v>6</v>
      </c>
      <c r="J27" s="364">
        <v>1550</v>
      </c>
      <c r="K27" s="54">
        <f t="shared" ref="K27:K56" si="1">(J27*I27)</f>
        <v>9300</v>
      </c>
      <c r="L27" s="55" t="b">
        <v>1</v>
      </c>
      <c r="M27" s="56">
        <v>40920250954</v>
      </c>
      <c r="N27" s="57" t="b">
        <v>1</v>
      </c>
      <c r="O27" s="296"/>
      <c r="P27" s="342" t="s">
        <v>3684</v>
      </c>
      <c r="Q27" s="312" t="b">
        <v>1</v>
      </c>
      <c r="R27" s="49"/>
      <c r="S27" s="49"/>
      <c r="T27" s="57" t="b">
        <v>1</v>
      </c>
      <c r="U27" s="310" t="s">
        <v>4100</v>
      </c>
      <c r="V27" s="307"/>
      <c r="W27" s="54"/>
    </row>
    <row r="28" spans="1:26" ht="16">
      <c r="A28" s="162"/>
      <c r="B28" s="132" t="s">
        <v>4091</v>
      </c>
      <c r="C28" s="53" t="s">
        <v>3487</v>
      </c>
      <c r="D28" s="53" t="s">
        <v>51</v>
      </c>
      <c r="E28" s="53" t="s">
        <v>89</v>
      </c>
      <c r="F28" s="53" t="s">
        <v>2090</v>
      </c>
      <c r="G28" s="340" t="s">
        <v>4101</v>
      </c>
      <c r="H28" s="53" t="s">
        <v>30</v>
      </c>
      <c r="I28" s="151">
        <v>23</v>
      </c>
      <c r="J28" s="364">
        <v>165</v>
      </c>
      <c r="K28" s="54">
        <f t="shared" si="1"/>
        <v>3795</v>
      </c>
      <c r="L28" s="55" t="b">
        <v>1</v>
      </c>
      <c r="M28" s="56">
        <v>40920251001</v>
      </c>
      <c r="N28" s="57" t="b">
        <v>1</v>
      </c>
      <c r="O28" s="296"/>
      <c r="P28" s="342" t="s">
        <v>3684</v>
      </c>
      <c r="Q28" s="312" t="b">
        <v>1</v>
      </c>
      <c r="R28" s="49"/>
      <c r="S28" s="173" t="s">
        <v>4102</v>
      </c>
      <c r="T28" s="57" t="b">
        <v>1</v>
      </c>
      <c r="U28" s="310" t="s">
        <v>4103</v>
      </c>
      <c r="V28" s="307"/>
      <c r="W28" s="54"/>
    </row>
    <row r="29" spans="1:26" ht="16">
      <c r="A29" s="162"/>
      <c r="B29" s="132" t="s">
        <v>4091</v>
      </c>
      <c r="C29" s="53" t="s">
        <v>3487</v>
      </c>
      <c r="D29" s="53" t="s">
        <v>51</v>
      </c>
      <c r="E29" s="53" t="s">
        <v>89</v>
      </c>
      <c r="F29" s="53" t="s">
        <v>2090</v>
      </c>
      <c r="G29" s="151" t="s">
        <v>2719</v>
      </c>
      <c r="H29" s="53" t="s">
        <v>30</v>
      </c>
      <c r="I29" s="151">
        <v>30</v>
      </c>
      <c r="J29" s="364">
        <v>135</v>
      </c>
      <c r="K29" s="54">
        <f t="shared" si="1"/>
        <v>4050</v>
      </c>
      <c r="L29" s="55" t="b">
        <v>1</v>
      </c>
      <c r="M29" s="56">
        <v>40920251004</v>
      </c>
      <c r="N29" s="57" t="b">
        <v>1</v>
      </c>
      <c r="O29" s="296"/>
      <c r="P29" s="342" t="s">
        <v>3684</v>
      </c>
      <c r="Q29" s="312" t="b">
        <v>1</v>
      </c>
      <c r="R29" s="49"/>
      <c r="S29" s="173" t="s">
        <v>4104</v>
      </c>
      <c r="T29" s="57" t="b">
        <v>1</v>
      </c>
      <c r="U29" s="310" t="s">
        <v>4105</v>
      </c>
      <c r="V29" s="307"/>
      <c r="W29" s="54"/>
    </row>
    <row r="30" spans="1:26" ht="16">
      <c r="A30" s="162"/>
      <c r="B30" s="71" t="s">
        <v>4106</v>
      </c>
      <c r="C30" s="151" t="s">
        <v>4107</v>
      </c>
      <c r="D30" s="151" t="s">
        <v>282</v>
      </c>
      <c r="E30" s="151" t="s">
        <v>282</v>
      </c>
      <c r="F30" s="151" t="s">
        <v>365</v>
      </c>
      <c r="G30" s="366" t="s">
        <v>68</v>
      </c>
      <c r="H30" s="53" t="s">
        <v>30</v>
      </c>
      <c r="I30" s="151">
        <v>1</v>
      </c>
      <c r="J30" s="364">
        <v>2350</v>
      </c>
      <c r="K30" s="54">
        <f t="shared" si="1"/>
        <v>2350</v>
      </c>
      <c r="L30" s="55" t="b">
        <v>1</v>
      </c>
      <c r="M30" s="56">
        <v>50920251536</v>
      </c>
      <c r="N30" s="57" t="b">
        <v>1</v>
      </c>
      <c r="O30" s="296"/>
      <c r="P30" s="342" t="s">
        <v>3684</v>
      </c>
      <c r="Q30" s="312" t="b">
        <v>1</v>
      </c>
      <c r="R30" s="49"/>
      <c r="S30" s="173" t="s">
        <v>4108</v>
      </c>
      <c r="T30" s="57" t="b">
        <v>1</v>
      </c>
      <c r="U30" s="310" t="s">
        <v>4109</v>
      </c>
      <c r="V30" s="307"/>
      <c r="W30" s="54"/>
    </row>
    <row r="31" spans="1:26" ht="16">
      <c r="A31" s="162"/>
      <c r="B31" s="132" t="s">
        <v>4106</v>
      </c>
      <c r="C31" s="53" t="s">
        <v>3552</v>
      </c>
      <c r="D31" s="53" t="s">
        <v>51</v>
      </c>
      <c r="E31" s="53" t="s">
        <v>66</v>
      </c>
      <c r="F31" s="53" t="s">
        <v>67</v>
      </c>
      <c r="G31" s="151" t="s">
        <v>68</v>
      </c>
      <c r="H31" s="53" t="s">
        <v>30</v>
      </c>
      <c r="I31" s="151">
        <v>3</v>
      </c>
      <c r="J31" s="364">
        <v>2350</v>
      </c>
      <c r="K31" s="54">
        <f t="shared" si="1"/>
        <v>7050</v>
      </c>
      <c r="L31" s="55" t="b">
        <v>1</v>
      </c>
      <c r="M31" s="56">
        <v>50920251536</v>
      </c>
      <c r="N31" s="57" t="b">
        <v>1</v>
      </c>
      <c r="O31" s="296"/>
      <c r="P31" s="342" t="s">
        <v>3684</v>
      </c>
      <c r="Q31" s="312" t="b">
        <v>1</v>
      </c>
      <c r="R31" s="49"/>
      <c r="S31" s="173" t="s">
        <v>4110</v>
      </c>
      <c r="T31" s="57" t="b">
        <v>1</v>
      </c>
      <c r="U31" s="310" t="s">
        <v>4111</v>
      </c>
      <c r="V31" s="307"/>
      <c r="W31" s="54"/>
    </row>
    <row r="32" spans="1:26" ht="13.5" customHeight="1">
      <c r="A32" s="162"/>
      <c r="B32" s="132" t="s">
        <v>4112</v>
      </c>
      <c r="C32" s="53" t="s">
        <v>4107</v>
      </c>
      <c r="D32" s="53" t="s">
        <v>282</v>
      </c>
      <c r="E32" s="53" t="s">
        <v>74</v>
      </c>
      <c r="F32" s="53" t="s">
        <v>365</v>
      </c>
      <c r="G32" s="53" t="s">
        <v>4113</v>
      </c>
      <c r="H32" s="53" t="s">
        <v>30</v>
      </c>
      <c r="I32" s="151">
        <v>2</v>
      </c>
      <c r="J32" s="364">
        <v>875</v>
      </c>
      <c r="K32" s="54">
        <f t="shared" si="1"/>
        <v>1750</v>
      </c>
      <c r="L32" s="55" t="b">
        <v>1</v>
      </c>
      <c r="M32" s="56">
        <v>60920250942</v>
      </c>
      <c r="N32" s="57" t="b">
        <v>1</v>
      </c>
      <c r="O32" s="296" t="s">
        <v>39</v>
      </c>
      <c r="P32" s="342" t="s">
        <v>3684</v>
      </c>
      <c r="Q32" s="312" t="b">
        <v>1</v>
      </c>
      <c r="R32" s="49"/>
      <c r="S32" s="173" t="s">
        <v>4114</v>
      </c>
      <c r="T32" s="57" t="b">
        <v>1</v>
      </c>
      <c r="U32" s="310" t="s">
        <v>4115</v>
      </c>
      <c r="V32" s="307"/>
      <c r="W32" s="54"/>
    </row>
    <row r="33" spans="1:23" ht="13.5" customHeight="1">
      <c r="A33" s="162"/>
      <c r="B33" s="71" t="s">
        <v>4112</v>
      </c>
      <c r="C33" s="53" t="s">
        <v>3706</v>
      </c>
      <c r="D33" s="53" t="s">
        <v>418</v>
      </c>
      <c r="E33" s="53" t="s">
        <v>61</v>
      </c>
      <c r="F33" s="53" t="s">
        <v>607</v>
      </c>
      <c r="G33" s="151" t="s">
        <v>4116</v>
      </c>
      <c r="H33" s="53" t="s">
        <v>30</v>
      </c>
      <c r="I33" s="151">
        <v>13</v>
      </c>
      <c r="J33" s="364">
        <v>1550</v>
      </c>
      <c r="K33" s="54">
        <f t="shared" si="1"/>
        <v>20150</v>
      </c>
      <c r="L33" s="55" t="b">
        <v>1</v>
      </c>
      <c r="M33" s="56">
        <v>60920251232</v>
      </c>
      <c r="N33" s="57" t="b">
        <v>1</v>
      </c>
      <c r="O33" s="296"/>
      <c r="P33" s="342" t="s">
        <v>3684</v>
      </c>
      <c r="Q33" s="312" t="b">
        <v>1</v>
      </c>
      <c r="R33" s="49"/>
      <c r="S33" s="173" t="s">
        <v>4117</v>
      </c>
      <c r="T33" s="57" t="b">
        <v>1</v>
      </c>
      <c r="U33" s="310" t="s">
        <v>4118</v>
      </c>
      <c r="V33" s="307"/>
      <c r="W33" s="54"/>
    </row>
    <row r="34" spans="1:23" ht="13.5" customHeight="1">
      <c r="A34" s="162"/>
      <c r="B34" s="132" t="s">
        <v>4119</v>
      </c>
      <c r="C34" s="53" t="s">
        <v>4120</v>
      </c>
      <c r="D34" s="53" t="s">
        <v>1959</v>
      </c>
      <c r="E34" s="53" t="s">
        <v>1959</v>
      </c>
      <c r="F34" s="53" t="s">
        <v>1235</v>
      </c>
      <c r="G34" s="151" t="s">
        <v>68</v>
      </c>
      <c r="H34" s="53" t="s">
        <v>30</v>
      </c>
      <c r="I34" s="151">
        <v>3</v>
      </c>
      <c r="J34" s="364">
        <v>2350</v>
      </c>
      <c r="K34" s="54">
        <f t="shared" si="1"/>
        <v>7050</v>
      </c>
      <c r="L34" s="55" t="b">
        <v>1</v>
      </c>
      <c r="M34" s="56">
        <v>80920251046</v>
      </c>
      <c r="N34" s="57" t="b">
        <v>1</v>
      </c>
      <c r="O34" s="296"/>
      <c r="P34" s="342" t="s">
        <v>3684</v>
      </c>
      <c r="Q34" s="312" t="b">
        <v>1</v>
      </c>
      <c r="R34" s="49"/>
      <c r="S34" s="173" t="s">
        <v>4121</v>
      </c>
      <c r="T34" s="57" t="b">
        <v>1</v>
      </c>
      <c r="U34" s="310" t="s">
        <v>4122</v>
      </c>
      <c r="V34" s="307"/>
      <c r="W34" s="54"/>
    </row>
    <row r="35" spans="1:23" ht="13.5" customHeight="1">
      <c r="A35" s="162"/>
      <c r="B35" s="132" t="s">
        <v>4119</v>
      </c>
      <c r="C35" s="53" t="s">
        <v>3506</v>
      </c>
      <c r="D35" s="53" t="s">
        <v>55</v>
      </c>
      <c r="E35" s="53">
        <v>41</v>
      </c>
      <c r="F35" s="53" t="s">
        <v>1552</v>
      </c>
      <c r="G35" s="151" t="s">
        <v>3529</v>
      </c>
      <c r="H35" s="53" t="s">
        <v>30</v>
      </c>
      <c r="I35" s="151">
        <v>3</v>
      </c>
      <c r="J35" s="364">
        <v>300</v>
      </c>
      <c r="K35" s="54">
        <f t="shared" si="1"/>
        <v>900</v>
      </c>
      <c r="L35" s="55" t="b">
        <v>1</v>
      </c>
      <c r="M35" s="56">
        <v>80920251051</v>
      </c>
      <c r="N35" s="57" t="b">
        <v>1</v>
      </c>
      <c r="O35" s="296"/>
      <c r="P35" s="342" t="s">
        <v>3684</v>
      </c>
      <c r="Q35" s="312" t="b">
        <v>1</v>
      </c>
      <c r="R35" s="49"/>
      <c r="S35" s="173" t="s">
        <v>4123</v>
      </c>
      <c r="T35" s="57" t="b">
        <v>1</v>
      </c>
      <c r="U35" s="310" t="s">
        <v>4124</v>
      </c>
      <c r="V35" s="307"/>
      <c r="W35" s="54"/>
    </row>
    <row r="36" spans="1:23" ht="16">
      <c r="A36" s="162"/>
      <c r="B36" s="71" t="s">
        <v>4119</v>
      </c>
      <c r="C36" s="151" t="s">
        <v>3595</v>
      </c>
      <c r="D36" s="151" t="s">
        <v>55</v>
      </c>
      <c r="E36" s="151" t="s">
        <v>56</v>
      </c>
      <c r="F36" s="151" t="s">
        <v>57</v>
      </c>
      <c r="G36" s="151" t="s">
        <v>4063</v>
      </c>
      <c r="H36" s="53" t="s">
        <v>30</v>
      </c>
      <c r="I36" s="151">
        <v>10</v>
      </c>
      <c r="J36" s="364">
        <v>650</v>
      </c>
      <c r="K36" s="54">
        <f t="shared" si="1"/>
        <v>6500</v>
      </c>
      <c r="L36" s="55" t="b">
        <v>1</v>
      </c>
      <c r="M36" s="56">
        <v>80920251843</v>
      </c>
      <c r="N36" s="57" t="b">
        <v>1</v>
      </c>
      <c r="O36" s="296" t="s">
        <v>39</v>
      </c>
      <c r="P36" s="342" t="s">
        <v>3684</v>
      </c>
      <c r="Q36" s="312" t="b">
        <v>1</v>
      </c>
      <c r="R36" s="49"/>
      <c r="S36" s="49"/>
      <c r="T36" s="57" t="b">
        <v>1</v>
      </c>
      <c r="U36" s="310" t="s">
        <v>4125</v>
      </c>
      <c r="V36" s="307"/>
      <c r="W36" s="54"/>
    </row>
    <row r="37" spans="1:23" ht="16">
      <c r="A37" s="162"/>
      <c r="B37" s="71" t="s">
        <v>4128</v>
      </c>
      <c r="C37" s="151" t="s">
        <v>3650</v>
      </c>
      <c r="D37" s="151" t="s">
        <v>171</v>
      </c>
      <c r="E37" s="151" t="s">
        <v>137</v>
      </c>
      <c r="F37" s="151" t="s">
        <v>3651</v>
      </c>
      <c r="G37" s="151" t="s">
        <v>300</v>
      </c>
      <c r="H37" s="53" t="s">
        <v>30</v>
      </c>
      <c r="I37" s="151">
        <v>50</v>
      </c>
      <c r="J37" s="364">
        <v>150</v>
      </c>
      <c r="K37" s="54">
        <f t="shared" si="1"/>
        <v>7500</v>
      </c>
      <c r="L37" s="55" t="b">
        <v>1</v>
      </c>
      <c r="M37" s="56">
        <v>90920250849</v>
      </c>
      <c r="N37" s="57" t="b">
        <v>1</v>
      </c>
      <c r="O37" s="296"/>
      <c r="P37" s="342" t="s">
        <v>3684</v>
      </c>
      <c r="Q37" s="312" t="b">
        <v>1</v>
      </c>
      <c r="R37" s="49"/>
      <c r="S37" s="173" t="s">
        <v>4126</v>
      </c>
      <c r="T37" s="57" t="b">
        <v>1</v>
      </c>
      <c r="U37" s="310" t="s">
        <v>4127</v>
      </c>
      <c r="V37" s="307"/>
      <c r="W37" s="54"/>
    </row>
    <row r="38" spans="1:23" ht="15.75" customHeight="1">
      <c r="A38" s="162"/>
      <c r="B38" s="132" t="s">
        <v>4128</v>
      </c>
      <c r="C38" s="151" t="s">
        <v>3517</v>
      </c>
      <c r="D38" s="151" t="s">
        <v>51</v>
      </c>
      <c r="E38" s="151" t="s">
        <v>61</v>
      </c>
      <c r="F38" s="151" t="s">
        <v>548</v>
      </c>
      <c r="G38" s="151" t="s">
        <v>4129</v>
      </c>
      <c r="H38" s="53" t="s">
        <v>30</v>
      </c>
      <c r="I38" s="151">
        <v>10</v>
      </c>
      <c r="J38" s="364">
        <v>960</v>
      </c>
      <c r="K38" s="54">
        <f t="shared" si="1"/>
        <v>9600</v>
      </c>
      <c r="L38" s="55" t="b">
        <v>1</v>
      </c>
      <c r="M38" s="56">
        <v>90920251130</v>
      </c>
      <c r="N38" s="57" t="b">
        <v>1</v>
      </c>
      <c r="O38" s="296"/>
      <c r="P38" s="342" t="s">
        <v>3684</v>
      </c>
      <c r="Q38" s="312" t="b">
        <v>1</v>
      </c>
      <c r="R38" s="49"/>
      <c r="S38" s="173" t="s">
        <v>4130</v>
      </c>
      <c r="T38" s="57" t="b">
        <v>1</v>
      </c>
      <c r="U38" s="310" t="s">
        <v>4131</v>
      </c>
      <c r="V38" s="307"/>
      <c r="W38" s="54"/>
    </row>
    <row r="39" spans="1:23" ht="15.75" customHeight="1">
      <c r="A39" s="162"/>
      <c r="B39" s="132" t="s">
        <v>4128</v>
      </c>
      <c r="C39" s="151" t="s">
        <v>3458</v>
      </c>
      <c r="D39" s="151" t="s">
        <v>51</v>
      </c>
      <c r="E39" s="151" t="s">
        <v>201</v>
      </c>
      <c r="F39" s="151" t="s">
        <v>202</v>
      </c>
      <c r="G39" s="151" t="s">
        <v>3459</v>
      </c>
      <c r="H39" s="53" t="s">
        <v>30</v>
      </c>
      <c r="I39" s="151">
        <v>10</v>
      </c>
      <c r="J39" s="364">
        <v>775</v>
      </c>
      <c r="K39" s="54">
        <f t="shared" si="1"/>
        <v>7750</v>
      </c>
      <c r="L39" s="55" t="b">
        <v>1</v>
      </c>
      <c r="M39" s="56">
        <v>90920251917</v>
      </c>
      <c r="N39" s="57" t="b">
        <v>1</v>
      </c>
      <c r="O39" s="296"/>
      <c r="P39" s="342" t="s">
        <v>3684</v>
      </c>
      <c r="Q39" s="312" t="b">
        <v>1</v>
      </c>
      <c r="R39" s="49"/>
      <c r="S39" s="173"/>
      <c r="T39" s="57" t="b">
        <v>1</v>
      </c>
      <c r="U39" s="310" t="s">
        <v>4132</v>
      </c>
      <c r="V39" s="307"/>
      <c r="W39" s="54"/>
    </row>
    <row r="40" spans="1:23" ht="15.75" customHeight="1">
      <c r="A40" s="162"/>
      <c r="B40" s="132" t="s">
        <v>4128</v>
      </c>
      <c r="C40" s="151" t="s">
        <v>3532</v>
      </c>
      <c r="D40" s="151" t="s">
        <v>51</v>
      </c>
      <c r="E40" s="151" t="s">
        <v>52</v>
      </c>
      <c r="F40" s="151" t="s">
        <v>1710</v>
      </c>
      <c r="G40" s="53" t="s">
        <v>3448</v>
      </c>
      <c r="H40" s="53" t="s">
        <v>30</v>
      </c>
      <c r="I40" s="151">
        <v>10</v>
      </c>
      <c r="J40" s="364">
        <v>650</v>
      </c>
      <c r="K40" s="54">
        <f t="shared" si="1"/>
        <v>6500</v>
      </c>
      <c r="L40" s="55" t="b">
        <v>1</v>
      </c>
      <c r="M40" s="56">
        <v>90920251918</v>
      </c>
      <c r="N40" s="57" t="b">
        <v>1</v>
      </c>
      <c r="O40" s="296" t="s">
        <v>39</v>
      </c>
      <c r="P40" s="342" t="s">
        <v>3684</v>
      </c>
      <c r="Q40" s="312" t="b">
        <v>1</v>
      </c>
      <c r="R40" s="49"/>
      <c r="S40" s="49"/>
      <c r="T40" s="57" t="b">
        <v>1</v>
      </c>
      <c r="U40" s="310" t="s">
        <v>4133</v>
      </c>
      <c r="V40" s="307"/>
      <c r="W40" s="54"/>
    </row>
    <row r="41" spans="1:23" ht="15.75" customHeight="1">
      <c r="A41" s="162"/>
      <c r="B41" s="132" t="s">
        <v>4128</v>
      </c>
      <c r="C41" s="151" t="s">
        <v>3521</v>
      </c>
      <c r="D41" s="151" t="s">
        <v>144</v>
      </c>
      <c r="E41" s="151" t="s">
        <v>1602</v>
      </c>
      <c r="F41" s="151" t="s">
        <v>3522</v>
      </c>
      <c r="G41" s="53" t="s">
        <v>3448</v>
      </c>
      <c r="H41" s="53" t="s">
        <v>30</v>
      </c>
      <c r="I41" s="151">
        <v>10</v>
      </c>
      <c r="J41" s="364">
        <v>650</v>
      </c>
      <c r="K41" s="54">
        <f t="shared" si="1"/>
        <v>6500</v>
      </c>
      <c r="L41" s="55" t="b">
        <v>1</v>
      </c>
      <c r="M41" s="56">
        <v>90920251918</v>
      </c>
      <c r="N41" s="57" t="b">
        <v>1</v>
      </c>
      <c r="O41" s="296" t="s">
        <v>39</v>
      </c>
      <c r="P41" s="342" t="s">
        <v>3684</v>
      </c>
      <c r="Q41" s="312" t="b">
        <v>1</v>
      </c>
      <c r="R41" s="49"/>
      <c r="S41" s="49"/>
      <c r="T41" s="57" t="b">
        <v>1</v>
      </c>
      <c r="U41" s="310" t="s">
        <v>4134</v>
      </c>
      <c r="V41" s="307"/>
      <c r="W41" s="54"/>
    </row>
    <row r="42" spans="1:23" ht="15.75" customHeight="1">
      <c r="A42" s="162"/>
      <c r="B42" s="71" t="s">
        <v>4128</v>
      </c>
      <c r="C42" s="151" t="s">
        <v>4135</v>
      </c>
      <c r="D42" s="151" t="s">
        <v>26</v>
      </c>
      <c r="E42" s="151" t="s">
        <v>27</v>
      </c>
      <c r="F42" s="151" t="s">
        <v>28</v>
      </c>
      <c r="G42" s="53" t="s">
        <v>3448</v>
      </c>
      <c r="H42" s="53" t="s">
        <v>30</v>
      </c>
      <c r="I42" s="151">
        <v>10</v>
      </c>
      <c r="J42" s="364">
        <v>650</v>
      </c>
      <c r="K42" s="54">
        <f t="shared" si="1"/>
        <v>6500</v>
      </c>
      <c r="L42" s="55" t="b">
        <v>1</v>
      </c>
      <c r="M42" s="56">
        <v>90920252013</v>
      </c>
      <c r="N42" s="57" t="b">
        <v>1</v>
      </c>
      <c r="O42" s="296" t="s">
        <v>39</v>
      </c>
      <c r="P42" s="342" t="s">
        <v>3684</v>
      </c>
      <c r="Q42" s="312" t="b">
        <v>1</v>
      </c>
      <c r="R42" s="49"/>
      <c r="S42" s="49"/>
      <c r="T42" s="57" t="b">
        <v>1</v>
      </c>
      <c r="U42" s="310" t="s">
        <v>4136</v>
      </c>
      <c r="V42" s="307"/>
      <c r="W42" s="54"/>
    </row>
    <row r="43" spans="1:23" ht="15.75" customHeight="1">
      <c r="A43" s="162"/>
      <c r="B43" s="71" t="s">
        <v>4137</v>
      </c>
      <c r="C43" s="151" t="s">
        <v>4138</v>
      </c>
      <c r="D43" s="151" t="s">
        <v>144</v>
      </c>
      <c r="E43" s="151" t="s">
        <v>980</v>
      </c>
      <c r="F43" s="151" t="s">
        <v>4139</v>
      </c>
      <c r="G43" s="53" t="s">
        <v>374</v>
      </c>
      <c r="H43" s="53" t="s">
        <v>30</v>
      </c>
      <c r="I43" s="53">
        <v>100</v>
      </c>
      <c r="J43" s="54">
        <v>30</v>
      </c>
      <c r="K43" s="54">
        <f t="shared" si="1"/>
        <v>3000</v>
      </c>
      <c r="L43" s="55" t="b">
        <v>1</v>
      </c>
      <c r="M43" s="56">
        <v>100920251440</v>
      </c>
      <c r="N43" s="57" t="b">
        <v>1</v>
      </c>
      <c r="O43" s="296"/>
      <c r="P43" s="342" t="s">
        <v>3684</v>
      </c>
      <c r="Q43" s="312" t="b">
        <v>1</v>
      </c>
      <c r="R43" s="49"/>
      <c r="S43" s="173" t="s">
        <v>4140</v>
      </c>
      <c r="T43" s="57" t="b">
        <v>1</v>
      </c>
      <c r="U43" s="310" t="s">
        <v>4141</v>
      </c>
      <c r="V43" s="307"/>
      <c r="W43" s="54"/>
    </row>
    <row r="44" spans="1:23" ht="15.75" customHeight="1">
      <c r="A44" s="162"/>
      <c r="B44" s="71" t="s">
        <v>4137</v>
      </c>
      <c r="C44" s="151" t="s">
        <v>4142</v>
      </c>
      <c r="D44" s="151" t="s">
        <v>397</v>
      </c>
      <c r="E44" s="151" t="s">
        <v>61</v>
      </c>
      <c r="F44" s="151" t="s">
        <v>2573</v>
      </c>
      <c r="G44" s="53" t="s">
        <v>4143</v>
      </c>
      <c r="H44" s="53" t="s">
        <v>30</v>
      </c>
      <c r="I44" s="53">
        <v>1</v>
      </c>
      <c r="J44" s="54">
        <v>2100</v>
      </c>
      <c r="K44" s="54">
        <f t="shared" si="1"/>
        <v>2100</v>
      </c>
      <c r="L44" s="55" t="b">
        <v>1</v>
      </c>
      <c r="M44" s="56">
        <v>100920251523</v>
      </c>
      <c r="N44" s="57" t="b">
        <v>1</v>
      </c>
      <c r="O44" s="296"/>
      <c r="P44" s="342" t="s">
        <v>3684</v>
      </c>
      <c r="Q44" s="312" t="b">
        <v>1</v>
      </c>
      <c r="R44" s="49"/>
      <c r="S44" s="173" t="s">
        <v>4144</v>
      </c>
      <c r="T44" s="57" t="s">
        <v>4145</v>
      </c>
      <c r="U44" s="310" t="s">
        <v>4146</v>
      </c>
      <c r="V44" s="307"/>
      <c r="W44" s="54"/>
    </row>
    <row r="45" spans="1:23" ht="15.75" customHeight="1">
      <c r="A45" s="162"/>
      <c r="B45" s="71" t="s">
        <v>4137</v>
      </c>
      <c r="C45" s="151" t="s">
        <v>4147</v>
      </c>
      <c r="D45" s="151" t="s">
        <v>144</v>
      </c>
      <c r="E45" s="151" t="s">
        <v>243</v>
      </c>
      <c r="F45" s="151" t="s">
        <v>244</v>
      </c>
      <c r="G45" s="53" t="s">
        <v>3448</v>
      </c>
      <c r="H45" s="53" t="s">
        <v>30</v>
      </c>
      <c r="I45" s="53">
        <v>10</v>
      </c>
      <c r="J45" s="54">
        <v>650</v>
      </c>
      <c r="K45" s="54">
        <f t="shared" si="1"/>
        <v>6500</v>
      </c>
      <c r="L45" s="55" t="b">
        <v>1</v>
      </c>
      <c r="M45" s="56">
        <v>100920251529</v>
      </c>
      <c r="N45" s="57" t="b">
        <v>1</v>
      </c>
      <c r="O45" s="296" t="s">
        <v>39</v>
      </c>
      <c r="P45" s="342" t="s">
        <v>3684</v>
      </c>
      <c r="Q45" s="312" t="b">
        <v>1</v>
      </c>
      <c r="R45" s="49"/>
      <c r="S45" s="49"/>
      <c r="T45" s="57" t="b">
        <v>1</v>
      </c>
      <c r="U45" s="310" t="s">
        <v>4148</v>
      </c>
      <c r="V45" s="307"/>
      <c r="W45" s="54"/>
    </row>
    <row r="46" spans="1:23" ht="16">
      <c r="A46" s="162"/>
      <c r="B46" s="71" t="s">
        <v>4137</v>
      </c>
      <c r="C46" s="151" t="s">
        <v>4149</v>
      </c>
      <c r="D46" s="151" t="s">
        <v>144</v>
      </c>
      <c r="E46" s="151" t="s">
        <v>1818</v>
      </c>
      <c r="F46" s="151" t="s">
        <v>582</v>
      </c>
      <c r="G46" s="53" t="s">
        <v>3448</v>
      </c>
      <c r="H46" s="53" t="s">
        <v>30</v>
      </c>
      <c r="I46" s="151">
        <v>10</v>
      </c>
      <c r="J46" s="364">
        <v>650</v>
      </c>
      <c r="K46" s="54">
        <f t="shared" si="1"/>
        <v>6500</v>
      </c>
      <c r="L46" s="55" t="b">
        <v>1</v>
      </c>
      <c r="M46" s="56">
        <v>100920251529</v>
      </c>
      <c r="N46" s="57" t="b">
        <v>1</v>
      </c>
      <c r="O46" s="296" t="s">
        <v>39</v>
      </c>
      <c r="P46" s="342" t="s">
        <v>3684</v>
      </c>
      <c r="Q46" s="312" t="b">
        <v>1</v>
      </c>
      <c r="R46" s="49"/>
      <c r="S46" s="49"/>
      <c r="T46" s="57" t="b">
        <v>1</v>
      </c>
      <c r="U46" s="310" t="s">
        <v>4150</v>
      </c>
      <c r="V46" s="307"/>
      <c r="W46" s="54"/>
    </row>
    <row r="47" spans="1:23" ht="16">
      <c r="A47" s="162"/>
      <c r="B47" s="71" t="s">
        <v>4137</v>
      </c>
      <c r="C47" s="151" t="s">
        <v>4149</v>
      </c>
      <c r="D47" s="151" t="s">
        <v>144</v>
      </c>
      <c r="E47" s="151" t="s">
        <v>1818</v>
      </c>
      <c r="F47" s="151" t="s">
        <v>582</v>
      </c>
      <c r="G47" s="53" t="s">
        <v>68</v>
      </c>
      <c r="H47" s="53" t="s">
        <v>30</v>
      </c>
      <c r="I47" s="151">
        <v>1</v>
      </c>
      <c r="J47" s="364">
        <v>2350</v>
      </c>
      <c r="K47" s="54">
        <f t="shared" si="1"/>
        <v>2350</v>
      </c>
      <c r="L47" s="55" t="b">
        <v>1</v>
      </c>
      <c r="M47" s="56">
        <v>100920251529</v>
      </c>
      <c r="N47" s="57" t="b">
        <v>1</v>
      </c>
      <c r="O47" s="296"/>
      <c r="P47" s="342" t="s">
        <v>3684</v>
      </c>
      <c r="Q47" s="312" t="b">
        <v>1</v>
      </c>
      <c r="R47" s="49"/>
      <c r="S47" s="173" t="s">
        <v>4151</v>
      </c>
      <c r="T47" s="57" t="b">
        <v>1</v>
      </c>
      <c r="U47" s="310" t="s">
        <v>4152</v>
      </c>
      <c r="V47" s="307"/>
      <c r="W47" s="54"/>
    </row>
    <row r="48" spans="1:23" ht="16">
      <c r="A48" s="162"/>
      <c r="B48" s="71" t="s">
        <v>4137</v>
      </c>
      <c r="C48" s="151" t="s">
        <v>4153</v>
      </c>
      <c r="D48" s="151" t="s">
        <v>4154</v>
      </c>
      <c r="E48" s="151" t="s">
        <v>263</v>
      </c>
      <c r="F48" s="151" t="s">
        <v>2855</v>
      </c>
      <c r="G48" s="53" t="s">
        <v>3448</v>
      </c>
      <c r="H48" s="53" t="s">
        <v>30</v>
      </c>
      <c r="I48" s="151">
        <v>50</v>
      </c>
      <c r="J48" s="364">
        <v>650</v>
      </c>
      <c r="K48" s="54">
        <f t="shared" si="1"/>
        <v>32500</v>
      </c>
      <c r="L48" s="55" t="b">
        <v>1</v>
      </c>
      <c r="M48" s="56">
        <v>100920251549</v>
      </c>
      <c r="N48" s="57" t="b">
        <v>1</v>
      </c>
      <c r="O48" s="296" t="s">
        <v>39</v>
      </c>
      <c r="P48" s="342" t="s">
        <v>3684</v>
      </c>
      <c r="Q48" s="312" t="b">
        <v>1</v>
      </c>
      <c r="R48" s="49"/>
      <c r="S48" s="49"/>
      <c r="T48" s="57" t="b">
        <v>1</v>
      </c>
      <c r="U48" s="310" t="s">
        <v>4155</v>
      </c>
      <c r="V48" s="307"/>
      <c r="W48" s="54"/>
    </row>
    <row r="49" spans="1:23" ht="16">
      <c r="A49" s="162"/>
      <c r="B49" s="71" t="s">
        <v>4137</v>
      </c>
      <c r="C49" s="151" t="s">
        <v>4153</v>
      </c>
      <c r="D49" s="151" t="s">
        <v>4154</v>
      </c>
      <c r="E49" s="151" t="s">
        <v>263</v>
      </c>
      <c r="F49" s="151" t="s">
        <v>2855</v>
      </c>
      <c r="G49" s="151" t="s">
        <v>68</v>
      </c>
      <c r="H49" s="53" t="s">
        <v>30</v>
      </c>
      <c r="I49" s="151">
        <v>3</v>
      </c>
      <c r="J49" s="364">
        <v>2350</v>
      </c>
      <c r="K49" s="54">
        <f t="shared" si="1"/>
        <v>7050</v>
      </c>
      <c r="L49" s="55" t="b">
        <v>1</v>
      </c>
      <c r="M49" s="56">
        <v>100920251549</v>
      </c>
      <c r="N49" s="57" t="b">
        <v>1</v>
      </c>
      <c r="O49" s="296"/>
      <c r="P49" s="342" t="s">
        <v>3684</v>
      </c>
      <c r="Q49" s="312" t="b">
        <v>1</v>
      </c>
      <c r="R49" s="367"/>
      <c r="S49" s="173" t="s">
        <v>4156</v>
      </c>
      <c r="T49" s="57" t="b">
        <v>1</v>
      </c>
      <c r="U49" s="310" t="s">
        <v>4157</v>
      </c>
      <c r="V49" s="307"/>
      <c r="W49" s="54"/>
    </row>
    <row r="50" spans="1:23" ht="16">
      <c r="A50" s="162"/>
      <c r="B50" s="71" t="s">
        <v>4137</v>
      </c>
      <c r="C50" s="151" t="s">
        <v>4153</v>
      </c>
      <c r="D50" s="151" t="s">
        <v>4154</v>
      </c>
      <c r="E50" s="151" t="s">
        <v>263</v>
      </c>
      <c r="F50" s="151" t="s">
        <v>2855</v>
      </c>
      <c r="G50" s="53" t="s">
        <v>447</v>
      </c>
      <c r="H50" s="53" t="s">
        <v>30</v>
      </c>
      <c r="I50" s="151">
        <v>200</v>
      </c>
      <c r="J50" s="364">
        <v>9.25</v>
      </c>
      <c r="K50" s="54">
        <f t="shared" si="1"/>
        <v>1850</v>
      </c>
      <c r="L50" s="55" t="b">
        <v>1</v>
      </c>
      <c r="M50" s="56">
        <v>100920251549</v>
      </c>
      <c r="N50" s="57" t="b">
        <v>1</v>
      </c>
      <c r="O50" s="296" t="s">
        <v>39</v>
      </c>
      <c r="P50" s="342" t="s">
        <v>3684</v>
      </c>
      <c r="Q50" s="312" t="b">
        <v>1</v>
      </c>
      <c r="R50" s="49"/>
      <c r="S50" s="173" t="s">
        <v>4158</v>
      </c>
      <c r="T50" s="57" t="b">
        <v>1</v>
      </c>
      <c r="U50" s="310" t="s">
        <v>4159</v>
      </c>
      <c r="V50" s="307"/>
      <c r="W50" s="54"/>
    </row>
    <row r="51" spans="1:23" ht="16">
      <c r="A51" s="162"/>
      <c r="B51" s="71" t="s">
        <v>2102</v>
      </c>
      <c r="C51" s="151" t="s">
        <v>3445</v>
      </c>
      <c r="D51" s="151" t="s">
        <v>4154</v>
      </c>
      <c r="E51" s="151" t="s">
        <v>3446</v>
      </c>
      <c r="F51" s="151" t="s">
        <v>3847</v>
      </c>
      <c r="G51" s="53" t="s">
        <v>639</v>
      </c>
      <c r="H51" s="53" t="s">
        <v>30</v>
      </c>
      <c r="I51" s="151">
        <v>48</v>
      </c>
      <c r="J51" s="364">
        <v>218.75</v>
      </c>
      <c r="K51" s="54">
        <f t="shared" si="1"/>
        <v>10500</v>
      </c>
      <c r="L51" s="55" t="b">
        <v>1</v>
      </c>
      <c r="M51" s="56">
        <v>110920251355</v>
      </c>
      <c r="N51" s="57" t="b">
        <v>1</v>
      </c>
      <c r="O51" s="296"/>
      <c r="P51" s="342" t="s">
        <v>3684</v>
      </c>
      <c r="Q51" s="312" t="b">
        <v>1</v>
      </c>
      <c r="R51" s="49"/>
      <c r="S51" s="173" t="s">
        <v>4160</v>
      </c>
      <c r="T51" s="57" t="b">
        <v>1</v>
      </c>
      <c r="U51" s="310" t="s">
        <v>4161</v>
      </c>
      <c r="V51" s="307"/>
      <c r="W51" s="54"/>
    </row>
    <row r="52" spans="1:23" ht="16">
      <c r="A52" s="162"/>
      <c r="B52" s="71" t="s">
        <v>2102</v>
      </c>
      <c r="C52" s="151" t="s">
        <v>3445</v>
      </c>
      <c r="D52" s="151" t="s">
        <v>4154</v>
      </c>
      <c r="E52" s="151" t="s">
        <v>3446</v>
      </c>
      <c r="F52" s="151" t="s">
        <v>3847</v>
      </c>
      <c r="G52" s="53" t="s">
        <v>3448</v>
      </c>
      <c r="H52" s="53" t="s">
        <v>30</v>
      </c>
      <c r="I52" s="151">
        <v>10</v>
      </c>
      <c r="J52" s="364">
        <v>650</v>
      </c>
      <c r="K52" s="54">
        <f t="shared" si="1"/>
        <v>6500</v>
      </c>
      <c r="L52" s="55" t="b">
        <v>1</v>
      </c>
      <c r="M52" s="56">
        <v>110920251355</v>
      </c>
      <c r="N52" s="57" t="b">
        <v>1</v>
      </c>
      <c r="O52" s="296" t="s">
        <v>39</v>
      </c>
      <c r="P52" s="342" t="s">
        <v>3684</v>
      </c>
      <c r="Q52" s="312" t="b">
        <v>1</v>
      </c>
      <c r="R52" s="49"/>
      <c r="S52" s="49"/>
      <c r="T52" s="57" t="b">
        <v>1</v>
      </c>
      <c r="U52" s="310" t="s">
        <v>4162</v>
      </c>
      <c r="V52" s="307"/>
      <c r="W52" s="54"/>
    </row>
    <row r="53" spans="1:23" ht="16">
      <c r="A53" s="162"/>
      <c r="B53" s="71" t="s">
        <v>2102</v>
      </c>
      <c r="C53" s="151" t="s">
        <v>3445</v>
      </c>
      <c r="D53" s="151" t="s">
        <v>4154</v>
      </c>
      <c r="E53" s="151" t="s">
        <v>3446</v>
      </c>
      <c r="F53" s="151" t="s">
        <v>3847</v>
      </c>
      <c r="G53" s="54" t="s">
        <v>68</v>
      </c>
      <c r="H53" s="53" t="s">
        <v>30</v>
      </c>
      <c r="I53" s="151">
        <v>2</v>
      </c>
      <c r="J53" s="54">
        <v>2350</v>
      </c>
      <c r="K53" s="54">
        <f t="shared" si="1"/>
        <v>4700</v>
      </c>
      <c r="L53" s="55" t="b">
        <v>1</v>
      </c>
      <c r="M53" s="56">
        <v>110920251355</v>
      </c>
      <c r="N53" s="57" t="b">
        <v>1</v>
      </c>
      <c r="O53" s="296"/>
      <c r="P53" s="342" t="s">
        <v>3684</v>
      </c>
      <c r="Q53" s="312" t="b">
        <v>1</v>
      </c>
      <c r="R53" s="49"/>
      <c r="S53" s="173" t="s">
        <v>4163</v>
      </c>
      <c r="T53" s="57" t="b">
        <v>1</v>
      </c>
      <c r="U53" s="310" t="s">
        <v>4164</v>
      </c>
      <c r="V53" s="307"/>
      <c r="W53" s="54"/>
    </row>
    <row r="54" spans="1:23" ht="16">
      <c r="A54" s="162"/>
      <c r="B54" s="71" t="s">
        <v>2102</v>
      </c>
      <c r="C54" s="151" t="s">
        <v>4165</v>
      </c>
      <c r="D54" s="151" t="s">
        <v>104</v>
      </c>
      <c r="E54" s="151" t="s">
        <v>2273</v>
      </c>
      <c r="F54" s="151" t="s">
        <v>1314</v>
      </c>
      <c r="G54" s="53" t="s">
        <v>3448</v>
      </c>
      <c r="H54" s="53" t="s">
        <v>30</v>
      </c>
      <c r="I54" s="151">
        <v>10</v>
      </c>
      <c r="J54" s="364">
        <v>650</v>
      </c>
      <c r="K54" s="54">
        <f t="shared" si="1"/>
        <v>6500</v>
      </c>
      <c r="L54" s="55" t="b">
        <v>1</v>
      </c>
      <c r="M54" s="56">
        <v>110920251355</v>
      </c>
      <c r="N54" s="57" t="b">
        <v>1</v>
      </c>
      <c r="O54" s="296" t="s">
        <v>39</v>
      </c>
      <c r="P54" s="342" t="s">
        <v>3684</v>
      </c>
      <c r="Q54" s="312" t="b">
        <v>1</v>
      </c>
      <c r="R54" s="49"/>
      <c r="S54" s="49"/>
      <c r="T54" s="57" t="b">
        <v>1</v>
      </c>
      <c r="U54" s="310" t="s">
        <v>4166</v>
      </c>
      <c r="V54" s="307"/>
      <c r="W54" s="54"/>
    </row>
    <row r="55" spans="1:23" ht="16">
      <c r="A55" s="162"/>
      <c r="B55" s="71" t="s">
        <v>2102</v>
      </c>
      <c r="C55" s="151" t="s">
        <v>4165</v>
      </c>
      <c r="D55" s="151" t="s">
        <v>104</v>
      </c>
      <c r="E55" s="151" t="s">
        <v>2273</v>
      </c>
      <c r="F55" s="151" t="s">
        <v>1314</v>
      </c>
      <c r="G55" s="54" t="s">
        <v>68</v>
      </c>
      <c r="H55" s="53" t="s">
        <v>30</v>
      </c>
      <c r="I55" s="151">
        <v>1</v>
      </c>
      <c r="J55" s="364">
        <v>2350</v>
      </c>
      <c r="K55" s="54">
        <f t="shared" si="1"/>
        <v>2350</v>
      </c>
      <c r="L55" s="55" t="b">
        <v>1</v>
      </c>
      <c r="M55" s="56">
        <v>110920251355</v>
      </c>
      <c r="N55" s="57" t="b">
        <v>1</v>
      </c>
      <c r="O55" s="296"/>
      <c r="P55" s="342" t="s">
        <v>3684</v>
      </c>
      <c r="Q55" s="312" t="b">
        <v>1</v>
      </c>
      <c r="R55" s="49"/>
      <c r="S55" s="173" t="s">
        <v>4167</v>
      </c>
      <c r="T55" s="57" t="b">
        <v>1</v>
      </c>
      <c r="U55" s="310" t="s">
        <v>4168</v>
      </c>
      <c r="V55" s="307"/>
      <c r="W55" s="54"/>
    </row>
    <row r="56" spans="1:23" ht="16">
      <c r="A56" s="162"/>
      <c r="B56" s="368" t="s">
        <v>4169</v>
      </c>
      <c r="C56" s="369" t="s">
        <v>4076</v>
      </c>
      <c r="D56" s="340" t="s">
        <v>569</v>
      </c>
      <c r="E56" s="340" t="s">
        <v>569</v>
      </c>
      <c r="F56" s="340" t="s">
        <v>4078</v>
      </c>
      <c r="G56" s="340" t="s">
        <v>101</v>
      </c>
      <c r="H56" s="80" t="s">
        <v>30</v>
      </c>
      <c r="I56" s="340">
        <v>25</v>
      </c>
      <c r="J56" s="370">
        <v>995</v>
      </c>
      <c r="K56" s="336">
        <f t="shared" si="1"/>
        <v>24875</v>
      </c>
      <c r="L56" s="55" t="b">
        <v>1</v>
      </c>
      <c r="M56" s="56">
        <v>120920250957</v>
      </c>
      <c r="N56" s="57" t="b">
        <v>1</v>
      </c>
      <c r="O56" s="296"/>
      <c r="P56" s="342" t="s">
        <v>3684</v>
      </c>
      <c r="Q56" s="312" t="b">
        <v>1</v>
      </c>
      <c r="R56" s="49"/>
      <c r="S56" s="173" t="s">
        <v>4170</v>
      </c>
      <c r="T56" s="57" t="b">
        <v>1</v>
      </c>
      <c r="U56" s="310" t="s">
        <v>4171</v>
      </c>
      <c r="V56" s="307"/>
      <c r="W56" s="54"/>
    </row>
    <row r="57" spans="1:23" ht="16">
      <c r="A57" s="162"/>
      <c r="B57" s="368" t="s">
        <v>4169</v>
      </c>
      <c r="C57" s="369" t="s">
        <v>4076</v>
      </c>
      <c r="D57" s="340" t="s">
        <v>569</v>
      </c>
      <c r="E57" s="340" t="s">
        <v>569</v>
      </c>
      <c r="F57" s="340" t="s">
        <v>4078</v>
      </c>
      <c r="G57" s="340" t="s">
        <v>3562</v>
      </c>
      <c r="H57" s="80" t="s">
        <v>30</v>
      </c>
      <c r="I57" s="340">
        <v>1</v>
      </c>
      <c r="J57" s="370">
        <v>2250</v>
      </c>
      <c r="K57" s="370">
        <v>2250</v>
      </c>
      <c r="L57" s="55" t="b">
        <v>1</v>
      </c>
      <c r="M57" s="56">
        <v>120920250957</v>
      </c>
      <c r="N57" s="57" t="b">
        <v>1</v>
      </c>
      <c r="O57" s="296"/>
      <c r="P57" s="342" t="s">
        <v>3684</v>
      </c>
      <c r="Q57" s="312" t="b">
        <v>1</v>
      </c>
      <c r="R57" s="49"/>
      <c r="S57" s="297"/>
      <c r="T57" s="57" t="b">
        <v>1</v>
      </c>
      <c r="U57" s="310" t="s">
        <v>4172</v>
      </c>
      <c r="V57" s="307"/>
      <c r="W57" s="54"/>
    </row>
    <row r="58" spans="1:23" ht="16">
      <c r="A58" s="162"/>
      <c r="B58" s="71" t="s">
        <v>4169</v>
      </c>
      <c r="C58" s="151" t="s">
        <v>4173</v>
      </c>
      <c r="D58" s="151" t="s">
        <v>149</v>
      </c>
      <c r="E58" s="151" t="s">
        <v>130</v>
      </c>
      <c r="F58" s="151" t="s">
        <v>150</v>
      </c>
      <c r="G58" s="53" t="s">
        <v>4143</v>
      </c>
      <c r="H58" s="53" t="s">
        <v>30</v>
      </c>
      <c r="I58" s="151">
        <v>1</v>
      </c>
      <c r="J58" s="364">
        <v>2100</v>
      </c>
      <c r="K58" s="54">
        <f t="shared" ref="K58:K124" si="2">(J58*I58)</f>
        <v>2100</v>
      </c>
      <c r="L58" s="55" t="b">
        <v>1</v>
      </c>
      <c r="M58" s="56">
        <v>120920250959</v>
      </c>
      <c r="N58" s="57" t="b">
        <v>1</v>
      </c>
      <c r="O58" s="296"/>
      <c r="P58" s="342" t="s">
        <v>3684</v>
      </c>
      <c r="Q58" s="312" t="b">
        <v>1</v>
      </c>
      <c r="R58" s="49"/>
      <c r="S58" s="173" t="s">
        <v>4174</v>
      </c>
      <c r="T58" s="57" t="b">
        <v>1</v>
      </c>
      <c r="U58" s="310" t="s">
        <v>4175</v>
      </c>
      <c r="V58" s="307"/>
      <c r="W58" s="54"/>
    </row>
    <row r="59" spans="1:23" ht="16">
      <c r="A59" s="162"/>
      <c r="B59" s="71" t="s">
        <v>4169</v>
      </c>
      <c r="C59" s="151" t="s">
        <v>4176</v>
      </c>
      <c r="D59" s="151" t="s">
        <v>104</v>
      </c>
      <c r="E59" s="151" t="s">
        <v>61</v>
      </c>
      <c r="F59" s="151" t="s">
        <v>333</v>
      </c>
      <c r="G59" s="151" t="s">
        <v>101</v>
      </c>
      <c r="H59" s="53" t="s">
        <v>30</v>
      </c>
      <c r="I59" s="151">
        <v>15</v>
      </c>
      <c r="J59" s="364">
        <v>995</v>
      </c>
      <c r="K59" s="54">
        <f t="shared" si="2"/>
        <v>14925</v>
      </c>
      <c r="L59" s="55" t="b">
        <v>1</v>
      </c>
      <c r="M59" s="56">
        <v>120920251327</v>
      </c>
      <c r="N59" s="57" t="b">
        <v>1</v>
      </c>
      <c r="O59" s="296"/>
      <c r="P59" s="342" t="s">
        <v>3684</v>
      </c>
      <c r="Q59" s="312" t="b">
        <v>1</v>
      </c>
      <c r="R59" s="49"/>
      <c r="S59" s="173" t="s">
        <v>4177</v>
      </c>
      <c r="T59" s="57" t="b">
        <v>1</v>
      </c>
      <c r="U59" s="310" t="s">
        <v>4178</v>
      </c>
      <c r="V59" s="307"/>
      <c r="W59" s="54"/>
    </row>
    <row r="60" spans="1:23" ht="16">
      <c r="A60" s="162"/>
      <c r="B60" s="71" t="s">
        <v>4169</v>
      </c>
      <c r="C60" s="151" t="s">
        <v>4176</v>
      </c>
      <c r="D60" s="151" t="s">
        <v>104</v>
      </c>
      <c r="E60" s="151" t="s">
        <v>61</v>
      </c>
      <c r="F60" s="151" t="s">
        <v>333</v>
      </c>
      <c r="G60" s="151" t="s">
        <v>3562</v>
      </c>
      <c r="H60" s="53" t="s">
        <v>30</v>
      </c>
      <c r="I60" s="151">
        <v>1</v>
      </c>
      <c r="J60" s="364">
        <v>985</v>
      </c>
      <c r="K60" s="54">
        <f t="shared" si="2"/>
        <v>985</v>
      </c>
      <c r="L60" s="55" t="b">
        <v>1</v>
      </c>
      <c r="M60" s="56">
        <v>120920251327</v>
      </c>
      <c r="N60" s="57" t="b">
        <v>1</v>
      </c>
      <c r="O60" s="296"/>
      <c r="P60" s="342" t="s">
        <v>3684</v>
      </c>
      <c r="Q60" s="312" t="b">
        <v>1</v>
      </c>
      <c r="R60" s="49"/>
      <c r="S60" s="173"/>
      <c r="T60" s="57" t="b">
        <v>1</v>
      </c>
      <c r="U60" s="310" t="s">
        <v>4179</v>
      </c>
      <c r="V60" s="307"/>
      <c r="W60" s="54"/>
    </row>
    <row r="61" spans="1:23" ht="16">
      <c r="A61" s="162"/>
      <c r="B61" s="71" t="s">
        <v>4180</v>
      </c>
      <c r="C61" s="151" t="s">
        <v>4142</v>
      </c>
      <c r="D61" s="151" t="s">
        <v>397</v>
      </c>
      <c r="E61" s="151" t="s">
        <v>61</v>
      </c>
      <c r="F61" s="151" t="s">
        <v>4181</v>
      </c>
      <c r="G61" s="53" t="s">
        <v>1181</v>
      </c>
      <c r="H61" s="53" t="s">
        <v>30</v>
      </c>
      <c r="I61" s="151">
        <v>15</v>
      </c>
      <c r="J61" s="364">
        <v>150</v>
      </c>
      <c r="K61" s="54">
        <f t="shared" si="2"/>
        <v>2250</v>
      </c>
      <c r="L61" s="55" t="b">
        <v>1</v>
      </c>
      <c r="M61" s="56">
        <v>150920250806</v>
      </c>
      <c r="N61" s="57" t="b">
        <v>1</v>
      </c>
      <c r="O61" s="296"/>
      <c r="P61" s="342" t="s">
        <v>3684</v>
      </c>
      <c r="Q61" s="312" t="b">
        <v>1</v>
      </c>
      <c r="R61" s="49"/>
      <c r="S61" s="173" t="s">
        <v>4182</v>
      </c>
      <c r="T61" s="57" t="b">
        <v>1</v>
      </c>
      <c r="U61" s="310" t="s">
        <v>4183</v>
      </c>
      <c r="V61" s="307"/>
      <c r="W61" s="54"/>
    </row>
    <row r="62" spans="1:23" ht="16">
      <c r="A62" s="162"/>
      <c r="B62" s="71" t="s">
        <v>4180</v>
      </c>
      <c r="C62" s="151" t="s">
        <v>3697</v>
      </c>
      <c r="D62" s="151" t="s">
        <v>194</v>
      </c>
      <c r="E62" s="151" t="s">
        <v>195</v>
      </c>
      <c r="F62" s="151" t="s">
        <v>196</v>
      </c>
      <c r="G62" s="151" t="s">
        <v>236</v>
      </c>
      <c r="H62" s="53" t="s">
        <v>30</v>
      </c>
      <c r="I62" s="151">
        <v>6</v>
      </c>
      <c r="J62" s="364">
        <v>230</v>
      </c>
      <c r="K62" s="54">
        <f t="shared" si="2"/>
        <v>1380</v>
      </c>
      <c r="L62" s="55" t="b">
        <v>1</v>
      </c>
      <c r="M62" s="56">
        <v>150920250806</v>
      </c>
      <c r="N62" s="57" t="b">
        <v>1</v>
      </c>
      <c r="O62" s="296" t="s">
        <v>3300</v>
      </c>
      <c r="P62" s="342" t="s">
        <v>3684</v>
      </c>
      <c r="Q62" s="312" t="b">
        <v>1</v>
      </c>
      <c r="R62" s="49"/>
      <c r="S62" s="173" t="s">
        <v>4184</v>
      </c>
      <c r="T62" s="57" t="b">
        <v>1</v>
      </c>
      <c r="U62" s="310" t="s">
        <v>4185</v>
      </c>
      <c r="V62" s="307"/>
      <c r="W62" s="54"/>
    </row>
    <row r="63" spans="1:23" ht="16">
      <c r="A63" s="162"/>
      <c r="B63" s="71" t="s">
        <v>4180</v>
      </c>
      <c r="C63" s="151" t="s">
        <v>3577</v>
      </c>
      <c r="D63" s="151" t="s">
        <v>46</v>
      </c>
      <c r="E63" s="151" t="s">
        <v>47</v>
      </c>
      <c r="F63" s="151" t="s">
        <v>48</v>
      </c>
      <c r="G63" s="53" t="s">
        <v>3448</v>
      </c>
      <c r="H63" s="53" t="s">
        <v>30</v>
      </c>
      <c r="I63" s="151">
        <v>10</v>
      </c>
      <c r="J63" s="364">
        <v>650</v>
      </c>
      <c r="K63" s="54">
        <f t="shared" si="2"/>
        <v>6500</v>
      </c>
      <c r="L63" s="55" t="b">
        <v>1</v>
      </c>
      <c r="M63" s="56">
        <v>150920250806</v>
      </c>
      <c r="N63" s="57" t="b">
        <v>1</v>
      </c>
      <c r="O63" s="296" t="s">
        <v>39</v>
      </c>
      <c r="P63" s="342" t="s">
        <v>3684</v>
      </c>
      <c r="Q63" s="312" t="b">
        <v>1</v>
      </c>
      <c r="R63" s="49"/>
      <c r="S63" s="49"/>
      <c r="T63" s="57" t="b">
        <v>1</v>
      </c>
      <c r="U63" s="310" t="s">
        <v>4186</v>
      </c>
      <c r="V63" s="307"/>
      <c r="W63" s="54"/>
    </row>
    <row r="64" spans="1:23" ht="16">
      <c r="A64" s="162"/>
      <c r="B64" s="71" t="s">
        <v>4180</v>
      </c>
      <c r="C64" s="53" t="s">
        <v>3583</v>
      </c>
      <c r="D64" s="53" t="s">
        <v>26</v>
      </c>
      <c r="E64" s="53" t="s">
        <v>158</v>
      </c>
      <c r="F64" s="53" t="s">
        <v>3584</v>
      </c>
      <c r="G64" s="53" t="s">
        <v>4187</v>
      </c>
      <c r="H64" s="53" t="s">
        <v>30</v>
      </c>
      <c r="I64" s="151">
        <v>10</v>
      </c>
      <c r="J64" s="364">
        <v>150</v>
      </c>
      <c r="K64" s="54">
        <f t="shared" si="2"/>
        <v>1500</v>
      </c>
      <c r="L64" s="55" t="b">
        <v>1</v>
      </c>
      <c r="M64" s="56">
        <v>150920250806</v>
      </c>
      <c r="N64" s="57" t="b">
        <v>1</v>
      </c>
      <c r="O64" s="296"/>
      <c r="P64" s="342" t="s">
        <v>3684</v>
      </c>
      <c r="Q64" s="312" t="b">
        <v>1</v>
      </c>
      <c r="R64" s="49"/>
      <c r="S64" s="173" t="s">
        <v>4188</v>
      </c>
      <c r="T64" s="57" t="b">
        <v>1</v>
      </c>
      <c r="U64" s="310" t="s">
        <v>4189</v>
      </c>
      <c r="V64" s="307"/>
      <c r="W64" s="54"/>
    </row>
    <row r="65" spans="1:23" ht="16">
      <c r="A65" s="162"/>
      <c r="B65" s="71" t="s">
        <v>4180</v>
      </c>
      <c r="C65" s="53" t="s">
        <v>3583</v>
      </c>
      <c r="D65" s="53" t="s">
        <v>26</v>
      </c>
      <c r="E65" s="53" t="s">
        <v>158</v>
      </c>
      <c r="F65" s="53" t="s">
        <v>3584</v>
      </c>
      <c r="G65" s="53" t="s">
        <v>3448</v>
      </c>
      <c r="H65" s="53" t="s">
        <v>30</v>
      </c>
      <c r="I65" s="151">
        <v>10</v>
      </c>
      <c r="J65" s="364">
        <v>650</v>
      </c>
      <c r="K65" s="54">
        <f t="shared" si="2"/>
        <v>6500</v>
      </c>
      <c r="L65" s="55" t="b">
        <v>1</v>
      </c>
      <c r="M65" s="56">
        <v>150920250806</v>
      </c>
      <c r="N65" s="57" t="b">
        <v>1</v>
      </c>
      <c r="O65" s="296" t="s">
        <v>39</v>
      </c>
      <c r="P65" s="342" t="s">
        <v>3684</v>
      </c>
      <c r="Q65" s="312" t="b">
        <v>1</v>
      </c>
      <c r="R65" s="49"/>
      <c r="S65" s="49"/>
      <c r="T65" s="57" t="b">
        <v>1</v>
      </c>
      <c r="U65" s="310" t="s">
        <v>4190</v>
      </c>
      <c r="V65" s="307"/>
      <c r="W65" s="54"/>
    </row>
    <row r="66" spans="1:23" ht="16">
      <c r="A66" s="162"/>
      <c r="B66" s="71" t="s">
        <v>4180</v>
      </c>
      <c r="C66" s="151" t="s">
        <v>4099</v>
      </c>
      <c r="D66" s="151" t="s">
        <v>51</v>
      </c>
      <c r="E66" s="151" t="s">
        <v>594</v>
      </c>
      <c r="F66" s="151" t="s">
        <v>595</v>
      </c>
      <c r="G66" s="151" t="s">
        <v>4191</v>
      </c>
      <c r="H66" s="53" t="s">
        <v>30</v>
      </c>
      <c r="I66" s="151">
        <v>2</v>
      </c>
      <c r="J66" s="364">
        <v>1550</v>
      </c>
      <c r="K66" s="54">
        <f t="shared" si="2"/>
        <v>3100</v>
      </c>
      <c r="L66" s="55" t="b">
        <v>1</v>
      </c>
      <c r="M66" s="56">
        <v>150920250806</v>
      </c>
      <c r="N66" s="57" t="b">
        <v>1</v>
      </c>
      <c r="O66" s="296"/>
      <c r="P66" s="342" t="s">
        <v>3684</v>
      </c>
      <c r="Q66" s="312" t="b">
        <v>1</v>
      </c>
      <c r="R66" s="49"/>
      <c r="S66" s="173" t="s">
        <v>4192</v>
      </c>
      <c r="T66" s="57" t="b">
        <v>1</v>
      </c>
      <c r="U66" s="310" t="s">
        <v>4193</v>
      </c>
      <c r="V66" s="307"/>
      <c r="W66" s="54"/>
    </row>
    <row r="67" spans="1:23" ht="16">
      <c r="A67" s="162"/>
      <c r="B67" s="71" t="s">
        <v>4180</v>
      </c>
      <c r="C67" s="151" t="s">
        <v>3650</v>
      </c>
      <c r="D67" s="151" t="s">
        <v>171</v>
      </c>
      <c r="E67" s="151" t="s">
        <v>137</v>
      </c>
      <c r="F67" s="151" t="s">
        <v>3651</v>
      </c>
      <c r="G67" s="53" t="s">
        <v>3448</v>
      </c>
      <c r="H67" s="53" t="s">
        <v>30</v>
      </c>
      <c r="I67" s="151">
        <v>10</v>
      </c>
      <c r="J67" s="364">
        <v>650</v>
      </c>
      <c r="K67" s="54">
        <f t="shared" si="2"/>
        <v>6500</v>
      </c>
      <c r="L67" s="55" t="b">
        <v>1</v>
      </c>
      <c r="M67" s="56">
        <v>150920250806</v>
      </c>
      <c r="N67" s="57" t="b">
        <v>1</v>
      </c>
      <c r="O67" s="296" t="s">
        <v>39</v>
      </c>
      <c r="P67" s="342" t="s">
        <v>3684</v>
      </c>
      <c r="Q67" s="312" t="b">
        <v>1</v>
      </c>
      <c r="R67" s="49"/>
      <c r="S67" s="49"/>
      <c r="T67" s="57" t="b">
        <v>1</v>
      </c>
      <c r="U67" s="310" t="s">
        <v>4194</v>
      </c>
      <c r="V67" s="307"/>
      <c r="W67" s="54"/>
    </row>
    <row r="68" spans="1:23" ht="16">
      <c r="A68" s="162"/>
      <c r="B68" s="71" t="s">
        <v>4180</v>
      </c>
      <c r="C68" s="151" t="s">
        <v>3650</v>
      </c>
      <c r="D68" s="151" t="s">
        <v>171</v>
      </c>
      <c r="E68" s="151" t="s">
        <v>137</v>
      </c>
      <c r="F68" s="151" t="s">
        <v>3651</v>
      </c>
      <c r="G68" s="53" t="s">
        <v>4195</v>
      </c>
      <c r="H68" s="53" t="s">
        <v>30</v>
      </c>
      <c r="I68" s="151">
        <v>80</v>
      </c>
      <c r="J68" s="364">
        <v>150</v>
      </c>
      <c r="K68" s="54">
        <f t="shared" si="2"/>
        <v>12000</v>
      </c>
      <c r="L68" s="55" t="b">
        <v>1</v>
      </c>
      <c r="M68" s="56">
        <v>150920250806</v>
      </c>
      <c r="N68" s="57" t="b">
        <v>1</v>
      </c>
      <c r="O68" s="296"/>
      <c r="P68" s="342" t="s">
        <v>3684</v>
      </c>
      <c r="Q68" s="312" t="b">
        <v>1</v>
      </c>
      <c r="R68" s="49"/>
      <c r="S68" s="173" t="s">
        <v>4196</v>
      </c>
      <c r="T68" s="57" t="b">
        <v>1</v>
      </c>
      <c r="U68" s="310" t="s">
        <v>4197</v>
      </c>
      <c r="V68" s="307"/>
      <c r="W68" s="54"/>
    </row>
    <row r="69" spans="1:23" ht="16">
      <c r="A69" s="162"/>
      <c r="B69" s="71" t="s">
        <v>4180</v>
      </c>
      <c r="C69" s="151" t="s">
        <v>3650</v>
      </c>
      <c r="D69" s="151" t="s">
        <v>171</v>
      </c>
      <c r="E69" s="151" t="s">
        <v>137</v>
      </c>
      <c r="F69" s="151" t="s">
        <v>3651</v>
      </c>
      <c r="G69" s="53" t="s">
        <v>4198</v>
      </c>
      <c r="H69" s="53" t="s">
        <v>30</v>
      </c>
      <c r="I69" s="151">
        <v>5</v>
      </c>
      <c r="J69" s="364">
        <v>165</v>
      </c>
      <c r="K69" s="54">
        <f t="shared" si="2"/>
        <v>825</v>
      </c>
      <c r="L69" s="55" t="b">
        <v>1</v>
      </c>
      <c r="M69" s="56">
        <v>150920250806</v>
      </c>
      <c r="N69" s="57" t="b">
        <v>1</v>
      </c>
      <c r="O69" s="296"/>
      <c r="P69" s="342" t="s">
        <v>3684</v>
      </c>
      <c r="Q69" s="312" t="b">
        <v>1</v>
      </c>
      <c r="R69" s="49"/>
      <c r="S69" s="173" t="s">
        <v>4196</v>
      </c>
      <c r="T69" s="57" t="b">
        <v>1</v>
      </c>
      <c r="U69" s="310" t="s">
        <v>4197</v>
      </c>
      <c r="V69" s="307"/>
      <c r="W69" s="54"/>
    </row>
    <row r="70" spans="1:23" ht="16">
      <c r="A70" s="162"/>
      <c r="B70" s="71" t="s">
        <v>4180</v>
      </c>
      <c r="C70" s="151" t="s">
        <v>3650</v>
      </c>
      <c r="D70" s="151" t="s">
        <v>171</v>
      </c>
      <c r="E70" s="151" t="s">
        <v>137</v>
      </c>
      <c r="F70" s="151" t="s">
        <v>3651</v>
      </c>
      <c r="G70" s="53" t="s">
        <v>4199</v>
      </c>
      <c r="H70" s="53" t="s">
        <v>30</v>
      </c>
      <c r="I70" s="151">
        <v>250</v>
      </c>
      <c r="J70" s="364">
        <v>3.75</v>
      </c>
      <c r="K70" s="54">
        <f t="shared" si="2"/>
        <v>937.5</v>
      </c>
      <c r="L70" s="55" t="b">
        <v>1</v>
      </c>
      <c r="M70" s="56">
        <v>150920250806</v>
      </c>
      <c r="N70" s="57" t="b">
        <v>1</v>
      </c>
      <c r="O70" s="296"/>
      <c r="P70" s="342" t="s">
        <v>3684</v>
      </c>
      <c r="Q70" s="312" t="b">
        <v>1</v>
      </c>
      <c r="R70" s="49"/>
      <c r="S70" s="173" t="s">
        <v>4196</v>
      </c>
      <c r="T70" s="57" t="b">
        <v>1</v>
      </c>
      <c r="U70" s="310" t="s">
        <v>4197</v>
      </c>
      <c r="V70" s="307"/>
      <c r="W70" s="54"/>
    </row>
    <row r="71" spans="1:23" ht="14.25" customHeight="1">
      <c r="A71" s="162"/>
      <c r="B71" s="71" t="s">
        <v>4180</v>
      </c>
      <c r="C71" s="151" t="s">
        <v>3650</v>
      </c>
      <c r="D71" s="151" t="s">
        <v>171</v>
      </c>
      <c r="E71" s="151" t="s">
        <v>137</v>
      </c>
      <c r="F71" s="151" t="s">
        <v>3651</v>
      </c>
      <c r="G71" s="53" t="s">
        <v>4200</v>
      </c>
      <c r="H71" s="53" t="s">
        <v>30</v>
      </c>
      <c r="I71" s="151">
        <v>250</v>
      </c>
      <c r="J71" s="364">
        <v>9</v>
      </c>
      <c r="K71" s="54">
        <f t="shared" si="2"/>
        <v>2250</v>
      </c>
      <c r="L71" s="55" t="b">
        <v>1</v>
      </c>
      <c r="M71" s="56">
        <v>150920250806</v>
      </c>
      <c r="N71" s="57" t="b">
        <v>1</v>
      </c>
      <c r="O71" s="296"/>
      <c r="P71" s="342" t="s">
        <v>3684</v>
      </c>
      <c r="Q71" s="312" t="b">
        <v>1</v>
      </c>
      <c r="R71" s="49"/>
      <c r="S71" s="173" t="s">
        <v>4196</v>
      </c>
      <c r="T71" s="57" t="b">
        <v>1</v>
      </c>
      <c r="U71" s="310" t="s">
        <v>4197</v>
      </c>
      <c r="V71" s="307"/>
      <c r="W71" s="54"/>
    </row>
    <row r="72" spans="1:23" ht="14.25" customHeight="1">
      <c r="A72" s="162"/>
      <c r="B72" s="71" t="s">
        <v>4180</v>
      </c>
      <c r="C72" s="151" t="s">
        <v>3650</v>
      </c>
      <c r="D72" s="151" t="s">
        <v>171</v>
      </c>
      <c r="E72" s="151" t="s">
        <v>137</v>
      </c>
      <c r="F72" s="151" t="s">
        <v>3651</v>
      </c>
      <c r="G72" s="53" t="s">
        <v>38</v>
      </c>
      <c r="H72" s="53" t="s">
        <v>30</v>
      </c>
      <c r="I72" s="151">
        <v>4</v>
      </c>
      <c r="J72" s="364">
        <v>925</v>
      </c>
      <c r="K72" s="54">
        <f t="shared" si="2"/>
        <v>3700</v>
      </c>
      <c r="L72" s="55" t="b">
        <v>1</v>
      </c>
      <c r="M72" s="56">
        <v>150920250806</v>
      </c>
      <c r="N72" s="57" t="b">
        <v>1</v>
      </c>
      <c r="O72" s="296" t="s">
        <v>39</v>
      </c>
      <c r="P72" s="342" t="s">
        <v>3684</v>
      </c>
      <c r="Q72" s="312" t="b">
        <v>1</v>
      </c>
      <c r="R72" s="49"/>
      <c r="S72" s="173" t="s">
        <v>4201</v>
      </c>
      <c r="T72" s="57" t="b">
        <v>1</v>
      </c>
      <c r="U72" s="310" t="s">
        <v>4202</v>
      </c>
      <c r="V72" s="307"/>
      <c r="W72" s="54"/>
    </row>
    <row r="73" spans="1:23" ht="16">
      <c r="A73" s="101"/>
      <c r="B73" s="71" t="s">
        <v>4180</v>
      </c>
      <c r="C73" s="151" t="s">
        <v>3650</v>
      </c>
      <c r="D73" s="151" t="s">
        <v>171</v>
      </c>
      <c r="E73" s="151" t="s">
        <v>137</v>
      </c>
      <c r="F73" s="151" t="s">
        <v>3651</v>
      </c>
      <c r="G73" s="53" t="s">
        <v>4203</v>
      </c>
      <c r="H73" s="53" t="s">
        <v>30</v>
      </c>
      <c r="I73" s="151">
        <v>3</v>
      </c>
      <c r="J73" s="364">
        <v>300</v>
      </c>
      <c r="K73" s="54">
        <f t="shared" si="2"/>
        <v>900</v>
      </c>
      <c r="L73" s="55" t="b">
        <v>1</v>
      </c>
      <c r="M73" s="56">
        <v>150920250806</v>
      </c>
      <c r="N73" s="57" t="b">
        <v>1</v>
      </c>
      <c r="O73" s="296"/>
      <c r="P73" s="342" t="s">
        <v>3684</v>
      </c>
      <c r="Q73" s="312" t="b">
        <v>1</v>
      </c>
      <c r="R73" s="49"/>
      <c r="S73" s="173" t="s">
        <v>4196</v>
      </c>
      <c r="T73" s="57" t="b">
        <v>1</v>
      </c>
      <c r="U73" s="310" t="s">
        <v>4197</v>
      </c>
      <c r="V73" s="307"/>
      <c r="W73" s="54"/>
    </row>
    <row r="74" spans="1:23" ht="16">
      <c r="A74" s="162"/>
      <c r="B74" s="71" t="s">
        <v>4180</v>
      </c>
      <c r="C74" s="151" t="s">
        <v>3650</v>
      </c>
      <c r="D74" s="151" t="s">
        <v>171</v>
      </c>
      <c r="E74" s="151" t="s">
        <v>137</v>
      </c>
      <c r="F74" s="151" t="s">
        <v>3651</v>
      </c>
      <c r="G74" s="53" t="s">
        <v>4204</v>
      </c>
      <c r="H74" s="53" t="s">
        <v>30</v>
      </c>
      <c r="I74" s="151">
        <v>3</v>
      </c>
      <c r="J74" s="364">
        <v>285</v>
      </c>
      <c r="K74" s="54">
        <f t="shared" si="2"/>
        <v>855</v>
      </c>
      <c r="L74" s="55" t="b">
        <v>1</v>
      </c>
      <c r="M74" s="56">
        <v>150920250806</v>
      </c>
      <c r="N74" s="57" t="b">
        <v>1</v>
      </c>
      <c r="O74" s="296"/>
      <c r="P74" s="342" t="s">
        <v>3684</v>
      </c>
      <c r="Q74" s="312" t="b">
        <v>1</v>
      </c>
      <c r="R74" s="371"/>
      <c r="S74" s="173" t="s">
        <v>4205</v>
      </c>
      <c r="T74" s="57" t="b">
        <v>1</v>
      </c>
      <c r="U74" s="310" t="s">
        <v>4206</v>
      </c>
      <c r="V74" s="307"/>
      <c r="W74" s="54"/>
    </row>
    <row r="75" spans="1:23" ht="16">
      <c r="A75" s="162"/>
      <c r="B75" s="71" t="s">
        <v>4180</v>
      </c>
      <c r="C75" s="151" t="s">
        <v>3650</v>
      </c>
      <c r="D75" s="151" t="s">
        <v>171</v>
      </c>
      <c r="E75" s="151" t="s">
        <v>137</v>
      </c>
      <c r="F75" s="151" t="s">
        <v>3651</v>
      </c>
      <c r="G75" s="53" t="s">
        <v>771</v>
      </c>
      <c r="H75" s="53" t="s">
        <v>30</v>
      </c>
      <c r="I75" s="151">
        <v>100</v>
      </c>
      <c r="J75" s="364">
        <v>135</v>
      </c>
      <c r="K75" s="54">
        <f t="shared" si="2"/>
        <v>13500</v>
      </c>
      <c r="L75" s="55" t="b">
        <v>1</v>
      </c>
      <c r="M75" s="56">
        <v>150920250806</v>
      </c>
      <c r="N75" s="57" t="b">
        <v>1</v>
      </c>
      <c r="O75" s="296"/>
      <c r="P75" s="342" t="s">
        <v>3684</v>
      </c>
      <c r="Q75" s="312" t="b">
        <v>1</v>
      </c>
      <c r="R75" s="49"/>
      <c r="S75" s="173" t="s">
        <v>4207</v>
      </c>
      <c r="T75" s="57" t="b">
        <v>1</v>
      </c>
      <c r="U75" s="310" t="s">
        <v>4208</v>
      </c>
      <c r="V75" s="307"/>
      <c r="W75" s="54"/>
    </row>
    <row r="76" spans="1:23" ht="16">
      <c r="A76" s="162"/>
      <c r="B76" s="71" t="s">
        <v>2142</v>
      </c>
      <c r="C76" s="151" t="s">
        <v>3506</v>
      </c>
      <c r="D76" s="151" t="s">
        <v>55</v>
      </c>
      <c r="E76" s="151">
        <v>41</v>
      </c>
      <c r="F76" s="151" t="s">
        <v>1552</v>
      </c>
      <c r="G76" s="53" t="s">
        <v>1700</v>
      </c>
      <c r="H76" s="53" t="s">
        <v>30</v>
      </c>
      <c r="I76" s="151">
        <v>200</v>
      </c>
      <c r="J76" s="364">
        <v>16</v>
      </c>
      <c r="K76" s="54">
        <f t="shared" si="2"/>
        <v>3200</v>
      </c>
      <c r="L76" s="55" t="b">
        <v>1</v>
      </c>
      <c r="M76" s="56">
        <v>160920250951</v>
      </c>
      <c r="N76" s="57" t="b">
        <v>1</v>
      </c>
      <c r="O76" s="296"/>
      <c r="P76" s="342" t="s">
        <v>3684</v>
      </c>
      <c r="Q76" s="312" t="b">
        <v>1</v>
      </c>
      <c r="R76" s="49"/>
      <c r="S76" s="173" t="s">
        <v>4209</v>
      </c>
      <c r="T76" s="57" t="b">
        <v>1</v>
      </c>
      <c r="U76" s="310" t="s">
        <v>4210</v>
      </c>
      <c r="V76" s="307"/>
      <c r="W76" s="54"/>
    </row>
    <row r="77" spans="1:23" ht="16">
      <c r="A77" s="162"/>
      <c r="B77" s="71" t="s">
        <v>2142</v>
      </c>
      <c r="C77" s="151" t="s">
        <v>3619</v>
      </c>
      <c r="D77" s="151" t="s">
        <v>433</v>
      </c>
      <c r="E77" s="151" t="s">
        <v>751</v>
      </c>
      <c r="F77" s="151" t="s">
        <v>2538</v>
      </c>
      <c r="G77" s="53" t="s">
        <v>4211</v>
      </c>
      <c r="H77" s="53" t="s">
        <v>30</v>
      </c>
      <c r="I77" s="151">
        <v>20</v>
      </c>
      <c r="J77" s="364">
        <v>150</v>
      </c>
      <c r="K77" s="54">
        <f t="shared" si="2"/>
        <v>3000</v>
      </c>
      <c r="L77" s="55" t="b">
        <v>1</v>
      </c>
      <c r="M77" s="56">
        <v>160920250951</v>
      </c>
      <c r="N77" s="57" t="b">
        <v>1</v>
      </c>
      <c r="O77" s="296"/>
      <c r="P77" s="342" t="s">
        <v>3684</v>
      </c>
      <c r="Q77" s="312" t="b">
        <v>1</v>
      </c>
      <c r="R77" s="49"/>
      <c r="S77" s="173" t="s">
        <v>4212</v>
      </c>
      <c r="T77" s="57" t="b">
        <v>1</v>
      </c>
      <c r="U77" s="310" t="s">
        <v>4213</v>
      </c>
      <c r="V77" s="307"/>
      <c r="W77" s="54"/>
    </row>
    <row r="78" spans="1:23" ht="16">
      <c r="A78" s="162"/>
      <c r="B78" s="71" t="s">
        <v>2142</v>
      </c>
      <c r="C78" s="151" t="s">
        <v>3619</v>
      </c>
      <c r="D78" s="151" t="s">
        <v>433</v>
      </c>
      <c r="E78" s="151" t="s">
        <v>751</v>
      </c>
      <c r="F78" s="151" t="s">
        <v>2538</v>
      </c>
      <c r="G78" s="53" t="s">
        <v>2719</v>
      </c>
      <c r="H78" s="53" t="s">
        <v>30</v>
      </c>
      <c r="I78" s="151">
        <v>20</v>
      </c>
      <c r="J78" s="364">
        <v>135</v>
      </c>
      <c r="K78" s="54">
        <f t="shared" si="2"/>
        <v>2700</v>
      </c>
      <c r="L78" s="55" t="b">
        <v>1</v>
      </c>
      <c r="M78" s="56">
        <v>160920250951</v>
      </c>
      <c r="N78" s="57" t="b">
        <v>1</v>
      </c>
      <c r="O78" s="296"/>
      <c r="P78" s="342" t="s">
        <v>3684</v>
      </c>
      <c r="Q78" s="312" t="b">
        <v>1</v>
      </c>
      <c r="R78" s="49"/>
      <c r="S78" s="173" t="s">
        <v>4212</v>
      </c>
      <c r="T78" s="57" t="b">
        <v>1</v>
      </c>
      <c r="U78" s="310" t="s">
        <v>4213</v>
      </c>
      <c r="V78" s="307"/>
      <c r="W78" s="54"/>
    </row>
    <row r="79" spans="1:23" ht="16">
      <c r="A79" s="162" t="s">
        <v>3617</v>
      </c>
      <c r="B79" s="71" t="s">
        <v>2142</v>
      </c>
      <c r="C79" s="151" t="s">
        <v>3532</v>
      </c>
      <c r="D79" s="151" t="s">
        <v>51</v>
      </c>
      <c r="E79" s="151" t="s">
        <v>52</v>
      </c>
      <c r="F79" s="151" t="s">
        <v>1710</v>
      </c>
      <c r="G79" s="80" t="s">
        <v>4199</v>
      </c>
      <c r="H79" s="53" t="s">
        <v>30</v>
      </c>
      <c r="I79" s="151">
        <v>2</v>
      </c>
      <c r="J79" s="364">
        <v>375</v>
      </c>
      <c r="K79" s="54">
        <f t="shared" si="2"/>
        <v>750</v>
      </c>
      <c r="L79" s="55" t="b">
        <v>1</v>
      </c>
      <c r="M79" s="56">
        <v>160920251320</v>
      </c>
      <c r="N79" s="57" t="b">
        <v>1</v>
      </c>
      <c r="O79" s="296"/>
      <c r="P79" s="342" t="s">
        <v>3684</v>
      </c>
      <c r="Q79" s="312" t="b">
        <v>1</v>
      </c>
      <c r="R79" s="49"/>
      <c r="S79" s="173" t="s">
        <v>4214</v>
      </c>
      <c r="T79" s="57" t="b">
        <v>1</v>
      </c>
      <c r="U79" s="310" t="s">
        <v>4215</v>
      </c>
      <c r="V79" s="307"/>
      <c r="W79" s="54"/>
    </row>
    <row r="80" spans="1:23" ht="16">
      <c r="A80" s="162"/>
      <c r="B80" s="71" t="s">
        <v>2142</v>
      </c>
      <c r="C80" s="151" t="s">
        <v>3483</v>
      </c>
      <c r="D80" s="151" t="s">
        <v>26</v>
      </c>
      <c r="E80" s="151" t="s">
        <v>1976</v>
      </c>
      <c r="F80" s="151" t="s">
        <v>2124</v>
      </c>
      <c r="G80" s="340" t="s">
        <v>4216</v>
      </c>
      <c r="H80" s="53" t="s">
        <v>30</v>
      </c>
      <c r="I80" s="151">
        <v>50</v>
      </c>
      <c r="J80" s="364">
        <v>150</v>
      </c>
      <c r="K80" s="54">
        <f t="shared" si="2"/>
        <v>7500</v>
      </c>
      <c r="L80" s="55" t="b">
        <v>1</v>
      </c>
      <c r="M80" s="56">
        <v>160920251552</v>
      </c>
      <c r="N80" s="57" t="b">
        <v>1</v>
      </c>
      <c r="O80" s="296"/>
      <c r="P80" s="342" t="s">
        <v>3684</v>
      </c>
      <c r="Q80" s="312" t="b">
        <v>1</v>
      </c>
      <c r="R80" s="49"/>
      <c r="S80" s="173" t="s">
        <v>4217</v>
      </c>
      <c r="T80" s="57" t="b">
        <v>1</v>
      </c>
      <c r="U80" s="310" t="s">
        <v>4218</v>
      </c>
      <c r="V80" s="307"/>
      <c r="W80" s="54"/>
    </row>
    <row r="81" spans="1:23" ht="15.75" customHeight="1">
      <c r="A81" s="162"/>
      <c r="B81" s="71" t="s">
        <v>2142</v>
      </c>
      <c r="C81" s="151" t="s">
        <v>3483</v>
      </c>
      <c r="D81" s="151" t="s">
        <v>26</v>
      </c>
      <c r="E81" s="151" t="s">
        <v>1976</v>
      </c>
      <c r="F81" s="151" t="s">
        <v>2124</v>
      </c>
      <c r="G81" s="53" t="s">
        <v>2957</v>
      </c>
      <c r="H81" s="53" t="s">
        <v>30</v>
      </c>
      <c r="I81" s="151">
        <v>1</v>
      </c>
      <c r="J81" s="364">
        <v>1750</v>
      </c>
      <c r="K81" s="54">
        <f t="shared" si="2"/>
        <v>1750</v>
      </c>
      <c r="L81" s="55" t="b">
        <v>1</v>
      </c>
      <c r="M81" s="56">
        <v>160920251552</v>
      </c>
      <c r="N81" s="57" t="b">
        <v>1</v>
      </c>
      <c r="O81" s="296"/>
      <c r="P81" s="342" t="s">
        <v>3684</v>
      </c>
      <c r="Q81" s="312" t="b">
        <v>1</v>
      </c>
      <c r="R81" s="49"/>
      <c r="S81" s="173" t="s">
        <v>4217</v>
      </c>
      <c r="T81" s="57" t="b">
        <v>1</v>
      </c>
      <c r="U81" s="310" t="s">
        <v>4218</v>
      </c>
      <c r="V81" s="307"/>
      <c r="W81" s="54"/>
    </row>
    <row r="82" spans="1:23" ht="16">
      <c r="A82" s="162"/>
      <c r="B82" s="71" t="s">
        <v>2142</v>
      </c>
      <c r="C82" s="151" t="s">
        <v>3483</v>
      </c>
      <c r="D82" s="151" t="s">
        <v>26</v>
      </c>
      <c r="E82" s="151" t="s">
        <v>1976</v>
      </c>
      <c r="F82" s="151" t="s">
        <v>2124</v>
      </c>
      <c r="G82" s="53" t="s">
        <v>4219</v>
      </c>
      <c r="H82" s="53" t="s">
        <v>30</v>
      </c>
      <c r="I82" s="151">
        <v>20</v>
      </c>
      <c r="J82" s="364">
        <v>300</v>
      </c>
      <c r="K82" s="54">
        <f t="shared" si="2"/>
        <v>6000</v>
      </c>
      <c r="L82" s="55" t="b">
        <v>1</v>
      </c>
      <c r="M82" s="56">
        <v>160920251552</v>
      </c>
      <c r="N82" s="57" t="b">
        <v>1</v>
      </c>
      <c r="O82" s="296"/>
      <c r="P82" s="342" t="s">
        <v>3684</v>
      </c>
      <c r="Q82" s="312" t="b">
        <v>1</v>
      </c>
      <c r="R82" s="49"/>
      <c r="S82" s="173" t="s">
        <v>4217</v>
      </c>
      <c r="T82" s="57" t="b">
        <v>1</v>
      </c>
      <c r="U82" s="310" t="s">
        <v>4218</v>
      </c>
      <c r="V82" s="307"/>
      <c r="W82" s="54"/>
    </row>
    <row r="83" spans="1:23" ht="14.25" customHeight="1">
      <c r="A83" s="162"/>
      <c r="B83" s="71" t="s">
        <v>2142</v>
      </c>
      <c r="C83" s="151" t="s">
        <v>3483</v>
      </c>
      <c r="D83" s="151" t="s">
        <v>26</v>
      </c>
      <c r="E83" s="151" t="s">
        <v>1976</v>
      </c>
      <c r="F83" s="151" t="s">
        <v>2124</v>
      </c>
      <c r="G83" s="53" t="s">
        <v>68</v>
      </c>
      <c r="H83" s="53" t="s">
        <v>30</v>
      </c>
      <c r="I83" s="151">
        <v>1</v>
      </c>
      <c r="J83" s="364">
        <v>1350</v>
      </c>
      <c r="K83" s="54">
        <f t="shared" si="2"/>
        <v>1350</v>
      </c>
      <c r="L83" s="55" t="b">
        <v>1</v>
      </c>
      <c r="M83" s="56">
        <v>160920251552</v>
      </c>
      <c r="N83" s="57" t="b">
        <v>1</v>
      </c>
      <c r="O83" s="296"/>
      <c r="P83" s="342" t="s">
        <v>3684</v>
      </c>
      <c r="Q83" s="312" t="b">
        <v>1</v>
      </c>
      <c r="R83" s="49"/>
      <c r="S83" s="173" t="s">
        <v>4217</v>
      </c>
      <c r="T83" s="57" t="b">
        <v>1</v>
      </c>
      <c r="U83" s="310" t="s">
        <v>4218</v>
      </c>
      <c r="V83" s="307"/>
      <c r="W83" s="54"/>
    </row>
    <row r="84" spans="1:23" ht="16">
      <c r="A84" s="162"/>
      <c r="B84" s="71" t="s">
        <v>2142</v>
      </c>
      <c r="C84" s="53" t="s">
        <v>3690</v>
      </c>
      <c r="D84" s="53" t="s">
        <v>104</v>
      </c>
      <c r="E84" s="53" t="s">
        <v>516</v>
      </c>
      <c r="F84" s="53" t="s">
        <v>517</v>
      </c>
      <c r="G84" s="53" t="s">
        <v>300</v>
      </c>
      <c r="H84" s="53" t="s">
        <v>30</v>
      </c>
      <c r="I84" s="53">
        <v>26</v>
      </c>
      <c r="J84" s="54">
        <v>150</v>
      </c>
      <c r="K84" s="54">
        <f t="shared" si="2"/>
        <v>3900</v>
      </c>
      <c r="L84" s="55" t="b">
        <v>1</v>
      </c>
      <c r="M84" s="56">
        <v>160920251832</v>
      </c>
      <c r="N84" s="57" t="b">
        <v>1</v>
      </c>
      <c r="O84" s="296"/>
      <c r="P84" s="342" t="s">
        <v>3684</v>
      </c>
      <c r="Q84" s="312" t="b">
        <v>1</v>
      </c>
      <c r="R84" s="49"/>
      <c r="S84" s="173" t="s">
        <v>4220</v>
      </c>
      <c r="T84" s="57" t="b">
        <v>1</v>
      </c>
      <c r="U84" s="310" t="s">
        <v>4221</v>
      </c>
      <c r="V84" s="307"/>
      <c r="W84" s="54"/>
    </row>
    <row r="85" spans="1:23" ht="16">
      <c r="A85" s="162"/>
      <c r="B85" s="71" t="s">
        <v>2142</v>
      </c>
      <c r="C85" s="151" t="s">
        <v>3517</v>
      </c>
      <c r="D85" s="151" t="s">
        <v>51</v>
      </c>
      <c r="E85" s="53" t="s">
        <v>61</v>
      </c>
      <c r="F85" s="53" t="s">
        <v>476</v>
      </c>
      <c r="G85" s="53" t="s">
        <v>4222</v>
      </c>
      <c r="H85" s="53" t="s">
        <v>30</v>
      </c>
      <c r="I85" s="151">
        <v>200</v>
      </c>
      <c r="J85" s="364">
        <v>16</v>
      </c>
      <c r="K85" s="54">
        <f t="shared" si="2"/>
        <v>3200</v>
      </c>
      <c r="L85" s="55" t="b">
        <v>1</v>
      </c>
      <c r="M85" s="56">
        <v>160920251832</v>
      </c>
      <c r="N85" s="57" t="b">
        <v>1</v>
      </c>
      <c r="O85" s="296"/>
      <c r="P85" s="342" t="s">
        <v>3684</v>
      </c>
      <c r="Q85" s="312" t="b">
        <v>1</v>
      </c>
      <c r="R85" s="49"/>
      <c r="S85" s="173" t="s">
        <v>4223</v>
      </c>
      <c r="T85" s="57" t="b">
        <v>1</v>
      </c>
      <c r="U85" s="310" t="s">
        <v>4224</v>
      </c>
      <c r="V85" s="307"/>
      <c r="W85" s="54"/>
    </row>
    <row r="86" spans="1:23" ht="16">
      <c r="A86" s="162"/>
      <c r="B86" s="132" t="s">
        <v>4225</v>
      </c>
      <c r="C86" s="151" t="s">
        <v>3487</v>
      </c>
      <c r="D86" s="151" t="s">
        <v>51</v>
      </c>
      <c r="E86" s="151" t="s">
        <v>89</v>
      </c>
      <c r="F86" s="151" t="s">
        <v>2090</v>
      </c>
      <c r="G86" s="80" t="s">
        <v>4226</v>
      </c>
      <c r="H86" s="53" t="s">
        <v>30</v>
      </c>
      <c r="I86" s="151">
        <v>20</v>
      </c>
      <c r="J86" s="364">
        <v>150</v>
      </c>
      <c r="K86" s="54">
        <f t="shared" si="2"/>
        <v>3000</v>
      </c>
      <c r="L86" s="55" t="b">
        <v>1</v>
      </c>
      <c r="M86" s="56">
        <v>170920251701</v>
      </c>
      <c r="N86" s="57" t="b">
        <v>1</v>
      </c>
      <c r="O86" s="296"/>
      <c r="P86" s="342" t="s">
        <v>3684</v>
      </c>
      <c r="Q86" s="312" t="b">
        <v>1</v>
      </c>
      <c r="R86" s="49"/>
      <c r="S86" s="173" t="s">
        <v>4227</v>
      </c>
      <c r="T86" s="57" t="b">
        <v>1</v>
      </c>
      <c r="U86" s="310" t="s">
        <v>4228</v>
      </c>
      <c r="V86" s="307"/>
      <c r="W86" s="54"/>
    </row>
    <row r="87" spans="1:23" ht="16">
      <c r="A87" s="162"/>
      <c r="B87" s="132" t="s">
        <v>4225</v>
      </c>
      <c r="C87" s="151" t="s">
        <v>4229</v>
      </c>
      <c r="D87" s="151" t="s">
        <v>104</v>
      </c>
      <c r="E87" s="151" t="s">
        <v>42</v>
      </c>
      <c r="F87" s="151" t="s">
        <v>2250</v>
      </c>
      <c r="G87" s="53" t="s">
        <v>4230</v>
      </c>
      <c r="H87" s="53" t="s">
        <v>30</v>
      </c>
      <c r="I87" s="151">
        <v>15</v>
      </c>
      <c r="J87" s="364">
        <v>2250</v>
      </c>
      <c r="K87" s="54">
        <f t="shared" si="2"/>
        <v>33750</v>
      </c>
      <c r="L87" s="55" t="b">
        <v>1</v>
      </c>
      <c r="M87" s="56">
        <v>170920251701</v>
      </c>
      <c r="N87" s="57" t="b">
        <v>1</v>
      </c>
      <c r="O87" s="296"/>
      <c r="P87" s="342" t="s">
        <v>3684</v>
      </c>
      <c r="Q87" s="312" t="b">
        <v>1</v>
      </c>
      <c r="R87" s="49"/>
      <c r="S87" s="173" t="s">
        <v>4231</v>
      </c>
      <c r="T87" s="57" t="b">
        <v>1</v>
      </c>
      <c r="U87" s="310" t="s">
        <v>4232</v>
      </c>
      <c r="V87" s="307"/>
      <c r="W87" s="54"/>
    </row>
    <row r="88" spans="1:23" ht="16">
      <c r="A88" s="162"/>
      <c r="B88" s="132" t="s">
        <v>4225</v>
      </c>
      <c r="C88" s="151" t="s">
        <v>4229</v>
      </c>
      <c r="D88" s="151" t="s">
        <v>104</v>
      </c>
      <c r="E88" s="151" t="s">
        <v>42</v>
      </c>
      <c r="F88" s="151" t="s">
        <v>2250</v>
      </c>
      <c r="G88" s="80" t="s">
        <v>4233</v>
      </c>
      <c r="H88" s="53" t="s">
        <v>30</v>
      </c>
      <c r="I88" s="151">
        <v>3</v>
      </c>
      <c r="J88" s="364">
        <v>2650</v>
      </c>
      <c r="K88" s="54">
        <f t="shared" si="2"/>
        <v>7950</v>
      </c>
      <c r="L88" s="55" t="b">
        <v>1</v>
      </c>
      <c r="M88" s="56">
        <v>170920251701</v>
      </c>
      <c r="N88" s="57" t="b">
        <v>1</v>
      </c>
      <c r="O88" s="296"/>
      <c r="P88" s="342" t="s">
        <v>3684</v>
      </c>
      <c r="Q88" s="312" t="b">
        <v>1</v>
      </c>
      <c r="R88" s="49"/>
      <c r="S88" s="173" t="s">
        <v>4231</v>
      </c>
      <c r="T88" s="57" t="b">
        <v>1</v>
      </c>
      <c r="U88" s="310" t="s">
        <v>4232</v>
      </c>
      <c r="V88" s="307"/>
      <c r="W88" s="54"/>
    </row>
    <row r="89" spans="1:23" ht="16">
      <c r="A89" s="162"/>
      <c r="B89" s="132" t="s">
        <v>4234</v>
      </c>
      <c r="C89" s="151" t="s">
        <v>4095</v>
      </c>
      <c r="D89" s="151" t="s">
        <v>345</v>
      </c>
      <c r="E89" s="151" t="s">
        <v>342</v>
      </c>
      <c r="F89" s="151" t="s">
        <v>2228</v>
      </c>
      <c r="G89" s="53" t="s">
        <v>58</v>
      </c>
      <c r="H89" s="53" t="s">
        <v>30</v>
      </c>
      <c r="I89" s="151">
        <v>84</v>
      </c>
      <c r="J89" s="364">
        <v>42.5</v>
      </c>
      <c r="K89" s="54">
        <f t="shared" si="2"/>
        <v>3570</v>
      </c>
      <c r="L89" s="55" t="b">
        <v>1</v>
      </c>
      <c r="M89" s="56">
        <v>180920251409</v>
      </c>
      <c r="N89" s="57" t="b">
        <v>1</v>
      </c>
      <c r="O89" s="296"/>
      <c r="P89" s="342" t="s">
        <v>3684</v>
      </c>
      <c r="Q89" s="312" t="b">
        <v>1</v>
      </c>
      <c r="R89" s="49"/>
      <c r="S89" s="173" t="s">
        <v>4235</v>
      </c>
      <c r="T89" s="57" t="b">
        <v>1</v>
      </c>
      <c r="U89" s="310" t="s">
        <v>4236</v>
      </c>
      <c r="V89" s="307"/>
      <c r="W89" s="54"/>
    </row>
    <row r="90" spans="1:23" ht="16">
      <c r="A90" s="162"/>
      <c r="B90" s="132" t="s">
        <v>4234</v>
      </c>
      <c r="C90" s="151" t="s">
        <v>4095</v>
      </c>
      <c r="D90" s="151" t="s">
        <v>345</v>
      </c>
      <c r="E90" s="151" t="s">
        <v>342</v>
      </c>
      <c r="F90" s="151" t="s">
        <v>2228</v>
      </c>
      <c r="G90" s="151" t="s">
        <v>4056</v>
      </c>
      <c r="H90" s="53" t="s">
        <v>30</v>
      </c>
      <c r="I90" s="151">
        <v>84</v>
      </c>
      <c r="J90" s="364">
        <v>39</v>
      </c>
      <c r="K90" s="54">
        <f t="shared" si="2"/>
        <v>3276</v>
      </c>
      <c r="L90" s="55" t="b">
        <v>1</v>
      </c>
      <c r="M90" s="56">
        <v>180920251409</v>
      </c>
      <c r="N90" s="57" t="b">
        <v>1</v>
      </c>
      <c r="O90" s="296"/>
      <c r="P90" s="342" t="s">
        <v>3684</v>
      </c>
      <c r="Q90" s="312" t="b">
        <v>1</v>
      </c>
      <c r="R90" s="49"/>
      <c r="S90" s="173" t="s">
        <v>4235</v>
      </c>
      <c r="T90" s="57" t="b">
        <v>1</v>
      </c>
      <c r="U90" s="310" t="s">
        <v>4236</v>
      </c>
      <c r="V90" s="307"/>
      <c r="W90" s="54"/>
    </row>
    <row r="91" spans="1:23" ht="16">
      <c r="A91" s="372">
        <v>45919</v>
      </c>
      <c r="B91" s="132" t="s">
        <v>4237</v>
      </c>
      <c r="C91" s="151"/>
      <c r="D91" s="151" t="s">
        <v>263</v>
      </c>
      <c r="E91" s="151" t="s">
        <v>248</v>
      </c>
      <c r="F91" s="151" t="s">
        <v>4238</v>
      </c>
      <c r="G91" s="151" t="s">
        <v>374</v>
      </c>
      <c r="H91" s="53" t="s">
        <v>30</v>
      </c>
      <c r="I91" s="151">
        <v>100</v>
      </c>
      <c r="J91" s="364">
        <v>27.5</v>
      </c>
      <c r="K91" s="54">
        <f t="shared" si="2"/>
        <v>2750</v>
      </c>
      <c r="L91" s="55" t="b">
        <v>1</v>
      </c>
      <c r="M91" s="56">
        <v>180920251409</v>
      </c>
      <c r="N91" s="57" t="b">
        <v>1</v>
      </c>
      <c r="O91" s="296"/>
      <c r="P91" s="342" t="s">
        <v>3684</v>
      </c>
      <c r="Q91" s="312" t="b">
        <v>1</v>
      </c>
      <c r="R91" s="49"/>
      <c r="S91" s="173" t="s">
        <v>4239</v>
      </c>
      <c r="T91" s="57" t="b">
        <v>1</v>
      </c>
      <c r="U91" s="310" t="s">
        <v>4240</v>
      </c>
      <c r="V91" s="307"/>
      <c r="W91" s="54"/>
    </row>
    <row r="92" spans="1:23" ht="16">
      <c r="A92" s="162"/>
      <c r="B92" s="373" t="s">
        <v>4237</v>
      </c>
      <c r="C92" s="374" t="s">
        <v>3458</v>
      </c>
      <c r="D92" s="374" t="s">
        <v>51</v>
      </c>
      <c r="E92" s="374" t="s">
        <v>201</v>
      </c>
      <c r="F92" s="374" t="s">
        <v>202</v>
      </c>
      <c r="G92" s="374" t="s">
        <v>4241</v>
      </c>
      <c r="H92" s="374" t="s">
        <v>30</v>
      </c>
      <c r="I92" s="374">
        <v>25</v>
      </c>
      <c r="J92" s="375">
        <v>950</v>
      </c>
      <c r="K92" s="375">
        <f t="shared" si="2"/>
        <v>23750</v>
      </c>
      <c r="L92" s="376" t="b">
        <v>1</v>
      </c>
      <c r="M92" s="377">
        <v>180920251409</v>
      </c>
      <c r="N92" s="378" t="b">
        <v>1</v>
      </c>
      <c r="O92" s="379"/>
      <c r="P92" s="380" t="s">
        <v>3684</v>
      </c>
      <c r="Q92" s="381" t="b">
        <v>1</v>
      </c>
      <c r="R92" s="382"/>
      <c r="S92" s="173"/>
      <c r="T92" s="57" t="b">
        <v>1</v>
      </c>
      <c r="U92" s="310" t="s">
        <v>4242</v>
      </c>
      <c r="V92" s="307"/>
      <c r="W92" s="54"/>
    </row>
    <row r="93" spans="1:23" ht="16">
      <c r="A93" s="162"/>
      <c r="B93" s="373" t="s">
        <v>4237</v>
      </c>
      <c r="C93" s="374" t="s">
        <v>3458</v>
      </c>
      <c r="D93" s="374" t="s">
        <v>51</v>
      </c>
      <c r="E93" s="374" t="s">
        <v>201</v>
      </c>
      <c r="F93" s="374" t="s">
        <v>202</v>
      </c>
      <c r="G93" s="374" t="s">
        <v>4241</v>
      </c>
      <c r="H93" s="374" t="s">
        <v>30</v>
      </c>
      <c r="I93" s="374">
        <v>25</v>
      </c>
      <c r="J93" s="375">
        <v>950</v>
      </c>
      <c r="K93" s="375">
        <f t="shared" si="2"/>
        <v>23750</v>
      </c>
      <c r="L93" s="376" t="b">
        <v>1</v>
      </c>
      <c r="M93" s="377">
        <v>180920251409</v>
      </c>
      <c r="N93" s="378" t="b">
        <v>1</v>
      </c>
      <c r="O93" s="379"/>
      <c r="P93" s="380" t="s">
        <v>3684</v>
      </c>
      <c r="Q93" s="381" t="b">
        <v>1</v>
      </c>
      <c r="R93" s="382"/>
      <c r="S93" s="173"/>
      <c r="T93" s="57" t="b">
        <v>1</v>
      </c>
      <c r="U93" s="310" t="s">
        <v>4243</v>
      </c>
      <c r="V93" s="307"/>
      <c r="W93" s="54"/>
    </row>
    <row r="94" spans="1:23" ht="16">
      <c r="A94" s="162"/>
      <c r="B94" s="132" t="s">
        <v>4237</v>
      </c>
      <c r="C94" s="151" t="s">
        <v>3458</v>
      </c>
      <c r="D94" s="151" t="s">
        <v>51</v>
      </c>
      <c r="E94" s="151" t="s">
        <v>201</v>
      </c>
      <c r="F94" s="151" t="s">
        <v>202</v>
      </c>
      <c r="G94" s="53" t="s">
        <v>4244</v>
      </c>
      <c r="H94" s="53" t="s">
        <v>30</v>
      </c>
      <c r="I94" s="151">
        <v>5</v>
      </c>
      <c r="J94" s="364">
        <v>1200</v>
      </c>
      <c r="K94" s="54">
        <f t="shared" si="2"/>
        <v>6000</v>
      </c>
      <c r="L94" s="55" t="b">
        <v>1</v>
      </c>
      <c r="M94" s="56">
        <v>200920251409</v>
      </c>
      <c r="N94" s="57" t="b">
        <v>1</v>
      </c>
      <c r="O94" s="296"/>
      <c r="P94" s="342" t="s">
        <v>3684</v>
      </c>
      <c r="Q94" s="312" t="b">
        <v>1</v>
      </c>
      <c r="R94" s="49"/>
      <c r="S94" s="173" t="s">
        <v>4245</v>
      </c>
      <c r="T94" s="57" t="b">
        <v>1</v>
      </c>
      <c r="U94" s="310" t="s">
        <v>4246</v>
      </c>
      <c r="V94" s="307"/>
      <c r="W94" s="54"/>
    </row>
    <row r="95" spans="1:23" ht="16">
      <c r="A95" s="162"/>
      <c r="B95" s="132" t="s">
        <v>4237</v>
      </c>
      <c r="C95" s="151" t="s">
        <v>3458</v>
      </c>
      <c r="D95" s="151" t="s">
        <v>51</v>
      </c>
      <c r="E95" s="151" t="s">
        <v>201</v>
      </c>
      <c r="F95" s="151" t="s">
        <v>202</v>
      </c>
      <c r="G95" s="151" t="s">
        <v>58</v>
      </c>
      <c r="H95" s="53" t="s">
        <v>30</v>
      </c>
      <c r="I95" s="151">
        <v>168</v>
      </c>
      <c r="J95" s="364">
        <v>42.5</v>
      </c>
      <c r="K95" s="54">
        <f t="shared" si="2"/>
        <v>7140</v>
      </c>
      <c r="L95" s="55" t="b">
        <v>1</v>
      </c>
      <c r="M95" s="56">
        <v>200920251409</v>
      </c>
      <c r="N95" s="57" t="b">
        <v>1</v>
      </c>
      <c r="O95" s="296"/>
      <c r="P95" s="342" t="s">
        <v>3684</v>
      </c>
      <c r="Q95" s="312" t="b">
        <v>1</v>
      </c>
      <c r="R95" s="49"/>
      <c r="S95" s="173" t="s">
        <v>4247</v>
      </c>
      <c r="T95" s="57" t="b">
        <v>1</v>
      </c>
      <c r="U95" s="310" t="s">
        <v>4248</v>
      </c>
      <c r="V95" s="307"/>
      <c r="W95" s="54"/>
    </row>
    <row r="96" spans="1:23" ht="16">
      <c r="A96" s="162"/>
      <c r="B96" s="132" t="s">
        <v>4249</v>
      </c>
      <c r="C96" s="151" t="s">
        <v>3592</v>
      </c>
      <c r="D96" s="151" t="s">
        <v>104</v>
      </c>
      <c r="E96" s="151" t="s">
        <v>2900</v>
      </c>
      <c r="F96" s="151" t="s">
        <v>2901</v>
      </c>
      <c r="G96" s="151" t="s">
        <v>4250</v>
      </c>
      <c r="H96" s="53" t="s">
        <v>30</v>
      </c>
      <c r="I96" s="151">
        <v>1050</v>
      </c>
      <c r="J96" s="364">
        <v>11</v>
      </c>
      <c r="K96" s="54">
        <f t="shared" si="2"/>
        <v>11550</v>
      </c>
      <c r="L96" s="55" t="b">
        <v>1</v>
      </c>
      <c r="M96" s="56">
        <v>200920251327</v>
      </c>
      <c r="N96" s="57" t="b">
        <v>1</v>
      </c>
      <c r="O96" s="296"/>
      <c r="P96" s="342" t="s">
        <v>3684</v>
      </c>
      <c r="Q96" s="312" t="b">
        <v>1</v>
      </c>
      <c r="R96" s="49"/>
      <c r="S96" s="173" t="s">
        <v>4251</v>
      </c>
      <c r="T96" s="57" t="b">
        <v>1</v>
      </c>
      <c r="U96" s="310" t="s">
        <v>4252</v>
      </c>
      <c r="V96" s="307"/>
      <c r="W96" s="54"/>
    </row>
    <row r="97" spans="1:23" ht="16">
      <c r="A97" s="162"/>
      <c r="B97" s="132" t="s">
        <v>4249</v>
      </c>
      <c r="C97" s="151" t="s">
        <v>3592</v>
      </c>
      <c r="D97" s="151" t="s">
        <v>104</v>
      </c>
      <c r="E97" s="151" t="s">
        <v>2900</v>
      </c>
      <c r="F97" s="151" t="s">
        <v>2901</v>
      </c>
      <c r="G97" s="53" t="s">
        <v>300</v>
      </c>
      <c r="H97" s="53" t="s">
        <v>30</v>
      </c>
      <c r="I97" s="340">
        <v>50</v>
      </c>
      <c r="J97" s="370">
        <v>150</v>
      </c>
      <c r="K97" s="54">
        <f t="shared" si="2"/>
        <v>7500</v>
      </c>
      <c r="L97" s="55" t="b">
        <v>1</v>
      </c>
      <c r="M97" s="56">
        <v>200920251445</v>
      </c>
      <c r="N97" s="57" t="b">
        <v>1</v>
      </c>
      <c r="O97" s="296"/>
      <c r="P97" s="342" t="s">
        <v>3684</v>
      </c>
      <c r="Q97" s="312" t="b">
        <v>1</v>
      </c>
      <c r="R97" s="49"/>
      <c r="S97" s="173" t="s">
        <v>4253</v>
      </c>
      <c r="T97" s="57" t="b">
        <v>1</v>
      </c>
      <c r="U97" s="310" t="s">
        <v>4254</v>
      </c>
      <c r="V97" s="307"/>
      <c r="W97" s="54"/>
    </row>
    <row r="98" spans="1:23" ht="16">
      <c r="A98" s="162"/>
      <c r="B98" s="132" t="s">
        <v>4249</v>
      </c>
      <c r="C98" s="151" t="s">
        <v>3592</v>
      </c>
      <c r="D98" s="151" t="s">
        <v>104</v>
      </c>
      <c r="E98" s="151" t="s">
        <v>2900</v>
      </c>
      <c r="F98" s="151" t="s">
        <v>2901</v>
      </c>
      <c r="G98" s="53" t="s">
        <v>374</v>
      </c>
      <c r="H98" s="53" t="s">
        <v>30</v>
      </c>
      <c r="I98" s="151">
        <v>200</v>
      </c>
      <c r="J98" s="364">
        <v>30</v>
      </c>
      <c r="K98" s="54">
        <f t="shared" si="2"/>
        <v>6000</v>
      </c>
      <c r="L98" s="55" t="b">
        <v>1</v>
      </c>
      <c r="M98" s="56">
        <v>200920251445</v>
      </c>
      <c r="N98" s="57" t="b">
        <v>1</v>
      </c>
      <c r="O98" s="296"/>
      <c r="P98" s="342" t="s">
        <v>3684</v>
      </c>
      <c r="Q98" s="312" t="b">
        <v>1</v>
      </c>
      <c r="R98" s="49"/>
      <c r="S98" s="173" t="s">
        <v>4253</v>
      </c>
      <c r="T98" s="57" t="b">
        <v>1</v>
      </c>
      <c r="U98" s="310" t="s">
        <v>4254</v>
      </c>
      <c r="V98" s="307"/>
      <c r="W98" s="54"/>
    </row>
    <row r="99" spans="1:23" ht="16">
      <c r="A99" s="162"/>
      <c r="B99" s="132" t="s">
        <v>4255</v>
      </c>
      <c r="C99" s="151" t="s">
        <v>3706</v>
      </c>
      <c r="D99" s="151" t="s">
        <v>418</v>
      </c>
      <c r="E99" s="151" t="s">
        <v>1549</v>
      </c>
      <c r="F99" s="151" t="s">
        <v>607</v>
      </c>
      <c r="G99" s="151" t="s">
        <v>3571</v>
      </c>
      <c r="H99" s="53" t="s">
        <v>30</v>
      </c>
      <c r="I99" s="151">
        <v>10</v>
      </c>
      <c r="J99" s="364">
        <v>725</v>
      </c>
      <c r="K99" s="54">
        <f t="shared" si="2"/>
        <v>7250</v>
      </c>
      <c r="L99" s="55" t="b">
        <v>1</v>
      </c>
      <c r="M99" s="56">
        <v>220920252058</v>
      </c>
      <c r="N99" s="57" t="b">
        <v>1</v>
      </c>
      <c r="O99" s="296"/>
      <c r="P99" s="342" t="s">
        <v>3684</v>
      </c>
      <c r="Q99" s="312" t="b">
        <v>1</v>
      </c>
      <c r="R99" s="49"/>
      <c r="S99" s="173" t="s">
        <v>4256</v>
      </c>
      <c r="T99" s="57" t="b">
        <v>1</v>
      </c>
      <c r="U99" s="310" t="s">
        <v>4257</v>
      </c>
      <c r="V99" s="307"/>
      <c r="W99" s="54"/>
    </row>
    <row r="100" spans="1:23" ht="16">
      <c r="A100" s="162"/>
      <c r="B100" s="132" t="s">
        <v>4255</v>
      </c>
      <c r="C100" s="151" t="s">
        <v>3632</v>
      </c>
      <c r="D100" s="151" t="s">
        <v>104</v>
      </c>
      <c r="E100" s="151" t="s">
        <v>486</v>
      </c>
      <c r="F100" s="151" t="s">
        <v>4258</v>
      </c>
      <c r="G100" s="340" t="s">
        <v>4259</v>
      </c>
      <c r="H100" s="53" t="s">
        <v>30</v>
      </c>
      <c r="I100" s="151">
        <v>30</v>
      </c>
      <c r="J100" s="364">
        <v>150</v>
      </c>
      <c r="K100" s="54">
        <f t="shared" si="2"/>
        <v>4500</v>
      </c>
      <c r="L100" s="55" t="b">
        <v>1</v>
      </c>
      <c r="M100" s="56">
        <v>220920252058</v>
      </c>
      <c r="N100" s="57" t="b">
        <v>1</v>
      </c>
      <c r="O100" s="296"/>
      <c r="P100" s="342" t="s">
        <v>3684</v>
      </c>
      <c r="Q100" s="312" t="b">
        <v>1</v>
      </c>
      <c r="R100" s="49"/>
      <c r="S100" s="173" t="s">
        <v>4260</v>
      </c>
      <c r="T100" s="57" t="b">
        <v>1</v>
      </c>
      <c r="U100" s="310" t="s">
        <v>4261</v>
      </c>
      <c r="V100" s="307"/>
      <c r="W100" s="54"/>
    </row>
    <row r="101" spans="1:23" ht="16">
      <c r="A101" s="162"/>
      <c r="B101" s="132" t="s">
        <v>4255</v>
      </c>
      <c r="C101" s="151" t="s">
        <v>3632</v>
      </c>
      <c r="D101" s="151" t="s">
        <v>104</v>
      </c>
      <c r="E101" s="151" t="s">
        <v>486</v>
      </c>
      <c r="F101" s="151" t="s">
        <v>4258</v>
      </c>
      <c r="G101" s="53" t="s">
        <v>2029</v>
      </c>
      <c r="H101" s="53" t="s">
        <v>30</v>
      </c>
      <c r="I101" s="151">
        <v>1</v>
      </c>
      <c r="J101" s="364">
        <v>350</v>
      </c>
      <c r="K101" s="54">
        <f t="shared" si="2"/>
        <v>350</v>
      </c>
      <c r="L101" s="55" t="b">
        <v>1</v>
      </c>
      <c r="M101" s="56">
        <v>220920252058</v>
      </c>
      <c r="N101" s="57" t="b">
        <v>1</v>
      </c>
      <c r="O101" s="296"/>
      <c r="P101" s="342" t="s">
        <v>3684</v>
      </c>
      <c r="Q101" s="312" t="b">
        <v>1</v>
      </c>
      <c r="R101" s="49"/>
      <c r="S101" s="173" t="s">
        <v>4260</v>
      </c>
      <c r="T101" s="57" t="b">
        <v>1</v>
      </c>
      <c r="U101" s="310" t="s">
        <v>4261</v>
      </c>
      <c r="V101" s="307"/>
      <c r="W101" s="54"/>
    </row>
    <row r="102" spans="1:23" ht="16">
      <c r="A102" s="162"/>
      <c r="B102" s="132" t="s">
        <v>4255</v>
      </c>
      <c r="C102" s="151" t="s">
        <v>3632</v>
      </c>
      <c r="D102" s="151" t="s">
        <v>104</v>
      </c>
      <c r="E102" s="151" t="s">
        <v>486</v>
      </c>
      <c r="F102" s="151" t="s">
        <v>4258</v>
      </c>
      <c r="G102" s="340" t="s">
        <v>2719</v>
      </c>
      <c r="H102" s="53" t="s">
        <v>30</v>
      </c>
      <c r="I102" s="151">
        <v>10</v>
      </c>
      <c r="J102" s="364">
        <v>135</v>
      </c>
      <c r="K102" s="54">
        <f t="shared" si="2"/>
        <v>1350</v>
      </c>
      <c r="L102" s="55" t="b">
        <v>1</v>
      </c>
      <c r="M102" s="56">
        <v>220920252058</v>
      </c>
      <c r="N102" s="57" t="b">
        <v>1</v>
      </c>
      <c r="O102" s="296"/>
      <c r="P102" s="342" t="s">
        <v>3684</v>
      </c>
      <c r="Q102" s="312" t="b">
        <v>1</v>
      </c>
      <c r="R102" s="49"/>
      <c r="S102" s="173" t="s">
        <v>4260</v>
      </c>
      <c r="T102" s="57" t="b">
        <v>1</v>
      </c>
      <c r="U102" s="310" t="s">
        <v>4261</v>
      </c>
      <c r="V102" s="307"/>
      <c r="W102" s="54"/>
    </row>
    <row r="103" spans="1:23" ht="16">
      <c r="A103" s="162"/>
      <c r="B103" s="132" t="s">
        <v>4255</v>
      </c>
      <c r="C103" s="151" t="s">
        <v>3632</v>
      </c>
      <c r="D103" s="151" t="s">
        <v>104</v>
      </c>
      <c r="E103" s="151" t="s">
        <v>486</v>
      </c>
      <c r="F103" s="151" t="s">
        <v>4258</v>
      </c>
      <c r="G103" s="151" t="s">
        <v>139</v>
      </c>
      <c r="H103" s="53" t="s">
        <v>30</v>
      </c>
      <c r="I103" s="151">
        <v>50</v>
      </c>
      <c r="J103" s="364">
        <v>30</v>
      </c>
      <c r="K103" s="54">
        <f t="shared" si="2"/>
        <v>1500</v>
      </c>
      <c r="L103" s="55" t="b">
        <v>1</v>
      </c>
      <c r="M103" s="56">
        <v>220920252058</v>
      </c>
      <c r="N103" s="57" t="b">
        <v>1</v>
      </c>
      <c r="O103" s="296"/>
      <c r="P103" s="342" t="s">
        <v>3684</v>
      </c>
      <c r="Q103" s="312" t="b">
        <v>1</v>
      </c>
      <c r="R103" s="49"/>
      <c r="S103" s="173" t="s">
        <v>4260</v>
      </c>
      <c r="T103" s="57" t="b">
        <v>1</v>
      </c>
      <c r="U103" s="310" t="s">
        <v>4261</v>
      </c>
      <c r="V103" s="307"/>
      <c r="W103" s="54"/>
    </row>
    <row r="104" spans="1:23" ht="13.5" customHeight="1">
      <c r="A104" s="162"/>
      <c r="B104" s="132" t="s">
        <v>4255</v>
      </c>
      <c r="C104" s="151" t="s">
        <v>3632</v>
      </c>
      <c r="D104" s="151" t="s">
        <v>104</v>
      </c>
      <c r="E104" s="151" t="s">
        <v>486</v>
      </c>
      <c r="F104" s="151" t="s">
        <v>4258</v>
      </c>
      <c r="G104" s="53" t="s">
        <v>4262</v>
      </c>
      <c r="H104" s="53" t="s">
        <v>30</v>
      </c>
      <c r="I104" s="151">
        <v>20</v>
      </c>
      <c r="J104" s="364">
        <v>35</v>
      </c>
      <c r="K104" s="54">
        <f t="shared" si="2"/>
        <v>700</v>
      </c>
      <c r="L104" s="55" t="b">
        <v>1</v>
      </c>
      <c r="M104" s="56">
        <v>220920252058</v>
      </c>
      <c r="N104" s="57" t="b">
        <v>1</v>
      </c>
      <c r="O104" s="296"/>
      <c r="P104" s="342" t="s">
        <v>3684</v>
      </c>
      <c r="Q104" s="312" t="b">
        <v>1</v>
      </c>
      <c r="R104" s="49"/>
      <c r="S104" s="173" t="s">
        <v>4260</v>
      </c>
      <c r="T104" s="57" t="b">
        <v>1</v>
      </c>
      <c r="U104" s="310" t="s">
        <v>4261</v>
      </c>
      <c r="V104" s="307"/>
      <c r="W104" s="54"/>
    </row>
    <row r="105" spans="1:23" ht="16">
      <c r="A105" s="162"/>
      <c r="B105" s="132" t="s">
        <v>4255</v>
      </c>
      <c r="C105" s="151" t="s">
        <v>3632</v>
      </c>
      <c r="D105" s="151" t="s">
        <v>104</v>
      </c>
      <c r="E105" s="151" t="s">
        <v>486</v>
      </c>
      <c r="F105" s="151" t="s">
        <v>4258</v>
      </c>
      <c r="G105" s="151" t="s">
        <v>68</v>
      </c>
      <c r="H105" s="53" t="s">
        <v>30</v>
      </c>
      <c r="I105" s="151">
        <v>2</v>
      </c>
      <c r="J105" s="364">
        <v>2350</v>
      </c>
      <c r="K105" s="54">
        <f t="shared" si="2"/>
        <v>4700</v>
      </c>
      <c r="L105" s="55" t="b">
        <v>1</v>
      </c>
      <c r="M105" s="56">
        <v>220920252058</v>
      </c>
      <c r="N105" s="57" t="b">
        <v>1</v>
      </c>
      <c r="O105" s="296"/>
      <c r="P105" s="342" t="s">
        <v>3684</v>
      </c>
      <c r="Q105" s="312" t="b">
        <v>1</v>
      </c>
      <c r="R105" s="49"/>
      <c r="S105" s="173" t="s">
        <v>4260</v>
      </c>
      <c r="T105" s="57" t="b">
        <v>1</v>
      </c>
      <c r="U105" s="310" t="s">
        <v>4261</v>
      </c>
      <c r="V105" s="307"/>
      <c r="W105" s="54"/>
    </row>
    <row r="106" spans="1:23" ht="16">
      <c r="A106" s="162"/>
      <c r="B106" s="71" t="s">
        <v>4255</v>
      </c>
      <c r="C106" s="151" t="s">
        <v>3697</v>
      </c>
      <c r="D106" s="151" t="s">
        <v>194</v>
      </c>
      <c r="E106" s="151" t="s">
        <v>195</v>
      </c>
      <c r="F106" s="151" t="s">
        <v>196</v>
      </c>
      <c r="G106" s="151" t="s">
        <v>4263</v>
      </c>
      <c r="H106" s="53" t="s">
        <v>30</v>
      </c>
      <c r="I106" s="151">
        <v>6</v>
      </c>
      <c r="J106" s="364">
        <v>295</v>
      </c>
      <c r="K106" s="54">
        <f t="shared" si="2"/>
        <v>1770</v>
      </c>
      <c r="L106" s="55" t="b">
        <v>1</v>
      </c>
      <c r="M106" s="56">
        <v>220920252058</v>
      </c>
      <c r="N106" s="57" t="b">
        <v>1</v>
      </c>
      <c r="O106" s="296" t="s">
        <v>3300</v>
      </c>
      <c r="P106" s="342" t="s">
        <v>3684</v>
      </c>
      <c r="Q106" s="312" t="b">
        <v>1</v>
      </c>
      <c r="R106" s="49"/>
      <c r="S106" s="173" t="s">
        <v>4264</v>
      </c>
      <c r="T106" s="57" t="b">
        <v>1</v>
      </c>
      <c r="U106" s="310" t="s">
        <v>4265</v>
      </c>
      <c r="V106" s="307"/>
      <c r="W106" s="54"/>
    </row>
    <row r="107" spans="1:23" ht="16">
      <c r="A107" s="162"/>
      <c r="B107" s="71" t="s">
        <v>4255</v>
      </c>
      <c r="C107" s="53" t="s">
        <v>4266</v>
      </c>
      <c r="D107" s="53" t="s">
        <v>463</v>
      </c>
      <c r="E107" s="53" t="s">
        <v>463</v>
      </c>
      <c r="F107" s="53" t="s">
        <v>579</v>
      </c>
      <c r="G107" s="53" t="s">
        <v>3448</v>
      </c>
      <c r="H107" s="53" t="s">
        <v>30</v>
      </c>
      <c r="I107" s="151">
        <v>10</v>
      </c>
      <c r="J107" s="364">
        <v>650</v>
      </c>
      <c r="K107" s="54">
        <f t="shared" si="2"/>
        <v>6500</v>
      </c>
      <c r="L107" s="55" t="b">
        <v>1</v>
      </c>
      <c r="M107" s="56">
        <v>220920252058</v>
      </c>
      <c r="N107" s="57" t="b">
        <v>1</v>
      </c>
      <c r="O107" s="296" t="s">
        <v>39</v>
      </c>
      <c r="P107" s="342" t="s">
        <v>3684</v>
      </c>
      <c r="Q107" s="312" t="b">
        <v>1</v>
      </c>
      <c r="R107" s="49"/>
      <c r="S107" s="49"/>
      <c r="T107" s="57" t="b">
        <v>1</v>
      </c>
      <c r="U107" s="310" t="s">
        <v>4267</v>
      </c>
      <c r="V107" s="307"/>
      <c r="W107" s="54"/>
    </row>
    <row r="108" spans="1:23" ht="16">
      <c r="A108" s="162"/>
      <c r="B108" s="71" t="s">
        <v>4255</v>
      </c>
      <c r="C108" s="53" t="s">
        <v>4268</v>
      </c>
      <c r="D108" s="53" t="s">
        <v>345</v>
      </c>
      <c r="E108" s="53" t="s">
        <v>1756</v>
      </c>
      <c r="F108" s="53" t="s">
        <v>4006</v>
      </c>
      <c r="G108" s="80" t="s">
        <v>4269</v>
      </c>
      <c r="H108" s="53" t="s">
        <v>30</v>
      </c>
      <c r="I108" s="151">
        <v>3</v>
      </c>
      <c r="J108" s="364">
        <v>7850</v>
      </c>
      <c r="K108" s="54">
        <f t="shared" si="2"/>
        <v>23550</v>
      </c>
      <c r="L108" s="55" t="b">
        <v>1</v>
      </c>
      <c r="M108" s="56">
        <v>220920252058</v>
      </c>
      <c r="N108" s="57" t="b">
        <v>1</v>
      </c>
      <c r="O108" s="296" t="s">
        <v>351</v>
      </c>
      <c r="P108" s="342" t="s">
        <v>3684</v>
      </c>
      <c r="Q108" s="312" t="b">
        <v>1</v>
      </c>
      <c r="R108" s="49"/>
      <c r="S108" s="49"/>
      <c r="T108" s="57" t="b">
        <v>1</v>
      </c>
      <c r="U108" s="310" t="s">
        <v>4270</v>
      </c>
      <c r="V108" s="307"/>
      <c r="W108" s="54"/>
    </row>
    <row r="109" spans="1:23" ht="16">
      <c r="A109" s="162"/>
      <c r="B109" s="71" t="s">
        <v>4255</v>
      </c>
      <c r="C109" s="53" t="s">
        <v>4268</v>
      </c>
      <c r="D109" s="53" t="s">
        <v>345</v>
      </c>
      <c r="E109" s="53" t="s">
        <v>1756</v>
      </c>
      <c r="F109" s="53" t="s">
        <v>4006</v>
      </c>
      <c r="G109" s="53" t="s">
        <v>72</v>
      </c>
      <c r="H109" s="53" t="s">
        <v>30</v>
      </c>
      <c r="I109" s="151">
        <v>1</v>
      </c>
      <c r="J109" s="364">
        <v>2500</v>
      </c>
      <c r="K109" s="54">
        <f t="shared" si="2"/>
        <v>2500</v>
      </c>
      <c r="L109" s="55" t="b">
        <v>1</v>
      </c>
      <c r="M109" s="56">
        <v>220920252058</v>
      </c>
      <c r="N109" s="57" t="b">
        <v>1</v>
      </c>
      <c r="O109" s="296" t="s">
        <v>351</v>
      </c>
      <c r="P109" s="342" t="s">
        <v>3684</v>
      </c>
      <c r="Q109" s="312" t="b">
        <v>1</v>
      </c>
      <c r="R109" s="49"/>
      <c r="S109" s="49"/>
      <c r="T109" s="57" t="b">
        <v>1</v>
      </c>
      <c r="U109" s="310" t="s">
        <v>4270</v>
      </c>
      <c r="V109" s="307"/>
      <c r="W109" s="54"/>
    </row>
    <row r="110" spans="1:23" ht="16.5" customHeight="1">
      <c r="A110" s="162"/>
      <c r="B110" s="71" t="s">
        <v>4255</v>
      </c>
      <c r="C110" s="53" t="s">
        <v>4268</v>
      </c>
      <c r="D110" s="53" t="s">
        <v>345</v>
      </c>
      <c r="E110" s="53" t="s">
        <v>1756</v>
      </c>
      <c r="F110" s="53" t="s">
        <v>4006</v>
      </c>
      <c r="G110" s="53" t="s">
        <v>4271</v>
      </c>
      <c r="H110" s="53" t="s">
        <v>30</v>
      </c>
      <c r="I110" s="151">
        <v>5</v>
      </c>
      <c r="J110" s="364">
        <v>185</v>
      </c>
      <c r="K110" s="54">
        <f t="shared" si="2"/>
        <v>925</v>
      </c>
      <c r="L110" s="55" t="b">
        <v>1</v>
      </c>
      <c r="M110" s="56">
        <v>220920252058</v>
      </c>
      <c r="N110" s="57" t="b">
        <v>1</v>
      </c>
      <c r="O110" s="296" t="s">
        <v>351</v>
      </c>
      <c r="P110" s="342" t="s">
        <v>3684</v>
      </c>
      <c r="Q110" s="312" t="b">
        <v>1</v>
      </c>
      <c r="R110" s="49"/>
      <c r="S110" s="49"/>
      <c r="T110" s="57" t="b">
        <v>1</v>
      </c>
      <c r="U110" s="310" t="s">
        <v>4270</v>
      </c>
      <c r="V110" s="307"/>
      <c r="W110" s="54"/>
    </row>
    <row r="111" spans="1:23" ht="16">
      <c r="A111" s="162"/>
      <c r="B111" s="71" t="s">
        <v>4255</v>
      </c>
      <c r="C111" s="151" t="s">
        <v>3552</v>
      </c>
      <c r="D111" s="151" t="s">
        <v>51</v>
      </c>
      <c r="E111" s="151" t="s">
        <v>66</v>
      </c>
      <c r="F111" s="151" t="s">
        <v>67</v>
      </c>
      <c r="G111" s="53" t="s">
        <v>3448</v>
      </c>
      <c r="H111" s="53" t="s">
        <v>30</v>
      </c>
      <c r="I111" s="151">
        <v>10</v>
      </c>
      <c r="J111" s="364">
        <v>650</v>
      </c>
      <c r="K111" s="54">
        <f t="shared" si="2"/>
        <v>6500</v>
      </c>
      <c r="L111" s="55" t="b">
        <v>1</v>
      </c>
      <c r="M111" s="56">
        <v>220920252058</v>
      </c>
      <c r="N111" s="57" t="b">
        <v>1</v>
      </c>
      <c r="O111" s="296" t="s">
        <v>39</v>
      </c>
      <c r="P111" s="342" t="s">
        <v>3684</v>
      </c>
      <c r="Q111" s="312" t="b">
        <v>1</v>
      </c>
      <c r="R111" s="49"/>
      <c r="S111" s="49"/>
      <c r="T111" s="57" t="b">
        <v>1</v>
      </c>
      <c r="U111" s="310" t="s">
        <v>4272</v>
      </c>
      <c r="V111" s="307"/>
      <c r="W111" s="54"/>
    </row>
    <row r="112" spans="1:23" ht="16">
      <c r="A112" s="162"/>
      <c r="B112" s="71" t="s">
        <v>4273</v>
      </c>
      <c r="C112" s="151" t="s">
        <v>3592</v>
      </c>
      <c r="D112" s="151" t="s">
        <v>104</v>
      </c>
      <c r="E112" s="151" t="s">
        <v>2900</v>
      </c>
      <c r="F112" s="151" t="s">
        <v>674</v>
      </c>
      <c r="G112" s="53" t="s">
        <v>4274</v>
      </c>
      <c r="H112" s="53" t="s">
        <v>30</v>
      </c>
      <c r="I112" s="151">
        <v>20</v>
      </c>
      <c r="J112" s="364">
        <v>1700</v>
      </c>
      <c r="K112" s="54">
        <f t="shared" si="2"/>
        <v>34000</v>
      </c>
      <c r="L112" s="55" t="b">
        <v>1</v>
      </c>
      <c r="M112" s="56">
        <v>230920250901</v>
      </c>
      <c r="N112" s="57" t="b">
        <v>1</v>
      </c>
      <c r="O112" s="296"/>
      <c r="P112" s="342" t="s">
        <v>3684</v>
      </c>
      <c r="Q112" s="312" t="b">
        <v>1</v>
      </c>
      <c r="R112" s="49"/>
      <c r="S112" s="173" t="s">
        <v>4275</v>
      </c>
      <c r="T112" s="57" t="b">
        <v>1</v>
      </c>
      <c r="U112" s="310" t="s">
        <v>4276</v>
      </c>
      <c r="V112" s="307"/>
      <c r="W112" s="54"/>
    </row>
    <row r="113" spans="1:23" ht="16">
      <c r="A113" s="162"/>
      <c r="B113" s="71" t="s">
        <v>4273</v>
      </c>
      <c r="C113" s="151" t="s">
        <v>3592</v>
      </c>
      <c r="D113" s="151" t="s">
        <v>104</v>
      </c>
      <c r="E113" s="151" t="s">
        <v>2900</v>
      </c>
      <c r="F113" s="151" t="s">
        <v>674</v>
      </c>
      <c r="G113" s="53" t="s">
        <v>103</v>
      </c>
      <c r="H113" s="53" t="s">
        <v>30</v>
      </c>
      <c r="I113" s="151">
        <v>20</v>
      </c>
      <c r="J113" s="364">
        <v>300</v>
      </c>
      <c r="K113" s="54">
        <f t="shared" si="2"/>
        <v>6000</v>
      </c>
      <c r="L113" s="55" t="b">
        <v>1</v>
      </c>
      <c r="M113" s="56">
        <v>230920250901</v>
      </c>
      <c r="N113" s="57" t="b">
        <v>1</v>
      </c>
      <c r="O113" s="296"/>
      <c r="P113" s="342" t="s">
        <v>3684</v>
      </c>
      <c r="Q113" s="312" t="b">
        <v>1</v>
      </c>
      <c r="R113" s="49"/>
      <c r="S113" s="173" t="s">
        <v>4275</v>
      </c>
      <c r="T113" s="57" t="b">
        <v>1</v>
      </c>
      <c r="U113" s="310" t="s">
        <v>4276</v>
      </c>
      <c r="V113" s="307"/>
      <c r="W113" s="54"/>
    </row>
    <row r="114" spans="1:23" ht="16">
      <c r="A114" s="162"/>
      <c r="B114" s="71" t="s">
        <v>4273</v>
      </c>
      <c r="C114" s="151" t="s">
        <v>3487</v>
      </c>
      <c r="D114" s="151" t="s">
        <v>51</v>
      </c>
      <c r="E114" s="151" t="s">
        <v>89</v>
      </c>
      <c r="F114" s="151" t="s">
        <v>1872</v>
      </c>
      <c r="G114" s="53" t="s">
        <v>4277</v>
      </c>
      <c r="H114" s="53" t="s">
        <v>30</v>
      </c>
      <c r="I114" s="151">
        <v>5</v>
      </c>
      <c r="J114" s="364">
        <v>2350</v>
      </c>
      <c r="K114" s="54">
        <f t="shared" si="2"/>
        <v>11750</v>
      </c>
      <c r="L114" s="55" t="b">
        <v>1</v>
      </c>
      <c r="M114" s="56">
        <v>230920250901</v>
      </c>
      <c r="N114" s="57" t="b">
        <v>1</v>
      </c>
      <c r="O114" s="296"/>
      <c r="P114" s="342" t="s">
        <v>3684</v>
      </c>
      <c r="Q114" s="312" t="b">
        <v>1</v>
      </c>
      <c r="R114" s="49"/>
      <c r="S114" s="173" t="s">
        <v>4278</v>
      </c>
      <c r="T114" s="57" t="b">
        <v>1</v>
      </c>
      <c r="U114" s="310" t="s">
        <v>4279</v>
      </c>
      <c r="V114" s="307"/>
      <c r="W114" s="54"/>
    </row>
    <row r="115" spans="1:23" ht="15" customHeight="1">
      <c r="A115" s="162"/>
      <c r="B115" s="71" t="s">
        <v>4280</v>
      </c>
      <c r="C115" s="151" t="s">
        <v>4281</v>
      </c>
      <c r="D115" s="151" t="s">
        <v>108</v>
      </c>
      <c r="E115" s="151" t="s">
        <v>109</v>
      </c>
      <c r="F115" s="151" t="s">
        <v>110</v>
      </c>
      <c r="G115" s="53" t="s">
        <v>3448</v>
      </c>
      <c r="H115" s="53" t="s">
        <v>30</v>
      </c>
      <c r="I115" s="151">
        <v>20</v>
      </c>
      <c r="J115" s="364">
        <v>650</v>
      </c>
      <c r="K115" s="54">
        <f t="shared" si="2"/>
        <v>13000</v>
      </c>
      <c r="L115" s="55" t="b">
        <v>1</v>
      </c>
      <c r="M115" s="56">
        <v>230920250907</v>
      </c>
      <c r="N115" s="57" t="b">
        <v>1</v>
      </c>
      <c r="O115" s="296" t="s">
        <v>39</v>
      </c>
      <c r="P115" s="342" t="s">
        <v>3684</v>
      </c>
      <c r="Q115" s="312" t="b">
        <v>1</v>
      </c>
      <c r="R115" s="49"/>
      <c r="S115" s="49"/>
      <c r="T115" s="57" t="b">
        <v>1</v>
      </c>
      <c r="U115" s="310" t="s">
        <v>4282</v>
      </c>
      <c r="V115" s="307"/>
      <c r="W115" s="54"/>
    </row>
    <row r="116" spans="1:23" ht="16">
      <c r="A116" s="162"/>
      <c r="B116" s="71" t="s">
        <v>4283</v>
      </c>
      <c r="C116" s="151" t="s">
        <v>4120</v>
      </c>
      <c r="D116" s="151" t="s">
        <v>1959</v>
      </c>
      <c r="E116" s="151" t="s">
        <v>1959</v>
      </c>
      <c r="F116" s="151" t="s">
        <v>1235</v>
      </c>
      <c r="G116" s="151" t="s">
        <v>234</v>
      </c>
      <c r="H116" s="53" t="s">
        <v>30</v>
      </c>
      <c r="I116" s="151">
        <v>5</v>
      </c>
      <c r="J116" s="364">
        <v>5800</v>
      </c>
      <c r="K116" s="54">
        <f t="shared" si="2"/>
        <v>29000</v>
      </c>
      <c r="L116" s="55" t="b">
        <v>1</v>
      </c>
      <c r="M116" s="56">
        <v>250920250820</v>
      </c>
      <c r="N116" s="57" t="b">
        <v>1</v>
      </c>
      <c r="O116" s="296"/>
      <c r="P116" s="342" t="s">
        <v>3684</v>
      </c>
      <c r="Q116" s="312" t="b">
        <v>1</v>
      </c>
      <c r="R116" s="49"/>
      <c r="S116" s="173" t="s">
        <v>4284</v>
      </c>
      <c r="T116" s="57" t="b">
        <v>1</v>
      </c>
      <c r="U116" s="310" t="s">
        <v>4285</v>
      </c>
      <c r="V116" s="307"/>
      <c r="W116" s="54"/>
    </row>
    <row r="117" spans="1:23" ht="14.25" customHeight="1">
      <c r="A117" s="162"/>
      <c r="B117" s="71" t="s">
        <v>4283</v>
      </c>
      <c r="C117" s="151" t="s">
        <v>4120</v>
      </c>
      <c r="D117" s="151" t="s">
        <v>1959</v>
      </c>
      <c r="E117" s="151" t="s">
        <v>1959</v>
      </c>
      <c r="F117" s="151" t="s">
        <v>1235</v>
      </c>
      <c r="G117" s="151" t="s">
        <v>746</v>
      </c>
      <c r="H117" s="53" t="s">
        <v>30</v>
      </c>
      <c r="I117" s="151">
        <v>5</v>
      </c>
      <c r="J117" s="364">
        <v>1250</v>
      </c>
      <c r="K117" s="54">
        <f t="shared" si="2"/>
        <v>6250</v>
      </c>
      <c r="L117" s="55" t="b">
        <v>1</v>
      </c>
      <c r="M117" s="56">
        <v>250920250820</v>
      </c>
      <c r="N117" s="57" t="b">
        <v>1</v>
      </c>
      <c r="O117" s="296"/>
      <c r="P117" s="342" t="s">
        <v>3684</v>
      </c>
      <c r="Q117" s="312" t="b">
        <v>1</v>
      </c>
      <c r="R117" s="49"/>
      <c r="S117" s="173" t="s">
        <v>4284</v>
      </c>
      <c r="T117" s="57" t="b">
        <v>1</v>
      </c>
      <c r="U117" s="310" t="s">
        <v>4285</v>
      </c>
      <c r="V117" s="307"/>
      <c r="W117" s="54"/>
    </row>
    <row r="118" spans="1:23" ht="16">
      <c r="A118" s="162"/>
      <c r="B118" s="71" t="s">
        <v>4283</v>
      </c>
      <c r="C118" s="151" t="s">
        <v>4286</v>
      </c>
      <c r="D118" s="151" t="s">
        <v>523</v>
      </c>
      <c r="E118" s="151" t="s">
        <v>524</v>
      </c>
      <c r="F118" s="151" t="s">
        <v>525</v>
      </c>
      <c r="G118" s="151" t="s">
        <v>4143</v>
      </c>
      <c r="H118" s="53" t="s">
        <v>30</v>
      </c>
      <c r="I118" s="151">
        <v>1</v>
      </c>
      <c r="J118" s="364">
        <v>2100</v>
      </c>
      <c r="K118" s="54">
        <f t="shared" si="2"/>
        <v>2100</v>
      </c>
      <c r="L118" s="55" t="b">
        <v>1</v>
      </c>
      <c r="M118" s="56">
        <v>250920250820</v>
      </c>
      <c r="N118" s="57" t="b">
        <v>1</v>
      </c>
      <c r="O118" s="296"/>
      <c r="P118" s="342" t="s">
        <v>3684</v>
      </c>
      <c r="Q118" s="312" t="b">
        <v>1</v>
      </c>
      <c r="R118" s="49"/>
      <c r="S118" s="297" t="s">
        <v>4287</v>
      </c>
      <c r="T118" s="57" t="b">
        <v>1</v>
      </c>
      <c r="U118" s="310" t="s">
        <v>4288</v>
      </c>
      <c r="V118" s="307"/>
      <c r="W118" s="54"/>
    </row>
    <row r="119" spans="1:23" ht="16">
      <c r="A119" s="162"/>
      <c r="B119" s="71" t="s">
        <v>4283</v>
      </c>
      <c r="C119" s="151" t="s">
        <v>4289</v>
      </c>
      <c r="D119" s="151" t="s">
        <v>104</v>
      </c>
      <c r="E119" s="151" t="s">
        <v>620</v>
      </c>
      <c r="F119" s="151" t="s">
        <v>621</v>
      </c>
      <c r="G119" s="53" t="s">
        <v>124</v>
      </c>
      <c r="H119" s="53" t="s">
        <v>30</v>
      </c>
      <c r="I119" s="151">
        <v>4</v>
      </c>
      <c r="J119" s="364">
        <v>875</v>
      </c>
      <c r="K119" s="54">
        <f t="shared" si="2"/>
        <v>3500</v>
      </c>
      <c r="L119" s="55" t="b">
        <v>1</v>
      </c>
      <c r="M119" s="56">
        <v>250920250820</v>
      </c>
      <c r="N119" s="57" t="b">
        <v>1</v>
      </c>
      <c r="O119" s="296"/>
      <c r="P119" s="342" t="s">
        <v>3684</v>
      </c>
      <c r="Q119" s="312" t="b">
        <v>1</v>
      </c>
      <c r="R119" s="49"/>
      <c r="S119" s="173" t="s">
        <v>4290</v>
      </c>
      <c r="T119" s="57" t="b">
        <v>1</v>
      </c>
      <c r="U119" s="310" t="s">
        <v>4291</v>
      </c>
      <c r="V119" s="307"/>
      <c r="W119" s="54"/>
    </row>
    <row r="120" spans="1:23" ht="16">
      <c r="A120" s="162"/>
      <c r="B120" s="71" t="s">
        <v>4283</v>
      </c>
      <c r="C120" s="151" t="s">
        <v>4292</v>
      </c>
      <c r="D120" s="151" t="s">
        <v>98</v>
      </c>
      <c r="E120" s="151" t="s">
        <v>99</v>
      </c>
      <c r="F120" s="151" t="s">
        <v>2768</v>
      </c>
      <c r="G120" s="151" t="s">
        <v>1700</v>
      </c>
      <c r="H120" s="53" t="s">
        <v>30</v>
      </c>
      <c r="I120" s="151">
        <v>100</v>
      </c>
      <c r="J120" s="364">
        <v>16.5</v>
      </c>
      <c r="K120" s="54">
        <f t="shared" si="2"/>
        <v>1650</v>
      </c>
      <c r="L120" s="55" t="b">
        <v>1</v>
      </c>
      <c r="M120" s="56">
        <v>250920250820</v>
      </c>
      <c r="N120" s="57" t="b">
        <v>1</v>
      </c>
      <c r="O120" s="296"/>
      <c r="P120" s="342" t="s">
        <v>3684</v>
      </c>
      <c r="Q120" s="312" t="b">
        <v>1</v>
      </c>
      <c r="R120" s="49"/>
      <c r="S120" s="297" t="s">
        <v>4293</v>
      </c>
      <c r="T120" s="57" t="b">
        <v>1</v>
      </c>
      <c r="U120" s="310" t="s">
        <v>4294</v>
      </c>
      <c r="V120" s="307"/>
      <c r="W120" s="54"/>
    </row>
    <row r="121" spans="1:23" ht="16">
      <c r="A121" s="162"/>
      <c r="B121" s="71" t="s">
        <v>4283</v>
      </c>
      <c r="C121" s="151" t="s">
        <v>4099</v>
      </c>
      <c r="D121" s="151" t="s">
        <v>51</v>
      </c>
      <c r="E121" s="151" t="s">
        <v>594</v>
      </c>
      <c r="F121" s="151" t="s">
        <v>595</v>
      </c>
      <c r="G121" s="151" t="s">
        <v>4295</v>
      </c>
      <c r="H121" s="53" t="s">
        <v>30</v>
      </c>
      <c r="I121" s="151">
        <v>2</v>
      </c>
      <c r="J121" s="364">
        <v>350</v>
      </c>
      <c r="K121" s="54">
        <f t="shared" si="2"/>
        <v>700</v>
      </c>
      <c r="L121" s="55" t="b">
        <v>1</v>
      </c>
      <c r="M121" s="56">
        <v>250920251022</v>
      </c>
      <c r="N121" s="57" t="b">
        <v>1</v>
      </c>
      <c r="O121" s="296"/>
      <c r="P121" s="342" t="s">
        <v>3684</v>
      </c>
      <c r="Q121" s="312" t="b">
        <v>1</v>
      </c>
      <c r="R121" s="49"/>
      <c r="S121" s="173" t="s">
        <v>4296</v>
      </c>
      <c r="T121" s="57" t="b">
        <v>1</v>
      </c>
      <c r="U121" s="310" t="s">
        <v>4297</v>
      </c>
      <c r="V121" s="307"/>
      <c r="W121" s="54"/>
    </row>
    <row r="122" spans="1:23" ht="16">
      <c r="A122" s="162"/>
      <c r="B122" s="71" t="s">
        <v>4298</v>
      </c>
      <c r="C122" s="151" t="s">
        <v>3595</v>
      </c>
      <c r="D122" s="151" t="s">
        <v>55</v>
      </c>
      <c r="E122" s="151">
        <v>41</v>
      </c>
      <c r="F122" s="151" t="s">
        <v>1552</v>
      </c>
      <c r="G122" s="151" t="s">
        <v>58</v>
      </c>
      <c r="H122" s="53" t="s">
        <v>30</v>
      </c>
      <c r="I122" s="151">
        <v>84</v>
      </c>
      <c r="J122" s="364">
        <v>42.5</v>
      </c>
      <c r="K122" s="54">
        <f t="shared" si="2"/>
        <v>3570</v>
      </c>
      <c r="L122" s="55" t="b">
        <v>1</v>
      </c>
      <c r="M122" s="56">
        <v>260920250823</v>
      </c>
      <c r="N122" s="57" t="b">
        <v>1</v>
      </c>
      <c r="O122" s="296"/>
      <c r="P122" s="342" t="s">
        <v>3684</v>
      </c>
      <c r="Q122" s="312" t="b">
        <v>1</v>
      </c>
      <c r="R122" s="49"/>
      <c r="S122" s="173" t="s">
        <v>4299</v>
      </c>
      <c r="T122" s="57" t="b">
        <v>1</v>
      </c>
      <c r="U122" s="310" t="s">
        <v>4300</v>
      </c>
      <c r="V122" s="307"/>
      <c r="W122" s="54"/>
    </row>
    <row r="123" spans="1:23" ht="16">
      <c r="A123" s="162"/>
      <c r="B123" s="71" t="s">
        <v>4298</v>
      </c>
      <c r="C123" s="151" t="s">
        <v>3583</v>
      </c>
      <c r="D123" s="151" t="s">
        <v>26</v>
      </c>
      <c r="E123" s="151" t="s">
        <v>158</v>
      </c>
      <c r="F123" s="151" t="s">
        <v>3584</v>
      </c>
      <c r="G123" s="151" t="s">
        <v>139</v>
      </c>
      <c r="H123" s="53" t="s">
        <v>30</v>
      </c>
      <c r="I123" s="151">
        <v>50</v>
      </c>
      <c r="J123" s="364">
        <v>30</v>
      </c>
      <c r="K123" s="54">
        <f t="shared" si="2"/>
        <v>1500</v>
      </c>
      <c r="L123" s="55" t="b">
        <v>1</v>
      </c>
      <c r="M123" s="56">
        <v>260920250823</v>
      </c>
      <c r="N123" s="57" t="b">
        <v>1</v>
      </c>
      <c r="O123" s="296"/>
      <c r="P123" s="342" t="s">
        <v>3684</v>
      </c>
      <c r="Q123" s="312" t="b">
        <v>1</v>
      </c>
      <c r="R123" s="49"/>
      <c r="S123" s="173" t="s">
        <v>4301</v>
      </c>
      <c r="T123" s="57" t="b">
        <v>1</v>
      </c>
      <c r="U123" s="310" t="s">
        <v>4302</v>
      </c>
      <c r="V123" s="307"/>
      <c r="W123" s="54"/>
    </row>
    <row r="124" spans="1:23" ht="16">
      <c r="A124" s="162"/>
      <c r="B124" s="71" t="s">
        <v>4298</v>
      </c>
      <c r="C124" s="151" t="s">
        <v>3541</v>
      </c>
      <c r="D124" s="151" t="s">
        <v>51</v>
      </c>
      <c r="E124" s="151" t="s">
        <v>372</v>
      </c>
      <c r="F124" s="151" t="s">
        <v>4303</v>
      </c>
      <c r="G124" s="151" t="s">
        <v>4304</v>
      </c>
      <c r="H124" s="53" t="s">
        <v>30</v>
      </c>
      <c r="I124" s="151">
        <v>1</v>
      </c>
      <c r="J124" s="364">
        <v>12450</v>
      </c>
      <c r="K124" s="54">
        <f t="shared" si="2"/>
        <v>12450</v>
      </c>
      <c r="L124" s="55" t="b">
        <v>1</v>
      </c>
      <c r="M124" s="56">
        <v>260920250846</v>
      </c>
      <c r="N124" s="57" t="b">
        <v>1</v>
      </c>
      <c r="O124" s="296" t="s">
        <v>351</v>
      </c>
      <c r="P124" s="342" t="s">
        <v>3684</v>
      </c>
      <c r="Q124" s="312" t="b">
        <v>1</v>
      </c>
      <c r="R124" s="49"/>
      <c r="S124" s="173" t="s">
        <v>4305</v>
      </c>
      <c r="T124" s="57" t="b">
        <v>1</v>
      </c>
      <c r="U124" s="310" t="s">
        <v>4306</v>
      </c>
      <c r="V124" s="307"/>
      <c r="W124" s="54"/>
    </row>
    <row r="125" spans="1:23" ht="16">
      <c r="A125" s="162"/>
      <c r="B125" s="71" t="s">
        <v>4298</v>
      </c>
      <c r="C125" s="151" t="s">
        <v>3541</v>
      </c>
      <c r="D125" s="151" t="s">
        <v>51</v>
      </c>
      <c r="E125" s="151" t="s">
        <v>372</v>
      </c>
      <c r="F125" s="151" t="s">
        <v>4303</v>
      </c>
      <c r="G125" s="151" t="s">
        <v>4307</v>
      </c>
      <c r="H125" s="53" t="s">
        <v>30</v>
      </c>
      <c r="I125" s="151">
        <v>1</v>
      </c>
      <c r="J125" s="364">
        <v>10000</v>
      </c>
      <c r="K125" s="364">
        <v>10000</v>
      </c>
      <c r="L125" s="55" t="b">
        <v>1</v>
      </c>
      <c r="M125" s="56">
        <v>260920250846</v>
      </c>
      <c r="N125" s="57" t="b">
        <v>1</v>
      </c>
      <c r="O125" s="296" t="s">
        <v>351</v>
      </c>
      <c r="P125" s="342" t="s">
        <v>3684</v>
      </c>
      <c r="Q125" s="312" t="b">
        <v>1</v>
      </c>
      <c r="R125" s="49"/>
      <c r="S125" s="173" t="s">
        <v>4305</v>
      </c>
      <c r="T125" s="57" t="b">
        <v>1</v>
      </c>
      <c r="U125" s="310" t="s">
        <v>4306</v>
      </c>
      <c r="V125" s="307"/>
      <c r="W125" s="54"/>
    </row>
    <row r="126" spans="1:23" ht="16">
      <c r="A126" s="162"/>
      <c r="B126" s="71" t="s">
        <v>4308</v>
      </c>
      <c r="C126" s="151" t="s">
        <v>3483</v>
      </c>
      <c r="D126" s="151" t="s">
        <v>26</v>
      </c>
      <c r="E126" s="151" t="s">
        <v>1976</v>
      </c>
      <c r="F126" s="151" t="s">
        <v>4309</v>
      </c>
      <c r="G126" s="151" t="s">
        <v>4310</v>
      </c>
      <c r="H126" s="53" t="s">
        <v>30</v>
      </c>
      <c r="I126" s="151">
        <v>4</v>
      </c>
      <c r="J126" s="364">
        <v>875</v>
      </c>
      <c r="K126" s="54">
        <f t="shared" ref="K126:K140" si="3">(J126*I126)</f>
        <v>3500</v>
      </c>
      <c r="L126" s="55" t="b">
        <v>1</v>
      </c>
      <c r="M126" s="56">
        <v>270920250942</v>
      </c>
      <c r="N126" s="57" t="b">
        <v>1</v>
      </c>
      <c r="O126" s="296" t="s">
        <v>351</v>
      </c>
      <c r="P126" s="342" t="s">
        <v>3684</v>
      </c>
      <c r="Q126" s="312" t="b">
        <v>1</v>
      </c>
      <c r="R126" s="49"/>
      <c r="S126" s="173" t="s">
        <v>4311</v>
      </c>
      <c r="T126" s="57" t="b">
        <v>1</v>
      </c>
      <c r="U126" s="310" t="s">
        <v>4312</v>
      </c>
      <c r="V126" s="307"/>
      <c r="W126" s="54"/>
    </row>
    <row r="127" spans="1:23" ht="16">
      <c r="A127" s="162"/>
      <c r="B127" s="71" t="s">
        <v>4308</v>
      </c>
      <c r="C127" s="151" t="s">
        <v>4165</v>
      </c>
      <c r="D127" s="151" t="s">
        <v>104</v>
      </c>
      <c r="E127" s="151" t="s">
        <v>2273</v>
      </c>
      <c r="F127" s="151" t="s">
        <v>4313</v>
      </c>
      <c r="G127" s="151" t="s">
        <v>4314</v>
      </c>
      <c r="H127" s="53" t="s">
        <v>30</v>
      </c>
      <c r="I127" s="151">
        <v>500</v>
      </c>
      <c r="J127" s="364">
        <v>22.5</v>
      </c>
      <c r="K127" s="54">
        <f t="shared" si="3"/>
        <v>11250</v>
      </c>
      <c r="L127" s="55" t="b">
        <v>1</v>
      </c>
      <c r="M127" s="56">
        <v>270920250942</v>
      </c>
      <c r="N127" s="57" t="b">
        <v>1</v>
      </c>
      <c r="O127" s="296"/>
      <c r="P127" s="342" t="s">
        <v>3684</v>
      </c>
      <c r="Q127" s="312" t="b">
        <v>1</v>
      </c>
      <c r="R127" s="49" t="s">
        <v>4315</v>
      </c>
      <c r="S127" s="173"/>
      <c r="T127" s="57" t="b">
        <v>1</v>
      </c>
      <c r="U127" s="310" t="s">
        <v>4316</v>
      </c>
      <c r="V127" s="307"/>
      <c r="W127" s="54"/>
    </row>
    <row r="128" spans="1:23" ht="16">
      <c r="A128" s="162"/>
      <c r="B128" s="383" t="s">
        <v>4308</v>
      </c>
      <c r="C128" s="384" t="s">
        <v>3650</v>
      </c>
      <c r="D128" s="384" t="s">
        <v>171</v>
      </c>
      <c r="E128" s="384" t="s">
        <v>137</v>
      </c>
      <c r="F128" s="384" t="s">
        <v>4317</v>
      </c>
      <c r="G128" s="384" t="s">
        <v>4318</v>
      </c>
      <c r="H128" s="384" t="s">
        <v>30</v>
      </c>
      <c r="I128" s="384">
        <v>3</v>
      </c>
      <c r="J128" s="385">
        <v>1250</v>
      </c>
      <c r="K128" s="385">
        <f t="shared" si="3"/>
        <v>3750</v>
      </c>
      <c r="L128" s="55" t="b">
        <v>1</v>
      </c>
      <c r="M128" s="56">
        <v>270920250942</v>
      </c>
      <c r="N128" s="57" t="b">
        <v>1</v>
      </c>
      <c r="O128" s="296"/>
      <c r="P128" s="342" t="s">
        <v>3684</v>
      </c>
      <c r="Q128" s="312" t="b">
        <v>1</v>
      </c>
      <c r="R128" s="49"/>
      <c r="S128" s="173"/>
      <c r="T128" s="57" t="b">
        <v>1</v>
      </c>
      <c r="U128" s="310" t="s">
        <v>4319</v>
      </c>
      <c r="V128" s="307"/>
      <c r="W128" s="54"/>
    </row>
    <row r="129" spans="1:23" ht="16">
      <c r="A129" s="162"/>
      <c r="B129" s="383" t="s">
        <v>4308</v>
      </c>
      <c r="C129" s="384" t="s">
        <v>3650</v>
      </c>
      <c r="D129" s="384" t="s">
        <v>171</v>
      </c>
      <c r="E129" s="384" t="s">
        <v>137</v>
      </c>
      <c r="F129" s="384" t="s">
        <v>4317</v>
      </c>
      <c r="G129" s="384" t="s">
        <v>4320</v>
      </c>
      <c r="H129" s="384" t="s">
        <v>30</v>
      </c>
      <c r="I129" s="384">
        <v>2</v>
      </c>
      <c r="J129" s="385">
        <v>1175</v>
      </c>
      <c r="K129" s="385">
        <f t="shared" si="3"/>
        <v>2350</v>
      </c>
      <c r="L129" s="55" t="b">
        <v>1</v>
      </c>
      <c r="M129" s="56">
        <v>270920250942</v>
      </c>
      <c r="N129" s="57" t="b">
        <v>1</v>
      </c>
      <c r="O129" s="296"/>
      <c r="P129" s="342" t="s">
        <v>3684</v>
      </c>
      <c r="Q129" s="312" t="b">
        <v>1</v>
      </c>
      <c r="R129" s="49"/>
      <c r="S129" s="173"/>
      <c r="T129" s="57" t="b">
        <v>1</v>
      </c>
      <c r="U129" s="310" t="s">
        <v>4319</v>
      </c>
      <c r="V129" s="307"/>
      <c r="W129" s="54"/>
    </row>
    <row r="130" spans="1:23" ht="16">
      <c r="A130" s="162"/>
      <c r="B130" s="383" t="s">
        <v>4308</v>
      </c>
      <c r="C130" s="384" t="s">
        <v>3650</v>
      </c>
      <c r="D130" s="384" t="s">
        <v>171</v>
      </c>
      <c r="E130" s="384" t="s">
        <v>137</v>
      </c>
      <c r="F130" s="384" t="s">
        <v>4317</v>
      </c>
      <c r="G130" s="384" t="s">
        <v>4321</v>
      </c>
      <c r="H130" s="384" t="s">
        <v>30</v>
      </c>
      <c r="I130" s="384">
        <v>1</v>
      </c>
      <c r="J130" s="385">
        <v>985</v>
      </c>
      <c r="K130" s="385">
        <f t="shared" si="3"/>
        <v>985</v>
      </c>
      <c r="L130" s="55" t="b">
        <v>1</v>
      </c>
      <c r="M130" s="56">
        <v>270920250942</v>
      </c>
      <c r="N130" s="57" t="b">
        <v>1</v>
      </c>
      <c r="O130" s="296"/>
      <c r="P130" s="342" t="s">
        <v>3684</v>
      </c>
      <c r="Q130" s="312" t="b">
        <v>1</v>
      </c>
      <c r="R130" s="49"/>
      <c r="S130" s="173"/>
      <c r="T130" s="57" t="b">
        <v>1</v>
      </c>
      <c r="U130" s="310" t="s">
        <v>4319</v>
      </c>
      <c r="V130" s="307"/>
      <c r="W130" s="54"/>
    </row>
    <row r="131" spans="1:23" ht="16">
      <c r="A131" s="162"/>
      <c r="B131" s="71" t="s">
        <v>4308</v>
      </c>
      <c r="C131" s="151" t="s">
        <v>3517</v>
      </c>
      <c r="D131" s="151" t="s">
        <v>51</v>
      </c>
      <c r="E131" s="151" t="s">
        <v>61</v>
      </c>
      <c r="F131" s="151" t="s">
        <v>476</v>
      </c>
      <c r="G131" s="151" t="s">
        <v>4322</v>
      </c>
      <c r="H131" s="53" t="s">
        <v>30</v>
      </c>
      <c r="I131" s="151">
        <v>5</v>
      </c>
      <c r="J131" s="364">
        <v>975</v>
      </c>
      <c r="K131" s="54">
        <f t="shared" si="3"/>
        <v>4875</v>
      </c>
      <c r="L131" s="55" t="b">
        <v>1</v>
      </c>
      <c r="M131" s="56">
        <v>270920250942</v>
      </c>
      <c r="N131" s="57" t="b">
        <v>1</v>
      </c>
      <c r="O131" s="296"/>
      <c r="P131" s="342" t="s">
        <v>3684</v>
      </c>
      <c r="Q131" s="312" t="b">
        <v>1</v>
      </c>
      <c r="R131" s="49"/>
      <c r="S131" s="173" t="s">
        <v>4323</v>
      </c>
      <c r="T131" s="57" t="b">
        <v>1</v>
      </c>
      <c r="U131" s="310" t="s">
        <v>4324</v>
      </c>
      <c r="V131" s="307"/>
      <c r="W131" s="54"/>
    </row>
    <row r="132" spans="1:23" ht="16">
      <c r="A132" s="162"/>
      <c r="B132" s="71" t="s">
        <v>4308</v>
      </c>
      <c r="C132" s="151" t="s">
        <v>4325</v>
      </c>
      <c r="D132" s="151" t="s">
        <v>98</v>
      </c>
      <c r="E132" s="151" t="s">
        <v>2296</v>
      </c>
      <c r="F132" s="151" t="s">
        <v>2768</v>
      </c>
      <c r="G132" s="80" t="s">
        <v>4326</v>
      </c>
      <c r="H132" s="53" t="s">
        <v>30</v>
      </c>
      <c r="I132" s="151">
        <v>8</v>
      </c>
      <c r="J132" s="364">
        <v>2750</v>
      </c>
      <c r="K132" s="54">
        <f t="shared" si="3"/>
        <v>22000</v>
      </c>
      <c r="L132" s="55" t="b">
        <v>1</v>
      </c>
      <c r="M132" s="56">
        <v>270920251315</v>
      </c>
      <c r="N132" s="57" t="b">
        <v>1</v>
      </c>
      <c r="O132" s="296"/>
      <c r="P132" s="342" t="s">
        <v>3684</v>
      </c>
      <c r="Q132" s="312" t="b">
        <v>1</v>
      </c>
      <c r="R132" s="49"/>
      <c r="S132" s="173" t="s">
        <v>4327</v>
      </c>
      <c r="T132" s="57" t="b">
        <v>1</v>
      </c>
      <c r="U132" s="310" t="s">
        <v>4328</v>
      </c>
      <c r="V132" s="307"/>
      <c r="W132" s="54"/>
    </row>
    <row r="133" spans="1:23" ht="16">
      <c r="A133" s="162"/>
      <c r="B133" s="71" t="s">
        <v>4308</v>
      </c>
      <c r="C133" s="151" t="s">
        <v>4325</v>
      </c>
      <c r="D133" s="151" t="s">
        <v>98</v>
      </c>
      <c r="E133" s="151" t="s">
        <v>2296</v>
      </c>
      <c r="F133" s="151" t="s">
        <v>2768</v>
      </c>
      <c r="G133" s="80" t="s">
        <v>4329</v>
      </c>
      <c r="H133" s="53" t="s">
        <v>30</v>
      </c>
      <c r="I133" s="151">
        <v>4</v>
      </c>
      <c r="J133" s="364">
        <v>2750</v>
      </c>
      <c r="K133" s="54">
        <f t="shared" si="3"/>
        <v>11000</v>
      </c>
      <c r="L133" s="55" t="b">
        <v>1</v>
      </c>
      <c r="M133" s="56">
        <v>270920251315</v>
      </c>
      <c r="N133" s="57" t="b">
        <v>1</v>
      </c>
      <c r="O133" s="296"/>
      <c r="P133" s="342" t="s">
        <v>3684</v>
      </c>
      <c r="Q133" s="312" t="b">
        <v>1</v>
      </c>
      <c r="R133" s="49"/>
      <c r="S133" s="173" t="s">
        <v>4327</v>
      </c>
      <c r="T133" s="57" t="b">
        <v>1</v>
      </c>
      <c r="U133" s="310" t="s">
        <v>4328</v>
      </c>
      <c r="V133" s="307"/>
      <c r="W133" s="54"/>
    </row>
    <row r="134" spans="1:23" ht="16">
      <c r="A134" s="162"/>
      <c r="B134" s="71" t="s">
        <v>4308</v>
      </c>
      <c r="C134" s="343" t="s">
        <v>4330</v>
      </c>
      <c r="D134" s="343" t="s">
        <v>212</v>
      </c>
      <c r="E134" s="151" t="s">
        <v>213</v>
      </c>
      <c r="F134" s="151" t="s">
        <v>4331</v>
      </c>
      <c r="G134" s="151" t="s">
        <v>3448</v>
      </c>
      <c r="H134" s="53" t="s">
        <v>30</v>
      </c>
      <c r="I134" s="151">
        <v>40</v>
      </c>
      <c r="J134" s="364">
        <v>650</v>
      </c>
      <c r="K134" s="54">
        <f t="shared" si="3"/>
        <v>26000</v>
      </c>
      <c r="L134" s="55" t="b">
        <v>1</v>
      </c>
      <c r="M134" s="56">
        <v>270920251315</v>
      </c>
      <c r="N134" s="57" t="b">
        <v>1</v>
      </c>
      <c r="O134" s="296" t="s">
        <v>39</v>
      </c>
      <c r="P134" s="342" t="s">
        <v>3684</v>
      </c>
      <c r="Q134" s="312" t="b">
        <v>1</v>
      </c>
      <c r="R134" s="49"/>
      <c r="S134" s="49"/>
      <c r="T134" s="57" t="b">
        <v>1</v>
      </c>
      <c r="U134" s="310" t="s">
        <v>4332</v>
      </c>
      <c r="V134" s="307"/>
      <c r="W134" s="54"/>
    </row>
    <row r="135" spans="1:23" ht="16">
      <c r="A135" s="162"/>
      <c r="B135" s="71" t="s">
        <v>4333</v>
      </c>
      <c r="C135" s="151" t="s">
        <v>4229</v>
      </c>
      <c r="D135" s="151" t="s">
        <v>418</v>
      </c>
      <c r="E135" s="151" t="s">
        <v>42</v>
      </c>
      <c r="F135" s="151" t="s">
        <v>209</v>
      </c>
      <c r="G135" s="151" t="s">
        <v>4334</v>
      </c>
      <c r="H135" s="53" t="s">
        <v>30</v>
      </c>
      <c r="I135" s="151">
        <v>13</v>
      </c>
      <c r="J135" s="364">
        <v>150</v>
      </c>
      <c r="K135" s="54">
        <f t="shared" si="3"/>
        <v>1950</v>
      </c>
      <c r="L135" s="55" t="b">
        <v>1</v>
      </c>
      <c r="M135" s="56">
        <v>290920251112</v>
      </c>
      <c r="N135" s="57" t="b">
        <v>1</v>
      </c>
      <c r="O135" s="296"/>
      <c r="P135" s="342" t="s">
        <v>3684</v>
      </c>
      <c r="Q135" s="312" t="b">
        <v>1</v>
      </c>
      <c r="R135" s="49"/>
      <c r="S135" s="173" t="s">
        <v>4335</v>
      </c>
      <c r="T135" s="57" t="b">
        <v>1</v>
      </c>
      <c r="U135" s="310" t="s">
        <v>4336</v>
      </c>
      <c r="V135" s="307"/>
      <c r="W135" s="54"/>
    </row>
    <row r="136" spans="1:23" ht="16">
      <c r="A136" s="162"/>
      <c r="B136" s="71" t="s">
        <v>4333</v>
      </c>
      <c r="C136" s="151" t="s">
        <v>4229</v>
      </c>
      <c r="D136" s="151" t="s">
        <v>418</v>
      </c>
      <c r="E136" s="151" t="s">
        <v>42</v>
      </c>
      <c r="F136" s="151" t="s">
        <v>209</v>
      </c>
      <c r="G136" s="151" t="s">
        <v>2719</v>
      </c>
      <c r="H136" s="53" t="s">
        <v>30</v>
      </c>
      <c r="I136" s="151">
        <v>10</v>
      </c>
      <c r="J136" s="364">
        <v>135</v>
      </c>
      <c r="K136" s="54">
        <f t="shared" si="3"/>
        <v>1350</v>
      </c>
      <c r="L136" s="55" t="b">
        <v>1</v>
      </c>
      <c r="M136" s="56">
        <v>290920251112</v>
      </c>
      <c r="N136" s="57" t="b">
        <v>1</v>
      </c>
      <c r="O136" s="296"/>
      <c r="P136" s="342" t="s">
        <v>3684</v>
      </c>
      <c r="Q136" s="312" t="b">
        <v>1</v>
      </c>
      <c r="R136" s="49"/>
      <c r="S136" s="173" t="s">
        <v>4335</v>
      </c>
      <c r="T136" s="57" t="b">
        <v>1</v>
      </c>
      <c r="U136" s="310" t="s">
        <v>4336</v>
      </c>
      <c r="V136" s="307"/>
      <c r="W136" s="54"/>
    </row>
    <row r="137" spans="1:23" ht="16">
      <c r="A137" s="162"/>
      <c r="B137" s="71" t="s">
        <v>4337</v>
      </c>
      <c r="C137" s="151" t="s">
        <v>4107</v>
      </c>
      <c r="D137" s="151" t="s">
        <v>282</v>
      </c>
      <c r="E137" s="151" t="s">
        <v>282</v>
      </c>
      <c r="F137" s="151" t="s">
        <v>365</v>
      </c>
      <c r="G137" s="151" t="s">
        <v>1932</v>
      </c>
      <c r="H137" s="53" t="s">
        <v>30</v>
      </c>
      <c r="I137" s="151">
        <v>12</v>
      </c>
      <c r="J137" s="364">
        <v>230</v>
      </c>
      <c r="K137" s="54">
        <f t="shared" si="3"/>
        <v>2760</v>
      </c>
      <c r="L137" s="55" t="b">
        <v>1</v>
      </c>
      <c r="M137" s="56">
        <v>300920250844</v>
      </c>
      <c r="N137" s="57" t="b">
        <v>1</v>
      </c>
      <c r="O137" s="296" t="s">
        <v>3300</v>
      </c>
      <c r="P137" s="342" t="s">
        <v>3684</v>
      </c>
      <c r="Q137" s="312" t="b">
        <v>1</v>
      </c>
      <c r="R137" s="49"/>
      <c r="S137" s="173"/>
      <c r="T137" s="57" t="b">
        <v>1</v>
      </c>
      <c r="U137" s="310" t="s">
        <v>4338</v>
      </c>
      <c r="V137" s="307"/>
      <c r="W137" s="54"/>
    </row>
    <row r="138" spans="1:23" ht="16">
      <c r="A138" s="162"/>
      <c r="B138" s="71" t="s">
        <v>4337</v>
      </c>
      <c r="C138" s="151" t="s">
        <v>3650</v>
      </c>
      <c r="D138" s="151" t="s">
        <v>171</v>
      </c>
      <c r="E138" s="151" t="s">
        <v>137</v>
      </c>
      <c r="F138" s="151" t="s">
        <v>3651</v>
      </c>
      <c r="G138" s="151" t="s">
        <v>4339</v>
      </c>
      <c r="H138" s="53" t="s">
        <v>30</v>
      </c>
      <c r="I138" s="151">
        <v>20</v>
      </c>
      <c r="J138" s="364">
        <v>135</v>
      </c>
      <c r="K138" s="54">
        <f t="shared" si="3"/>
        <v>2700</v>
      </c>
      <c r="L138" s="55" t="b">
        <v>1</v>
      </c>
      <c r="M138" s="56">
        <v>300920252053</v>
      </c>
      <c r="N138" s="57" t="b">
        <v>1</v>
      </c>
      <c r="O138" s="296"/>
      <c r="P138" s="342" t="s">
        <v>3684</v>
      </c>
      <c r="Q138" s="312" t="b">
        <v>1</v>
      </c>
      <c r="R138" s="49"/>
      <c r="S138" s="173" t="s">
        <v>4340</v>
      </c>
      <c r="T138" s="57" t="b">
        <v>1</v>
      </c>
      <c r="U138" s="310" t="s">
        <v>4341</v>
      </c>
      <c r="V138" s="307"/>
      <c r="W138" s="54"/>
    </row>
    <row r="139" spans="1:23" ht="16">
      <c r="A139" s="162"/>
      <c r="B139" s="71" t="s">
        <v>4337</v>
      </c>
      <c r="C139" s="151" t="s">
        <v>3650</v>
      </c>
      <c r="D139" s="151" t="s">
        <v>171</v>
      </c>
      <c r="E139" s="151" t="s">
        <v>137</v>
      </c>
      <c r="F139" s="151" t="s">
        <v>3651</v>
      </c>
      <c r="G139" s="151" t="s">
        <v>4342</v>
      </c>
      <c r="H139" s="53" t="s">
        <v>30</v>
      </c>
      <c r="I139" s="151">
        <v>84</v>
      </c>
      <c r="J139" s="364">
        <v>42.5</v>
      </c>
      <c r="K139" s="54">
        <f t="shared" si="3"/>
        <v>3570</v>
      </c>
      <c r="L139" s="55" t="b">
        <v>1</v>
      </c>
      <c r="M139" s="56">
        <v>300920252053</v>
      </c>
      <c r="N139" s="57" t="b">
        <v>1</v>
      </c>
      <c r="O139" s="296"/>
      <c r="P139" s="342" t="s">
        <v>3684</v>
      </c>
      <c r="Q139" s="312" t="b">
        <v>1</v>
      </c>
      <c r="R139" s="49"/>
      <c r="S139" s="173" t="s">
        <v>4340</v>
      </c>
      <c r="T139" s="57" t="b">
        <v>1</v>
      </c>
      <c r="U139" s="310" t="s">
        <v>4341</v>
      </c>
      <c r="V139" s="307"/>
      <c r="W139" s="54"/>
    </row>
    <row r="140" spans="1:23" ht="16">
      <c r="A140" s="162"/>
      <c r="B140" s="71" t="s">
        <v>4337</v>
      </c>
      <c r="C140" s="151" t="s">
        <v>3650</v>
      </c>
      <c r="D140" s="151" t="s">
        <v>171</v>
      </c>
      <c r="E140" s="151" t="s">
        <v>137</v>
      </c>
      <c r="F140" s="151" t="s">
        <v>3651</v>
      </c>
      <c r="G140" s="151" t="s">
        <v>4056</v>
      </c>
      <c r="H140" s="53" t="s">
        <v>30</v>
      </c>
      <c r="I140" s="151">
        <v>84</v>
      </c>
      <c r="J140" s="364">
        <v>39</v>
      </c>
      <c r="K140" s="54">
        <f t="shared" si="3"/>
        <v>3276</v>
      </c>
      <c r="L140" s="55" t="b">
        <v>1</v>
      </c>
      <c r="M140" s="56">
        <v>300920252053</v>
      </c>
      <c r="N140" s="57" t="b">
        <v>1</v>
      </c>
      <c r="O140" s="296"/>
      <c r="P140" s="342" t="s">
        <v>3684</v>
      </c>
      <c r="Q140" s="312" t="b">
        <v>1</v>
      </c>
      <c r="R140" s="49"/>
      <c r="S140" s="173" t="s">
        <v>4340</v>
      </c>
      <c r="T140" s="57" t="b">
        <v>1</v>
      </c>
      <c r="U140" s="310" t="s">
        <v>4341</v>
      </c>
      <c r="V140" s="307"/>
      <c r="W140" s="54"/>
    </row>
    <row r="141" spans="1:23" ht="16">
      <c r="A141" s="162"/>
      <c r="B141" s="71" t="s">
        <v>4337</v>
      </c>
      <c r="C141" s="151" t="s">
        <v>3650</v>
      </c>
      <c r="D141" s="151" t="s">
        <v>171</v>
      </c>
      <c r="E141" s="151" t="s">
        <v>137</v>
      </c>
      <c r="F141" s="151" t="s">
        <v>3651</v>
      </c>
      <c r="G141" s="151" t="s">
        <v>4343</v>
      </c>
      <c r="H141" s="53" t="s">
        <v>30</v>
      </c>
      <c r="I141" s="151">
        <v>1</v>
      </c>
      <c r="J141" s="386" t="s">
        <v>4344</v>
      </c>
      <c r="K141" s="386" t="s">
        <v>4344</v>
      </c>
      <c r="L141" s="55" t="b">
        <v>1</v>
      </c>
      <c r="M141" s="56">
        <v>300920252053</v>
      </c>
      <c r="N141" s="57" t="b">
        <v>1</v>
      </c>
      <c r="O141" s="296"/>
      <c r="P141" s="342" t="s">
        <v>3684</v>
      </c>
      <c r="Q141" s="312" t="b">
        <v>1</v>
      </c>
      <c r="R141" s="49"/>
      <c r="S141" s="173" t="s">
        <v>4340</v>
      </c>
      <c r="T141" s="57" t="b">
        <v>1</v>
      </c>
      <c r="U141" s="310" t="s">
        <v>4341</v>
      </c>
      <c r="V141" s="307"/>
      <c r="W141" s="54"/>
    </row>
    <row r="142" spans="1:23" ht="16">
      <c r="A142" s="162"/>
      <c r="B142" s="71" t="s">
        <v>4337</v>
      </c>
      <c r="C142" s="151" t="s">
        <v>3706</v>
      </c>
      <c r="D142" s="151" t="s">
        <v>418</v>
      </c>
      <c r="E142" s="151" t="s">
        <v>1549</v>
      </c>
      <c r="F142" s="151" t="s">
        <v>607</v>
      </c>
      <c r="G142" s="151" t="s">
        <v>1398</v>
      </c>
      <c r="H142" s="53" t="s">
        <v>30</v>
      </c>
      <c r="I142" s="151">
        <v>1</v>
      </c>
      <c r="J142" s="364">
        <v>60420</v>
      </c>
      <c r="K142" s="364">
        <v>60420</v>
      </c>
      <c r="L142" s="55" t="b">
        <v>1</v>
      </c>
      <c r="M142" s="56" t="s">
        <v>529</v>
      </c>
      <c r="N142" s="57" t="b">
        <v>1</v>
      </c>
      <c r="O142" s="296" t="s">
        <v>351</v>
      </c>
      <c r="P142" s="342" t="s">
        <v>3684</v>
      </c>
      <c r="Q142" s="312" t="b">
        <v>1</v>
      </c>
      <c r="R142" s="49"/>
      <c r="S142" s="49"/>
      <c r="T142" s="57" t="b">
        <v>1</v>
      </c>
      <c r="U142" s="310" t="s">
        <v>4345</v>
      </c>
      <c r="V142" s="307"/>
      <c r="W142" s="54"/>
    </row>
    <row r="143" spans="1:23" ht="16">
      <c r="A143" s="162"/>
      <c r="B143" s="71" t="s">
        <v>4337</v>
      </c>
      <c r="C143" s="151" t="s">
        <v>3706</v>
      </c>
      <c r="D143" s="151" t="s">
        <v>418</v>
      </c>
      <c r="E143" s="151" t="s">
        <v>1549</v>
      </c>
      <c r="F143" s="151" t="s">
        <v>607</v>
      </c>
      <c r="G143" s="151" t="s">
        <v>1398</v>
      </c>
      <c r="H143" s="53" t="s">
        <v>30</v>
      </c>
      <c r="I143" s="151">
        <v>1</v>
      </c>
      <c r="J143" s="364">
        <v>30000</v>
      </c>
      <c r="K143" s="54">
        <f t="shared" ref="K143:K168" si="4">(J143*I143)</f>
        <v>30000</v>
      </c>
      <c r="L143" s="55" t="b">
        <v>1</v>
      </c>
      <c r="M143" s="56" t="s">
        <v>529</v>
      </c>
      <c r="N143" s="57" t="b">
        <v>1</v>
      </c>
      <c r="O143" s="296" t="s">
        <v>351</v>
      </c>
      <c r="P143" s="342" t="s">
        <v>3684</v>
      </c>
      <c r="Q143" s="312" t="b">
        <v>1</v>
      </c>
      <c r="R143" s="49" t="s">
        <v>4346</v>
      </c>
      <c r="S143" s="49"/>
      <c r="T143" s="57" t="b">
        <v>1</v>
      </c>
      <c r="U143" s="310" t="s">
        <v>4347</v>
      </c>
      <c r="V143" s="307"/>
      <c r="W143" s="54"/>
    </row>
    <row r="144" spans="1:23" ht="16">
      <c r="A144" s="162"/>
      <c r="B144" s="132"/>
      <c r="C144" s="151"/>
      <c r="D144" s="151"/>
      <c r="E144" s="151"/>
      <c r="F144" s="151"/>
      <c r="G144" s="151"/>
      <c r="H144" s="53" t="s">
        <v>30</v>
      </c>
      <c r="I144" s="151"/>
      <c r="J144" s="364"/>
      <c r="K144" s="54">
        <f t="shared" si="4"/>
        <v>0</v>
      </c>
      <c r="L144" s="55" t="b">
        <v>0</v>
      </c>
      <c r="M144" s="56"/>
      <c r="N144" s="57" t="b">
        <v>0</v>
      </c>
      <c r="O144" s="296"/>
      <c r="P144" s="387"/>
      <c r="Q144" s="312" t="b">
        <v>0</v>
      </c>
      <c r="R144" s="49"/>
      <c r="S144" s="49"/>
      <c r="T144" s="57" t="b">
        <v>0</v>
      </c>
      <c r="U144" s="49"/>
      <c r="V144" s="307"/>
      <c r="W144" s="54"/>
    </row>
    <row r="145" spans="1:23" ht="16">
      <c r="A145" s="162"/>
      <c r="B145" s="132"/>
      <c r="C145" s="151"/>
      <c r="D145" s="151"/>
      <c r="E145" s="151"/>
      <c r="F145" s="151"/>
      <c r="G145" s="151"/>
      <c r="H145" s="53" t="s">
        <v>30</v>
      </c>
      <c r="I145" s="151"/>
      <c r="J145" s="364"/>
      <c r="K145" s="54">
        <f t="shared" si="4"/>
        <v>0</v>
      </c>
      <c r="L145" s="55" t="b">
        <v>0</v>
      </c>
      <c r="M145" s="56"/>
      <c r="N145" s="57" t="b">
        <v>0</v>
      </c>
      <c r="O145" s="296"/>
      <c r="P145" s="387"/>
      <c r="Q145" s="312" t="b">
        <v>0</v>
      </c>
      <c r="R145" s="49"/>
      <c r="S145" s="49"/>
      <c r="T145" s="57" t="b">
        <v>0</v>
      </c>
      <c r="U145" s="49"/>
      <c r="V145" s="307"/>
      <c r="W145" s="54"/>
    </row>
    <row r="146" spans="1:23" ht="16">
      <c r="A146" s="162"/>
      <c r="B146" s="132"/>
      <c r="C146" s="151"/>
      <c r="D146" s="151"/>
      <c r="E146" s="151"/>
      <c r="F146" s="151"/>
      <c r="G146" s="151"/>
      <c r="H146" s="53" t="s">
        <v>30</v>
      </c>
      <c r="I146" s="151"/>
      <c r="J146" s="364"/>
      <c r="K146" s="54">
        <f t="shared" si="4"/>
        <v>0</v>
      </c>
      <c r="L146" s="55" t="b">
        <v>0</v>
      </c>
      <c r="M146" s="56"/>
      <c r="N146" s="57" t="b">
        <v>0</v>
      </c>
      <c r="O146" s="296"/>
      <c r="P146" s="387"/>
      <c r="Q146" s="312" t="b">
        <v>0</v>
      </c>
      <c r="R146" s="49"/>
      <c r="S146" s="49"/>
      <c r="T146" s="57" t="b">
        <v>0</v>
      </c>
      <c r="U146" s="49"/>
      <c r="V146" s="307"/>
      <c r="W146" s="54"/>
    </row>
    <row r="147" spans="1:23" ht="16">
      <c r="A147" s="162"/>
      <c r="B147" s="132"/>
      <c r="C147" s="151"/>
      <c r="D147" s="151"/>
      <c r="E147" s="151"/>
      <c r="F147" s="151"/>
      <c r="G147" s="151"/>
      <c r="H147" s="53" t="s">
        <v>30</v>
      </c>
      <c r="I147" s="151"/>
      <c r="J147" s="364"/>
      <c r="K147" s="54">
        <f t="shared" si="4"/>
        <v>0</v>
      </c>
      <c r="L147" s="55" t="b">
        <v>0</v>
      </c>
      <c r="M147" s="56"/>
      <c r="N147" s="57" t="b">
        <v>0</v>
      </c>
      <c r="O147" s="296"/>
      <c r="P147" s="387"/>
      <c r="Q147" s="312" t="b">
        <v>0</v>
      </c>
      <c r="R147" s="49"/>
      <c r="S147" s="49"/>
      <c r="T147" s="57" t="b">
        <v>0</v>
      </c>
      <c r="U147" s="49"/>
      <c r="V147" s="307"/>
      <c r="W147" s="54"/>
    </row>
    <row r="148" spans="1:23" ht="16">
      <c r="A148" s="162"/>
      <c r="B148" s="71"/>
      <c r="C148" s="151"/>
      <c r="D148" s="151"/>
      <c r="E148" s="151"/>
      <c r="F148" s="151"/>
      <c r="G148" s="53"/>
      <c r="H148" s="53" t="s">
        <v>30</v>
      </c>
      <c r="I148" s="151"/>
      <c r="J148" s="364"/>
      <c r="K148" s="54">
        <f t="shared" si="4"/>
        <v>0</v>
      </c>
      <c r="L148" s="55" t="b">
        <v>0</v>
      </c>
      <c r="M148" s="56"/>
      <c r="N148" s="57" t="b">
        <v>0</v>
      </c>
      <c r="O148" s="296"/>
      <c r="P148" s="387"/>
      <c r="Q148" s="312" t="b">
        <v>0</v>
      </c>
      <c r="R148" s="49"/>
      <c r="S148" s="49"/>
      <c r="T148" s="57" t="b">
        <v>0</v>
      </c>
      <c r="U148" s="49"/>
      <c r="V148" s="307"/>
      <c r="W148" s="54"/>
    </row>
    <row r="149" spans="1:23" ht="16">
      <c r="A149" s="162"/>
      <c r="B149" s="71"/>
      <c r="C149" s="151"/>
      <c r="D149" s="151"/>
      <c r="E149" s="151"/>
      <c r="F149" s="151"/>
      <c r="G149" s="53"/>
      <c r="H149" s="53" t="s">
        <v>30</v>
      </c>
      <c r="I149" s="151"/>
      <c r="J149" s="364"/>
      <c r="K149" s="54">
        <f t="shared" si="4"/>
        <v>0</v>
      </c>
      <c r="L149" s="55" t="b">
        <v>0</v>
      </c>
      <c r="M149" s="56"/>
      <c r="N149" s="57" t="b">
        <v>0</v>
      </c>
      <c r="O149" s="296"/>
      <c r="P149" s="387"/>
      <c r="Q149" s="312" t="b">
        <v>0</v>
      </c>
      <c r="R149" s="49"/>
      <c r="S149" s="49"/>
      <c r="T149" s="57" t="b">
        <v>0</v>
      </c>
      <c r="U149" s="49"/>
      <c r="V149" s="307"/>
      <c r="W149" s="54"/>
    </row>
    <row r="150" spans="1:23" ht="16">
      <c r="A150" s="162"/>
      <c r="B150" s="71"/>
      <c r="C150" s="151"/>
      <c r="D150" s="151"/>
      <c r="E150" s="151"/>
      <c r="F150" s="151"/>
      <c r="G150" s="151"/>
      <c r="H150" s="53" t="s">
        <v>30</v>
      </c>
      <c r="I150" s="151"/>
      <c r="J150" s="364"/>
      <c r="K150" s="54">
        <f t="shared" si="4"/>
        <v>0</v>
      </c>
      <c r="L150" s="55" t="b">
        <v>0</v>
      </c>
      <c r="M150" s="56"/>
      <c r="N150" s="57" t="b">
        <v>0</v>
      </c>
      <c r="O150" s="296"/>
      <c r="P150" s="387"/>
      <c r="Q150" s="312" t="b">
        <v>0</v>
      </c>
      <c r="R150" s="49"/>
      <c r="S150" s="49"/>
      <c r="T150" s="57" t="b">
        <v>0</v>
      </c>
      <c r="U150" s="49"/>
      <c r="V150" s="307"/>
      <c r="W150" s="54"/>
    </row>
    <row r="151" spans="1:23" ht="16">
      <c r="A151" s="162"/>
      <c r="B151" s="71"/>
      <c r="C151" s="151"/>
      <c r="D151" s="151"/>
      <c r="E151" s="151"/>
      <c r="F151" s="151"/>
      <c r="G151" s="151"/>
      <c r="H151" s="53" t="s">
        <v>30</v>
      </c>
      <c r="I151" s="151"/>
      <c r="J151" s="364"/>
      <c r="K151" s="54">
        <f t="shared" si="4"/>
        <v>0</v>
      </c>
      <c r="L151" s="55" t="b">
        <v>0</v>
      </c>
      <c r="M151" s="56"/>
      <c r="N151" s="57" t="b">
        <v>0</v>
      </c>
      <c r="O151" s="296"/>
      <c r="P151" s="387"/>
      <c r="Q151" s="312" t="b">
        <v>0</v>
      </c>
      <c r="R151" s="49"/>
      <c r="S151" s="49"/>
      <c r="T151" s="57" t="b">
        <v>0</v>
      </c>
      <c r="U151" s="49"/>
      <c r="V151" s="307"/>
      <c r="W151" s="54"/>
    </row>
    <row r="152" spans="1:23" ht="16">
      <c r="A152" s="162"/>
      <c r="B152" s="71"/>
      <c r="C152" s="151"/>
      <c r="D152" s="151"/>
      <c r="E152" s="151"/>
      <c r="F152" s="151"/>
      <c r="G152" s="151"/>
      <c r="H152" s="53" t="s">
        <v>30</v>
      </c>
      <c r="I152" s="151"/>
      <c r="J152" s="364"/>
      <c r="K152" s="54">
        <f t="shared" si="4"/>
        <v>0</v>
      </c>
      <c r="L152" s="55" t="b">
        <v>0</v>
      </c>
      <c r="M152" s="56"/>
      <c r="N152" s="57" t="b">
        <v>0</v>
      </c>
      <c r="O152" s="296"/>
      <c r="P152" s="387"/>
      <c r="Q152" s="312" t="b">
        <v>0</v>
      </c>
      <c r="R152" s="49"/>
      <c r="S152" s="49"/>
      <c r="T152" s="57" t="b">
        <v>0</v>
      </c>
      <c r="U152" s="49"/>
      <c r="V152" s="307"/>
      <c r="W152" s="54"/>
    </row>
    <row r="153" spans="1:23" ht="16">
      <c r="A153" s="162"/>
      <c r="B153" s="71"/>
      <c r="C153" s="151"/>
      <c r="D153" s="151"/>
      <c r="E153" s="151"/>
      <c r="F153" s="151"/>
      <c r="G153" s="151"/>
      <c r="H153" s="53" t="s">
        <v>30</v>
      </c>
      <c r="I153" s="151"/>
      <c r="J153" s="364"/>
      <c r="K153" s="54">
        <f t="shared" si="4"/>
        <v>0</v>
      </c>
      <c r="L153" s="55" t="b">
        <v>0</v>
      </c>
      <c r="M153" s="56"/>
      <c r="N153" s="57" t="b">
        <v>0</v>
      </c>
      <c r="O153" s="296"/>
      <c r="P153" s="387"/>
      <c r="Q153" s="312" t="b">
        <v>0</v>
      </c>
      <c r="R153" s="49"/>
      <c r="S153" s="49"/>
      <c r="T153" s="57" t="b">
        <v>0</v>
      </c>
      <c r="U153" s="49"/>
      <c r="V153" s="307"/>
      <c r="W153" s="54"/>
    </row>
    <row r="154" spans="1:23" ht="16">
      <c r="A154" s="162"/>
      <c r="B154" s="71"/>
      <c r="C154" s="151"/>
      <c r="D154" s="151"/>
      <c r="E154" s="151"/>
      <c r="F154" s="151"/>
      <c r="G154" s="151"/>
      <c r="H154" s="53" t="s">
        <v>30</v>
      </c>
      <c r="I154" s="151"/>
      <c r="J154" s="364"/>
      <c r="K154" s="54">
        <f t="shared" si="4"/>
        <v>0</v>
      </c>
      <c r="L154" s="55" t="b">
        <v>0</v>
      </c>
      <c r="M154" s="56"/>
      <c r="N154" s="57" t="b">
        <v>0</v>
      </c>
      <c r="O154" s="296"/>
      <c r="P154" s="387"/>
      <c r="Q154" s="312" t="b">
        <v>0</v>
      </c>
      <c r="R154" s="49"/>
      <c r="S154" s="49"/>
      <c r="T154" s="57" t="b">
        <v>0</v>
      </c>
      <c r="U154" s="49"/>
      <c r="V154" s="307"/>
      <c r="W154" s="54"/>
    </row>
    <row r="155" spans="1:23" ht="16">
      <c r="A155" s="162"/>
      <c r="B155" s="71"/>
      <c r="C155" s="151"/>
      <c r="D155" s="151"/>
      <c r="E155" s="151"/>
      <c r="F155" s="151"/>
      <c r="G155" s="151"/>
      <c r="H155" s="53" t="s">
        <v>30</v>
      </c>
      <c r="I155" s="151"/>
      <c r="J155" s="364"/>
      <c r="K155" s="54">
        <f t="shared" si="4"/>
        <v>0</v>
      </c>
      <c r="L155" s="55" t="b">
        <v>0</v>
      </c>
      <c r="M155" s="56"/>
      <c r="N155" s="57" t="b">
        <v>0</v>
      </c>
      <c r="O155" s="296"/>
      <c r="P155" s="387"/>
      <c r="Q155" s="312" t="b">
        <v>0</v>
      </c>
      <c r="R155" s="49"/>
      <c r="S155" s="49"/>
      <c r="T155" s="57" t="b">
        <v>0</v>
      </c>
      <c r="U155" s="49"/>
      <c r="V155" s="307"/>
      <c r="W155" s="54"/>
    </row>
    <row r="156" spans="1:23" ht="16">
      <c r="A156" s="162"/>
      <c r="B156" s="71"/>
      <c r="C156" s="151"/>
      <c r="D156" s="151"/>
      <c r="E156" s="151"/>
      <c r="F156" s="151"/>
      <c r="G156" s="151"/>
      <c r="H156" s="53" t="s">
        <v>30</v>
      </c>
      <c r="I156" s="151"/>
      <c r="J156" s="364"/>
      <c r="K156" s="54">
        <f t="shared" si="4"/>
        <v>0</v>
      </c>
      <c r="L156" s="55" t="b">
        <v>0</v>
      </c>
      <c r="M156" s="56"/>
      <c r="N156" s="57" t="b">
        <v>0</v>
      </c>
      <c r="O156" s="296"/>
      <c r="P156" s="387"/>
      <c r="Q156" s="312" t="b">
        <v>0</v>
      </c>
      <c r="R156" s="49"/>
      <c r="S156" s="49"/>
      <c r="T156" s="57" t="b">
        <v>0</v>
      </c>
      <c r="U156" s="49"/>
      <c r="V156" s="307"/>
      <c r="W156" s="54"/>
    </row>
    <row r="157" spans="1:23" ht="16">
      <c r="A157" s="162"/>
      <c r="B157" s="71"/>
      <c r="C157" s="151"/>
      <c r="D157" s="53"/>
      <c r="E157" s="53"/>
      <c r="F157" s="53"/>
      <c r="G157" s="53"/>
      <c r="H157" s="53" t="s">
        <v>30</v>
      </c>
      <c r="I157" s="151"/>
      <c r="J157" s="364"/>
      <c r="K157" s="54">
        <f t="shared" si="4"/>
        <v>0</v>
      </c>
      <c r="L157" s="55" t="b">
        <v>0</v>
      </c>
      <c r="M157" s="56"/>
      <c r="N157" s="57" t="b">
        <v>0</v>
      </c>
      <c r="O157" s="296"/>
      <c r="P157" s="387"/>
      <c r="Q157" s="312" t="b">
        <v>0</v>
      </c>
      <c r="R157" s="49"/>
      <c r="S157" s="49"/>
      <c r="T157" s="57" t="b">
        <v>0</v>
      </c>
      <c r="U157" s="49"/>
      <c r="V157" s="307"/>
      <c r="W157" s="54"/>
    </row>
    <row r="158" spans="1:23" ht="16">
      <c r="A158" s="162"/>
      <c r="B158" s="71"/>
      <c r="C158" s="53"/>
      <c r="D158" s="53"/>
      <c r="E158" s="53"/>
      <c r="F158" s="53"/>
      <c r="G158" s="151"/>
      <c r="H158" s="53" t="s">
        <v>30</v>
      </c>
      <c r="I158" s="151"/>
      <c r="J158" s="364"/>
      <c r="K158" s="54">
        <f t="shared" si="4"/>
        <v>0</v>
      </c>
      <c r="L158" s="55" t="b">
        <v>0</v>
      </c>
      <c r="M158" s="56"/>
      <c r="N158" s="57" t="b">
        <v>0</v>
      </c>
      <c r="O158" s="296"/>
      <c r="P158" s="387"/>
      <c r="Q158" s="312" t="b">
        <v>0</v>
      </c>
      <c r="R158" s="49"/>
      <c r="S158" s="49"/>
      <c r="T158" s="57" t="b">
        <v>0</v>
      </c>
      <c r="U158" s="49"/>
      <c r="V158" s="307"/>
      <c r="W158" s="54"/>
    </row>
    <row r="159" spans="1:23" ht="16">
      <c r="A159" s="162"/>
      <c r="B159" s="71"/>
      <c r="C159" s="53"/>
      <c r="D159" s="53"/>
      <c r="E159" s="53"/>
      <c r="F159" s="53"/>
      <c r="G159" s="53"/>
      <c r="H159" s="53" t="s">
        <v>30</v>
      </c>
      <c r="I159" s="151"/>
      <c r="J159" s="364"/>
      <c r="K159" s="54">
        <f t="shared" si="4"/>
        <v>0</v>
      </c>
      <c r="L159" s="55" t="b">
        <v>0</v>
      </c>
      <c r="M159" s="56"/>
      <c r="N159" s="57" t="b">
        <v>0</v>
      </c>
      <c r="O159" s="296"/>
      <c r="P159" s="387"/>
      <c r="Q159" s="312" t="b">
        <v>0</v>
      </c>
      <c r="R159" s="49"/>
      <c r="S159" s="49"/>
      <c r="T159" s="57" t="b">
        <v>0</v>
      </c>
      <c r="U159" s="49"/>
      <c r="V159" s="307"/>
      <c r="W159" s="54"/>
    </row>
    <row r="160" spans="1:23" ht="16">
      <c r="A160" s="162"/>
      <c r="B160" s="71"/>
      <c r="C160" s="53"/>
      <c r="D160" s="53"/>
      <c r="E160" s="53"/>
      <c r="F160" s="53"/>
      <c r="G160" s="53"/>
      <c r="H160" s="53" t="s">
        <v>30</v>
      </c>
      <c r="I160" s="151"/>
      <c r="J160" s="364"/>
      <c r="K160" s="54">
        <f t="shared" si="4"/>
        <v>0</v>
      </c>
      <c r="L160" s="55" t="b">
        <v>0</v>
      </c>
      <c r="M160" s="56"/>
      <c r="N160" s="57" t="b">
        <v>0</v>
      </c>
      <c r="O160" s="296"/>
      <c r="P160" s="387"/>
      <c r="Q160" s="312" t="b">
        <v>0</v>
      </c>
      <c r="R160" s="49"/>
      <c r="S160" s="49"/>
      <c r="T160" s="57" t="b">
        <v>0</v>
      </c>
      <c r="U160" s="49"/>
      <c r="V160" s="307"/>
      <c r="W160" s="54"/>
    </row>
    <row r="161" spans="1:23" ht="16">
      <c r="A161" s="162"/>
      <c r="B161" s="71"/>
      <c r="C161" s="53"/>
      <c r="D161" s="53"/>
      <c r="E161" s="53"/>
      <c r="F161" s="53"/>
      <c r="G161" s="53"/>
      <c r="H161" s="53" t="s">
        <v>30</v>
      </c>
      <c r="I161" s="151"/>
      <c r="J161" s="364"/>
      <c r="K161" s="54">
        <f t="shared" si="4"/>
        <v>0</v>
      </c>
      <c r="L161" s="55" t="b">
        <v>0</v>
      </c>
      <c r="M161" s="56"/>
      <c r="N161" s="57" t="b">
        <v>0</v>
      </c>
      <c r="O161" s="296"/>
      <c r="P161" s="387"/>
      <c r="Q161" s="312" t="b">
        <v>0</v>
      </c>
      <c r="R161" s="49"/>
      <c r="S161" s="49"/>
      <c r="T161" s="57" t="b">
        <v>0</v>
      </c>
      <c r="U161" s="49"/>
      <c r="V161" s="307"/>
      <c r="W161" s="54"/>
    </row>
    <row r="162" spans="1:23" ht="16">
      <c r="A162" s="162"/>
      <c r="B162" s="71"/>
      <c r="C162" s="53"/>
      <c r="D162" s="53"/>
      <c r="E162" s="53"/>
      <c r="F162" s="53"/>
      <c r="G162" s="53"/>
      <c r="H162" s="53" t="s">
        <v>30</v>
      </c>
      <c r="I162" s="151"/>
      <c r="J162" s="364"/>
      <c r="K162" s="54">
        <f t="shared" si="4"/>
        <v>0</v>
      </c>
      <c r="L162" s="55" t="b">
        <v>0</v>
      </c>
      <c r="M162" s="56"/>
      <c r="N162" s="57" t="b">
        <v>0</v>
      </c>
      <c r="O162" s="296"/>
      <c r="P162" s="387"/>
      <c r="Q162" s="312" t="b">
        <v>0</v>
      </c>
      <c r="R162" s="49"/>
      <c r="S162" s="49"/>
      <c r="T162" s="57" t="b">
        <v>0</v>
      </c>
      <c r="U162" s="49"/>
      <c r="V162" s="307"/>
      <c r="W162" s="54"/>
    </row>
    <row r="163" spans="1:23" ht="16">
      <c r="A163" s="162"/>
      <c r="B163" s="71"/>
      <c r="C163" s="53"/>
      <c r="D163" s="53"/>
      <c r="E163" s="53"/>
      <c r="F163" s="53"/>
      <c r="G163" s="53"/>
      <c r="H163" s="53" t="s">
        <v>30</v>
      </c>
      <c r="I163" s="151"/>
      <c r="J163" s="364"/>
      <c r="K163" s="54">
        <f t="shared" si="4"/>
        <v>0</v>
      </c>
      <c r="L163" s="55" t="b">
        <v>0</v>
      </c>
      <c r="M163" s="56"/>
      <c r="N163" s="57" t="b">
        <v>0</v>
      </c>
      <c r="O163" s="296"/>
      <c r="P163" s="387"/>
      <c r="Q163" s="312" t="b">
        <v>0</v>
      </c>
      <c r="R163" s="49"/>
      <c r="S163" s="49"/>
      <c r="T163" s="57" t="b">
        <v>0</v>
      </c>
      <c r="U163" s="49"/>
      <c r="V163" s="307"/>
      <c r="W163" s="54"/>
    </row>
    <row r="164" spans="1:23" ht="16">
      <c r="A164" s="162"/>
      <c r="B164" s="71"/>
      <c r="C164" s="151"/>
      <c r="D164" s="151"/>
      <c r="E164" s="151"/>
      <c r="F164" s="151"/>
      <c r="G164" s="53"/>
      <c r="H164" s="53" t="s">
        <v>30</v>
      </c>
      <c r="I164" s="151"/>
      <c r="J164" s="364"/>
      <c r="K164" s="54">
        <f t="shared" si="4"/>
        <v>0</v>
      </c>
      <c r="L164" s="55" t="b">
        <v>0</v>
      </c>
      <c r="M164" s="56"/>
      <c r="N164" s="57" t="b">
        <v>0</v>
      </c>
      <c r="O164" s="296"/>
      <c r="P164" s="387"/>
      <c r="Q164" s="312" t="b">
        <v>0</v>
      </c>
      <c r="R164" s="49"/>
      <c r="S164" s="49"/>
      <c r="T164" s="57" t="b">
        <v>0</v>
      </c>
      <c r="U164" s="49"/>
      <c r="V164" s="307"/>
      <c r="W164" s="54"/>
    </row>
    <row r="165" spans="1:23" ht="16">
      <c r="A165" s="162"/>
      <c r="B165" s="71"/>
      <c r="C165" s="151"/>
      <c r="D165" s="151"/>
      <c r="E165" s="151"/>
      <c r="F165" s="151"/>
      <c r="G165" s="53"/>
      <c r="H165" s="53" t="s">
        <v>30</v>
      </c>
      <c r="I165" s="151"/>
      <c r="J165" s="364"/>
      <c r="K165" s="54">
        <f t="shared" si="4"/>
        <v>0</v>
      </c>
      <c r="L165" s="55" t="b">
        <v>0</v>
      </c>
      <c r="M165" s="56"/>
      <c r="N165" s="57" t="b">
        <v>0</v>
      </c>
      <c r="O165" s="296"/>
      <c r="P165" s="387"/>
      <c r="Q165" s="312" t="b">
        <v>0</v>
      </c>
      <c r="R165" s="49"/>
      <c r="S165" s="49"/>
      <c r="T165" s="57" t="b">
        <v>0</v>
      </c>
      <c r="U165" s="49"/>
      <c r="V165" s="307"/>
      <c r="W165" s="54"/>
    </row>
    <row r="166" spans="1:23" ht="16">
      <c r="A166" s="162"/>
      <c r="B166" s="71"/>
      <c r="C166" s="151"/>
      <c r="D166" s="151"/>
      <c r="E166" s="151"/>
      <c r="F166" s="151"/>
      <c r="G166" s="53"/>
      <c r="H166" s="53" t="s">
        <v>30</v>
      </c>
      <c r="I166" s="151"/>
      <c r="J166" s="364"/>
      <c r="K166" s="54">
        <f t="shared" si="4"/>
        <v>0</v>
      </c>
      <c r="L166" s="55" t="b">
        <v>0</v>
      </c>
      <c r="M166" s="56"/>
      <c r="N166" s="57" t="b">
        <v>0</v>
      </c>
      <c r="O166" s="296"/>
      <c r="P166" s="387"/>
      <c r="Q166" s="312" t="b">
        <v>0</v>
      </c>
      <c r="R166" s="49"/>
      <c r="S166" s="49"/>
      <c r="T166" s="57" t="b">
        <v>0</v>
      </c>
      <c r="U166" s="49"/>
      <c r="V166" s="307"/>
      <c r="W166" s="54"/>
    </row>
    <row r="167" spans="1:23" ht="16">
      <c r="A167" s="162"/>
      <c r="B167" s="71"/>
      <c r="C167" s="151"/>
      <c r="D167" s="151"/>
      <c r="E167" s="151"/>
      <c r="F167" s="151"/>
      <c r="G167" s="53"/>
      <c r="H167" s="53" t="s">
        <v>30</v>
      </c>
      <c r="I167" s="151"/>
      <c r="J167" s="364"/>
      <c r="K167" s="54">
        <f t="shared" si="4"/>
        <v>0</v>
      </c>
      <c r="L167" s="55" t="b">
        <v>0</v>
      </c>
      <c r="M167" s="56"/>
      <c r="N167" s="57" t="b">
        <v>0</v>
      </c>
      <c r="O167" s="296"/>
      <c r="P167" s="387"/>
      <c r="Q167" s="312" t="b">
        <v>0</v>
      </c>
      <c r="R167" s="49"/>
      <c r="S167" s="49"/>
      <c r="T167" s="57" t="b">
        <v>0</v>
      </c>
      <c r="U167" s="49"/>
      <c r="V167" s="307"/>
      <c r="W167" s="54"/>
    </row>
    <row r="168" spans="1:23" ht="16">
      <c r="A168" s="162"/>
      <c r="B168" s="71"/>
      <c r="C168" s="151"/>
      <c r="D168" s="151"/>
      <c r="E168" s="151"/>
      <c r="F168" s="151"/>
      <c r="G168" s="53"/>
      <c r="H168" s="53" t="s">
        <v>30</v>
      </c>
      <c r="I168" s="151"/>
      <c r="J168" s="364"/>
      <c r="K168" s="54">
        <f t="shared" si="4"/>
        <v>0</v>
      </c>
      <c r="L168" s="55" t="b">
        <v>0</v>
      </c>
      <c r="M168" s="56"/>
      <c r="N168" s="57" t="b">
        <v>0</v>
      </c>
      <c r="O168" s="296"/>
      <c r="P168" s="387"/>
      <c r="Q168" s="312" t="b">
        <v>0</v>
      </c>
      <c r="R168" s="49"/>
      <c r="S168" s="49"/>
      <c r="T168" s="57" t="b">
        <v>0</v>
      </c>
      <c r="U168" s="49"/>
      <c r="V168" s="307"/>
      <c r="W168" s="54"/>
    </row>
    <row r="169" spans="1:23" ht="16">
      <c r="A169" s="162"/>
      <c r="B169" s="71"/>
      <c r="C169" s="53"/>
      <c r="D169" s="53"/>
      <c r="E169" s="53"/>
      <c r="F169" s="53"/>
      <c r="G169" s="53"/>
      <c r="H169" s="53" t="s">
        <v>30</v>
      </c>
      <c r="I169" s="151"/>
      <c r="J169" s="364"/>
      <c r="K169" s="54">
        <f t="shared" ref="K169:K202" si="5">I169*J169</f>
        <v>0</v>
      </c>
      <c r="L169" s="55" t="b">
        <v>0</v>
      </c>
      <c r="M169" s="56"/>
      <c r="N169" s="57" t="b">
        <v>0</v>
      </c>
      <c r="O169" s="296"/>
      <c r="P169" s="387"/>
      <c r="Q169" s="312" t="b">
        <v>0</v>
      </c>
      <c r="R169" s="49"/>
      <c r="S169" s="49"/>
      <c r="T169" s="57" t="b">
        <v>0</v>
      </c>
      <c r="U169" s="49"/>
      <c r="V169" s="307"/>
      <c r="W169" s="54"/>
    </row>
    <row r="170" spans="1:23" ht="14.25" customHeight="1">
      <c r="A170" s="162"/>
      <c r="B170" s="71"/>
      <c r="C170" s="53"/>
      <c r="D170" s="53"/>
      <c r="E170" s="53"/>
      <c r="F170" s="53"/>
      <c r="G170" s="53"/>
      <c r="H170" s="53" t="s">
        <v>30</v>
      </c>
      <c r="I170" s="151"/>
      <c r="J170" s="364"/>
      <c r="K170" s="54">
        <f t="shared" si="5"/>
        <v>0</v>
      </c>
      <c r="L170" s="55" t="b">
        <v>0</v>
      </c>
      <c r="M170" s="56"/>
      <c r="N170" s="57" t="b">
        <v>0</v>
      </c>
      <c r="O170" s="296"/>
      <c r="P170" s="387"/>
      <c r="Q170" s="312" t="b">
        <v>0</v>
      </c>
      <c r="R170" s="49"/>
      <c r="S170" s="49"/>
      <c r="T170" s="57" t="b">
        <v>0</v>
      </c>
      <c r="U170" s="49"/>
      <c r="V170" s="307"/>
      <c r="W170" s="54"/>
    </row>
    <row r="171" spans="1:23" ht="16">
      <c r="A171" s="162"/>
      <c r="B171" s="71"/>
      <c r="C171" s="53"/>
      <c r="D171" s="53"/>
      <c r="E171" s="53"/>
      <c r="F171" s="53"/>
      <c r="G171" s="151"/>
      <c r="H171" s="53" t="s">
        <v>30</v>
      </c>
      <c r="I171" s="151"/>
      <c r="J171" s="364"/>
      <c r="K171" s="54">
        <f t="shared" si="5"/>
        <v>0</v>
      </c>
      <c r="L171" s="55" t="b">
        <v>0</v>
      </c>
      <c r="M171" s="56"/>
      <c r="N171" s="57" t="b">
        <v>0</v>
      </c>
      <c r="O171" s="296"/>
      <c r="P171" s="387"/>
      <c r="Q171" s="312" t="b">
        <v>0</v>
      </c>
      <c r="R171" s="49"/>
      <c r="S171" s="49"/>
      <c r="T171" s="57" t="b">
        <v>0</v>
      </c>
      <c r="U171" s="49"/>
      <c r="V171" s="307"/>
      <c r="W171" s="54"/>
    </row>
    <row r="172" spans="1:23" ht="16">
      <c r="A172" s="162"/>
      <c r="B172" s="71"/>
      <c r="C172" s="53"/>
      <c r="D172" s="53"/>
      <c r="E172" s="53"/>
      <c r="F172" s="53"/>
      <c r="G172" s="53"/>
      <c r="H172" s="53" t="s">
        <v>30</v>
      </c>
      <c r="I172" s="151"/>
      <c r="J172" s="364"/>
      <c r="K172" s="54">
        <f t="shared" si="5"/>
        <v>0</v>
      </c>
      <c r="L172" s="55" t="b">
        <v>0</v>
      </c>
      <c r="M172" s="56"/>
      <c r="N172" s="57" t="b">
        <v>0</v>
      </c>
      <c r="O172" s="296"/>
      <c r="P172" s="387"/>
      <c r="Q172" s="312" t="b">
        <v>0</v>
      </c>
      <c r="R172" s="49"/>
      <c r="S172" s="49"/>
      <c r="T172" s="57" t="b">
        <v>0</v>
      </c>
      <c r="U172" s="49"/>
      <c r="V172" s="307"/>
      <c r="W172" s="54"/>
    </row>
    <row r="173" spans="1:23" ht="16">
      <c r="A173" s="162"/>
      <c r="B173" s="71"/>
      <c r="C173" s="151"/>
      <c r="D173" s="53"/>
      <c r="E173" s="53"/>
      <c r="F173" s="53"/>
      <c r="G173" s="53"/>
      <c r="H173" s="53" t="s">
        <v>30</v>
      </c>
      <c r="I173" s="151"/>
      <c r="J173" s="364"/>
      <c r="K173" s="54">
        <f t="shared" si="5"/>
        <v>0</v>
      </c>
      <c r="L173" s="55" t="b">
        <v>0</v>
      </c>
      <c r="M173" s="56"/>
      <c r="N173" s="57" t="b">
        <v>0</v>
      </c>
      <c r="O173" s="296"/>
      <c r="P173" s="387"/>
      <c r="Q173" s="312" t="b">
        <v>0</v>
      </c>
      <c r="R173" s="49"/>
      <c r="S173" s="49"/>
      <c r="T173" s="57" t="b">
        <v>0</v>
      </c>
      <c r="U173" s="49"/>
      <c r="V173" s="307"/>
      <c r="W173" s="54"/>
    </row>
    <row r="174" spans="1:23" ht="16">
      <c r="A174" s="162"/>
      <c r="B174" s="71"/>
      <c r="C174" s="151"/>
      <c r="D174" s="53"/>
      <c r="E174" s="53"/>
      <c r="F174" s="53"/>
      <c r="G174" s="53"/>
      <c r="H174" s="53" t="s">
        <v>30</v>
      </c>
      <c r="I174" s="151"/>
      <c r="J174" s="364"/>
      <c r="K174" s="54">
        <f t="shared" si="5"/>
        <v>0</v>
      </c>
      <c r="L174" s="55" t="b">
        <v>0</v>
      </c>
      <c r="M174" s="56"/>
      <c r="N174" s="57" t="b">
        <v>0</v>
      </c>
      <c r="O174" s="296"/>
      <c r="P174" s="387"/>
      <c r="Q174" s="312" t="b">
        <v>0</v>
      </c>
      <c r="R174" s="49"/>
      <c r="S174" s="49"/>
      <c r="T174" s="57" t="b">
        <v>0</v>
      </c>
      <c r="U174" s="49"/>
      <c r="V174" s="307"/>
      <c r="W174" s="54"/>
    </row>
    <row r="175" spans="1:23" ht="16">
      <c r="A175" s="162"/>
      <c r="B175" s="71"/>
      <c r="C175" s="53"/>
      <c r="D175" s="53"/>
      <c r="E175" s="53"/>
      <c r="F175" s="53"/>
      <c r="G175" s="53"/>
      <c r="H175" s="53" t="s">
        <v>30</v>
      </c>
      <c r="I175" s="151"/>
      <c r="J175" s="364"/>
      <c r="K175" s="54">
        <f t="shared" si="5"/>
        <v>0</v>
      </c>
      <c r="L175" s="55" t="b">
        <v>0</v>
      </c>
      <c r="M175" s="56"/>
      <c r="N175" s="57" t="b">
        <v>0</v>
      </c>
      <c r="O175" s="296"/>
      <c r="P175" s="387"/>
      <c r="Q175" s="312" t="b">
        <v>0</v>
      </c>
      <c r="R175" s="49"/>
      <c r="S175" s="49"/>
      <c r="T175" s="57" t="b">
        <v>0</v>
      </c>
      <c r="U175" s="49"/>
      <c r="V175" s="307"/>
      <c r="W175" s="54"/>
    </row>
    <row r="176" spans="1:23" ht="16">
      <c r="A176" s="162"/>
      <c r="B176" s="71"/>
      <c r="C176" s="53"/>
      <c r="D176" s="53"/>
      <c r="E176" s="53"/>
      <c r="F176" s="53"/>
      <c r="G176" s="53"/>
      <c r="H176" s="53" t="s">
        <v>30</v>
      </c>
      <c r="I176" s="151"/>
      <c r="J176" s="364"/>
      <c r="K176" s="54">
        <f t="shared" si="5"/>
        <v>0</v>
      </c>
      <c r="L176" s="55" t="b">
        <v>0</v>
      </c>
      <c r="M176" s="56"/>
      <c r="N176" s="57" t="b">
        <v>0</v>
      </c>
      <c r="O176" s="296"/>
      <c r="P176" s="387"/>
      <c r="Q176" s="312" t="b">
        <v>0</v>
      </c>
      <c r="R176" s="49"/>
      <c r="S176" s="49"/>
      <c r="T176" s="57" t="b">
        <v>0</v>
      </c>
      <c r="U176" s="49"/>
      <c r="V176" s="307"/>
      <c r="W176" s="54"/>
    </row>
    <row r="177" spans="1:23" ht="16">
      <c r="A177" s="162"/>
      <c r="B177" s="71"/>
      <c r="C177" s="53"/>
      <c r="D177" s="53"/>
      <c r="E177" s="53"/>
      <c r="F177" s="53"/>
      <c r="G177" s="53"/>
      <c r="H177" s="53" t="s">
        <v>30</v>
      </c>
      <c r="I177" s="151"/>
      <c r="J177" s="364"/>
      <c r="K177" s="54">
        <f t="shared" si="5"/>
        <v>0</v>
      </c>
      <c r="L177" s="55" t="b">
        <v>0</v>
      </c>
      <c r="M177" s="56"/>
      <c r="N177" s="57" t="b">
        <v>0</v>
      </c>
      <c r="O177" s="296"/>
      <c r="P177" s="387"/>
      <c r="Q177" s="312" t="b">
        <v>0</v>
      </c>
      <c r="R177" s="49"/>
      <c r="S177" s="49"/>
      <c r="T177" s="57" t="b">
        <v>0</v>
      </c>
      <c r="U177" s="49"/>
      <c r="V177" s="307"/>
      <c r="W177" s="54"/>
    </row>
    <row r="178" spans="1:23" ht="16">
      <c r="A178" s="162"/>
      <c r="B178" s="71"/>
      <c r="C178" s="53"/>
      <c r="D178" s="53"/>
      <c r="E178" s="53"/>
      <c r="F178" s="53"/>
      <c r="G178" s="53"/>
      <c r="H178" s="53" t="s">
        <v>30</v>
      </c>
      <c r="I178" s="151"/>
      <c r="J178" s="364"/>
      <c r="K178" s="54">
        <f t="shared" si="5"/>
        <v>0</v>
      </c>
      <c r="L178" s="55" t="b">
        <v>0</v>
      </c>
      <c r="M178" s="56"/>
      <c r="N178" s="57" t="b">
        <v>0</v>
      </c>
      <c r="O178" s="296"/>
      <c r="P178" s="387"/>
      <c r="Q178" s="312" t="b">
        <v>0</v>
      </c>
      <c r="R178" s="49"/>
      <c r="S178" s="49"/>
      <c r="T178" s="57" t="b">
        <v>0</v>
      </c>
      <c r="U178" s="49"/>
      <c r="V178" s="307"/>
      <c r="W178" s="54"/>
    </row>
    <row r="179" spans="1:23" ht="16">
      <c r="A179" s="162"/>
      <c r="B179" s="71"/>
      <c r="C179" s="53"/>
      <c r="D179" s="53"/>
      <c r="E179" s="53"/>
      <c r="F179" s="53"/>
      <c r="G179" s="53"/>
      <c r="H179" s="53" t="s">
        <v>30</v>
      </c>
      <c r="I179" s="151"/>
      <c r="J179" s="364"/>
      <c r="K179" s="54">
        <f t="shared" si="5"/>
        <v>0</v>
      </c>
      <c r="L179" s="55" t="b">
        <v>0</v>
      </c>
      <c r="M179" s="56"/>
      <c r="N179" s="57" t="b">
        <v>0</v>
      </c>
      <c r="O179" s="296"/>
      <c r="P179" s="387"/>
      <c r="Q179" s="312" t="b">
        <v>0</v>
      </c>
      <c r="R179" s="49"/>
      <c r="S179" s="49"/>
      <c r="T179" s="57" t="b">
        <v>0</v>
      </c>
      <c r="U179" s="49"/>
      <c r="V179" s="307"/>
      <c r="W179" s="54"/>
    </row>
    <row r="180" spans="1:23" ht="16">
      <c r="A180" s="162"/>
      <c r="B180" s="71"/>
      <c r="C180" s="53"/>
      <c r="D180" s="53"/>
      <c r="E180" s="53"/>
      <c r="F180" s="53"/>
      <c r="G180" s="53"/>
      <c r="H180" s="53" t="s">
        <v>30</v>
      </c>
      <c r="I180" s="151"/>
      <c r="J180" s="364"/>
      <c r="K180" s="54">
        <f t="shared" si="5"/>
        <v>0</v>
      </c>
      <c r="L180" s="55" t="b">
        <v>0</v>
      </c>
      <c r="M180" s="56"/>
      <c r="N180" s="57" t="b">
        <v>0</v>
      </c>
      <c r="O180" s="296"/>
      <c r="P180" s="387"/>
      <c r="Q180" s="312" t="b">
        <v>0</v>
      </c>
      <c r="R180" s="49"/>
      <c r="S180" s="49"/>
      <c r="T180" s="57" t="b">
        <v>0</v>
      </c>
      <c r="U180" s="49"/>
      <c r="V180" s="307"/>
      <c r="W180" s="54"/>
    </row>
    <row r="181" spans="1:23" ht="16">
      <c r="A181" s="162"/>
      <c r="B181" s="71"/>
      <c r="C181" s="53"/>
      <c r="D181" s="53"/>
      <c r="E181" s="53"/>
      <c r="F181" s="53"/>
      <c r="G181" s="53"/>
      <c r="H181" s="53" t="s">
        <v>30</v>
      </c>
      <c r="I181" s="151"/>
      <c r="J181" s="364"/>
      <c r="K181" s="54">
        <f t="shared" si="5"/>
        <v>0</v>
      </c>
      <c r="L181" s="55" t="b">
        <v>0</v>
      </c>
      <c r="M181" s="56"/>
      <c r="N181" s="57" t="b">
        <v>0</v>
      </c>
      <c r="O181" s="296"/>
      <c r="P181" s="387"/>
      <c r="Q181" s="312" t="b">
        <v>0</v>
      </c>
      <c r="R181" s="49"/>
      <c r="S181" s="49"/>
      <c r="T181" s="57" t="b">
        <v>0</v>
      </c>
      <c r="U181" s="49"/>
      <c r="V181" s="307"/>
      <c r="W181" s="54"/>
    </row>
    <row r="182" spans="1:23" ht="16">
      <c r="A182" s="162"/>
      <c r="B182" s="71"/>
      <c r="C182" s="53"/>
      <c r="D182" s="53"/>
      <c r="E182" s="53"/>
      <c r="F182" s="53"/>
      <c r="G182" s="53"/>
      <c r="H182" s="53" t="s">
        <v>30</v>
      </c>
      <c r="I182" s="151"/>
      <c r="J182" s="364"/>
      <c r="K182" s="54">
        <f t="shared" si="5"/>
        <v>0</v>
      </c>
      <c r="L182" s="55" t="b">
        <v>0</v>
      </c>
      <c r="M182" s="56"/>
      <c r="N182" s="57" t="b">
        <v>0</v>
      </c>
      <c r="O182" s="296"/>
      <c r="P182" s="387"/>
      <c r="Q182" s="312" t="b">
        <v>0</v>
      </c>
      <c r="R182" s="49"/>
      <c r="S182" s="49"/>
      <c r="T182" s="57" t="b">
        <v>0</v>
      </c>
      <c r="U182" s="49"/>
      <c r="V182" s="307"/>
      <c r="W182" s="54"/>
    </row>
    <row r="183" spans="1:23" ht="16">
      <c r="A183" s="162"/>
      <c r="B183" s="71"/>
      <c r="C183" s="53"/>
      <c r="D183" s="53"/>
      <c r="E183" s="53"/>
      <c r="F183" s="53"/>
      <c r="G183" s="53"/>
      <c r="H183" s="53" t="s">
        <v>30</v>
      </c>
      <c r="I183" s="151"/>
      <c r="J183" s="364"/>
      <c r="K183" s="54">
        <f t="shared" si="5"/>
        <v>0</v>
      </c>
      <c r="L183" s="55" t="b">
        <v>0</v>
      </c>
      <c r="M183" s="56"/>
      <c r="N183" s="57" t="b">
        <v>0</v>
      </c>
      <c r="O183" s="296"/>
      <c r="P183" s="387"/>
      <c r="Q183" s="312" t="b">
        <v>0</v>
      </c>
      <c r="R183" s="49"/>
      <c r="S183" s="49"/>
      <c r="T183" s="57" t="b">
        <v>0</v>
      </c>
      <c r="U183" s="49"/>
      <c r="V183" s="307"/>
      <c r="W183" s="54"/>
    </row>
    <row r="184" spans="1:23" ht="16">
      <c r="A184" s="162"/>
      <c r="B184" s="71"/>
      <c r="C184" s="53"/>
      <c r="D184" s="53"/>
      <c r="E184" s="53"/>
      <c r="F184" s="53"/>
      <c r="G184" s="53"/>
      <c r="H184" s="53" t="s">
        <v>30</v>
      </c>
      <c r="I184" s="151"/>
      <c r="J184" s="364"/>
      <c r="K184" s="54">
        <f t="shared" si="5"/>
        <v>0</v>
      </c>
      <c r="L184" s="55" t="b">
        <v>0</v>
      </c>
      <c r="M184" s="56"/>
      <c r="N184" s="57" t="b">
        <v>0</v>
      </c>
      <c r="O184" s="296"/>
      <c r="P184" s="387"/>
      <c r="Q184" s="312" t="b">
        <v>0</v>
      </c>
      <c r="R184" s="49"/>
      <c r="S184" s="49"/>
      <c r="T184" s="57" t="b">
        <v>0</v>
      </c>
      <c r="U184" s="49"/>
      <c r="V184" s="307"/>
      <c r="W184" s="54"/>
    </row>
    <row r="185" spans="1:23" ht="16">
      <c r="A185" s="162"/>
      <c r="B185" s="71"/>
      <c r="C185" s="53"/>
      <c r="D185" s="53"/>
      <c r="E185" s="53"/>
      <c r="F185" s="53"/>
      <c r="G185" s="53"/>
      <c r="H185" s="53" t="s">
        <v>30</v>
      </c>
      <c r="I185" s="151"/>
      <c r="J185" s="364"/>
      <c r="K185" s="54">
        <f t="shared" si="5"/>
        <v>0</v>
      </c>
      <c r="L185" s="55" t="b">
        <v>0</v>
      </c>
      <c r="M185" s="56"/>
      <c r="N185" s="57" t="b">
        <v>0</v>
      </c>
      <c r="O185" s="296"/>
      <c r="P185" s="387"/>
      <c r="Q185" s="312" t="b">
        <v>0</v>
      </c>
      <c r="R185" s="49"/>
      <c r="S185" s="49"/>
      <c r="T185" s="57" t="b">
        <v>0</v>
      </c>
      <c r="U185" s="49"/>
      <c r="V185" s="307"/>
      <c r="W185" s="54"/>
    </row>
    <row r="186" spans="1:23" ht="16">
      <c r="A186" s="162"/>
      <c r="B186" s="132"/>
      <c r="C186" s="53"/>
      <c r="D186" s="53"/>
      <c r="E186" s="53"/>
      <c r="F186" s="53"/>
      <c r="G186" s="53"/>
      <c r="H186" s="53" t="s">
        <v>30</v>
      </c>
      <c r="I186" s="151"/>
      <c r="J186" s="364"/>
      <c r="K186" s="54">
        <f t="shared" si="5"/>
        <v>0</v>
      </c>
      <c r="L186" s="55" t="b">
        <v>0</v>
      </c>
      <c r="M186" s="56"/>
      <c r="N186" s="57" t="b">
        <v>0</v>
      </c>
      <c r="O186" s="296"/>
      <c r="P186" s="387"/>
      <c r="Q186" s="312" t="b">
        <v>0</v>
      </c>
      <c r="R186" s="49"/>
      <c r="S186" s="49"/>
      <c r="T186" s="57" t="b">
        <v>0</v>
      </c>
      <c r="U186" s="49"/>
      <c r="V186" s="307"/>
      <c r="W186" s="54"/>
    </row>
    <row r="187" spans="1:23" ht="16">
      <c r="A187" s="162"/>
      <c r="B187" s="132"/>
      <c r="C187" s="53"/>
      <c r="D187" s="53"/>
      <c r="E187" s="53"/>
      <c r="F187" s="53"/>
      <c r="G187" s="53"/>
      <c r="H187" s="53" t="s">
        <v>30</v>
      </c>
      <c r="I187" s="151"/>
      <c r="J187" s="364"/>
      <c r="K187" s="54">
        <f t="shared" si="5"/>
        <v>0</v>
      </c>
      <c r="L187" s="55" t="b">
        <v>0</v>
      </c>
      <c r="M187" s="56"/>
      <c r="N187" s="57" t="b">
        <v>0</v>
      </c>
      <c r="O187" s="296"/>
      <c r="P187" s="387"/>
      <c r="Q187" s="312" t="b">
        <v>0</v>
      </c>
      <c r="R187" s="49"/>
      <c r="S187" s="49"/>
      <c r="T187" s="57" t="b">
        <v>0</v>
      </c>
      <c r="U187" s="49"/>
      <c r="V187" s="307"/>
      <c r="W187" s="54"/>
    </row>
    <row r="188" spans="1:23" ht="16">
      <c r="A188" s="162"/>
      <c r="B188" s="132"/>
      <c r="C188" s="53"/>
      <c r="D188" s="53"/>
      <c r="E188" s="53"/>
      <c r="F188" s="53"/>
      <c r="G188" s="53"/>
      <c r="H188" s="53" t="s">
        <v>30</v>
      </c>
      <c r="I188" s="151"/>
      <c r="J188" s="364"/>
      <c r="K188" s="54">
        <f t="shared" si="5"/>
        <v>0</v>
      </c>
      <c r="L188" s="55" t="b">
        <v>0</v>
      </c>
      <c r="M188" s="56"/>
      <c r="N188" s="57" t="b">
        <v>0</v>
      </c>
      <c r="O188" s="296"/>
      <c r="P188" s="387"/>
      <c r="Q188" s="312" t="b">
        <v>0</v>
      </c>
      <c r="R188" s="49"/>
      <c r="S188" s="49"/>
      <c r="T188" s="57" t="b">
        <v>0</v>
      </c>
      <c r="U188" s="49"/>
      <c r="V188" s="307"/>
      <c r="W188" s="54"/>
    </row>
    <row r="189" spans="1:23" ht="16">
      <c r="A189" s="162"/>
      <c r="B189" s="132"/>
      <c r="C189" s="53"/>
      <c r="D189" s="53"/>
      <c r="E189" s="53"/>
      <c r="F189" s="53"/>
      <c r="G189" s="53"/>
      <c r="H189" s="53" t="s">
        <v>30</v>
      </c>
      <c r="I189" s="151"/>
      <c r="J189" s="364"/>
      <c r="K189" s="54">
        <f t="shared" si="5"/>
        <v>0</v>
      </c>
      <c r="L189" s="55" t="b">
        <v>0</v>
      </c>
      <c r="M189" s="56"/>
      <c r="N189" s="57" t="b">
        <v>0</v>
      </c>
      <c r="O189" s="296"/>
      <c r="P189" s="387"/>
      <c r="Q189" s="312" t="b">
        <v>0</v>
      </c>
      <c r="R189" s="49"/>
      <c r="S189" s="49"/>
      <c r="T189" s="57" t="b">
        <v>0</v>
      </c>
      <c r="U189" s="49"/>
      <c r="V189" s="307"/>
      <c r="W189" s="54"/>
    </row>
    <row r="190" spans="1:23" ht="16">
      <c r="A190" s="162"/>
      <c r="B190" s="132"/>
      <c r="C190" s="53"/>
      <c r="D190" s="53"/>
      <c r="E190" s="53"/>
      <c r="F190" s="53"/>
      <c r="G190" s="53"/>
      <c r="H190" s="53" t="s">
        <v>30</v>
      </c>
      <c r="I190" s="151"/>
      <c r="J190" s="364"/>
      <c r="K190" s="54">
        <f t="shared" si="5"/>
        <v>0</v>
      </c>
      <c r="L190" s="55" t="b">
        <v>0</v>
      </c>
      <c r="M190" s="56"/>
      <c r="N190" s="57" t="b">
        <v>0</v>
      </c>
      <c r="O190" s="296"/>
      <c r="P190" s="387"/>
      <c r="Q190" s="312" t="b">
        <v>0</v>
      </c>
      <c r="R190" s="49"/>
      <c r="S190" s="49"/>
      <c r="T190" s="57" t="b">
        <v>0</v>
      </c>
      <c r="U190" s="49"/>
      <c r="V190" s="307"/>
      <c r="W190" s="54"/>
    </row>
    <row r="191" spans="1:23" ht="16">
      <c r="A191" s="162"/>
      <c r="B191" s="132"/>
      <c r="C191" s="53"/>
      <c r="D191" s="53"/>
      <c r="E191" s="53"/>
      <c r="F191" s="53"/>
      <c r="G191" s="53"/>
      <c r="H191" s="53" t="s">
        <v>30</v>
      </c>
      <c r="I191" s="151"/>
      <c r="J191" s="364"/>
      <c r="K191" s="54">
        <f t="shared" si="5"/>
        <v>0</v>
      </c>
      <c r="L191" s="55" t="b">
        <v>0</v>
      </c>
      <c r="M191" s="56"/>
      <c r="N191" s="57" t="b">
        <v>0</v>
      </c>
      <c r="O191" s="296"/>
      <c r="P191" s="387"/>
      <c r="Q191" s="312" t="b">
        <v>0</v>
      </c>
      <c r="R191" s="49"/>
      <c r="S191" s="49"/>
      <c r="T191" s="57" t="b">
        <v>0</v>
      </c>
      <c r="U191" s="49"/>
      <c r="V191" s="307"/>
      <c r="W191" s="54"/>
    </row>
    <row r="192" spans="1:23" ht="16">
      <c r="A192" s="162"/>
      <c r="B192" s="132"/>
      <c r="C192" s="53"/>
      <c r="D192" s="53"/>
      <c r="E192" s="53"/>
      <c r="F192" s="53"/>
      <c r="G192" s="53"/>
      <c r="H192" s="53" t="s">
        <v>30</v>
      </c>
      <c r="I192" s="151"/>
      <c r="J192" s="364"/>
      <c r="K192" s="54">
        <f t="shared" si="5"/>
        <v>0</v>
      </c>
      <c r="L192" s="55" t="b">
        <v>0</v>
      </c>
      <c r="M192" s="56"/>
      <c r="N192" s="57" t="b">
        <v>0</v>
      </c>
      <c r="O192" s="296"/>
      <c r="P192" s="387"/>
      <c r="Q192" s="312" t="b">
        <v>0</v>
      </c>
      <c r="R192" s="49"/>
      <c r="S192" s="49"/>
      <c r="T192" s="57" t="b">
        <v>0</v>
      </c>
      <c r="U192" s="49"/>
      <c r="V192" s="307"/>
      <c r="W192" s="54"/>
    </row>
    <row r="193" spans="1:23" ht="16">
      <c r="A193" s="162"/>
      <c r="B193" s="132"/>
      <c r="C193" s="53"/>
      <c r="D193" s="53"/>
      <c r="E193" s="53"/>
      <c r="F193" s="53"/>
      <c r="G193" s="53"/>
      <c r="H193" s="53" t="s">
        <v>30</v>
      </c>
      <c r="I193" s="151"/>
      <c r="J193" s="364"/>
      <c r="K193" s="54">
        <f t="shared" si="5"/>
        <v>0</v>
      </c>
      <c r="L193" s="55" t="b">
        <v>0</v>
      </c>
      <c r="M193" s="56"/>
      <c r="N193" s="57" t="b">
        <v>0</v>
      </c>
      <c r="O193" s="296"/>
      <c r="P193" s="387"/>
      <c r="Q193" s="312" t="b">
        <v>0</v>
      </c>
      <c r="R193" s="49"/>
      <c r="S193" s="49"/>
      <c r="T193" s="57" t="b">
        <v>0</v>
      </c>
      <c r="U193" s="49"/>
      <c r="V193" s="307"/>
      <c r="W193" s="54"/>
    </row>
    <row r="194" spans="1:23" ht="16">
      <c r="A194" s="162"/>
      <c r="B194" s="132"/>
      <c r="C194" s="53"/>
      <c r="D194" s="53"/>
      <c r="E194" s="53"/>
      <c r="F194" s="53"/>
      <c r="G194" s="53"/>
      <c r="H194" s="53" t="s">
        <v>30</v>
      </c>
      <c r="I194" s="151"/>
      <c r="J194" s="364"/>
      <c r="K194" s="54">
        <f t="shared" si="5"/>
        <v>0</v>
      </c>
      <c r="L194" s="55" t="b">
        <v>0</v>
      </c>
      <c r="M194" s="56"/>
      <c r="N194" s="57" t="b">
        <v>0</v>
      </c>
      <c r="O194" s="296"/>
      <c r="P194" s="387"/>
      <c r="Q194" s="312" t="b">
        <v>0</v>
      </c>
      <c r="R194" s="49"/>
      <c r="S194" s="49"/>
      <c r="T194" s="57" t="b">
        <v>0</v>
      </c>
      <c r="U194" s="49"/>
      <c r="V194" s="307"/>
      <c r="W194" s="54"/>
    </row>
    <row r="195" spans="1:23" ht="16">
      <c r="A195" s="162"/>
      <c r="B195" s="132"/>
      <c r="C195" s="53"/>
      <c r="D195" s="53"/>
      <c r="E195" s="53"/>
      <c r="F195" s="53"/>
      <c r="G195" s="53"/>
      <c r="H195" s="53" t="s">
        <v>30</v>
      </c>
      <c r="I195" s="151"/>
      <c r="J195" s="364"/>
      <c r="K195" s="54">
        <f t="shared" si="5"/>
        <v>0</v>
      </c>
      <c r="L195" s="55" t="b">
        <v>0</v>
      </c>
      <c r="M195" s="56"/>
      <c r="N195" s="57" t="b">
        <v>0</v>
      </c>
      <c r="O195" s="296"/>
      <c r="P195" s="387"/>
      <c r="Q195" s="312" t="b">
        <v>0</v>
      </c>
      <c r="R195" s="49"/>
      <c r="S195" s="49"/>
      <c r="T195" s="57" t="b">
        <v>0</v>
      </c>
      <c r="U195" s="49"/>
      <c r="V195" s="307"/>
      <c r="W195" s="54"/>
    </row>
    <row r="196" spans="1:23" ht="16">
      <c r="A196" s="162"/>
      <c r="B196" s="132"/>
      <c r="C196" s="53"/>
      <c r="D196" s="53"/>
      <c r="E196" s="53"/>
      <c r="F196" s="53"/>
      <c r="G196" s="53"/>
      <c r="H196" s="53" t="s">
        <v>30</v>
      </c>
      <c r="I196" s="151"/>
      <c r="J196" s="364"/>
      <c r="K196" s="54">
        <f t="shared" si="5"/>
        <v>0</v>
      </c>
      <c r="L196" s="55" t="b">
        <v>0</v>
      </c>
      <c r="M196" s="56"/>
      <c r="N196" s="57" t="b">
        <v>0</v>
      </c>
      <c r="O196" s="296"/>
      <c r="P196" s="387"/>
      <c r="Q196" s="312" t="b">
        <v>0</v>
      </c>
      <c r="R196" s="49"/>
      <c r="S196" s="49"/>
      <c r="T196" s="57" t="b">
        <v>0</v>
      </c>
      <c r="U196" s="49"/>
      <c r="V196" s="307"/>
      <c r="W196" s="54"/>
    </row>
    <row r="197" spans="1:23" ht="16">
      <c r="A197" s="162"/>
      <c r="B197" s="132"/>
      <c r="C197" s="53"/>
      <c r="D197" s="53"/>
      <c r="E197" s="53"/>
      <c r="F197" s="53"/>
      <c r="G197" s="53"/>
      <c r="H197" s="53" t="s">
        <v>30</v>
      </c>
      <c r="I197" s="151"/>
      <c r="J197" s="364"/>
      <c r="K197" s="54">
        <f t="shared" si="5"/>
        <v>0</v>
      </c>
      <c r="L197" s="55" t="b">
        <v>0</v>
      </c>
      <c r="M197" s="56"/>
      <c r="N197" s="57" t="b">
        <v>0</v>
      </c>
      <c r="O197" s="296"/>
      <c r="P197" s="387"/>
      <c r="Q197" s="312" t="b">
        <v>0</v>
      </c>
      <c r="R197" s="49"/>
      <c r="S197" s="49"/>
      <c r="T197" s="57" t="b">
        <v>0</v>
      </c>
      <c r="U197" s="49"/>
      <c r="V197" s="307"/>
      <c r="W197" s="54"/>
    </row>
    <row r="198" spans="1:23" ht="16">
      <c r="A198" s="162"/>
      <c r="B198" s="132"/>
      <c r="C198" s="53"/>
      <c r="D198" s="53"/>
      <c r="E198" s="53"/>
      <c r="F198" s="53"/>
      <c r="G198" s="53"/>
      <c r="H198" s="53" t="s">
        <v>30</v>
      </c>
      <c r="I198" s="151"/>
      <c r="J198" s="364"/>
      <c r="K198" s="54">
        <f t="shared" si="5"/>
        <v>0</v>
      </c>
      <c r="L198" s="55" t="b">
        <v>0</v>
      </c>
      <c r="M198" s="56"/>
      <c r="N198" s="57" t="b">
        <v>0</v>
      </c>
      <c r="O198" s="296"/>
      <c r="P198" s="387"/>
      <c r="Q198" s="312" t="b">
        <v>0</v>
      </c>
      <c r="R198" s="49"/>
      <c r="S198" s="49"/>
      <c r="T198" s="57" t="b">
        <v>0</v>
      </c>
      <c r="U198" s="49"/>
      <c r="V198" s="307"/>
      <c r="W198" s="54"/>
    </row>
    <row r="199" spans="1:23" ht="16">
      <c r="A199" s="162"/>
      <c r="B199" s="132"/>
      <c r="C199" s="53"/>
      <c r="D199" s="53"/>
      <c r="E199" s="53"/>
      <c r="F199" s="53"/>
      <c r="G199" s="53"/>
      <c r="H199" s="53" t="s">
        <v>30</v>
      </c>
      <c r="I199" s="151"/>
      <c r="J199" s="364"/>
      <c r="K199" s="54">
        <f t="shared" si="5"/>
        <v>0</v>
      </c>
      <c r="L199" s="55" t="b">
        <v>0</v>
      </c>
      <c r="M199" s="56"/>
      <c r="N199" s="57" t="b">
        <v>0</v>
      </c>
      <c r="O199" s="296"/>
      <c r="P199" s="387"/>
      <c r="Q199" s="312" t="b">
        <v>0</v>
      </c>
      <c r="R199" s="49"/>
      <c r="S199" s="49"/>
      <c r="T199" s="57" t="b">
        <v>0</v>
      </c>
      <c r="U199" s="49"/>
      <c r="V199" s="307"/>
      <c r="W199" s="54"/>
    </row>
    <row r="200" spans="1:23" ht="16">
      <c r="A200" s="162"/>
      <c r="B200" s="132"/>
      <c r="C200" s="53"/>
      <c r="D200" s="53"/>
      <c r="E200" s="53"/>
      <c r="F200" s="53"/>
      <c r="G200" s="53"/>
      <c r="H200" s="53" t="s">
        <v>30</v>
      </c>
      <c r="I200" s="151"/>
      <c r="J200" s="364"/>
      <c r="K200" s="54">
        <f t="shared" si="5"/>
        <v>0</v>
      </c>
      <c r="L200" s="55" t="b">
        <v>0</v>
      </c>
      <c r="M200" s="56"/>
      <c r="N200" s="57" t="b">
        <v>0</v>
      </c>
      <c r="O200" s="296"/>
      <c r="P200" s="387"/>
      <c r="Q200" s="312" t="b">
        <v>0</v>
      </c>
      <c r="R200" s="49"/>
      <c r="S200" s="49"/>
      <c r="T200" s="57" t="b">
        <v>0</v>
      </c>
      <c r="U200" s="49"/>
      <c r="V200" s="307"/>
      <c r="W200" s="54"/>
    </row>
    <row r="201" spans="1:23" ht="16">
      <c r="A201" s="162"/>
      <c r="B201" s="132"/>
      <c r="C201" s="53"/>
      <c r="D201" s="53"/>
      <c r="E201" s="53"/>
      <c r="F201" s="53"/>
      <c r="G201" s="53"/>
      <c r="H201" s="53" t="s">
        <v>30</v>
      </c>
      <c r="I201" s="151"/>
      <c r="J201" s="364"/>
      <c r="K201" s="54">
        <f t="shared" si="5"/>
        <v>0</v>
      </c>
      <c r="L201" s="55" t="b">
        <v>0</v>
      </c>
      <c r="M201" s="56"/>
      <c r="N201" s="57" t="b">
        <v>0</v>
      </c>
      <c r="O201" s="296"/>
      <c r="P201" s="387"/>
      <c r="Q201" s="312" t="b">
        <v>0</v>
      </c>
      <c r="R201" s="49"/>
      <c r="S201" s="49"/>
      <c r="T201" s="57" t="b">
        <v>0</v>
      </c>
      <c r="U201" s="49"/>
      <c r="V201" s="307"/>
      <c r="W201" s="54"/>
    </row>
    <row r="202" spans="1:23" ht="16">
      <c r="A202" s="162"/>
      <c r="B202" s="132"/>
      <c r="C202" s="53"/>
      <c r="D202" s="53"/>
      <c r="E202" s="53"/>
      <c r="F202" s="53"/>
      <c r="G202" s="53"/>
      <c r="H202" s="53" t="s">
        <v>30</v>
      </c>
      <c r="I202" s="151"/>
      <c r="J202" s="364"/>
      <c r="K202" s="54">
        <f t="shared" si="5"/>
        <v>0</v>
      </c>
      <c r="L202" s="55" t="b">
        <v>0</v>
      </c>
      <c r="M202" s="56"/>
      <c r="N202" s="57" t="b">
        <v>0</v>
      </c>
      <c r="O202" s="296"/>
      <c r="P202" s="387"/>
      <c r="Q202" s="312" t="b">
        <v>0</v>
      </c>
      <c r="R202" s="49"/>
      <c r="S202" s="49"/>
      <c r="T202" s="57" t="b">
        <v>0</v>
      </c>
      <c r="U202" s="49"/>
      <c r="V202" s="307"/>
      <c r="W202" s="54"/>
    </row>
    <row r="203" spans="1:23" ht="16">
      <c r="A203" s="162"/>
      <c r="B203" s="132"/>
      <c r="C203" s="53"/>
      <c r="D203" s="53"/>
      <c r="E203" s="53"/>
      <c r="F203" s="53"/>
      <c r="G203" s="53"/>
      <c r="H203" s="53"/>
      <c r="I203" s="151"/>
      <c r="J203" s="364"/>
      <c r="K203" s="54"/>
      <c r="L203" s="55" t="b">
        <v>0</v>
      </c>
      <c r="M203" s="56"/>
      <c r="N203" s="57" t="b">
        <v>0</v>
      </c>
      <c r="O203" s="296"/>
      <c r="P203" s="387"/>
      <c r="Q203" s="312" t="b">
        <v>0</v>
      </c>
      <c r="R203" s="49"/>
      <c r="S203" s="49"/>
      <c r="T203" s="57" t="b">
        <v>0</v>
      </c>
      <c r="U203" s="49"/>
      <c r="V203" s="345"/>
      <c r="W203" s="54"/>
    </row>
    <row r="204" spans="1:23" ht="16">
      <c r="A204" s="162"/>
      <c r="B204" s="132"/>
      <c r="C204" s="53"/>
      <c r="D204" s="53"/>
      <c r="E204" s="53"/>
      <c r="F204" s="53"/>
      <c r="G204" s="53"/>
      <c r="H204" s="53"/>
      <c r="I204" s="151"/>
      <c r="J204" s="364"/>
      <c r="K204" s="54"/>
      <c r="L204" s="55" t="b">
        <v>0</v>
      </c>
      <c r="M204" s="56"/>
      <c r="N204" s="57" t="b">
        <v>0</v>
      </c>
      <c r="O204" s="296"/>
      <c r="P204" s="387"/>
      <c r="Q204" s="312" t="b">
        <v>0</v>
      </c>
      <c r="R204" s="49"/>
      <c r="S204" s="49"/>
      <c r="T204" s="57" t="b">
        <v>0</v>
      </c>
      <c r="U204" s="49"/>
      <c r="V204" s="345"/>
      <c r="W204" s="54"/>
    </row>
    <row r="205" spans="1:23" ht="16">
      <c r="A205" s="162"/>
      <c r="B205" s="132"/>
      <c r="C205" s="53"/>
      <c r="D205" s="53"/>
      <c r="E205" s="53"/>
      <c r="F205" s="53"/>
      <c r="G205" s="53"/>
      <c r="H205" s="53"/>
      <c r="I205" s="151"/>
      <c r="J205" s="364"/>
      <c r="K205" s="54"/>
      <c r="L205" s="55" t="b">
        <v>0</v>
      </c>
      <c r="M205" s="56"/>
      <c r="N205" s="57" t="b">
        <v>0</v>
      </c>
      <c r="O205" s="296"/>
      <c r="P205" s="387"/>
      <c r="Q205" s="312" t="b">
        <v>0</v>
      </c>
      <c r="R205" s="49"/>
      <c r="S205" s="49"/>
      <c r="T205" s="57" t="b">
        <v>0</v>
      </c>
      <c r="U205" s="49"/>
      <c r="V205" s="345"/>
      <c r="W205" s="54"/>
    </row>
    <row r="206" spans="1:23" ht="16">
      <c r="A206" s="162"/>
      <c r="B206" s="132"/>
      <c r="C206" s="53"/>
      <c r="D206" s="53"/>
      <c r="E206" s="53"/>
      <c r="F206" s="53"/>
      <c r="G206" s="53"/>
      <c r="H206" s="53"/>
      <c r="I206" s="151"/>
      <c r="J206" s="364"/>
      <c r="K206" s="54"/>
      <c r="L206" s="55" t="b">
        <v>0</v>
      </c>
      <c r="M206" s="56"/>
      <c r="N206" s="57" t="b">
        <v>0</v>
      </c>
      <c r="O206" s="296"/>
      <c r="P206" s="387"/>
      <c r="Q206" s="312" t="b">
        <v>0</v>
      </c>
      <c r="R206" s="49"/>
      <c r="S206" s="49"/>
      <c r="T206" s="57" t="b">
        <v>0</v>
      </c>
      <c r="U206" s="49"/>
      <c r="V206" s="345"/>
      <c r="W206" s="54"/>
    </row>
    <row r="207" spans="1:23" ht="16">
      <c r="A207" s="162"/>
      <c r="B207" s="132"/>
      <c r="C207" s="53"/>
      <c r="D207" s="53"/>
      <c r="E207" s="53"/>
      <c r="F207" s="53"/>
      <c r="G207" s="53"/>
      <c r="H207" s="53"/>
      <c r="I207" s="151"/>
      <c r="J207" s="364"/>
      <c r="K207" s="54"/>
      <c r="L207" s="55" t="b">
        <v>0</v>
      </c>
      <c r="M207" s="56"/>
      <c r="N207" s="57" t="b">
        <v>0</v>
      </c>
      <c r="O207" s="296"/>
      <c r="P207" s="387"/>
      <c r="Q207" s="312" t="b">
        <v>0</v>
      </c>
      <c r="R207" s="49"/>
      <c r="S207" s="49"/>
      <c r="T207" s="57" t="b">
        <v>0</v>
      </c>
      <c r="U207" s="49"/>
      <c r="V207" s="345"/>
      <c r="W207" s="54"/>
    </row>
    <row r="208" spans="1:23" ht="16">
      <c r="A208" s="162"/>
      <c r="B208" s="132"/>
      <c r="C208" s="53"/>
      <c r="D208" s="53"/>
      <c r="E208" s="53"/>
      <c r="F208" s="53"/>
      <c r="G208" s="53"/>
      <c r="H208" s="53"/>
      <c r="I208" s="151"/>
      <c r="J208" s="364"/>
      <c r="K208" s="54"/>
      <c r="L208" s="55" t="b">
        <v>0</v>
      </c>
      <c r="M208" s="56"/>
      <c r="N208" s="57" t="b">
        <v>0</v>
      </c>
      <c r="O208" s="296"/>
      <c r="P208" s="387"/>
      <c r="Q208" s="312" t="b">
        <v>0</v>
      </c>
      <c r="R208" s="49"/>
      <c r="S208" s="49"/>
      <c r="T208" s="57" t="b">
        <v>0</v>
      </c>
      <c r="U208" s="49"/>
      <c r="V208" s="345"/>
      <c r="W208" s="54"/>
    </row>
    <row r="209" spans="1:23" ht="16">
      <c r="A209" s="162"/>
      <c r="B209" s="132"/>
      <c r="C209" s="53"/>
      <c r="D209" s="53"/>
      <c r="E209" s="53"/>
      <c r="F209" s="53"/>
      <c r="G209" s="53"/>
      <c r="H209" s="53"/>
      <c r="I209" s="151"/>
      <c r="J209" s="364"/>
      <c r="K209" s="54"/>
      <c r="L209" s="55" t="b">
        <v>0</v>
      </c>
      <c r="M209" s="56"/>
      <c r="N209" s="57" t="b">
        <v>0</v>
      </c>
      <c r="O209" s="296"/>
      <c r="P209" s="387"/>
      <c r="Q209" s="312" t="b">
        <v>0</v>
      </c>
      <c r="R209" s="49"/>
      <c r="S209" s="49"/>
      <c r="T209" s="57" t="b">
        <v>0</v>
      </c>
      <c r="U209" s="49"/>
      <c r="V209" s="345"/>
      <c r="W209" s="54"/>
    </row>
    <row r="210" spans="1:23" ht="16">
      <c r="A210" s="162"/>
      <c r="B210" s="132"/>
      <c r="C210" s="53"/>
      <c r="D210" s="53"/>
      <c r="E210" s="53"/>
      <c r="F210" s="53"/>
      <c r="G210" s="53"/>
      <c r="H210" s="53"/>
      <c r="I210" s="151"/>
      <c r="J210" s="364"/>
      <c r="K210" s="54"/>
      <c r="L210" s="55" t="b">
        <v>0</v>
      </c>
      <c r="M210" s="56"/>
      <c r="N210" s="57" t="b">
        <v>0</v>
      </c>
      <c r="O210" s="296"/>
      <c r="P210" s="387"/>
      <c r="Q210" s="312" t="b">
        <v>0</v>
      </c>
      <c r="R210" s="49"/>
      <c r="S210" s="49"/>
      <c r="T210" s="57" t="b">
        <v>0</v>
      </c>
      <c r="U210" s="49"/>
      <c r="V210" s="345"/>
      <c r="W210" s="54"/>
    </row>
    <row r="211" spans="1:23" ht="16">
      <c r="A211" s="162"/>
      <c r="B211" s="132"/>
      <c r="C211" s="53"/>
      <c r="D211" s="53"/>
      <c r="E211" s="53"/>
      <c r="F211" s="53"/>
      <c r="G211" s="53"/>
      <c r="H211" s="53"/>
      <c r="I211" s="151"/>
      <c r="J211" s="364"/>
      <c r="K211" s="54"/>
      <c r="L211" s="55" t="b">
        <v>0</v>
      </c>
      <c r="M211" s="56"/>
      <c r="N211" s="57" t="b">
        <v>0</v>
      </c>
      <c r="O211" s="296"/>
      <c r="P211" s="387"/>
      <c r="Q211" s="312" t="b">
        <v>0</v>
      </c>
      <c r="R211" s="49"/>
      <c r="S211" s="49"/>
      <c r="T211" s="57" t="b">
        <v>0</v>
      </c>
      <c r="U211" s="49"/>
      <c r="V211" s="345"/>
      <c r="W211" s="54"/>
    </row>
    <row r="212" spans="1:23" ht="16">
      <c r="A212" s="162"/>
      <c r="B212" s="132"/>
      <c r="C212" s="53"/>
      <c r="D212" s="53"/>
      <c r="E212" s="53"/>
      <c r="F212" s="53"/>
      <c r="G212" s="53"/>
      <c r="H212" s="53"/>
      <c r="I212" s="151"/>
      <c r="J212" s="364"/>
      <c r="K212" s="54"/>
      <c r="L212" s="55" t="b">
        <v>0</v>
      </c>
      <c r="M212" s="56"/>
      <c r="N212" s="57" t="b">
        <v>0</v>
      </c>
      <c r="O212" s="296"/>
      <c r="P212" s="387"/>
      <c r="Q212" s="312" t="b">
        <v>0</v>
      </c>
      <c r="R212" s="49"/>
      <c r="S212" s="49"/>
      <c r="T212" s="57" t="b">
        <v>0</v>
      </c>
      <c r="U212" s="49"/>
      <c r="V212" s="345"/>
      <c r="W212" s="54"/>
    </row>
    <row r="213" spans="1:23" ht="16">
      <c r="A213" s="162"/>
      <c r="B213" s="132"/>
      <c r="C213" s="53"/>
      <c r="D213" s="53"/>
      <c r="E213" s="53"/>
      <c r="F213" s="53"/>
      <c r="G213" s="53"/>
      <c r="H213" s="53"/>
      <c r="I213" s="151"/>
      <c r="J213" s="364"/>
      <c r="K213" s="54"/>
      <c r="L213" s="55" t="b">
        <v>0</v>
      </c>
      <c r="M213" s="56"/>
      <c r="N213" s="57" t="b">
        <v>0</v>
      </c>
      <c r="O213" s="296"/>
      <c r="P213" s="387"/>
      <c r="Q213" s="312" t="b">
        <v>0</v>
      </c>
      <c r="R213" s="49"/>
      <c r="S213" s="49"/>
      <c r="T213" s="57" t="b">
        <v>0</v>
      </c>
      <c r="U213" s="49"/>
      <c r="V213" s="345"/>
      <c r="W213" s="54"/>
    </row>
    <row r="214" spans="1:23" ht="16">
      <c r="A214" s="162"/>
      <c r="B214" s="132"/>
      <c r="C214" s="53"/>
      <c r="D214" s="53"/>
      <c r="E214" s="53"/>
      <c r="F214" s="53"/>
      <c r="G214" s="53"/>
      <c r="H214" s="53"/>
      <c r="I214" s="53"/>
      <c r="J214" s="54"/>
      <c r="K214" s="54"/>
      <c r="L214" s="55" t="b">
        <v>0</v>
      </c>
      <c r="M214" s="56"/>
      <c r="N214" s="57" t="b">
        <v>0</v>
      </c>
      <c r="O214" s="296"/>
      <c r="P214" s="387"/>
      <c r="Q214" s="312" t="b">
        <v>0</v>
      </c>
      <c r="R214" s="49"/>
      <c r="S214" s="49"/>
      <c r="T214" s="57" t="b">
        <v>0</v>
      </c>
      <c r="U214" s="49"/>
      <c r="V214" s="345"/>
      <c r="W214" s="54"/>
    </row>
    <row r="215" spans="1:23" ht="16">
      <c r="A215" s="162"/>
      <c r="B215" s="132"/>
      <c r="C215" s="53"/>
      <c r="D215" s="53"/>
      <c r="E215" s="53"/>
      <c r="F215" s="53"/>
      <c r="G215" s="53"/>
      <c r="H215" s="53"/>
      <c r="I215" s="53"/>
      <c r="J215" s="54"/>
      <c r="K215" s="54"/>
      <c r="L215" s="55" t="b">
        <v>0</v>
      </c>
      <c r="M215" s="56"/>
      <c r="N215" s="57" t="b">
        <v>0</v>
      </c>
      <c r="O215" s="296"/>
      <c r="P215" s="387"/>
      <c r="Q215" s="312" t="b">
        <v>0</v>
      </c>
      <c r="R215" s="49"/>
      <c r="S215" s="49"/>
      <c r="T215" s="57" t="b">
        <v>0</v>
      </c>
      <c r="U215" s="49"/>
      <c r="V215" s="345"/>
      <c r="W215" s="296"/>
    </row>
    <row r="216" spans="1:23" ht="16">
      <c r="A216" s="162"/>
      <c r="B216" s="132"/>
      <c r="C216" s="53"/>
      <c r="D216" s="53"/>
      <c r="E216" s="53"/>
      <c r="F216" s="53"/>
      <c r="G216" s="53"/>
      <c r="H216" s="53"/>
      <c r="I216" s="53"/>
      <c r="J216" s="54"/>
      <c r="K216" s="54"/>
      <c r="L216" s="55" t="b">
        <v>0</v>
      </c>
      <c r="M216" s="56"/>
      <c r="N216" s="57" t="b">
        <v>0</v>
      </c>
      <c r="O216" s="296"/>
      <c r="P216" s="387"/>
      <c r="Q216" s="312" t="b">
        <v>0</v>
      </c>
      <c r="R216" s="49"/>
      <c r="S216" s="49"/>
      <c r="T216" s="57" t="b">
        <v>0</v>
      </c>
      <c r="U216" s="49"/>
      <c r="V216" s="345"/>
      <c r="W216" s="54"/>
    </row>
    <row r="217" spans="1:23" ht="16">
      <c r="A217" s="162"/>
      <c r="B217" s="132"/>
      <c r="C217" s="53"/>
      <c r="D217" s="53"/>
      <c r="E217" s="53"/>
      <c r="F217" s="53"/>
      <c r="G217" s="53"/>
      <c r="H217" s="53"/>
      <c r="I217" s="53"/>
      <c r="J217" s="54"/>
      <c r="K217" s="54"/>
      <c r="L217" s="55" t="b">
        <v>0</v>
      </c>
      <c r="M217" s="56"/>
      <c r="N217" s="57" t="b">
        <v>0</v>
      </c>
      <c r="O217" s="296"/>
      <c r="P217" s="387"/>
      <c r="Q217" s="312" t="b">
        <v>0</v>
      </c>
      <c r="R217" s="49"/>
      <c r="S217" s="49"/>
      <c r="T217" s="57" t="b">
        <v>0</v>
      </c>
      <c r="U217" s="49"/>
      <c r="V217" s="345"/>
      <c r="W217" s="54"/>
    </row>
    <row r="218" spans="1:23" ht="16">
      <c r="A218" s="162"/>
      <c r="B218" s="132"/>
      <c r="C218" s="53"/>
      <c r="D218" s="53"/>
      <c r="E218" s="53"/>
      <c r="F218" s="53"/>
      <c r="G218" s="53"/>
      <c r="H218" s="53"/>
      <c r="I218" s="53"/>
      <c r="J218" s="54"/>
      <c r="K218" s="54"/>
      <c r="L218" s="55" t="b">
        <v>0</v>
      </c>
      <c r="M218" s="56"/>
      <c r="N218" s="57" t="b">
        <v>0</v>
      </c>
      <c r="O218" s="296"/>
      <c r="P218" s="387"/>
      <c r="Q218" s="312" t="b">
        <v>0</v>
      </c>
      <c r="R218" s="49"/>
      <c r="S218" s="49"/>
      <c r="T218" s="57" t="b">
        <v>0</v>
      </c>
      <c r="U218" s="49"/>
      <c r="V218" s="345"/>
      <c r="W218" s="54"/>
    </row>
    <row r="219" spans="1:23" ht="16">
      <c r="A219" s="162"/>
      <c r="B219" s="132"/>
      <c r="C219" s="53"/>
      <c r="D219" s="53"/>
      <c r="E219" s="53"/>
      <c r="F219" s="53"/>
      <c r="G219" s="53"/>
      <c r="H219" s="53"/>
      <c r="I219" s="53"/>
      <c r="J219" s="54"/>
      <c r="K219" s="54"/>
      <c r="L219" s="55" t="b">
        <v>0</v>
      </c>
      <c r="M219" s="56"/>
      <c r="N219" s="57" t="b">
        <v>0</v>
      </c>
      <c r="O219" s="296"/>
      <c r="P219" s="387"/>
      <c r="Q219" s="312" t="b">
        <v>0</v>
      </c>
      <c r="R219" s="49"/>
      <c r="S219" s="49"/>
      <c r="T219" s="57" t="b">
        <v>0</v>
      </c>
      <c r="U219" s="49"/>
      <c r="V219" s="345"/>
      <c r="W219" s="54"/>
    </row>
    <row r="220" spans="1:23" ht="16">
      <c r="A220" s="162"/>
      <c r="B220" s="132"/>
      <c r="C220" s="53"/>
      <c r="D220" s="53"/>
      <c r="E220" s="53"/>
      <c r="F220" s="53"/>
      <c r="G220" s="53"/>
      <c r="H220" s="53"/>
      <c r="I220" s="53"/>
      <c r="J220" s="54"/>
      <c r="K220" s="54"/>
      <c r="L220" s="55" t="b">
        <v>0</v>
      </c>
      <c r="M220" s="56"/>
      <c r="N220" s="57" t="b">
        <v>0</v>
      </c>
      <c r="O220" s="296"/>
      <c r="P220" s="387"/>
      <c r="Q220" s="312" t="b">
        <v>0</v>
      </c>
      <c r="R220" s="49"/>
      <c r="S220" s="49"/>
      <c r="T220" s="57" t="b">
        <v>0</v>
      </c>
      <c r="U220" s="49"/>
      <c r="V220" s="345"/>
      <c r="W220" s="54"/>
    </row>
    <row r="221" spans="1:23" ht="16">
      <c r="A221" s="162"/>
      <c r="B221" s="132"/>
      <c r="C221" s="53"/>
      <c r="D221" s="53"/>
      <c r="E221" s="53"/>
      <c r="F221" s="53"/>
      <c r="G221" s="53"/>
      <c r="H221" s="53"/>
      <c r="I221" s="53"/>
      <c r="J221" s="54"/>
      <c r="K221" s="54"/>
      <c r="L221" s="55" t="b">
        <v>0</v>
      </c>
      <c r="M221" s="56"/>
      <c r="N221" s="57" t="b">
        <v>0</v>
      </c>
      <c r="O221" s="296"/>
      <c r="P221" s="387"/>
      <c r="Q221" s="312" t="b">
        <v>0</v>
      </c>
      <c r="R221" s="49"/>
      <c r="S221" s="49"/>
      <c r="T221" s="57" t="b">
        <v>0</v>
      </c>
      <c r="U221" s="49"/>
      <c r="V221" s="345"/>
      <c r="W221" s="54"/>
    </row>
    <row r="222" spans="1:23" ht="16">
      <c r="A222" s="162"/>
      <c r="B222" s="132"/>
      <c r="C222" s="53"/>
      <c r="D222" s="53"/>
      <c r="E222" s="53"/>
      <c r="F222" s="53"/>
      <c r="G222" s="53"/>
      <c r="H222" s="53"/>
      <c r="I222" s="53"/>
      <c r="J222" s="54"/>
      <c r="K222" s="54"/>
      <c r="L222" s="55" t="b">
        <v>0</v>
      </c>
      <c r="M222" s="56"/>
      <c r="N222" s="57" t="b">
        <v>0</v>
      </c>
      <c r="O222" s="296"/>
      <c r="P222" s="387"/>
      <c r="Q222" s="312" t="b">
        <v>0</v>
      </c>
      <c r="R222" s="49"/>
      <c r="S222" s="49"/>
      <c r="T222" s="57" t="b">
        <v>0</v>
      </c>
      <c r="U222" s="49"/>
      <c r="V222" s="345"/>
      <c r="W222" s="54"/>
    </row>
    <row r="223" spans="1:23" ht="16">
      <c r="A223" s="162"/>
      <c r="B223" s="132"/>
      <c r="C223" s="53"/>
      <c r="D223" s="53"/>
      <c r="E223" s="53"/>
      <c r="F223" s="53"/>
      <c r="G223" s="53"/>
      <c r="H223" s="53"/>
      <c r="I223" s="53"/>
      <c r="J223" s="54"/>
      <c r="K223" s="54"/>
      <c r="L223" s="55" t="b">
        <v>0</v>
      </c>
      <c r="M223" s="56"/>
      <c r="N223" s="57" t="b">
        <v>0</v>
      </c>
      <c r="O223" s="296"/>
      <c r="P223" s="387"/>
      <c r="Q223" s="312" t="b">
        <v>0</v>
      </c>
      <c r="R223" s="49"/>
      <c r="S223" s="49"/>
      <c r="T223" s="57" t="b">
        <v>0</v>
      </c>
      <c r="U223" s="49"/>
      <c r="V223" s="345"/>
      <c r="W223" s="54"/>
    </row>
    <row r="224" spans="1:23" ht="16">
      <c r="A224" s="162"/>
      <c r="B224" s="132"/>
      <c r="C224" s="53"/>
      <c r="D224" s="53"/>
      <c r="E224" s="53"/>
      <c r="F224" s="53"/>
      <c r="G224" s="53"/>
      <c r="H224" s="53"/>
      <c r="I224" s="53"/>
      <c r="J224" s="54"/>
      <c r="K224" s="54"/>
      <c r="L224" s="55" t="b">
        <v>0</v>
      </c>
      <c r="M224" s="56"/>
      <c r="N224" s="57" t="b">
        <v>0</v>
      </c>
      <c r="O224" s="296"/>
      <c r="P224" s="387"/>
      <c r="Q224" s="312" t="b">
        <v>0</v>
      </c>
      <c r="R224" s="49"/>
      <c r="S224" s="49"/>
      <c r="T224" s="57" t="b">
        <v>0</v>
      </c>
      <c r="U224" s="49"/>
      <c r="V224" s="345"/>
      <c r="W224" s="54"/>
    </row>
    <row r="225" spans="1:23" ht="16">
      <c r="A225" s="162"/>
      <c r="B225" s="132"/>
      <c r="C225" s="53"/>
      <c r="D225" s="53"/>
      <c r="E225" s="53"/>
      <c r="F225" s="53"/>
      <c r="G225" s="53"/>
      <c r="H225" s="53"/>
      <c r="I225" s="53"/>
      <c r="J225" s="54"/>
      <c r="K225" s="54"/>
      <c r="L225" s="55" t="b">
        <v>0</v>
      </c>
      <c r="M225" s="56"/>
      <c r="N225" s="57" t="b">
        <v>0</v>
      </c>
      <c r="O225" s="296"/>
      <c r="P225" s="387"/>
      <c r="Q225" s="312" t="b">
        <v>0</v>
      </c>
      <c r="R225" s="49"/>
      <c r="S225" s="49"/>
      <c r="T225" s="57" t="b">
        <v>0</v>
      </c>
      <c r="U225" s="49"/>
      <c r="V225" s="345"/>
      <c r="W225" s="54"/>
    </row>
    <row r="226" spans="1:23" ht="16">
      <c r="A226" s="162"/>
      <c r="B226" s="132"/>
      <c r="C226" s="53"/>
      <c r="D226" s="53"/>
      <c r="E226" s="53"/>
      <c r="F226" s="53"/>
      <c r="G226" s="53"/>
      <c r="H226" s="53"/>
      <c r="I226" s="53"/>
      <c r="J226" s="54"/>
      <c r="K226" s="54"/>
      <c r="L226" s="55" t="b">
        <v>0</v>
      </c>
      <c r="M226" s="56"/>
      <c r="N226" s="57" t="b">
        <v>0</v>
      </c>
      <c r="O226" s="296"/>
      <c r="P226" s="387"/>
      <c r="Q226" s="312" t="b">
        <v>0</v>
      </c>
      <c r="R226" s="49"/>
      <c r="S226" s="49"/>
      <c r="T226" s="57" t="b">
        <v>0</v>
      </c>
      <c r="U226" s="49"/>
      <c r="V226" s="345"/>
      <c r="W226" s="54"/>
    </row>
    <row r="227" spans="1:23" ht="16">
      <c r="A227" s="162"/>
      <c r="B227" s="132"/>
      <c r="C227" s="53"/>
      <c r="D227" s="53"/>
      <c r="E227" s="53"/>
      <c r="F227" s="53"/>
      <c r="G227" s="53"/>
      <c r="H227" s="53"/>
      <c r="I227" s="53"/>
      <c r="J227" s="54"/>
      <c r="K227" s="54"/>
      <c r="L227" s="55" t="b">
        <v>0</v>
      </c>
      <c r="M227" s="56"/>
      <c r="N227" s="57" t="b">
        <v>0</v>
      </c>
      <c r="O227" s="296"/>
      <c r="P227" s="387"/>
      <c r="Q227" s="312" t="b">
        <v>0</v>
      </c>
      <c r="R227" s="49"/>
      <c r="S227" s="49"/>
      <c r="T227" s="57" t="b">
        <v>0</v>
      </c>
      <c r="U227" s="49"/>
      <c r="V227" s="345"/>
      <c r="W227" s="54"/>
    </row>
    <row r="228" spans="1:23" ht="16">
      <c r="A228" s="162"/>
      <c r="B228" s="132"/>
      <c r="C228" s="53"/>
      <c r="D228" s="53"/>
      <c r="E228" s="53"/>
      <c r="F228" s="53"/>
      <c r="G228" s="53"/>
      <c r="H228" s="53"/>
      <c r="I228" s="53"/>
      <c r="J228" s="54"/>
      <c r="K228" s="54"/>
      <c r="L228" s="55" t="b">
        <v>0</v>
      </c>
      <c r="M228" s="56"/>
      <c r="N228" s="57" t="b">
        <v>0</v>
      </c>
      <c r="O228" s="296"/>
      <c r="P228" s="387"/>
      <c r="Q228" s="312" t="b">
        <v>0</v>
      </c>
      <c r="R228" s="49"/>
      <c r="S228" s="49"/>
      <c r="T228" s="57" t="b">
        <v>0</v>
      </c>
      <c r="U228" s="49"/>
      <c r="V228" s="345"/>
      <c r="W228" s="54"/>
    </row>
    <row r="229" spans="1:23" ht="16">
      <c r="A229" s="162"/>
      <c r="B229" s="132"/>
      <c r="C229" s="53"/>
      <c r="D229" s="53"/>
      <c r="E229" s="53"/>
      <c r="F229" s="53"/>
      <c r="G229" s="53"/>
      <c r="H229" s="53"/>
      <c r="I229" s="53"/>
      <c r="J229" s="54"/>
      <c r="K229" s="54"/>
      <c r="L229" s="55" t="b">
        <v>0</v>
      </c>
      <c r="M229" s="56"/>
      <c r="N229" s="57" t="b">
        <v>0</v>
      </c>
      <c r="O229" s="296"/>
      <c r="P229" s="387"/>
      <c r="Q229" s="312" t="b">
        <v>0</v>
      </c>
      <c r="R229" s="49"/>
      <c r="S229" s="49"/>
      <c r="T229" s="57" t="b">
        <v>0</v>
      </c>
      <c r="U229" s="49"/>
      <c r="V229" s="345"/>
      <c r="W229" s="54"/>
    </row>
    <row r="230" spans="1:23" ht="16">
      <c r="A230" s="162"/>
      <c r="B230" s="132"/>
      <c r="C230" s="53"/>
      <c r="D230" s="53"/>
      <c r="E230" s="53"/>
      <c r="F230" s="53"/>
      <c r="G230" s="53"/>
      <c r="H230" s="53"/>
      <c r="I230" s="53"/>
      <c r="J230" s="54"/>
      <c r="K230" s="54"/>
      <c r="L230" s="55" t="b">
        <v>0</v>
      </c>
      <c r="M230" s="56"/>
      <c r="N230" s="57" t="b">
        <v>0</v>
      </c>
      <c r="O230" s="296"/>
      <c r="P230" s="387"/>
      <c r="Q230" s="312" t="b">
        <v>0</v>
      </c>
      <c r="R230" s="49"/>
      <c r="S230" s="49"/>
      <c r="T230" s="57" t="b">
        <v>0</v>
      </c>
      <c r="U230" s="49"/>
      <c r="V230" s="345"/>
      <c r="W230" s="54"/>
    </row>
    <row r="231" spans="1:23" ht="16">
      <c r="A231" s="162"/>
      <c r="B231" s="132"/>
      <c r="C231" s="53"/>
      <c r="D231" s="53"/>
      <c r="E231" s="53"/>
      <c r="F231" s="53"/>
      <c r="G231" s="53"/>
      <c r="H231" s="53"/>
      <c r="I231" s="53"/>
      <c r="J231" s="54"/>
      <c r="K231" s="54"/>
      <c r="L231" s="55" t="b">
        <v>0</v>
      </c>
      <c r="M231" s="56"/>
      <c r="N231" s="57" t="b">
        <v>0</v>
      </c>
      <c r="O231" s="296"/>
      <c r="P231" s="387"/>
      <c r="Q231" s="312" t="b">
        <v>0</v>
      </c>
      <c r="R231" s="49"/>
      <c r="S231" s="49"/>
      <c r="T231" s="57" t="b">
        <v>0</v>
      </c>
      <c r="U231" s="49"/>
      <c r="V231" s="345"/>
      <c r="W231" s="54"/>
    </row>
    <row r="232" spans="1:23" ht="16">
      <c r="A232" s="162"/>
      <c r="B232" s="132"/>
      <c r="C232" s="53"/>
      <c r="D232" s="53"/>
      <c r="E232" s="53"/>
      <c r="F232" s="53"/>
      <c r="G232" s="53"/>
      <c r="H232" s="53"/>
      <c r="I232" s="53"/>
      <c r="J232" s="54"/>
      <c r="K232" s="75"/>
      <c r="L232" s="55" t="b">
        <v>0</v>
      </c>
      <c r="M232" s="56"/>
      <c r="N232" s="57" t="b">
        <v>0</v>
      </c>
      <c r="O232" s="296"/>
      <c r="P232" s="387"/>
      <c r="Q232" s="312" t="b">
        <v>0</v>
      </c>
      <c r="R232" s="49"/>
      <c r="S232" s="49"/>
      <c r="T232" s="57" t="b">
        <v>0</v>
      </c>
      <c r="U232" s="49"/>
      <c r="V232" s="345"/>
      <c r="W232" s="54"/>
    </row>
    <row r="233" spans="1:23" ht="16">
      <c r="A233" s="162"/>
      <c r="B233" s="132"/>
      <c r="C233" s="53"/>
      <c r="D233" s="53"/>
      <c r="E233" s="53"/>
      <c r="F233" s="53"/>
      <c r="G233" s="53"/>
      <c r="H233" s="53"/>
      <c r="I233" s="53"/>
      <c r="J233" s="54"/>
      <c r="K233" s="75"/>
      <c r="L233" s="55" t="b">
        <v>0</v>
      </c>
      <c r="M233" s="56"/>
      <c r="N233" s="57" t="b">
        <v>0</v>
      </c>
      <c r="O233" s="296"/>
      <c r="P233" s="387"/>
      <c r="Q233" s="312" t="b">
        <v>0</v>
      </c>
      <c r="R233" s="49"/>
      <c r="S233" s="49"/>
      <c r="T233" s="57" t="b">
        <v>0</v>
      </c>
      <c r="U233" s="49"/>
      <c r="V233" s="345"/>
      <c r="W233" s="54"/>
    </row>
    <row r="234" spans="1:23" ht="16">
      <c r="A234" s="162"/>
      <c r="B234" s="132"/>
      <c r="C234" s="53"/>
      <c r="D234" s="53"/>
      <c r="E234" s="53"/>
      <c r="F234" s="53"/>
      <c r="G234" s="53"/>
      <c r="H234" s="53"/>
      <c r="I234" s="53"/>
      <c r="J234" s="54"/>
      <c r="K234" s="75"/>
      <c r="L234" s="55" t="b">
        <v>0</v>
      </c>
      <c r="M234" s="56"/>
      <c r="N234" s="57" t="b">
        <v>0</v>
      </c>
      <c r="O234" s="296"/>
      <c r="P234" s="387"/>
      <c r="Q234" s="312" t="b">
        <v>0</v>
      </c>
      <c r="R234" s="49"/>
      <c r="S234" s="49"/>
      <c r="T234" s="57" t="b">
        <v>0</v>
      </c>
      <c r="U234" s="49"/>
      <c r="V234" s="345"/>
      <c r="W234" s="54"/>
    </row>
    <row r="235" spans="1:23" ht="16">
      <c r="A235" s="162"/>
      <c r="B235" s="132"/>
      <c r="C235" s="53"/>
      <c r="D235" s="53"/>
      <c r="E235" s="53"/>
      <c r="F235" s="53"/>
      <c r="G235" s="53"/>
      <c r="H235" s="53"/>
      <c r="I235" s="53"/>
      <c r="J235" s="54"/>
      <c r="K235" s="75"/>
      <c r="L235" s="55" t="b">
        <v>0</v>
      </c>
      <c r="M235" s="56"/>
      <c r="N235" s="57" t="b">
        <v>0</v>
      </c>
      <c r="O235" s="296"/>
      <c r="P235" s="387"/>
      <c r="Q235" s="312" t="b">
        <v>0</v>
      </c>
      <c r="R235" s="49"/>
      <c r="S235" s="49"/>
      <c r="T235" s="57" t="b">
        <v>0</v>
      </c>
      <c r="U235" s="49"/>
      <c r="V235" s="345"/>
      <c r="W235" s="54"/>
    </row>
    <row r="236" spans="1:23" ht="16">
      <c r="A236" s="162"/>
      <c r="B236" s="132"/>
      <c r="C236" s="53"/>
      <c r="D236" s="53"/>
      <c r="E236" s="53"/>
      <c r="F236" s="53"/>
      <c r="G236" s="53"/>
      <c r="H236" s="53"/>
      <c r="I236" s="53"/>
      <c r="J236" s="54"/>
      <c r="K236" s="75"/>
      <c r="L236" s="55" t="b">
        <v>0</v>
      </c>
      <c r="M236" s="56"/>
      <c r="N236" s="57" t="b">
        <v>0</v>
      </c>
      <c r="O236" s="296"/>
      <c r="P236" s="387"/>
      <c r="Q236" s="312" t="b">
        <v>0</v>
      </c>
      <c r="R236" s="49"/>
      <c r="S236" s="49"/>
      <c r="T236" s="57" t="b">
        <v>0</v>
      </c>
      <c r="U236" s="49"/>
      <c r="V236" s="345"/>
      <c r="W236" s="54"/>
    </row>
    <row r="237" spans="1:23" ht="16">
      <c r="A237" s="162"/>
      <c r="B237" s="132"/>
      <c r="C237" s="53"/>
      <c r="D237" s="53"/>
      <c r="E237" s="53"/>
      <c r="F237" s="53"/>
      <c r="G237" s="53"/>
      <c r="H237" s="53"/>
      <c r="I237" s="53"/>
      <c r="J237" s="54"/>
      <c r="K237" s="75"/>
      <c r="L237" s="55" t="b">
        <v>0</v>
      </c>
      <c r="M237" s="56"/>
      <c r="N237" s="57" t="b">
        <v>0</v>
      </c>
      <c r="O237" s="296"/>
      <c r="P237" s="387"/>
      <c r="Q237" s="312" t="b">
        <v>0</v>
      </c>
      <c r="R237" s="49"/>
      <c r="S237" s="49"/>
      <c r="T237" s="57" t="b">
        <v>0</v>
      </c>
      <c r="U237" s="49"/>
      <c r="V237" s="345"/>
      <c r="W237" s="54"/>
    </row>
    <row r="238" spans="1:23" ht="16">
      <c r="A238" s="162"/>
      <c r="B238" s="132"/>
      <c r="C238" s="53"/>
      <c r="D238" s="53"/>
      <c r="E238" s="53"/>
      <c r="F238" s="53"/>
      <c r="G238" s="53"/>
      <c r="H238" s="53"/>
      <c r="I238" s="53"/>
      <c r="J238" s="54"/>
      <c r="K238" s="75"/>
      <c r="L238" s="55" t="b">
        <v>0</v>
      </c>
      <c r="M238" s="56"/>
      <c r="N238" s="57" t="b">
        <v>0</v>
      </c>
      <c r="O238" s="296"/>
      <c r="P238" s="387"/>
      <c r="Q238" s="312" t="b">
        <v>0</v>
      </c>
      <c r="R238" s="49"/>
      <c r="S238" s="49"/>
      <c r="T238" s="57" t="b">
        <v>0</v>
      </c>
      <c r="U238" s="49"/>
      <c r="V238" s="345"/>
      <c r="W238" s="54"/>
    </row>
    <row r="239" spans="1:23" ht="16">
      <c r="A239" s="162"/>
      <c r="B239" s="132"/>
      <c r="C239" s="53"/>
      <c r="D239" s="53"/>
      <c r="E239" s="53"/>
      <c r="F239" s="53"/>
      <c r="G239" s="53"/>
      <c r="H239" s="53"/>
      <c r="I239" s="53"/>
      <c r="J239" s="54"/>
      <c r="K239" s="75"/>
      <c r="L239" s="55" t="b">
        <v>0</v>
      </c>
      <c r="M239" s="56"/>
      <c r="N239" s="57" t="b">
        <v>0</v>
      </c>
      <c r="O239" s="296"/>
      <c r="P239" s="387"/>
      <c r="Q239" s="312" t="b">
        <v>0</v>
      </c>
      <c r="R239" s="49"/>
      <c r="S239" s="49"/>
      <c r="T239" s="57" t="b">
        <v>0</v>
      </c>
      <c r="U239" s="49"/>
      <c r="V239" s="345"/>
      <c r="W239" s="54"/>
    </row>
    <row r="240" spans="1:23" ht="16">
      <c r="A240" s="162"/>
      <c r="B240" s="132"/>
      <c r="C240" s="53"/>
      <c r="D240" s="53"/>
      <c r="E240" s="53"/>
      <c r="F240" s="53"/>
      <c r="G240" s="53"/>
      <c r="H240" s="53"/>
      <c r="I240" s="53"/>
      <c r="J240" s="54"/>
      <c r="K240" s="75"/>
      <c r="L240" s="55" t="b">
        <v>0</v>
      </c>
      <c r="M240" s="56"/>
      <c r="N240" s="57" t="b">
        <v>0</v>
      </c>
      <c r="O240" s="296"/>
      <c r="P240" s="387"/>
      <c r="Q240" s="312" t="b">
        <v>0</v>
      </c>
      <c r="R240" s="49"/>
      <c r="S240" s="49"/>
      <c r="T240" s="57" t="b">
        <v>0</v>
      </c>
      <c r="U240" s="49"/>
      <c r="V240" s="345"/>
      <c r="W240" s="54"/>
    </row>
    <row r="241" spans="1:23" ht="16">
      <c r="A241" s="162"/>
      <c r="B241" s="132"/>
      <c r="C241" s="53"/>
      <c r="D241" s="53"/>
      <c r="E241" s="53"/>
      <c r="F241" s="53"/>
      <c r="G241" s="53"/>
      <c r="H241" s="53"/>
      <c r="I241" s="53"/>
      <c r="J241" s="54"/>
      <c r="K241" s="75"/>
      <c r="L241" s="55" t="b">
        <v>0</v>
      </c>
      <c r="M241" s="56"/>
      <c r="N241" s="57" t="b">
        <v>0</v>
      </c>
      <c r="O241" s="296"/>
      <c r="P241" s="387"/>
      <c r="Q241" s="312" t="b">
        <v>0</v>
      </c>
      <c r="R241" s="49"/>
      <c r="S241" s="49"/>
      <c r="T241" s="57" t="b">
        <v>0</v>
      </c>
      <c r="U241" s="49"/>
      <c r="V241" s="345"/>
      <c r="W241" s="54"/>
    </row>
    <row r="242" spans="1:23" ht="16">
      <c r="A242" s="162"/>
      <c r="B242" s="132"/>
      <c r="C242" s="53"/>
      <c r="D242" s="53"/>
      <c r="E242" s="53"/>
      <c r="F242" s="53"/>
      <c r="G242" s="53"/>
      <c r="H242" s="53"/>
      <c r="I242" s="53"/>
      <c r="J242" s="54"/>
      <c r="K242" s="75"/>
      <c r="L242" s="55" t="b">
        <v>0</v>
      </c>
      <c r="M242" s="56"/>
      <c r="N242" s="57" t="b">
        <v>0</v>
      </c>
      <c r="O242" s="296"/>
      <c r="P242" s="387"/>
      <c r="Q242" s="312" t="b">
        <v>0</v>
      </c>
      <c r="R242" s="49"/>
      <c r="S242" s="49"/>
      <c r="T242" s="57" t="b">
        <v>0</v>
      </c>
      <c r="U242" s="49"/>
      <c r="V242" s="345"/>
      <c r="W242" s="54"/>
    </row>
    <row r="243" spans="1:23" ht="16">
      <c r="A243" s="162"/>
      <c r="B243" s="132"/>
      <c r="C243" s="53"/>
      <c r="D243" s="53"/>
      <c r="E243" s="53"/>
      <c r="F243" s="53"/>
      <c r="G243" s="53"/>
      <c r="H243" s="53"/>
      <c r="I243" s="53"/>
      <c r="J243" s="54"/>
      <c r="K243" s="75"/>
      <c r="L243" s="55" t="b">
        <v>0</v>
      </c>
      <c r="M243" s="56"/>
      <c r="N243" s="57" t="b">
        <v>0</v>
      </c>
      <c r="O243" s="296"/>
      <c r="P243" s="387"/>
      <c r="Q243" s="312" t="b">
        <v>0</v>
      </c>
      <c r="R243" s="49"/>
      <c r="S243" s="49"/>
      <c r="T243" s="57" t="b">
        <v>0</v>
      </c>
      <c r="U243" s="49"/>
      <c r="V243" s="345"/>
      <c r="W243" s="54"/>
    </row>
    <row r="244" spans="1:23" ht="16">
      <c r="A244" s="162"/>
      <c r="B244" s="132"/>
      <c r="C244" s="53"/>
      <c r="D244" s="53"/>
      <c r="E244" s="53"/>
      <c r="F244" s="53"/>
      <c r="G244" s="53"/>
      <c r="H244" s="53"/>
      <c r="I244" s="53"/>
      <c r="J244" s="54"/>
      <c r="K244" s="75"/>
      <c r="L244" s="55" t="b">
        <v>0</v>
      </c>
      <c r="M244" s="56"/>
      <c r="N244" s="57" t="b">
        <v>0</v>
      </c>
      <c r="O244" s="296"/>
      <c r="P244" s="387"/>
      <c r="Q244" s="312" t="b">
        <v>0</v>
      </c>
      <c r="R244" s="49"/>
      <c r="S244" s="49"/>
      <c r="T244" s="57" t="b">
        <v>0</v>
      </c>
      <c r="U244" s="49"/>
      <c r="V244" s="345"/>
      <c r="W244" s="54"/>
    </row>
    <row r="245" spans="1:23" ht="16">
      <c r="A245" s="162"/>
      <c r="B245" s="132"/>
      <c r="C245" s="53"/>
      <c r="D245" s="53"/>
      <c r="E245" s="53"/>
      <c r="F245" s="53"/>
      <c r="G245" s="53"/>
      <c r="H245" s="53"/>
      <c r="I245" s="53"/>
      <c r="J245" s="54"/>
      <c r="K245" s="75"/>
      <c r="L245" s="55" t="b">
        <v>0</v>
      </c>
      <c r="M245" s="56"/>
      <c r="N245" s="57" t="b">
        <v>0</v>
      </c>
      <c r="O245" s="296"/>
      <c r="P245" s="387"/>
      <c r="Q245" s="312" t="b">
        <v>0</v>
      </c>
      <c r="R245" s="49"/>
      <c r="S245" s="49"/>
      <c r="T245" s="57" t="b">
        <v>0</v>
      </c>
      <c r="U245" s="49"/>
      <c r="V245" s="345"/>
      <c r="W245" s="54"/>
    </row>
    <row r="246" spans="1:23" ht="16">
      <c r="A246" s="162"/>
      <c r="B246" s="132"/>
      <c r="C246" s="53"/>
      <c r="D246" s="53"/>
      <c r="E246" s="53"/>
      <c r="F246" s="53"/>
      <c r="G246" s="53"/>
      <c r="H246" s="53"/>
      <c r="I246" s="53"/>
      <c r="J246" s="54"/>
      <c r="K246" s="75"/>
      <c r="L246" s="55" t="b">
        <v>0</v>
      </c>
      <c r="M246" s="56"/>
      <c r="N246" s="57" t="b">
        <v>0</v>
      </c>
      <c r="O246" s="296"/>
      <c r="P246" s="387"/>
      <c r="Q246" s="312" t="b">
        <v>0</v>
      </c>
      <c r="R246" s="49"/>
      <c r="S246" s="49"/>
      <c r="T246" s="57" t="b">
        <v>0</v>
      </c>
      <c r="U246" s="49"/>
      <c r="V246" s="345"/>
      <c r="W246" s="54"/>
    </row>
    <row r="247" spans="1:23" ht="16">
      <c r="A247" s="162"/>
      <c r="B247" s="132"/>
      <c r="C247" s="53"/>
      <c r="D247" s="53"/>
      <c r="E247" s="53"/>
      <c r="F247" s="53"/>
      <c r="G247" s="53"/>
      <c r="H247" s="53"/>
      <c r="I247" s="53"/>
      <c r="J247" s="54"/>
      <c r="K247" s="75"/>
      <c r="L247" s="55" t="b">
        <v>0</v>
      </c>
      <c r="M247" s="56"/>
      <c r="N247" s="57" t="b">
        <v>0</v>
      </c>
      <c r="O247" s="296"/>
      <c r="P247" s="387"/>
      <c r="Q247" s="312" t="b">
        <v>0</v>
      </c>
      <c r="R247" s="49"/>
      <c r="S247" s="49"/>
      <c r="T247" s="57" t="b">
        <v>0</v>
      </c>
      <c r="U247" s="49"/>
      <c r="V247" s="345"/>
      <c r="W247" s="54"/>
    </row>
    <row r="248" spans="1:23" ht="16">
      <c r="A248" s="162"/>
      <c r="B248" s="132"/>
      <c r="C248" s="53"/>
      <c r="D248" s="53"/>
      <c r="E248" s="53"/>
      <c r="F248" s="53"/>
      <c r="G248" s="53"/>
      <c r="H248" s="53"/>
      <c r="I248" s="53"/>
      <c r="J248" s="54"/>
      <c r="K248" s="75"/>
      <c r="L248" s="55" t="b">
        <v>0</v>
      </c>
      <c r="M248" s="56"/>
      <c r="N248" s="57" t="b">
        <v>0</v>
      </c>
      <c r="O248" s="296"/>
      <c r="P248" s="387"/>
      <c r="Q248" s="312" t="b">
        <v>0</v>
      </c>
      <c r="R248" s="49"/>
      <c r="S248" s="49"/>
      <c r="T248" s="57" t="b">
        <v>0</v>
      </c>
      <c r="U248" s="49"/>
      <c r="V248" s="345"/>
      <c r="W248" s="54"/>
    </row>
    <row r="249" spans="1:23" ht="16">
      <c r="A249" s="162"/>
      <c r="B249" s="132"/>
      <c r="C249" s="53"/>
      <c r="D249" s="53"/>
      <c r="E249" s="53"/>
      <c r="F249" s="53"/>
      <c r="G249" s="53"/>
      <c r="H249" s="53"/>
      <c r="I249" s="53"/>
      <c r="J249" s="54"/>
      <c r="K249" s="75"/>
      <c r="L249" s="55" t="b">
        <v>0</v>
      </c>
      <c r="M249" s="56"/>
      <c r="N249" s="57" t="b">
        <v>0</v>
      </c>
      <c r="O249" s="296"/>
      <c r="P249" s="387"/>
      <c r="Q249" s="312" t="b">
        <v>0</v>
      </c>
      <c r="R249" s="49"/>
      <c r="S249" s="49"/>
      <c r="T249" s="57" t="b">
        <v>0</v>
      </c>
      <c r="U249" s="49"/>
      <c r="V249" s="345"/>
      <c r="W249" s="54"/>
    </row>
    <row r="250" spans="1:23" ht="16">
      <c r="A250" s="162"/>
      <c r="B250" s="132"/>
      <c r="C250" s="53"/>
      <c r="D250" s="53"/>
      <c r="E250" s="53"/>
      <c r="F250" s="53"/>
      <c r="G250" s="53"/>
      <c r="H250" s="53"/>
      <c r="I250" s="53"/>
      <c r="J250" s="54"/>
      <c r="K250" s="75"/>
      <c r="L250" s="55" t="b">
        <v>0</v>
      </c>
      <c r="M250" s="56"/>
      <c r="N250" s="57" t="b">
        <v>0</v>
      </c>
      <c r="O250" s="296"/>
      <c r="P250" s="387"/>
      <c r="Q250" s="312" t="b">
        <v>0</v>
      </c>
      <c r="R250" s="49"/>
      <c r="S250" s="49"/>
      <c r="T250" s="57" t="b">
        <v>0</v>
      </c>
      <c r="U250" s="49"/>
      <c r="V250" s="345"/>
      <c r="W250" s="54"/>
    </row>
    <row r="251" spans="1:23" ht="16">
      <c r="A251" s="162"/>
      <c r="B251" s="132"/>
      <c r="C251" s="53"/>
      <c r="D251" s="53"/>
      <c r="E251" s="53"/>
      <c r="F251" s="53"/>
      <c r="G251" s="53"/>
      <c r="H251" s="53"/>
      <c r="I251" s="53"/>
      <c r="J251" s="54"/>
      <c r="K251" s="75"/>
      <c r="L251" s="55" t="b">
        <v>0</v>
      </c>
      <c r="M251" s="56"/>
      <c r="N251" s="57" t="b">
        <v>0</v>
      </c>
      <c r="O251" s="296"/>
      <c r="P251" s="387"/>
      <c r="Q251" s="312" t="b">
        <v>0</v>
      </c>
      <c r="R251" s="49"/>
      <c r="S251" s="49"/>
      <c r="T251" s="57" t="b">
        <v>0</v>
      </c>
      <c r="U251" s="49"/>
      <c r="V251" s="345"/>
      <c r="W251" s="54"/>
    </row>
    <row r="252" spans="1:23" ht="16">
      <c r="J252" s="314"/>
      <c r="M252" s="350"/>
      <c r="P252" s="225"/>
      <c r="U252" s="315"/>
      <c r="V252" s="315"/>
    </row>
    <row r="253" spans="1:23" ht="16">
      <c r="J253" s="314"/>
      <c r="M253" s="350"/>
      <c r="P253" s="225"/>
      <c r="U253" s="315"/>
      <c r="V253" s="315"/>
    </row>
    <row r="254" spans="1:23" ht="16">
      <c r="J254" s="314"/>
      <c r="M254" s="350"/>
      <c r="P254" s="225"/>
      <c r="U254" s="315"/>
      <c r="V254" s="315"/>
    </row>
    <row r="255" spans="1:23" ht="16">
      <c r="J255" s="314"/>
      <c r="M255" s="350"/>
      <c r="P255" s="225"/>
      <c r="U255" s="315"/>
      <c r="V255" s="315"/>
    </row>
    <row r="256" spans="1:23" ht="16">
      <c r="J256" s="314"/>
      <c r="M256" s="350"/>
      <c r="P256" s="225"/>
      <c r="U256" s="315"/>
      <c r="V256" s="315"/>
    </row>
    <row r="257" spans="10:22" ht="16">
      <c r="J257" s="314"/>
      <c r="M257" s="350"/>
      <c r="P257" s="225"/>
      <c r="U257" s="315"/>
      <c r="V257" s="315"/>
    </row>
    <row r="258" spans="10:22" ht="16">
      <c r="J258" s="314"/>
      <c r="M258" s="350"/>
      <c r="P258" s="225"/>
      <c r="U258" s="315"/>
      <c r="V258" s="315"/>
    </row>
    <row r="259" spans="10:22" ht="16">
      <c r="J259" s="314"/>
      <c r="M259" s="350"/>
      <c r="P259" s="225"/>
      <c r="U259" s="315"/>
      <c r="V259" s="315"/>
    </row>
    <row r="260" spans="10:22" ht="16">
      <c r="J260" s="314"/>
      <c r="M260" s="350"/>
      <c r="P260" s="225"/>
      <c r="U260" s="315"/>
      <c r="V260" s="315"/>
    </row>
    <row r="261" spans="10:22" ht="16">
      <c r="J261" s="314"/>
      <c r="M261" s="350"/>
      <c r="P261" s="225"/>
      <c r="U261" s="315"/>
      <c r="V261" s="315"/>
    </row>
    <row r="262" spans="10:22" ht="16">
      <c r="J262" s="314"/>
      <c r="M262" s="350"/>
      <c r="P262" s="225"/>
      <c r="U262" s="315"/>
      <c r="V262" s="315"/>
    </row>
    <row r="263" spans="10:22" ht="16">
      <c r="J263" s="314"/>
      <c r="M263" s="350"/>
      <c r="P263" s="225"/>
      <c r="U263" s="315"/>
      <c r="V263" s="315"/>
    </row>
    <row r="264" spans="10:22" ht="16">
      <c r="J264" s="314"/>
      <c r="M264" s="350"/>
      <c r="P264" s="225"/>
      <c r="U264" s="315"/>
      <c r="V264" s="315"/>
    </row>
    <row r="265" spans="10:22" ht="16">
      <c r="J265" s="314"/>
      <c r="M265" s="350"/>
      <c r="P265" s="225"/>
      <c r="U265" s="315"/>
      <c r="V265" s="315"/>
    </row>
    <row r="266" spans="10:22" ht="16">
      <c r="J266" s="314"/>
      <c r="M266" s="350"/>
      <c r="P266" s="225"/>
      <c r="U266" s="315"/>
      <c r="V266" s="315"/>
    </row>
    <row r="267" spans="10:22" ht="16">
      <c r="J267" s="314"/>
      <c r="M267" s="350"/>
      <c r="P267" s="225"/>
      <c r="U267" s="315"/>
      <c r="V267" s="315"/>
    </row>
    <row r="268" spans="10:22" ht="16">
      <c r="J268" s="314"/>
      <c r="M268" s="350"/>
      <c r="P268" s="225"/>
      <c r="U268" s="315"/>
      <c r="V268" s="315"/>
    </row>
    <row r="269" spans="10:22" ht="16">
      <c r="J269" s="314"/>
      <c r="M269" s="350"/>
      <c r="P269" s="225"/>
      <c r="U269" s="315"/>
      <c r="V269" s="315"/>
    </row>
    <row r="270" spans="10:22" ht="16">
      <c r="J270" s="314"/>
      <c r="M270" s="350"/>
      <c r="P270" s="225"/>
      <c r="U270" s="315"/>
      <c r="V270" s="315"/>
    </row>
    <row r="271" spans="10:22" ht="16">
      <c r="J271" s="314"/>
      <c r="M271" s="350"/>
      <c r="P271" s="225"/>
      <c r="U271" s="315"/>
      <c r="V271" s="315"/>
    </row>
    <row r="272" spans="10:22" ht="16">
      <c r="J272" s="314"/>
      <c r="M272" s="350"/>
      <c r="P272" s="225"/>
      <c r="U272" s="315"/>
      <c r="V272" s="315"/>
    </row>
    <row r="273" spans="10:22" ht="16">
      <c r="J273" s="314"/>
      <c r="M273" s="350"/>
      <c r="P273" s="225"/>
      <c r="U273" s="315"/>
      <c r="V273" s="315"/>
    </row>
    <row r="274" spans="10:22" ht="16">
      <c r="J274" s="314"/>
      <c r="M274" s="350"/>
      <c r="P274" s="225"/>
      <c r="U274" s="315"/>
      <c r="V274" s="315"/>
    </row>
    <row r="275" spans="10:22" ht="16">
      <c r="J275" s="314"/>
      <c r="M275" s="350"/>
      <c r="P275" s="225"/>
      <c r="U275" s="315"/>
      <c r="V275" s="315"/>
    </row>
    <row r="276" spans="10:22" ht="16">
      <c r="J276" s="314"/>
      <c r="M276" s="350"/>
      <c r="P276" s="225"/>
      <c r="U276" s="315"/>
      <c r="V276" s="315"/>
    </row>
    <row r="277" spans="10:22" ht="16">
      <c r="J277" s="314"/>
      <c r="M277" s="350"/>
      <c r="P277" s="225"/>
      <c r="U277" s="315"/>
      <c r="V277" s="315"/>
    </row>
    <row r="278" spans="10:22" ht="16">
      <c r="J278" s="314"/>
      <c r="M278" s="350"/>
      <c r="P278" s="225"/>
      <c r="U278" s="315"/>
      <c r="V278" s="315"/>
    </row>
    <row r="279" spans="10:22" ht="16">
      <c r="J279" s="314"/>
      <c r="M279" s="350"/>
      <c r="P279" s="225"/>
      <c r="U279" s="315"/>
      <c r="V279" s="315"/>
    </row>
    <row r="280" spans="10:22" ht="16">
      <c r="J280" s="314"/>
      <c r="M280" s="350"/>
      <c r="P280" s="225"/>
      <c r="U280" s="315"/>
      <c r="V280" s="315"/>
    </row>
    <row r="281" spans="10:22" ht="16">
      <c r="J281" s="314"/>
      <c r="M281" s="350"/>
      <c r="P281" s="225"/>
      <c r="U281" s="315"/>
      <c r="V281" s="315"/>
    </row>
    <row r="282" spans="10:22" ht="16">
      <c r="J282" s="314"/>
      <c r="M282" s="350"/>
      <c r="P282" s="225"/>
      <c r="U282" s="315"/>
      <c r="V282" s="315"/>
    </row>
    <row r="283" spans="10:22" ht="16">
      <c r="J283" s="314"/>
      <c r="M283" s="350"/>
      <c r="P283" s="225"/>
      <c r="U283" s="315"/>
      <c r="V283" s="315"/>
    </row>
    <row r="284" spans="10:22" ht="16">
      <c r="J284" s="314"/>
      <c r="M284" s="350"/>
      <c r="P284" s="225"/>
      <c r="U284" s="315"/>
      <c r="V284" s="315"/>
    </row>
    <row r="285" spans="10:22" ht="16">
      <c r="J285" s="314"/>
      <c r="M285" s="350"/>
      <c r="P285" s="225"/>
      <c r="U285" s="315"/>
      <c r="V285" s="315"/>
    </row>
    <row r="286" spans="10:22" ht="16">
      <c r="J286" s="314"/>
      <c r="M286" s="350"/>
      <c r="P286" s="225"/>
      <c r="U286" s="315"/>
      <c r="V286" s="315"/>
    </row>
    <row r="287" spans="10:22" ht="16">
      <c r="J287" s="314"/>
      <c r="M287" s="350"/>
      <c r="P287" s="225"/>
      <c r="U287" s="315"/>
      <c r="V287" s="315"/>
    </row>
    <row r="288" spans="10:22" ht="16">
      <c r="J288" s="314"/>
      <c r="M288" s="350"/>
      <c r="P288" s="225"/>
      <c r="U288" s="315"/>
      <c r="V288" s="315"/>
    </row>
    <row r="289" spans="10:22" ht="16">
      <c r="J289" s="314"/>
      <c r="M289" s="350"/>
      <c r="P289" s="225"/>
      <c r="U289" s="315"/>
      <c r="V289" s="315"/>
    </row>
    <row r="290" spans="10:22" ht="16">
      <c r="J290" s="314"/>
      <c r="M290" s="350"/>
      <c r="P290" s="225"/>
      <c r="U290" s="315"/>
      <c r="V290" s="315"/>
    </row>
    <row r="291" spans="10:22" ht="16">
      <c r="J291" s="314"/>
      <c r="M291" s="350"/>
      <c r="P291" s="225"/>
      <c r="U291" s="315"/>
      <c r="V291" s="315"/>
    </row>
    <row r="292" spans="10:22" ht="16">
      <c r="J292" s="314"/>
      <c r="M292" s="350"/>
      <c r="P292" s="225"/>
      <c r="U292" s="315"/>
      <c r="V292" s="315"/>
    </row>
    <row r="293" spans="10:22" ht="16">
      <c r="J293" s="314"/>
      <c r="M293" s="350"/>
      <c r="P293" s="225"/>
      <c r="U293" s="315"/>
      <c r="V293" s="315"/>
    </row>
    <row r="294" spans="10:22" ht="16">
      <c r="J294" s="314"/>
      <c r="M294" s="350"/>
      <c r="P294" s="225"/>
      <c r="U294" s="315"/>
      <c r="V294" s="315"/>
    </row>
    <row r="295" spans="10:22" ht="16">
      <c r="J295" s="314"/>
      <c r="M295" s="350"/>
      <c r="P295" s="225"/>
      <c r="U295" s="315"/>
      <c r="V295" s="315"/>
    </row>
    <row r="296" spans="10:22" ht="16">
      <c r="J296" s="314"/>
      <c r="M296" s="350"/>
      <c r="P296" s="225"/>
      <c r="U296" s="315"/>
      <c r="V296" s="315"/>
    </row>
    <row r="297" spans="10:22" ht="16">
      <c r="J297" s="314"/>
      <c r="M297" s="350"/>
      <c r="P297" s="225"/>
      <c r="U297" s="315"/>
      <c r="V297" s="315"/>
    </row>
    <row r="298" spans="10:22" ht="16">
      <c r="J298" s="314"/>
      <c r="M298" s="350"/>
      <c r="P298" s="225"/>
      <c r="U298" s="315"/>
      <c r="V298" s="315"/>
    </row>
    <row r="299" spans="10:22" ht="16">
      <c r="J299" s="314"/>
      <c r="M299" s="350"/>
      <c r="P299" s="225"/>
      <c r="U299" s="315"/>
      <c r="V299" s="315"/>
    </row>
    <row r="300" spans="10:22" ht="16">
      <c r="J300" s="314"/>
      <c r="M300" s="350"/>
      <c r="P300" s="225"/>
      <c r="U300" s="315"/>
      <c r="V300" s="315"/>
    </row>
    <row r="301" spans="10:22" ht="16">
      <c r="J301" s="314"/>
      <c r="M301" s="350"/>
      <c r="P301" s="225"/>
      <c r="U301" s="315"/>
      <c r="V301" s="315"/>
    </row>
    <row r="302" spans="10:22" ht="16">
      <c r="J302" s="314"/>
      <c r="M302" s="350"/>
      <c r="P302" s="225"/>
      <c r="U302" s="315"/>
      <c r="V302" s="315"/>
    </row>
    <row r="303" spans="10:22" ht="16">
      <c r="J303" s="314"/>
      <c r="M303" s="350"/>
      <c r="P303" s="225"/>
      <c r="U303" s="315"/>
      <c r="V303" s="315"/>
    </row>
    <row r="304" spans="10:22" ht="16">
      <c r="J304" s="314"/>
      <c r="M304" s="350"/>
      <c r="P304" s="225"/>
      <c r="U304" s="315"/>
      <c r="V304" s="315"/>
    </row>
    <row r="305" spans="10:22" ht="16">
      <c r="J305" s="314"/>
      <c r="M305" s="350"/>
      <c r="P305" s="225"/>
      <c r="U305" s="315"/>
      <c r="V305" s="315"/>
    </row>
    <row r="306" spans="10:22" ht="16">
      <c r="J306" s="314"/>
      <c r="M306" s="350"/>
      <c r="P306" s="225"/>
      <c r="U306" s="315"/>
      <c r="V306" s="315"/>
    </row>
    <row r="307" spans="10:22" ht="16">
      <c r="J307" s="314"/>
      <c r="M307" s="350"/>
      <c r="P307" s="225"/>
      <c r="U307" s="315"/>
      <c r="V307" s="315"/>
    </row>
    <row r="308" spans="10:22" ht="16">
      <c r="J308" s="314"/>
      <c r="M308" s="350"/>
      <c r="P308" s="225"/>
      <c r="U308" s="315"/>
      <c r="V308" s="315"/>
    </row>
    <row r="309" spans="10:22" ht="16">
      <c r="J309" s="314"/>
      <c r="M309" s="350"/>
      <c r="P309" s="225"/>
      <c r="U309" s="315"/>
      <c r="V309" s="315"/>
    </row>
    <row r="310" spans="10:22" ht="16">
      <c r="J310" s="314"/>
      <c r="M310" s="350"/>
      <c r="P310" s="225"/>
      <c r="U310" s="315"/>
      <c r="V310" s="315"/>
    </row>
    <row r="311" spans="10:22" ht="16">
      <c r="J311" s="314"/>
      <c r="M311" s="350"/>
      <c r="P311" s="225"/>
      <c r="U311" s="315"/>
      <c r="V311" s="315"/>
    </row>
    <row r="312" spans="10:22" ht="16">
      <c r="J312" s="314"/>
      <c r="M312" s="350"/>
      <c r="P312" s="225"/>
      <c r="U312" s="315"/>
      <c r="V312" s="315"/>
    </row>
    <row r="313" spans="10:22" ht="16">
      <c r="J313" s="314"/>
      <c r="M313" s="350"/>
      <c r="P313" s="225"/>
      <c r="U313" s="315"/>
      <c r="V313" s="315"/>
    </row>
    <row r="314" spans="10:22" ht="16">
      <c r="J314" s="314"/>
      <c r="M314" s="350"/>
      <c r="P314" s="225"/>
      <c r="U314" s="315"/>
      <c r="V314" s="315"/>
    </row>
    <row r="315" spans="10:22" ht="16">
      <c r="J315" s="314"/>
      <c r="M315" s="350"/>
      <c r="P315" s="225"/>
      <c r="U315" s="315"/>
      <c r="V315" s="315"/>
    </row>
    <row r="316" spans="10:22" ht="16">
      <c r="J316" s="314"/>
      <c r="M316" s="350"/>
      <c r="P316" s="225"/>
      <c r="U316" s="315"/>
      <c r="V316" s="315"/>
    </row>
    <row r="317" spans="10:22" ht="16">
      <c r="J317" s="314"/>
      <c r="M317" s="350"/>
      <c r="P317" s="225"/>
      <c r="U317" s="315"/>
      <c r="V317" s="315"/>
    </row>
    <row r="318" spans="10:22" ht="16">
      <c r="J318" s="314"/>
      <c r="M318" s="350"/>
      <c r="P318" s="225"/>
      <c r="U318" s="315"/>
      <c r="V318" s="315"/>
    </row>
    <row r="319" spans="10:22" ht="16">
      <c r="J319" s="314"/>
      <c r="M319" s="350"/>
      <c r="P319" s="225"/>
      <c r="U319" s="315"/>
      <c r="V319" s="315"/>
    </row>
    <row r="320" spans="10:22" ht="16">
      <c r="J320" s="314"/>
      <c r="M320" s="350"/>
      <c r="P320" s="225"/>
      <c r="U320" s="315"/>
      <c r="V320" s="315"/>
    </row>
    <row r="321" spans="10:22" ht="16">
      <c r="J321" s="314"/>
      <c r="M321" s="350"/>
      <c r="P321" s="225"/>
      <c r="U321" s="315"/>
      <c r="V321" s="315"/>
    </row>
    <row r="322" spans="10:22" ht="16">
      <c r="J322" s="314"/>
      <c r="M322" s="350"/>
      <c r="P322" s="225"/>
      <c r="U322" s="315"/>
      <c r="V322" s="315"/>
    </row>
    <row r="323" spans="10:22" ht="16">
      <c r="J323" s="314"/>
      <c r="M323" s="350"/>
      <c r="P323" s="225"/>
      <c r="U323" s="315"/>
      <c r="V323" s="315"/>
    </row>
    <row r="324" spans="10:22" ht="16">
      <c r="J324" s="314"/>
      <c r="M324" s="350"/>
      <c r="P324" s="225"/>
      <c r="U324" s="315"/>
      <c r="V324" s="315"/>
    </row>
    <row r="325" spans="10:22" ht="16">
      <c r="J325" s="314"/>
      <c r="M325" s="350"/>
      <c r="P325" s="225"/>
      <c r="U325" s="315"/>
      <c r="V325" s="315"/>
    </row>
    <row r="326" spans="10:22" ht="16">
      <c r="J326" s="314"/>
      <c r="M326" s="350"/>
      <c r="P326" s="225"/>
      <c r="U326" s="315"/>
      <c r="V326" s="315"/>
    </row>
    <row r="327" spans="10:22" ht="16">
      <c r="J327" s="314"/>
      <c r="M327" s="350"/>
      <c r="P327" s="225"/>
      <c r="U327" s="315"/>
      <c r="V327" s="315"/>
    </row>
    <row r="328" spans="10:22" ht="16">
      <c r="J328" s="314"/>
      <c r="M328" s="350"/>
      <c r="P328" s="225"/>
      <c r="U328" s="315"/>
      <c r="V328" s="315"/>
    </row>
    <row r="329" spans="10:22" ht="16">
      <c r="J329" s="314"/>
      <c r="M329" s="350"/>
      <c r="P329" s="225"/>
      <c r="U329" s="315"/>
      <c r="V329" s="315"/>
    </row>
    <row r="330" spans="10:22" ht="16">
      <c r="J330" s="314"/>
      <c r="M330" s="350"/>
      <c r="P330" s="225"/>
      <c r="U330" s="315"/>
      <c r="V330" s="315"/>
    </row>
    <row r="331" spans="10:22" ht="16">
      <c r="J331" s="314"/>
      <c r="M331" s="350"/>
      <c r="P331" s="225"/>
      <c r="U331" s="315"/>
      <c r="V331" s="315"/>
    </row>
    <row r="332" spans="10:22" ht="16">
      <c r="J332" s="314"/>
      <c r="M332" s="350"/>
      <c r="P332" s="225"/>
      <c r="U332" s="315"/>
      <c r="V332" s="315"/>
    </row>
    <row r="333" spans="10:22" ht="16">
      <c r="J333" s="314"/>
      <c r="M333" s="350"/>
      <c r="P333" s="225"/>
      <c r="U333" s="315"/>
      <c r="V333" s="315"/>
    </row>
    <row r="334" spans="10:22" ht="16">
      <c r="J334" s="314"/>
      <c r="M334" s="350"/>
      <c r="P334" s="225"/>
      <c r="U334" s="315"/>
      <c r="V334" s="315"/>
    </row>
    <row r="335" spans="10:22" ht="16">
      <c r="J335" s="314"/>
      <c r="M335" s="350"/>
      <c r="P335" s="225"/>
      <c r="U335" s="315"/>
      <c r="V335" s="315"/>
    </row>
    <row r="336" spans="10:22" ht="16">
      <c r="J336" s="314"/>
      <c r="M336" s="350"/>
      <c r="P336" s="225"/>
      <c r="U336" s="315"/>
      <c r="V336" s="315"/>
    </row>
    <row r="337" spans="10:22" ht="16">
      <c r="J337" s="314"/>
      <c r="M337" s="350"/>
      <c r="P337" s="225"/>
      <c r="U337" s="315"/>
      <c r="V337" s="315"/>
    </row>
    <row r="338" spans="10:22" ht="16">
      <c r="J338" s="314"/>
      <c r="M338" s="350"/>
      <c r="P338" s="225"/>
      <c r="U338" s="315"/>
      <c r="V338" s="315"/>
    </row>
    <row r="339" spans="10:22" ht="16">
      <c r="J339" s="314"/>
      <c r="M339" s="350"/>
      <c r="P339" s="225"/>
      <c r="U339" s="315"/>
      <c r="V339" s="315"/>
    </row>
    <row r="340" spans="10:22" ht="16">
      <c r="J340" s="314"/>
      <c r="M340" s="350"/>
      <c r="P340" s="225"/>
      <c r="U340" s="315"/>
      <c r="V340" s="315"/>
    </row>
    <row r="341" spans="10:22" ht="16">
      <c r="J341" s="314"/>
      <c r="M341" s="350"/>
      <c r="P341" s="225"/>
      <c r="U341" s="315"/>
      <c r="V341" s="315"/>
    </row>
    <row r="342" spans="10:22" ht="16">
      <c r="J342" s="314"/>
      <c r="M342" s="350"/>
      <c r="P342" s="225"/>
      <c r="U342" s="315"/>
      <c r="V342" s="315"/>
    </row>
    <row r="343" spans="10:22" ht="16">
      <c r="J343" s="314"/>
      <c r="M343" s="350"/>
      <c r="P343" s="225"/>
      <c r="U343" s="315"/>
      <c r="V343" s="315"/>
    </row>
    <row r="344" spans="10:22" ht="16">
      <c r="J344" s="314"/>
      <c r="M344" s="350"/>
      <c r="P344" s="225"/>
      <c r="U344" s="315"/>
      <c r="V344" s="315"/>
    </row>
    <row r="345" spans="10:22" ht="16">
      <c r="J345" s="314"/>
      <c r="M345" s="350"/>
      <c r="P345" s="225"/>
      <c r="U345" s="315"/>
      <c r="V345" s="315"/>
    </row>
    <row r="346" spans="10:22" ht="16">
      <c r="J346" s="314"/>
      <c r="M346" s="350"/>
      <c r="P346" s="225"/>
      <c r="U346" s="315"/>
      <c r="V346" s="315"/>
    </row>
    <row r="347" spans="10:22" ht="16">
      <c r="J347" s="314"/>
      <c r="M347" s="350"/>
      <c r="P347" s="225"/>
      <c r="U347" s="315"/>
      <c r="V347" s="315"/>
    </row>
    <row r="348" spans="10:22" ht="16">
      <c r="J348" s="314"/>
      <c r="M348" s="350"/>
      <c r="P348" s="225"/>
      <c r="U348" s="315"/>
      <c r="V348" s="315"/>
    </row>
    <row r="349" spans="10:22" ht="16">
      <c r="J349" s="314"/>
      <c r="M349" s="350"/>
      <c r="P349" s="225"/>
      <c r="U349" s="315"/>
      <c r="V349" s="315"/>
    </row>
    <row r="350" spans="10:22" ht="16">
      <c r="J350" s="314"/>
      <c r="M350" s="350"/>
      <c r="P350" s="225"/>
      <c r="U350" s="315"/>
      <c r="V350" s="315"/>
    </row>
    <row r="351" spans="10:22" ht="16">
      <c r="J351" s="314"/>
      <c r="M351" s="350"/>
      <c r="P351" s="225"/>
      <c r="U351" s="315"/>
      <c r="V351" s="315"/>
    </row>
    <row r="352" spans="10:22" ht="16">
      <c r="J352" s="314"/>
      <c r="M352" s="350"/>
      <c r="P352" s="225"/>
      <c r="U352" s="315"/>
      <c r="V352" s="315"/>
    </row>
    <row r="353" spans="10:22" ht="16">
      <c r="J353" s="314"/>
      <c r="M353" s="350"/>
      <c r="P353" s="225"/>
      <c r="U353" s="315"/>
      <c r="V353" s="315"/>
    </row>
    <row r="354" spans="10:22" ht="16">
      <c r="J354" s="314"/>
      <c r="M354" s="350"/>
      <c r="P354" s="225"/>
      <c r="U354" s="315"/>
      <c r="V354" s="315"/>
    </row>
    <row r="355" spans="10:22" ht="16">
      <c r="J355" s="314"/>
      <c r="M355" s="350"/>
      <c r="P355" s="225"/>
      <c r="U355" s="315"/>
      <c r="V355" s="315"/>
    </row>
    <row r="356" spans="10:22" ht="16">
      <c r="J356" s="314"/>
      <c r="M356" s="350"/>
      <c r="P356" s="225"/>
      <c r="U356" s="315"/>
      <c r="V356" s="315"/>
    </row>
    <row r="357" spans="10:22" ht="16">
      <c r="J357" s="314"/>
      <c r="M357" s="350"/>
      <c r="P357" s="225"/>
      <c r="U357" s="315"/>
      <c r="V357" s="315"/>
    </row>
    <row r="358" spans="10:22" ht="16">
      <c r="J358" s="314"/>
      <c r="M358" s="350"/>
      <c r="P358" s="225"/>
      <c r="U358" s="315"/>
      <c r="V358" s="315"/>
    </row>
    <row r="359" spans="10:22" ht="16">
      <c r="J359" s="314"/>
      <c r="M359" s="350"/>
      <c r="P359" s="225"/>
      <c r="U359" s="315"/>
      <c r="V359" s="315"/>
    </row>
    <row r="360" spans="10:22" ht="16">
      <c r="J360" s="314"/>
      <c r="M360" s="350"/>
      <c r="P360" s="225"/>
      <c r="U360" s="315"/>
      <c r="V360" s="315"/>
    </row>
    <row r="361" spans="10:22" ht="16">
      <c r="J361" s="314"/>
      <c r="M361" s="350"/>
      <c r="P361" s="225"/>
      <c r="U361" s="315"/>
      <c r="V361" s="315"/>
    </row>
    <row r="362" spans="10:22" ht="16">
      <c r="J362" s="314"/>
      <c r="M362" s="350"/>
      <c r="P362" s="225"/>
      <c r="U362" s="315"/>
      <c r="V362" s="315"/>
    </row>
    <row r="363" spans="10:22" ht="16">
      <c r="J363" s="314"/>
      <c r="M363" s="350"/>
      <c r="P363" s="225"/>
      <c r="U363" s="315"/>
      <c r="V363" s="315"/>
    </row>
    <row r="364" spans="10:22" ht="16">
      <c r="J364" s="314"/>
      <c r="M364" s="350"/>
      <c r="P364" s="225"/>
      <c r="U364" s="315"/>
      <c r="V364" s="315"/>
    </row>
    <row r="365" spans="10:22" ht="16">
      <c r="J365" s="314"/>
      <c r="M365" s="350"/>
      <c r="P365" s="225"/>
      <c r="U365" s="315"/>
      <c r="V365" s="315"/>
    </row>
    <row r="366" spans="10:22" ht="16">
      <c r="J366" s="314"/>
      <c r="M366" s="350"/>
      <c r="P366" s="225"/>
      <c r="U366" s="315"/>
      <c r="V366" s="315"/>
    </row>
    <row r="367" spans="10:22" ht="16">
      <c r="J367" s="314"/>
      <c r="M367" s="350"/>
      <c r="P367" s="225"/>
      <c r="U367" s="315"/>
      <c r="V367" s="315"/>
    </row>
    <row r="368" spans="10:22" ht="16">
      <c r="J368" s="314"/>
      <c r="M368" s="350"/>
      <c r="P368" s="225"/>
      <c r="U368" s="315"/>
      <c r="V368" s="315"/>
    </row>
    <row r="369" spans="10:22" ht="16">
      <c r="J369" s="314"/>
      <c r="M369" s="350"/>
      <c r="P369" s="225"/>
      <c r="U369" s="315"/>
      <c r="V369" s="315"/>
    </row>
    <row r="370" spans="10:22" ht="16">
      <c r="J370" s="314"/>
      <c r="M370" s="350"/>
      <c r="P370" s="225"/>
      <c r="U370" s="315"/>
      <c r="V370" s="315"/>
    </row>
    <row r="371" spans="10:22" ht="16">
      <c r="J371" s="314"/>
      <c r="M371" s="350"/>
      <c r="P371" s="225"/>
      <c r="U371" s="315"/>
      <c r="V371" s="315"/>
    </row>
    <row r="372" spans="10:22" ht="16">
      <c r="J372" s="314"/>
      <c r="M372" s="350"/>
      <c r="P372" s="225"/>
      <c r="U372" s="315"/>
      <c r="V372" s="315"/>
    </row>
    <row r="373" spans="10:22" ht="16">
      <c r="J373" s="314"/>
      <c r="M373" s="350"/>
      <c r="P373" s="225"/>
      <c r="U373" s="315"/>
      <c r="V373" s="315"/>
    </row>
    <row r="374" spans="10:22" ht="16">
      <c r="J374" s="314"/>
      <c r="M374" s="350"/>
      <c r="P374" s="225"/>
      <c r="U374" s="315"/>
      <c r="V374" s="315"/>
    </row>
    <row r="375" spans="10:22" ht="16">
      <c r="J375" s="314"/>
      <c r="M375" s="350"/>
      <c r="P375" s="225"/>
      <c r="U375" s="315"/>
      <c r="V375" s="315"/>
    </row>
    <row r="376" spans="10:22" ht="16">
      <c r="J376" s="314"/>
      <c r="M376" s="350"/>
      <c r="P376" s="225"/>
      <c r="U376" s="315"/>
      <c r="V376" s="315"/>
    </row>
    <row r="377" spans="10:22" ht="16">
      <c r="J377" s="314"/>
      <c r="M377" s="350"/>
      <c r="P377" s="225"/>
      <c r="U377" s="315"/>
      <c r="V377" s="315"/>
    </row>
    <row r="378" spans="10:22" ht="16">
      <c r="J378" s="314"/>
      <c r="M378" s="350"/>
      <c r="P378" s="225"/>
      <c r="U378" s="315"/>
      <c r="V378" s="315"/>
    </row>
    <row r="379" spans="10:22" ht="16">
      <c r="J379" s="314"/>
      <c r="M379" s="350"/>
      <c r="P379" s="225"/>
      <c r="U379" s="315"/>
      <c r="V379" s="315"/>
    </row>
    <row r="380" spans="10:22" ht="16">
      <c r="J380" s="314"/>
      <c r="M380" s="350"/>
      <c r="P380" s="225"/>
      <c r="U380" s="315"/>
      <c r="V380" s="315"/>
    </row>
    <row r="381" spans="10:22" ht="16">
      <c r="J381" s="314"/>
      <c r="M381" s="350"/>
      <c r="P381" s="225"/>
      <c r="U381" s="315"/>
      <c r="V381" s="315"/>
    </row>
    <row r="382" spans="10:22" ht="16">
      <c r="J382" s="314"/>
      <c r="M382" s="350"/>
      <c r="P382" s="225"/>
      <c r="U382" s="315"/>
      <c r="V382" s="315"/>
    </row>
    <row r="383" spans="10:22" ht="16">
      <c r="J383" s="314"/>
      <c r="M383" s="350"/>
      <c r="P383" s="225"/>
      <c r="U383" s="315"/>
      <c r="V383" s="315"/>
    </row>
    <row r="384" spans="10:22" ht="16">
      <c r="J384" s="314"/>
      <c r="M384" s="350"/>
      <c r="P384" s="225"/>
      <c r="U384" s="315"/>
      <c r="V384" s="315"/>
    </row>
    <row r="385" spans="10:22" ht="16">
      <c r="J385" s="314"/>
      <c r="M385" s="350"/>
      <c r="P385" s="225"/>
      <c r="U385" s="315"/>
      <c r="V385" s="315"/>
    </row>
    <row r="386" spans="10:22" ht="16">
      <c r="J386" s="314"/>
      <c r="M386" s="350"/>
      <c r="P386" s="225"/>
      <c r="U386" s="315"/>
      <c r="V386" s="315"/>
    </row>
    <row r="387" spans="10:22" ht="16">
      <c r="J387" s="314"/>
      <c r="M387" s="350"/>
      <c r="P387" s="225"/>
      <c r="U387" s="315"/>
      <c r="V387" s="315"/>
    </row>
    <row r="388" spans="10:22" ht="16">
      <c r="J388" s="314"/>
      <c r="M388" s="350"/>
      <c r="P388" s="225"/>
      <c r="U388" s="315"/>
      <c r="V388" s="315"/>
    </row>
    <row r="389" spans="10:22" ht="16">
      <c r="J389" s="314"/>
      <c r="M389" s="350"/>
      <c r="P389" s="225"/>
      <c r="U389" s="315"/>
      <c r="V389" s="315"/>
    </row>
    <row r="390" spans="10:22" ht="16">
      <c r="J390" s="314"/>
      <c r="M390" s="350"/>
      <c r="P390" s="225"/>
      <c r="U390" s="315"/>
      <c r="V390" s="315"/>
    </row>
    <row r="391" spans="10:22" ht="16">
      <c r="J391" s="314"/>
      <c r="M391" s="350"/>
      <c r="P391" s="225"/>
      <c r="U391" s="315"/>
      <c r="V391" s="315"/>
    </row>
    <row r="392" spans="10:22" ht="16">
      <c r="J392" s="314"/>
      <c r="M392" s="350"/>
      <c r="P392" s="225"/>
      <c r="U392" s="315"/>
      <c r="V392" s="315"/>
    </row>
    <row r="393" spans="10:22" ht="16">
      <c r="J393" s="314"/>
      <c r="M393" s="350"/>
      <c r="P393" s="225"/>
      <c r="U393" s="315"/>
      <c r="V393" s="315"/>
    </row>
    <row r="394" spans="10:22" ht="16">
      <c r="J394" s="314"/>
      <c r="M394" s="350"/>
      <c r="P394" s="225"/>
      <c r="U394" s="315"/>
      <c r="V394" s="315"/>
    </row>
    <row r="395" spans="10:22" ht="16">
      <c r="J395" s="314"/>
      <c r="M395" s="350"/>
      <c r="P395" s="225"/>
      <c r="U395" s="315"/>
      <c r="V395" s="315"/>
    </row>
    <row r="396" spans="10:22" ht="16">
      <c r="J396" s="314"/>
      <c r="M396" s="350"/>
      <c r="P396" s="225"/>
      <c r="U396" s="315"/>
      <c r="V396" s="315"/>
    </row>
    <row r="397" spans="10:22" ht="16">
      <c r="J397" s="314"/>
      <c r="M397" s="350"/>
      <c r="P397" s="225"/>
      <c r="U397" s="315"/>
      <c r="V397" s="315"/>
    </row>
    <row r="398" spans="10:22" ht="16">
      <c r="J398" s="314"/>
      <c r="M398" s="350"/>
      <c r="P398" s="225"/>
      <c r="U398" s="315"/>
      <c r="V398" s="315"/>
    </row>
    <row r="399" spans="10:22" ht="16">
      <c r="J399" s="314"/>
      <c r="M399" s="350"/>
      <c r="P399" s="225"/>
      <c r="U399" s="315"/>
      <c r="V399" s="315"/>
    </row>
    <row r="400" spans="10:22" ht="16">
      <c r="J400" s="314"/>
      <c r="M400" s="350"/>
      <c r="P400" s="225"/>
      <c r="U400" s="315"/>
      <c r="V400" s="315"/>
    </row>
    <row r="401" spans="10:22" ht="16">
      <c r="J401" s="314"/>
      <c r="M401" s="350"/>
      <c r="P401" s="225"/>
      <c r="U401" s="315"/>
      <c r="V401" s="315"/>
    </row>
    <row r="402" spans="10:22" ht="16">
      <c r="J402" s="314"/>
      <c r="M402" s="350"/>
      <c r="P402" s="225"/>
      <c r="U402" s="315"/>
      <c r="V402" s="315"/>
    </row>
    <row r="403" spans="10:22" ht="16">
      <c r="J403" s="314"/>
      <c r="M403" s="350"/>
      <c r="P403" s="225"/>
      <c r="U403" s="315"/>
      <c r="V403" s="315"/>
    </row>
    <row r="404" spans="10:22" ht="16">
      <c r="J404" s="314"/>
      <c r="M404" s="350"/>
      <c r="P404" s="225"/>
      <c r="U404" s="315"/>
      <c r="V404" s="315"/>
    </row>
    <row r="405" spans="10:22" ht="16">
      <c r="J405" s="314"/>
      <c r="M405" s="350"/>
      <c r="P405" s="225"/>
      <c r="U405" s="315"/>
      <c r="V405" s="315"/>
    </row>
    <row r="406" spans="10:22" ht="16">
      <c r="J406" s="314"/>
      <c r="M406" s="350"/>
      <c r="P406" s="225"/>
      <c r="U406" s="315"/>
      <c r="V406" s="315"/>
    </row>
    <row r="407" spans="10:22" ht="16">
      <c r="J407" s="314"/>
      <c r="M407" s="350"/>
      <c r="P407" s="225"/>
      <c r="U407" s="315"/>
      <c r="V407" s="315"/>
    </row>
    <row r="408" spans="10:22" ht="16">
      <c r="J408" s="314"/>
      <c r="M408" s="350"/>
      <c r="P408" s="225"/>
      <c r="U408" s="315"/>
      <c r="V408" s="315"/>
    </row>
    <row r="409" spans="10:22" ht="16">
      <c r="J409" s="314"/>
      <c r="M409" s="350"/>
      <c r="P409" s="225"/>
      <c r="U409" s="315"/>
      <c r="V409" s="315"/>
    </row>
    <row r="410" spans="10:22" ht="16">
      <c r="J410" s="314"/>
      <c r="M410" s="350"/>
      <c r="P410" s="225"/>
      <c r="U410" s="315"/>
      <c r="V410" s="315"/>
    </row>
    <row r="411" spans="10:22" ht="16">
      <c r="J411" s="314"/>
      <c r="M411" s="350"/>
      <c r="P411" s="225"/>
      <c r="U411" s="315"/>
      <c r="V411" s="315"/>
    </row>
    <row r="412" spans="10:22" ht="16">
      <c r="J412" s="314"/>
      <c r="M412" s="350"/>
      <c r="P412" s="225"/>
      <c r="U412" s="315"/>
      <c r="V412" s="315"/>
    </row>
    <row r="413" spans="10:22" ht="16">
      <c r="J413" s="314"/>
      <c r="M413" s="350"/>
      <c r="P413" s="225"/>
      <c r="U413" s="315"/>
      <c r="V413" s="315"/>
    </row>
    <row r="414" spans="10:22" ht="16">
      <c r="J414" s="314"/>
      <c r="M414" s="350"/>
      <c r="P414" s="225"/>
      <c r="U414" s="315"/>
      <c r="V414" s="315"/>
    </row>
    <row r="415" spans="10:22" ht="16">
      <c r="J415" s="314"/>
      <c r="M415" s="350"/>
      <c r="P415" s="225"/>
      <c r="U415" s="315"/>
      <c r="V415" s="315"/>
    </row>
    <row r="416" spans="10:22" ht="16">
      <c r="J416" s="314"/>
      <c r="M416" s="350"/>
      <c r="P416" s="225"/>
      <c r="U416" s="315"/>
      <c r="V416" s="315"/>
    </row>
    <row r="417" spans="10:22" ht="16">
      <c r="J417" s="314"/>
      <c r="M417" s="350"/>
      <c r="P417" s="225"/>
      <c r="U417" s="315"/>
      <c r="V417" s="315"/>
    </row>
    <row r="418" spans="10:22" ht="16">
      <c r="J418" s="314"/>
      <c r="M418" s="350"/>
      <c r="P418" s="225"/>
      <c r="U418" s="315"/>
      <c r="V418" s="315"/>
    </row>
    <row r="419" spans="10:22" ht="16">
      <c r="J419" s="314"/>
      <c r="M419" s="350"/>
      <c r="P419" s="225"/>
      <c r="U419" s="315"/>
      <c r="V419" s="315"/>
    </row>
    <row r="420" spans="10:22" ht="16">
      <c r="J420" s="314"/>
      <c r="M420" s="350"/>
      <c r="P420" s="225"/>
      <c r="U420" s="315"/>
      <c r="V420" s="315"/>
    </row>
    <row r="421" spans="10:22" ht="16">
      <c r="J421" s="314"/>
      <c r="M421" s="350"/>
      <c r="P421" s="225"/>
      <c r="U421" s="315"/>
      <c r="V421" s="315"/>
    </row>
    <row r="422" spans="10:22" ht="16">
      <c r="J422" s="314"/>
      <c r="M422" s="350"/>
      <c r="P422" s="225"/>
      <c r="U422" s="315"/>
      <c r="V422" s="315"/>
    </row>
    <row r="423" spans="10:22" ht="16">
      <c r="J423" s="314"/>
      <c r="M423" s="350"/>
      <c r="P423" s="225"/>
      <c r="U423" s="315"/>
      <c r="V423" s="315"/>
    </row>
    <row r="424" spans="10:22" ht="16">
      <c r="J424" s="314"/>
      <c r="M424" s="350"/>
      <c r="P424" s="225"/>
      <c r="U424" s="315"/>
      <c r="V424" s="315"/>
    </row>
    <row r="425" spans="10:22" ht="16">
      <c r="J425" s="314"/>
      <c r="M425" s="350"/>
      <c r="P425" s="225"/>
      <c r="U425" s="315"/>
      <c r="V425" s="315"/>
    </row>
    <row r="426" spans="10:22" ht="16">
      <c r="J426" s="314"/>
      <c r="M426" s="350"/>
      <c r="P426" s="225"/>
      <c r="U426" s="315"/>
      <c r="V426" s="315"/>
    </row>
    <row r="427" spans="10:22" ht="16">
      <c r="J427" s="314"/>
      <c r="M427" s="350"/>
      <c r="P427" s="225"/>
      <c r="U427" s="315"/>
      <c r="V427" s="315"/>
    </row>
    <row r="428" spans="10:22" ht="16">
      <c r="J428" s="314"/>
      <c r="M428" s="350"/>
      <c r="P428" s="225"/>
      <c r="U428" s="315"/>
      <c r="V428" s="315"/>
    </row>
    <row r="429" spans="10:22" ht="16">
      <c r="J429" s="314"/>
      <c r="M429" s="350"/>
      <c r="P429" s="225"/>
      <c r="U429" s="315"/>
      <c r="V429" s="315"/>
    </row>
    <row r="430" spans="10:22" ht="16">
      <c r="J430" s="314"/>
      <c r="M430" s="350"/>
      <c r="P430" s="225"/>
      <c r="U430" s="315"/>
      <c r="V430" s="315"/>
    </row>
    <row r="431" spans="10:22" ht="16">
      <c r="J431" s="314"/>
      <c r="M431" s="350"/>
      <c r="P431" s="225"/>
      <c r="U431" s="315"/>
      <c r="V431" s="315"/>
    </row>
    <row r="432" spans="10:22" ht="16">
      <c r="J432" s="314"/>
      <c r="M432" s="350"/>
      <c r="P432" s="225"/>
      <c r="U432" s="315"/>
      <c r="V432" s="315"/>
    </row>
    <row r="433" spans="10:22" ht="16">
      <c r="J433" s="314"/>
      <c r="M433" s="350"/>
      <c r="P433" s="225"/>
      <c r="U433" s="315"/>
      <c r="V433" s="315"/>
    </row>
    <row r="434" spans="10:22" ht="16">
      <c r="J434" s="314"/>
      <c r="M434" s="350"/>
      <c r="P434" s="225"/>
      <c r="U434" s="315"/>
      <c r="V434" s="315"/>
    </row>
    <row r="435" spans="10:22" ht="16">
      <c r="J435" s="314"/>
      <c r="M435" s="350"/>
      <c r="P435" s="225"/>
      <c r="U435" s="315"/>
      <c r="V435" s="315"/>
    </row>
    <row r="436" spans="10:22" ht="16">
      <c r="J436" s="314"/>
      <c r="M436" s="350"/>
      <c r="P436" s="225"/>
      <c r="U436" s="315"/>
      <c r="V436" s="315"/>
    </row>
    <row r="437" spans="10:22" ht="16">
      <c r="J437" s="314"/>
      <c r="M437" s="350"/>
      <c r="P437" s="225"/>
      <c r="U437" s="315"/>
      <c r="V437" s="315"/>
    </row>
    <row r="438" spans="10:22" ht="16">
      <c r="J438" s="314"/>
      <c r="M438" s="350"/>
      <c r="P438" s="225"/>
      <c r="U438" s="315"/>
      <c r="V438" s="315"/>
    </row>
    <row r="439" spans="10:22" ht="16">
      <c r="J439" s="314"/>
      <c r="M439" s="350"/>
      <c r="P439" s="225"/>
      <c r="U439" s="315"/>
      <c r="V439" s="315"/>
    </row>
    <row r="440" spans="10:22" ht="16">
      <c r="J440" s="314"/>
      <c r="M440" s="350"/>
      <c r="P440" s="225"/>
      <c r="U440" s="315"/>
      <c r="V440" s="315"/>
    </row>
    <row r="441" spans="10:22" ht="16">
      <c r="J441" s="314"/>
      <c r="M441" s="350"/>
      <c r="P441" s="225"/>
      <c r="U441" s="315"/>
      <c r="V441" s="315"/>
    </row>
    <row r="442" spans="10:22" ht="16">
      <c r="J442" s="314"/>
      <c r="M442" s="350"/>
      <c r="P442" s="225"/>
      <c r="U442" s="315"/>
      <c r="V442" s="315"/>
    </row>
    <row r="443" spans="10:22" ht="16">
      <c r="J443" s="314"/>
      <c r="M443" s="350"/>
      <c r="P443" s="225"/>
      <c r="U443" s="315"/>
      <c r="V443" s="315"/>
    </row>
    <row r="444" spans="10:22" ht="16">
      <c r="J444" s="314"/>
      <c r="M444" s="350"/>
      <c r="P444" s="225"/>
      <c r="U444" s="315"/>
      <c r="V444" s="315"/>
    </row>
    <row r="445" spans="10:22" ht="16">
      <c r="J445" s="314"/>
      <c r="M445" s="350"/>
      <c r="P445" s="225"/>
      <c r="U445" s="315"/>
      <c r="V445" s="315"/>
    </row>
    <row r="446" spans="10:22" ht="16">
      <c r="J446" s="314"/>
      <c r="M446" s="350"/>
      <c r="P446" s="225"/>
      <c r="U446" s="315"/>
      <c r="V446" s="315"/>
    </row>
    <row r="447" spans="10:22" ht="16">
      <c r="J447" s="314"/>
      <c r="M447" s="350"/>
      <c r="P447" s="225"/>
      <c r="U447" s="315"/>
      <c r="V447" s="315"/>
    </row>
    <row r="448" spans="10:22" ht="16">
      <c r="J448" s="314"/>
      <c r="M448" s="350"/>
      <c r="P448" s="225"/>
      <c r="U448" s="315"/>
      <c r="V448" s="315"/>
    </row>
    <row r="449" spans="10:22" ht="16">
      <c r="J449" s="314"/>
      <c r="M449" s="350"/>
      <c r="P449" s="225"/>
      <c r="U449" s="315"/>
      <c r="V449" s="315"/>
    </row>
    <row r="450" spans="10:22" ht="16">
      <c r="J450" s="314"/>
      <c r="M450" s="350"/>
      <c r="P450" s="225"/>
      <c r="U450" s="315"/>
      <c r="V450" s="315"/>
    </row>
    <row r="451" spans="10:22" ht="16">
      <c r="J451" s="314"/>
      <c r="M451" s="350"/>
      <c r="P451" s="225"/>
      <c r="U451" s="315"/>
      <c r="V451" s="315"/>
    </row>
    <row r="452" spans="10:22" ht="16">
      <c r="J452" s="314"/>
      <c r="M452" s="350"/>
      <c r="P452" s="225"/>
      <c r="U452" s="315"/>
      <c r="V452" s="315"/>
    </row>
    <row r="453" spans="10:22" ht="16">
      <c r="J453" s="314"/>
      <c r="M453" s="350"/>
      <c r="P453" s="225"/>
      <c r="U453" s="315"/>
      <c r="V453" s="315"/>
    </row>
    <row r="454" spans="10:22" ht="16">
      <c r="J454" s="314"/>
      <c r="M454" s="350"/>
      <c r="P454" s="225"/>
      <c r="U454" s="315"/>
      <c r="V454" s="315"/>
    </row>
    <row r="455" spans="10:22" ht="16">
      <c r="J455" s="314"/>
      <c r="M455" s="350"/>
      <c r="P455" s="225"/>
      <c r="U455" s="315"/>
      <c r="V455" s="315"/>
    </row>
    <row r="456" spans="10:22" ht="16">
      <c r="J456" s="314"/>
      <c r="M456" s="350"/>
      <c r="P456" s="225"/>
      <c r="U456" s="315"/>
      <c r="V456" s="315"/>
    </row>
    <row r="457" spans="10:22" ht="16">
      <c r="J457" s="314"/>
      <c r="M457" s="350"/>
      <c r="P457" s="225"/>
      <c r="U457" s="315"/>
      <c r="V457" s="315"/>
    </row>
    <row r="458" spans="10:22" ht="16">
      <c r="J458" s="314"/>
      <c r="M458" s="350"/>
      <c r="P458" s="225"/>
      <c r="U458" s="315"/>
      <c r="V458" s="315"/>
    </row>
    <row r="459" spans="10:22" ht="16">
      <c r="J459" s="314"/>
      <c r="M459" s="350"/>
      <c r="P459" s="225"/>
      <c r="U459" s="315"/>
      <c r="V459" s="315"/>
    </row>
    <row r="460" spans="10:22" ht="16">
      <c r="J460" s="314"/>
      <c r="M460" s="350"/>
      <c r="P460" s="225"/>
      <c r="U460" s="315"/>
      <c r="V460" s="315"/>
    </row>
    <row r="461" spans="10:22" ht="16">
      <c r="J461" s="314"/>
      <c r="M461" s="350"/>
      <c r="P461" s="225"/>
      <c r="U461" s="315"/>
      <c r="V461" s="315"/>
    </row>
    <row r="462" spans="10:22" ht="16">
      <c r="J462" s="314"/>
      <c r="M462" s="350"/>
      <c r="P462" s="225"/>
      <c r="U462" s="315"/>
      <c r="V462" s="315"/>
    </row>
    <row r="463" spans="10:22" ht="16">
      <c r="J463" s="314"/>
      <c r="M463" s="350"/>
      <c r="P463" s="225"/>
      <c r="U463" s="315"/>
      <c r="V463" s="315"/>
    </row>
    <row r="464" spans="10:22" ht="16">
      <c r="J464" s="314"/>
      <c r="M464" s="350"/>
      <c r="P464" s="225"/>
      <c r="U464" s="315"/>
      <c r="V464" s="315"/>
    </row>
    <row r="465" spans="10:22" ht="16">
      <c r="J465" s="314"/>
      <c r="M465" s="350"/>
      <c r="P465" s="225"/>
      <c r="U465" s="315"/>
      <c r="V465" s="315"/>
    </row>
    <row r="466" spans="10:22" ht="16">
      <c r="J466" s="314"/>
      <c r="M466" s="350"/>
      <c r="P466" s="225"/>
      <c r="U466" s="315"/>
      <c r="V466" s="315"/>
    </row>
    <row r="467" spans="10:22" ht="16">
      <c r="J467" s="314"/>
      <c r="M467" s="350"/>
      <c r="P467" s="225"/>
      <c r="U467" s="315"/>
      <c r="V467" s="315"/>
    </row>
    <row r="468" spans="10:22" ht="16">
      <c r="J468" s="314"/>
      <c r="M468" s="350"/>
      <c r="P468" s="225"/>
      <c r="U468" s="315"/>
      <c r="V468" s="315"/>
    </row>
    <row r="469" spans="10:22" ht="16">
      <c r="J469" s="314"/>
      <c r="M469" s="350"/>
      <c r="P469" s="225"/>
      <c r="U469" s="315"/>
      <c r="V469" s="315"/>
    </row>
    <row r="470" spans="10:22" ht="16">
      <c r="J470" s="314"/>
      <c r="M470" s="350"/>
      <c r="P470" s="225"/>
      <c r="U470" s="315"/>
      <c r="V470" s="315"/>
    </row>
    <row r="471" spans="10:22" ht="16">
      <c r="J471" s="314"/>
      <c r="M471" s="350"/>
      <c r="P471" s="225"/>
      <c r="U471" s="315"/>
      <c r="V471" s="315"/>
    </row>
    <row r="472" spans="10:22" ht="16">
      <c r="J472" s="314"/>
      <c r="M472" s="350"/>
      <c r="P472" s="225"/>
      <c r="U472" s="315"/>
      <c r="V472" s="315"/>
    </row>
    <row r="473" spans="10:22" ht="16">
      <c r="J473" s="314"/>
      <c r="M473" s="350"/>
      <c r="P473" s="225"/>
      <c r="U473" s="315"/>
      <c r="V473" s="315"/>
    </row>
    <row r="474" spans="10:22" ht="16">
      <c r="J474" s="314"/>
      <c r="M474" s="350"/>
      <c r="P474" s="225"/>
      <c r="U474" s="315"/>
      <c r="V474" s="315"/>
    </row>
    <row r="475" spans="10:22" ht="16">
      <c r="J475" s="314"/>
      <c r="M475" s="350"/>
      <c r="P475" s="225"/>
      <c r="U475" s="315"/>
      <c r="V475" s="315"/>
    </row>
    <row r="476" spans="10:22" ht="16">
      <c r="J476" s="314"/>
      <c r="M476" s="350"/>
      <c r="P476" s="225"/>
      <c r="U476" s="315"/>
      <c r="V476" s="315"/>
    </row>
    <row r="477" spans="10:22" ht="16">
      <c r="J477" s="314"/>
      <c r="M477" s="350"/>
      <c r="P477" s="225"/>
      <c r="U477" s="315"/>
      <c r="V477" s="315"/>
    </row>
    <row r="478" spans="10:22" ht="16">
      <c r="J478" s="314"/>
      <c r="M478" s="350"/>
      <c r="P478" s="225"/>
      <c r="U478" s="315"/>
      <c r="V478" s="315"/>
    </row>
    <row r="479" spans="10:22" ht="16">
      <c r="J479" s="314"/>
      <c r="M479" s="350"/>
      <c r="P479" s="225"/>
      <c r="U479" s="315"/>
      <c r="V479" s="315"/>
    </row>
    <row r="480" spans="10:22" ht="16">
      <c r="J480" s="314"/>
      <c r="M480" s="350"/>
      <c r="P480" s="225"/>
      <c r="U480" s="315"/>
      <c r="V480" s="315"/>
    </row>
    <row r="481" spans="10:22" ht="16">
      <c r="J481" s="314"/>
      <c r="M481" s="350"/>
      <c r="P481" s="225"/>
      <c r="U481" s="315"/>
      <c r="V481" s="315"/>
    </row>
    <row r="482" spans="10:22" ht="16">
      <c r="J482" s="314"/>
      <c r="M482" s="350"/>
      <c r="P482" s="225"/>
      <c r="U482" s="315"/>
      <c r="V482" s="315"/>
    </row>
    <row r="483" spans="10:22" ht="16">
      <c r="J483" s="314"/>
      <c r="M483" s="350"/>
      <c r="P483" s="225"/>
      <c r="U483" s="315"/>
      <c r="V483" s="315"/>
    </row>
    <row r="484" spans="10:22" ht="16">
      <c r="J484" s="314"/>
      <c r="M484" s="350"/>
      <c r="P484" s="225"/>
      <c r="U484" s="315"/>
      <c r="V484" s="315"/>
    </row>
    <row r="485" spans="10:22" ht="16">
      <c r="J485" s="314"/>
      <c r="M485" s="350"/>
      <c r="P485" s="225"/>
      <c r="U485" s="315"/>
      <c r="V485" s="315"/>
    </row>
    <row r="486" spans="10:22" ht="16">
      <c r="J486" s="314"/>
      <c r="M486" s="350"/>
      <c r="P486" s="225"/>
      <c r="U486" s="315"/>
      <c r="V486" s="315"/>
    </row>
    <row r="487" spans="10:22" ht="16">
      <c r="J487" s="314"/>
      <c r="M487" s="350"/>
      <c r="P487" s="225"/>
      <c r="U487" s="315"/>
      <c r="V487" s="315"/>
    </row>
    <row r="488" spans="10:22" ht="16">
      <c r="J488" s="314"/>
      <c r="M488" s="350"/>
      <c r="P488" s="225"/>
      <c r="U488" s="315"/>
      <c r="V488" s="315"/>
    </row>
    <row r="489" spans="10:22" ht="16">
      <c r="J489" s="314"/>
      <c r="M489" s="350"/>
      <c r="P489" s="225"/>
      <c r="U489" s="315"/>
      <c r="V489" s="315"/>
    </row>
    <row r="490" spans="10:22" ht="16">
      <c r="J490" s="314"/>
      <c r="M490" s="350"/>
      <c r="P490" s="225"/>
      <c r="U490" s="315"/>
      <c r="V490" s="315"/>
    </row>
    <row r="491" spans="10:22" ht="16">
      <c r="J491" s="314"/>
      <c r="M491" s="350"/>
      <c r="P491" s="225"/>
      <c r="U491" s="315"/>
      <c r="V491" s="315"/>
    </row>
    <row r="492" spans="10:22" ht="16">
      <c r="J492" s="314"/>
      <c r="M492" s="350"/>
      <c r="P492" s="225"/>
      <c r="U492" s="315"/>
      <c r="V492" s="315"/>
    </row>
    <row r="493" spans="10:22" ht="16">
      <c r="J493" s="314"/>
      <c r="M493" s="350"/>
      <c r="P493" s="225"/>
      <c r="U493" s="315"/>
      <c r="V493" s="315"/>
    </row>
    <row r="494" spans="10:22" ht="16">
      <c r="J494" s="314"/>
      <c r="M494" s="350"/>
      <c r="P494" s="225"/>
      <c r="U494" s="315"/>
      <c r="V494" s="315"/>
    </row>
    <row r="495" spans="10:22" ht="16">
      <c r="J495" s="314"/>
      <c r="M495" s="350"/>
      <c r="P495" s="225"/>
      <c r="U495" s="315"/>
      <c r="V495" s="315"/>
    </row>
    <row r="496" spans="10:22" ht="16">
      <c r="J496" s="314"/>
      <c r="M496" s="350"/>
      <c r="P496" s="225"/>
      <c r="U496" s="315"/>
      <c r="V496" s="315"/>
    </row>
    <row r="497" spans="10:22" ht="16">
      <c r="J497" s="314"/>
      <c r="M497" s="350"/>
      <c r="P497" s="225"/>
      <c r="U497" s="315"/>
      <c r="V497" s="315"/>
    </row>
    <row r="498" spans="10:22" ht="16">
      <c r="J498" s="314"/>
      <c r="M498" s="350"/>
      <c r="P498" s="225"/>
      <c r="U498" s="315"/>
      <c r="V498" s="315"/>
    </row>
    <row r="499" spans="10:22" ht="16">
      <c r="J499" s="314"/>
      <c r="M499" s="350"/>
      <c r="P499" s="225"/>
      <c r="U499" s="315"/>
      <c r="V499" s="315"/>
    </row>
    <row r="500" spans="10:22" ht="16">
      <c r="J500" s="314"/>
      <c r="M500" s="350"/>
      <c r="P500" s="225"/>
      <c r="U500" s="315"/>
      <c r="V500" s="315"/>
    </row>
    <row r="501" spans="10:22" ht="16">
      <c r="J501" s="314"/>
      <c r="M501" s="350"/>
      <c r="P501" s="225"/>
      <c r="U501" s="315"/>
      <c r="V501" s="315"/>
    </row>
    <row r="502" spans="10:22" ht="16">
      <c r="J502" s="314"/>
      <c r="M502" s="350"/>
      <c r="P502" s="225"/>
      <c r="U502" s="315"/>
      <c r="V502" s="315"/>
    </row>
    <row r="503" spans="10:22" ht="16">
      <c r="J503" s="314"/>
      <c r="M503" s="350"/>
      <c r="P503" s="225"/>
      <c r="U503" s="315"/>
      <c r="V503" s="315"/>
    </row>
    <row r="504" spans="10:22" ht="16">
      <c r="J504" s="314"/>
      <c r="M504" s="350"/>
      <c r="P504" s="225"/>
      <c r="U504" s="315"/>
      <c r="V504" s="315"/>
    </row>
    <row r="505" spans="10:22" ht="16">
      <c r="J505" s="314"/>
      <c r="M505" s="350"/>
      <c r="P505" s="225"/>
      <c r="U505" s="315"/>
      <c r="V505" s="315"/>
    </row>
    <row r="506" spans="10:22" ht="16">
      <c r="J506" s="314"/>
      <c r="M506" s="350"/>
      <c r="P506" s="225"/>
      <c r="U506" s="315"/>
      <c r="V506" s="315"/>
    </row>
    <row r="507" spans="10:22" ht="16">
      <c r="J507" s="314"/>
      <c r="M507" s="350"/>
      <c r="P507" s="225"/>
      <c r="U507" s="315"/>
      <c r="V507" s="315"/>
    </row>
    <row r="508" spans="10:22" ht="16">
      <c r="J508" s="314"/>
      <c r="M508" s="350"/>
      <c r="P508" s="225"/>
      <c r="U508" s="315"/>
      <c r="V508" s="315"/>
    </row>
    <row r="509" spans="10:22" ht="16">
      <c r="J509" s="314"/>
      <c r="M509" s="350"/>
      <c r="P509" s="225"/>
      <c r="U509" s="315"/>
      <c r="V509" s="315"/>
    </row>
    <row r="510" spans="10:22" ht="16">
      <c r="J510" s="314"/>
      <c r="M510" s="350"/>
      <c r="P510" s="225"/>
      <c r="U510" s="315"/>
      <c r="V510" s="315"/>
    </row>
    <row r="511" spans="10:22" ht="16">
      <c r="J511" s="314"/>
      <c r="M511" s="350"/>
      <c r="P511" s="225"/>
      <c r="U511" s="315"/>
      <c r="V511" s="315"/>
    </row>
    <row r="512" spans="10:22" ht="16">
      <c r="J512" s="314"/>
      <c r="M512" s="350"/>
      <c r="P512" s="225"/>
      <c r="U512" s="315"/>
      <c r="V512" s="315"/>
    </row>
    <row r="513" spans="10:22" ht="16">
      <c r="J513" s="314"/>
      <c r="M513" s="350"/>
      <c r="P513" s="225"/>
      <c r="U513" s="315"/>
      <c r="V513" s="315"/>
    </row>
    <row r="514" spans="10:22" ht="16">
      <c r="J514" s="314"/>
      <c r="M514" s="350"/>
      <c r="P514" s="225"/>
      <c r="U514" s="315"/>
      <c r="V514" s="315"/>
    </row>
    <row r="515" spans="10:22" ht="16">
      <c r="J515" s="314"/>
      <c r="M515" s="350"/>
      <c r="P515" s="225"/>
      <c r="U515" s="315"/>
      <c r="V515" s="315"/>
    </row>
    <row r="516" spans="10:22" ht="16">
      <c r="J516" s="314"/>
      <c r="M516" s="350"/>
      <c r="P516" s="225"/>
      <c r="U516" s="315"/>
      <c r="V516" s="315"/>
    </row>
    <row r="517" spans="10:22" ht="16">
      <c r="J517" s="314"/>
      <c r="M517" s="350"/>
      <c r="P517" s="225"/>
      <c r="U517" s="315"/>
      <c r="V517" s="315"/>
    </row>
    <row r="518" spans="10:22" ht="16">
      <c r="J518" s="314"/>
      <c r="M518" s="350"/>
      <c r="P518" s="225"/>
      <c r="U518" s="315"/>
      <c r="V518" s="315"/>
    </row>
    <row r="519" spans="10:22" ht="16">
      <c r="J519" s="314"/>
      <c r="M519" s="350"/>
      <c r="P519" s="225"/>
      <c r="U519" s="315"/>
      <c r="V519" s="315"/>
    </row>
    <row r="520" spans="10:22" ht="16">
      <c r="J520" s="314"/>
      <c r="M520" s="350"/>
      <c r="P520" s="225"/>
      <c r="U520" s="315"/>
      <c r="V520" s="315"/>
    </row>
    <row r="521" spans="10:22" ht="16">
      <c r="J521" s="314"/>
      <c r="M521" s="350"/>
      <c r="P521" s="225"/>
      <c r="U521" s="315"/>
      <c r="V521" s="315"/>
    </row>
    <row r="522" spans="10:22" ht="16">
      <c r="J522" s="314"/>
      <c r="M522" s="350"/>
      <c r="P522" s="225"/>
      <c r="U522" s="315"/>
      <c r="V522" s="315"/>
    </row>
    <row r="523" spans="10:22" ht="16">
      <c r="J523" s="314"/>
      <c r="M523" s="350"/>
      <c r="P523" s="225"/>
      <c r="U523" s="315"/>
      <c r="V523" s="315"/>
    </row>
    <row r="524" spans="10:22" ht="16">
      <c r="J524" s="314"/>
      <c r="M524" s="350"/>
      <c r="P524" s="225"/>
      <c r="U524" s="315"/>
      <c r="V524" s="315"/>
    </row>
    <row r="525" spans="10:22" ht="16">
      <c r="J525" s="314"/>
      <c r="M525" s="350"/>
      <c r="P525" s="225"/>
      <c r="U525" s="315"/>
      <c r="V525" s="315"/>
    </row>
    <row r="526" spans="10:22" ht="16">
      <c r="J526" s="314"/>
      <c r="M526" s="350"/>
      <c r="P526" s="225"/>
      <c r="U526" s="315"/>
      <c r="V526" s="315"/>
    </row>
    <row r="527" spans="10:22" ht="16">
      <c r="J527" s="314"/>
      <c r="M527" s="350"/>
      <c r="P527" s="225"/>
      <c r="U527" s="315"/>
      <c r="V527" s="315"/>
    </row>
    <row r="528" spans="10:22" ht="16">
      <c r="J528" s="314"/>
      <c r="M528" s="350"/>
      <c r="P528" s="225"/>
      <c r="U528" s="315"/>
      <c r="V528" s="315"/>
    </row>
    <row r="529" spans="10:22" ht="16">
      <c r="J529" s="314"/>
      <c r="M529" s="350"/>
      <c r="P529" s="225"/>
      <c r="U529" s="315"/>
      <c r="V529" s="315"/>
    </row>
    <row r="530" spans="10:22" ht="16">
      <c r="J530" s="314"/>
      <c r="M530" s="350"/>
      <c r="P530" s="225"/>
      <c r="U530" s="315"/>
      <c r="V530" s="315"/>
    </row>
    <row r="531" spans="10:22" ht="16">
      <c r="J531" s="314"/>
      <c r="M531" s="350"/>
      <c r="P531" s="225"/>
      <c r="U531" s="315"/>
      <c r="V531" s="315"/>
    </row>
    <row r="532" spans="10:22" ht="16">
      <c r="J532" s="314"/>
      <c r="M532" s="350"/>
      <c r="P532" s="225"/>
      <c r="U532" s="315"/>
      <c r="V532" s="315"/>
    </row>
    <row r="533" spans="10:22" ht="16">
      <c r="J533" s="314"/>
      <c r="M533" s="350"/>
      <c r="P533" s="225"/>
      <c r="U533" s="315"/>
      <c r="V533" s="315"/>
    </row>
    <row r="534" spans="10:22" ht="16">
      <c r="J534" s="314"/>
      <c r="M534" s="350"/>
      <c r="P534" s="225"/>
      <c r="U534" s="315"/>
      <c r="V534" s="315"/>
    </row>
    <row r="535" spans="10:22" ht="16">
      <c r="J535" s="314"/>
      <c r="M535" s="350"/>
      <c r="P535" s="225"/>
      <c r="U535" s="315"/>
      <c r="V535" s="315"/>
    </row>
    <row r="536" spans="10:22" ht="16">
      <c r="J536" s="314"/>
      <c r="M536" s="350"/>
      <c r="P536" s="225"/>
      <c r="U536" s="315"/>
      <c r="V536" s="315"/>
    </row>
    <row r="537" spans="10:22" ht="16">
      <c r="J537" s="314"/>
      <c r="M537" s="350"/>
      <c r="P537" s="225"/>
      <c r="U537" s="315"/>
      <c r="V537" s="315"/>
    </row>
    <row r="538" spans="10:22" ht="16">
      <c r="J538" s="314"/>
      <c r="M538" s="350"/>
      <c r="P538" s="225"/>
      <c r="U538" s="315"/>
      <c r="V538" s="315"/>
    </row>
    <row r="539" spans="10:22" ht="16">
      <c r="J539" s="314"/>
      <c r="M539" s="350"/>
      <c r="P539" s="225"/>
      <c r="U539" s="315"/>
      <c r="V539" s="315"/>
    </row>
    <row r="540" spans="10:22" ht="16">
      <c r="J540" s="314"/>
      <c r="M540" s="350"/>
      <c r="P540" s="225"/>
      <c r="U540" s="315"/>
      <c r="V540" s="315"/>
    </row>
    <row r="541" spans="10:22" ht="16">
      <c r="J541" s="314"/>
      <c r="M541" s="350"/>
      <c r="P541" s="225"/>
      <c r="U541" s="315"/>
      <c r="V541" s="315"/>
    </row>
    <row r="542" spans="10:22" ht="16">
      <c r="J542" s="314"/>
      <c r="M542" s="350"/>
      <c r="P542" s="225"/>
      <c r="U542" s="315"/>
      <c r="V542" s="315"/>
    </row>
    <row r="543" spans="10:22" ht="16">
      <c r="J543" s="314"/>
      <c r="M543" s="350"/>
      <c r="P543" s="225"/>
      <c r="U543" s="315"/>
      <c r="V543" s="315"/>
    </row>
    <row r="544" spans="10:22" ht="16">
      <c r="J544" s="314"/>
      <c r="M544" s="350"/>
      <c r="P544" s="225"/>
      <c r="U544" s="315"/>
      <c r="V544" s="315"/>
    </row>
    <row r="545" spans="10:22" ht="16">
      <c r="J545" s="314"/>
      <c r="M545" s="350"/>
      <c r="P545" s="225"/>
      <c r="U545" s="315"/>
      <c r="V545" s="315"/>
    </row>
    <row r="546" spans="10:22" ht="16">
      <c r="J546" s="314"/>
      <c r="M546" s="350"/>
      <c r="P546" s="225"/>
      <c r="U546" s="315"/>
      <c r="V546" s="315"/>
    </row>
    <row r="547" spans="10:22" ht="16">
      <c r="J547" s="314"/>
      <c r="M547" s="350"/>
      <c r="P547" s="225"/>
      <c r="U547" s="315"/>
      <c r="V547" s="315"/>
    </row>
    <row r="548" spans="10:22" ht="16">
      <c r="J548" s="314"/>
      <c r="M548" s="350"/>
      <c r="P548" s="225"/>
      <c r="U548" s="315"/>
      <c r="V548" s="315"/>
    </row>
    <row r="549" spans="10:22" ht="16">
      <c r="J549" s="314"/>
      <c r="M549" s="350"/>
      <c r="P549" s="225"/>
      <c r="U549" s="315"/>
      <c r="V549" s="315"/>
    </row>
    <row r="550" spans="10:22" ht="16">
      <c r="J550" s="314"/>
      <c r="M550" s="350"/>
      <c r="P550" s="225"/>
      <c r="U550" s="315"/>
      <c r="V550" s="315"/>
    </row>
    <row r="551" spans="10:22" ht="16">
      <c r="J551" s="314"/>
      <c r="M551" s="350"/>
      <c r="P551" s="225"/>
      <c r="U551" s="315"/>
      <c r="V551" s="315"/>
    </row>
    <row r="552" spans="10:22" ht="16">
      <c r="J552" s="314"/>
      <c r="M552" s="350"/>
      <c r="P552" s="225"/>
      <c r="U552" s="315"/>
      <c r="V552" s="315"/>
    </row>
    <row r="553" spans="10:22" ht="16">
      <c r="J553" s="314"/>
      <c r="M553" s="350"/>
      <c r="P553" s="225"/>
      <c r="U553" s="315"/>
      <c r="V553" s="315"/>
    </row>
    <row r="554" spans="10:22" ht="16">
      <c r="J554" s="314"/>
      <c r="M554" s="350"/>
      <c r="P554" s="225"/>
      <c r="U554" s="315"/>
      <c r="V554" s="315"/>
    </row>
    <row r="555" spans="10:22" ht="16">
      <c r="J555" s="314"/>
      <c r="M555" s="350"/>
      <c r="P555" s="225"/>
      <c r="U555" s="315"/>
      <c r="V555" s="315"/>
    </row>
    <row r="556" spans="10:22" ht="16">
      <c r="J556" s="314"/>
      <c r="M556" s="350"/>
      <c r="P556" s="225"/>
      <c r="U556" s="315"/>
      <c r="V556" s="315"/>
    </row>
    <row r="557" spans="10:22" ht="16">
      <c r="J557" s="314"/>
      <c r="M557" s="350"/>
      <c r="P557" s="225"/>
      <c r="U557" s="315"/>
      <c r="V557" s="315"/>
    </row>
    <row r="558" spans="10:22" ht="16">
      <c r="J558" s="314"/>
      <c r="M558" s="350"/>
      <c r="P558" s="225"/>
      <c r="U558" s="315"/>
      <c r="V558" s="315"/>
    </row>
    <row r="559" spans="10:22" ht="16">
      <c r="J559" s="314"/>
      <c r="M559" s="350"/>
      <c r="P559" s="225"/>
      <c r="U559" s="315"/>
      <c r="V559" s="315"/>
    </row>
    <row r="560" spans="10:22" ht="16">
      <c r="J560" s="314"/>
      <c r="M560" s="350"/>
      <c r="P560" s="225"/>
      <c r="U560" s="315"/>
      <c r="V560" s="315"/>
    </row>
    <row r="561" spans="10:22" ht="16">
      <c r="J561" s="314"/>
      <c r="M561" s="350"/>
      <c r="P561" s="225"/>
      <c r="U561" s="315"/>
      <c r="V561" s="315"/>
    </row>
    <row r="562" spans="10:22" ht="16">
      <c r="J562" s="314"/>
      <c r="M562" s="350"/>
      <c r="P562" s="225"/>
      <c r="U562" s="315"/>
      <c r="V562" s="315"/>
    </row>
    <row r="563" spans="10:22" ht="16">
      <c r="J563" s="314"/>
      <c r="M563" s="350"/>
      <c r="P563" s="225"/>
      <c r="U563" s="315"/>
      <c r="V563" s="315"/>
    </row>
    <row r="564" spans="10:22" ht="16">
      <c r="J564" s="314"/>
      <c r="M564" s="350"/>
      <c r="P564" s="225"/>
      <c r="U564" s="315"/>
      <c r="V564" s="315"/>
    </row>
    <row r="565" spans="10:22" ht="16">
      <c r="J565" s="314"/>
      <c r="M565" s="350"/>
      <c r="P565" s="225"/>
      <c r="U565" s="315"/>
      <c r="V565" s="315"/>
    </row>
    <row r="566" spans="10:22" ht="16">
      <c r="J566" s="314"/>
      <c r="M566" s="350"/>
      <c r="P566" s="225"/>
      <c r="U566" s="315"/>
      <c r="V566" s="315"/>
    </row>
    <row r="567" spans="10:22" ht="16">
      <c r="J567" s="314"/>
      <c r="M567" s="350"/>
      <c r="P567" s="225"/>
      <c r="U567" s="315"/>
      <c r="V567" s="315"/>
    </row>
    <row r="568" spans="10:22" ht="16">
      <c r="J568" s="314"/>
      <c r="M568" s="350"/>
      <c r="P568" s="225"/>
      <c r="U568" s="315"/>
      <c r="V568" s="315"/>
    </row>
    <row r="569" spans="10:22" ht="16">
      <c r="J569" s="314"/>
      <c r="M569" s="350"/>
      <c r="P569" s="225"/>
      <c r="U569" s="315"/>
      <c r="V569" s="315"/>
    </row>
    <row r="570" spans="10:22" ht="16">
      <c r="J570" s="314"/>
      <c r="M570" s="350"/>
      <c r="P570" s="225"/>
      <c r="U570" s="315"/>
      <c r="V570" s="315"/>
    </row>
    <row r="571" spans="10:22" ht="16">
      <c r="J571" s="314"/>
      <c r="M571" s="350"/>
      <c r="P571" s="225"/>
      <c r="U571" s="315"/>
      <c r="V571" s="315"/>
    </row>
    <row r="572" spans="10:22" ht="16">
      <c r="J572" s="314"/>
      <c r="M572" s="350"/>
      <c r="P572" s="225"/>
      <c r="U572" s="315"/>
      <c r="V572" s="315"/>
    </row>
    <row r="573" spans="10:22" ht="16">
      <c r="J573" s="314"/>
      <c r="M573" s="350"/>
      <c r="P573" s="225"/>
      <c r="U573" s="315"/>
      <c r="V573" s="315"/>
    </row>
    <row r="574" spans="10:22" ht="16">
      <c r="J574" s="314"/>
      <c r="M574" s="350"/>
      <c r="P574" s="225"/>
      <c r="U574" s="315"/>
      <c r="V574" s="315"/>
    </row>
    <row r="575" spans="10:22" ht="16">
      <c r="J575" s="314"/>
      <c r="M575" s="350"/>
      <c r="P575" s="225"/>
      <c r="U575" s="315"/>
      <c r="V575" s="315"/>
    </row>
    <row r="576" spans="10:22" ht="16">
      <c r="J576" s="314"/>
      <c r="M576" s="350"/>
      <c r="P576" s="225"/>
      <c r="U576" s="315"/>
      <c r="V576" s="315"/>
    </row>
    <row r="577" spans="10:22" ht="16">
      <c r="J577" s="314"/>
      <c r="M577" s="350"/>
      <c r="P577" s="225"/>
      <c r="U577" s="315"/>
      <c r="V577" s="315"/>
    </row>
    <row r="578" spans="10:22" ht="16">
      <c r="J578" s="314"/>
      <c r="M578" s="350"/>
      <c r="P578" s="225"/>
      <c r="U578" s="315"/>
      <c r="V578" s="315"/>
    </row>
    <row r="579" spans="10:22" ht="16">
      <c r="J579" s="314"/>
      <c r="M579" s="350"/>
      <c r="P579" s="225"/>
      <c r="U579" s="315"/>
      <c r="V579" s="315"/>
    </row>
    <row r="580" spans="10:22" ht="16">
      <c r="J580" s="314"/>
      <c r="M580" s="350"/>
      <c r="P580" s="225"/>
      <c r="U580" s="315"/>
      <c r="V580" s="315"/>
    </row>
    <row r="581" spans="10:22" ht="16">
      <c r="J581" s="314"/>
      <c r="M581" s="350"/>
      <c r="P581" s="225"/>
      <c r="U581" s="315"/>
      <c r="V581" s="315"/>
    </row>
    <row r="582" spans="10:22" ht="16">
      <c r="J582" s="314"/>
      <c r="M582" s="350"/>
      <c r="P582" s="225"/>
      <c r="U582" s="315"/>
      <c r="V582" s="315"/>
    </row>
    <row r="583" spans="10:22" ht="16">
      <c r="J583" s="314"/>
      <c r="M583" s="350"/>
      <c r="P583" s="225"/>
      <c r="U583" s="315"/>
      <c r="V583" s="315"/>
    </row>
    <row r="584" spans="10:22" ht="16">
      <c r="J584" s="314"/>
      <c r="M584" s="350"/>
      <c r="P584" s="225"/>
      <c r="U584" s="315"/>
      <c r="V584" s="315"/>
    </row>
    <row r="585" spans="10:22" ht="16">
      <c r="J585" s="314"/>
      <c r="M585" s="350"/>
      <c r="P585" s="225"/>
      <c r="U585" s="315"/>
      <c r="V585" s="315"/>
    </row>
    <row r="586" spans="10:22" ht="16">
      <c r="J586" s="314"/>
      <c r="M586" s="350"/>
      <c r="P586" s="225"/>
      <c r="U586" s="315"/>
      <c r="V586" s="315"/>
    </row>
    <row r="587" spans="10:22" ht="16">
      <c r="J587" s="314"/>
      <c r="M587" s="350"/>
      <c r="P587" s="225"/>
      <c r="U587" s="315"/>
      <c r="V587" s="315"/>
    </row>
    <row r="588" spans="10:22" ht="16">
      <c r="J588" s="314"/>
      <c r="M588" s="350"/>
      <c r="P588" s="225"/>
      <c r="U588" s="315"/>
      <c r="V588" s="315"/>
    </row>
    <row r="589" spans="10:22" ht="16">
      <c r="J589" s="314"/>
      <c r="M589" s="350"/>
      <c r="P589" s="225"/>
      <c r="U589" s="315"/>
      <c r="V589" s="315"/>
    </row>
    <row r="590" spans="10:22" ht="16">
      <c r="J590" s="314"/>
      <c r="M590" s="350"/>
      <c r="P590" s="225"/>
      <c r="U590" s="315"/>
      <c r="V590" s="315"/>
    </row>
    <row r="591" spans="10:22" ht="16">
      <c r="J591" s="314"/>
      <c r="M591" s="350"/>
      <c r="P591" s="225"/>
      <c r="U591" s="315"/>
      <c r="V591" s="315"/>
    </row>
    <row r="592" spans="10:22" ht="16">
      <c r="J592" s="314"/>
      <c r="M592" s="350"/>
      <c r="P592" s="225"/>
      <c r="U592" s="315"/>
      <c r="V592" s="315"/>
    </row>
    <row r="593" spans="10:22" ht="16">
      <c r="J593" s="314"/>
      <c r="M593" s="350"/>
      <c r="P593" s="225"/>
      <c r="U593" s="315"/>
      <c r="V593" s="315"/>
    </row>
    <row r="594" spans="10:22" ht="16">
      <c r="J594" s="314"/>
      <c r="M594" s="350"/>
      <c r="P594" s="225"/>
      <c r="U594" s="315"/>
      <c r="V594" s="315"/>
    </row>
    <row r="595" spans="10:22" ht="16">
      <c r="J595" s="314"/>
      <c r="M595" s="350"/>
      <c r="P595" s="225"/>
      <c r="U595" s="315"/>
      <c r="V595" s="315"/>
    </row>
    <row r="596" spans="10:22" ht="16">
      <c r="J596" s="314"/>
      <c r="M596" s="350"/>
      <c r="P596" s="225"/>
      <c r="U596" s="315"/>
      <c r="V596" s="315"/>
    </row>
    <row r="597" spans="10:22" ht="16">
      <c r="J597" s="314"/>
      <c r="M597" s="350"/>
      <c r="P597" s="225"/>
      <c r="U597" s="315"/>
      <c r="V597" s="315"/>
    </row>
    <row r="598" spans="10:22" ht="16">
      <c r="J598" s="314"/>
      <c r="M598" s="350"/>
      <c r="P598" s="225"/>
      <c r="U598" s="315"/>
      <c r="V598" s="315"/>
    </row>
    <row r="599" spans="10:22" ht="16">
      <c r="J599" s="314"/>
      <c r="M599" s="350"/>
      <c r="P599" s="225"/>
      <c r="U599" s="315"/>
      <c r="V599" s="315"/>
    </row>
    <row r="600" spans="10:22" ht="16">
      <c r="J600" s="314"/>
      <c r="M600" s="350"/>
      <c r="P600" s="225"/>
      <c r="U600" s="315"/>
      <c r="V600" s="315"/>
    </row>
    <row r="601" spans="10:22" ht="16">
      <c r="J601" s="314"/>
      <c r="M601" s="350"/>
      <c r="P601" s="225"/>
      <c r="U601" s="315"/>
      <c r="V601" s="315"/>
    </row>
    <row r="602" spans="10:22" ht="16">
      <c r="J602" s="314"/>
      <c r="M602" s="350"/>
      <c r="P602" s="225"/>
      <c r="U602" s="315"/>
      <c r="V602" s="315"/>
    </row>
    <row r="603" spans="10:22" ht="16">
      <c r="J603" s="314"/>
      <c r="M603" s="350"/>
      <c r="P603" s="225"/>
      <c r="U603" s="315"/>
      <c r="V603" s="315"/>
    </row>
    <row r="604" spans="10:22" ht="16">
      <c r="J604" s="314"/>
      <c r="M604" s="350"/>
      <c r="P604" s="225"/>
      <c r="U604" s="315"/>
      <c r="V604" s="315"/>
    </row>
    <row r="605" spans="10:22" ht="16">
      <c r="J605" s="314"/>
      <c r="M605" s="350"/>
      <c r="P605" s="225"/>
      <c r="U605" s="315"/>
      <c r="V605" s="315"/>
    </row>
    <row r="606" spans="10:22" ht="16">
      <c r="J606" s="314"/>
      <c r="M606" s="350"/>
      <c r="P606" s="225"/>
      <c r="U606" s="315"/>
      <c r="V606" s="315"/>
    </row>
    <row r="607" spans="10:22" ht="16">
      <c r="J607" s="314"/>
      <c r="M607" s="350"/>
      <c r="P607" s="225"/>
      <c r="U607" s="315"/>
      <c r="V607" s="315"/>
    </row>
    <row r="608" spans="10:22" ht="16">
      <c r="J608" s="314"/>
      <c r="M608" s="350"/>
      <c r="P608" s="225"/>
      <c r="U608" s="315"/>
      <c r="V608" s="315"/>
    </row>
    <row r="609" spans="10:22" ht="16">
      <c r="J609" s="314"/>
      <c r="M609" s="350"/>
      <c r="P609" s="225"/>
      <c r="U609" s="315"/>
      <c r="V609" s="315"/>
    </row>
    <row r="610" spans="10:22" ht="16">
      <c r="J610" s="314"/>
      <c r="M610" s="350"/>
      <c r="P610" s="225"/>
      <c r="U610" s="315"/>
      <c r="V610" s="315"/>
    </row>
    <row r="611" spans="10:22" ht="16">
      <c r="J611" s="314"/>
      <c r="M611" s="350"/>
      <c r="P611" s="225"/>
      <c r="U611" s="315"/>
      <c r="V611" s="315"/>
    </row>
    <row r="612" spans="10:22" ht="16">
      <c r="J612" s="314"/>
      <c r="M612" s="350"/>
      <c r="P612" s="225"/>
      <c r="U612" s="315"/>
      <c r="V612" s="315"/>
    </row>
    <row r="613" spans="10:22" ht="16">
      <c r="J613" s="314"/>
      <c r="M613" s="350"/>
      <c r="P613" s="225"/>
      <c r="U613" s="315"/>
      <c r="V613" s="315"/>
    </row>
    <row r="614" spans="10:22" ht="16">
      <c r="J614" s="314"/>
      <c r="M614" s="350"/>
      <c r="P614" s="225"/>
      <c r="U614" s="315"/>
      <c r="V614" s="315"/>
    </row>
    <row r="615" spans="10:22" ht="16">
      <c r="J615" s="314"/>
      <c r="M615" s="350"/>
      <c r="P615" s="225"/>
      <c r="U615" s="315"/>
      <c r="V615" s="315"/>
    </row>
    <row r="616" spans="10:22" ht="16">
      <c r="J616" s="314"/>
      <c r="M616" s="350"/>
      <c r="P616" s="225"/>
      <c r="U616" s="315"/>
      <c r="V616" s="315"/>
    </row>
    <row r="617" spans="10:22" ht="16">
      <c r="J617" s="314"/>
      <c r="M617" s="350"/>
      <c r="P617" s="225"/>
      <c r="U617" s="315"/>
      <c r="V617" s="315"/>
    </row>
    <row r="618" spans="10:22" ht="16">
      <c r="J618" s="314"/>
      <c r="M618" s="350"/>
      <c r="P618" s="225"/>
      <c r="U618" s="315"/>
      <c r="V618" s="315"/>
    </row>
    <row r="619" spans="10:22" ht="16">
      <c r="J619" s="314"/>
      <c r="M619" s="350"/>
      <c r="P619" s="225"/>
      <c r="U619" s="315"/>
      <c r="V619" s="315"/>
    </row>
    <row r="620" spans="10:22" ht="16">
      <c r="J620" s="314"/>
      <c r="M620" s="350"/>
      <c r="P620" s="225"/>
      <c r="U620" s="315"/>
      <c r="V620" s="315"/>
    </row>
    <row r="621" spans="10:22" ht="16">
      <c r="J621" s="314"/>
      <c r="M621" s="350"/>
      <c r="P621" s="225"/>
      <c r="U621" s="315"/>
      <c r="V621" s="315"/>
    </row>
    <row r="622" spans="10:22" ht="16">
      <c r="J622" s="314"/>
      <c r="M622" s="350"/>
      <c r="P622" s="225"/>
      <c r="U622" s="315"/>
      <c r="V622" s="315"/>
    </row>
    <row r="623" spans="10:22" ht="16">
      <c r="J623" s="314"/>
      <c r="M623" s="350"/>
      <c r="P623" s="225"/>
      <c r="U623" s="315"/>
      <c r="V623" s="315"/>
    </row>
    <row r="624" spans="10:22" ht="16">
      <c r="J624" s="314"/>
      <c r="M624" s="350"/>
      <c r="P624" s="225"/>
      <c r="U624" s="315"/>
      <c r="V624" s="315"/>
    </row>
    <row r="625" spans="10:22" ht="16">
      <c r="J625" s="314"/>
      <c r="M625" s="350"/>
      <c r="P625" s="225"/>
      <c r="U625" s="315"/>
      <c r="V625" s="315"/>
    </row>
    <row r="626" spans="10:22" ht="16">
      <c r="J626" s="314"/>
      <c r="M626" s="350"/>
      <c r="P626" s="225"/>
      <c r="U626" s="315"/>
      <c r="V626" s="315"/>
    </row>
    <row r="627" spans="10:22" ht="16">
      <c r="J627" s="314"/>
      <c r="M627" s="350"/>
      <c r="P627" s="225"/>
      <c r="U627" s="315"/>
      <c r="V627" s="315"/>
    </row>
    <row r="628" spans="10:22" ht="16">
      <c r="J628" s="314"/>
      <c r="M628" s="350"/>
      <c r="P628" s="225"/>
      <c r="U628" s="315"/>
      <c r="V628" s="315"/>
    </row>
    <row r="629" spans="10:22" ht="16">
      <c r="J629" s="314"/>
      <c r="M629" s="350"/>
      <c r="P629" s="225"/>
      <c r="U629" s="315"/>
      <c r="V629" s="315"/>
    </row>
    <row r="630" spans="10:22" ht="16">
      <c r="J630" s="314"/>
      <c r="M630" s="350"/>
      <c r="P630" s="225"/>
      <c r="U630" s="315"/>
      <c r="V630" s="315"/>
    </row>
    <row r="631" spans="10:22" ht="16">
      <c r="J631" s="314"/>
      <c r="M631" s="350"/>
      <c r="P631" s="225"/>
      <c r="U631" s="315"/>
      <c r="V631" s="315"/>
    </row>
    <row r="632" spans="10:22" ht="16">
      <c r="J632" s="314"/>
      <c r="M632" s="350"/>
      <c r="P632" s="225"/>
      <c r="U632" s="315"/>
      <c r="V632" s="315"/>
    </row>
    <row r="633" spans="10:22" ht="16">
      <c r="J633" s="314"/>
      <c r="M633" s="350"/>
      <c r="P633" s="225"/>
      <c r="U633" s="315"/>
      <c r="V633" s="315"/>
    </row>
    <row r="634" spans="10:22" ht="16">
      <c r="J634" s="314"/>
      <c r="M634" s="350"/>
      <c r="P634" s="225"/>
      <c r="U634" s="315"/>
      <c r="V634" s="315"/>
    </row>
    <row r="635" spans="10:22" ht="16">
      <c r="J635" s="314"/>
      <c r="M635" s="350"/>
      <c r="P635" s="225"/>
      <c r="U635" s="315"/>
      <c r="V635" s="315"/>
    </row>
    <row r="636" spans="10:22" ht="16">
      <c r="J636" s="314"/>
      <c r="M636" s="350"/>
      <c r="P636" s="225"/>
      <c r="U636" s="315"/>
      <c r="V636" s="315"/>
    </row>
    <row r="637" spans="10:22" ht="16">
      <c r="J637" s="314"/>
      <c r="M637" s="350"/>
      <c r="P637" s="225"/>
      <c r="U637" s="315"/>
      <c r="V637" s="315"/>
    </row>
    <row r="638" spans="10:22" ht="16">
      <c r="J638" s="314"/>
      <c r="M638" s="350"/>
      <c r="P638" s="225"/>
      <c r="U638" s="315"/>
      <c r="V638" s="315"/>
    </row>
    <row r="639" spans="10:22" ht="16">
      <c r="J639" s="314"/>
      <c r="M639" s="350"/>
      <c r="P639" s="225"/>
      <c r="U639" s="315"/>
      <c r="V639" s="315"/>
    </row>
    <row r="640" spans="10:22" ht="16">
      <c r="J640" s="314"/>
      <c r="M640" s="350"/>
      <c r="P640" s="225"/>
      <c r="U640" s="315"/>
      <c r="V640" s="315"/>
    </row>
    <row r="641" spans="10:22" ht="16">
      <c r="J641" s="314"/>
      <c r="M641" s="350"/>
      <c r="P641" s="225"/>
      <c r="U641" s="315"/>
      <c r="V641" s="315"/>
    </row>
    <row r="642" spans="10:22" ht="16">
      <c r="J642" s="314"/>
      <c r="M642" s="350"/>
      <c r="P642" s="225"/>
      <c r="U642" s="315"/>
      <c r="V642" s="315"/>
    </row>
    <row r="643" spans="10:22" ht="16">
      <c r="J643" s="314"/>
      <c r="M643" s="350"/>
      <c r="P643" s="225"/>
      <c r="U643" s="315"/>
      <c r="V643" s="315"/>
    </row>
    <row r="644" spans="10:22" ht="16">
      <c r="J644" s="314"/>
      <c r="M644" s="350"/>
      <c r="P644" s="225"/>
      <c r="U644" s="315"/>
      <c r="V644" s="315"/>
    </row>
    <row r="645" spans="10:22" ht="16">
      <c r="J645" s="314"/>
      <c r="M645" s="350"/>
      <c r="P645" s="225"/>
      <c r="U645" s="315"/>
      <c r="V645" s="315"/>
    </row>
    <row r="646" spans="10:22" ht="16">
      <c r="J646" s="314"/>
      <c r="M646" s="350"/>
      <c r="P646" s="225"/>
      <c r="U646" s="315"/>
      <c r="V646" s="315"/>
    </row>
    <row r="647" spans="10:22" ht="16">
      <c r="J647" s="314"/>
      <c r="M647" s="350"/>
      <c r="P647" s="225"/>
      <c r="U647" s="315"/>
      <c r="V647" s="315"/>
    </row>
    <row r="648" spans="10:22" ht="16">
      <c r="J648" s="314"/>
      <c r="M648" s="350"/>
      <c r="P648" s="225"/>
      <c r="U648" s="315"/>
      <c r="V648" s="315"/>
    </row>
    <row r="649" spans="10:22" ht="16">
      <c r="J649" s="314"/>
      <c r="M649" s="350"/>
      <c r="P649" s="225"/>
      <c r="U649" s="315"/>
      <c r="V649" s="315"/>
    </row>
    <row r="650" spans="10:22" ht="16">
      <c r="J650" s="314"/>
      <c r="M650" s="350"/>
      <c r="P650" s="225"/>
      <c r="U650" s="315"/>
      <c r="V650" s="315"/>
    </row>
    <row r="651" spans="10:22" ht="16">
      <c r="J651" s="314"/>
      <c r="M651" s="350"/>
      <c r="P651" s="225"/>
      <c r="U651" s="315"/>
      <c r="V651" s="315"/>
    </row>
    <row r="652" spans="10:22" ht="16">
      <c r="J652" s="314"/>
      <c r="M652" s="350"/>
      <c r="P652" s="225"/>
      <c r="U652" s="315"/>
      <c r="V652" s="315"/>
    </row>
    <row r="653" spans="10:22" ht="16">
      <c r="J653" s="314"/>
      <c r="M653" s="350"/>
      <c r="P653" s="225"/>
      <c r="U653" s="315"/>
      <c r="V653" s="315"/>
    </row>
    <row r="654" spans="10:22" ht="16">
      <c r="J654" s="314"/>
      <c r="M654" s="350"/>
      <c r="P654" s="225"/>
      <c r="U654" s="315"/>
      <c r="V654" s="315"/>
    </row>
    <row r="655" spans="10:22" ht="16">
      <c r="J655" s="314"/>
      <c r="M655" s="350"/>
      <c r="P655" s="225"/>
      <c r="U655" s="315"/>
      <c r="V655" s="315"/>
    </row>
    <row r="656" spans="10:22" ht="16">
      <c r="J656" s="314"/>
      <c r="M656" s="350"/>
      <c r="P656" s="225"/>
      <c r="U656" s="315"/>
      <c r="V656" s="315"/>
    </row>
    <row r="657" spans="10:22" ht="16">
      <c r="J657" s="314"/>
      <c r="M657" s="350"/>
      <c r="P657" s="225"/>
      <c r="U657" s="315"/>
      <c r="V657" s="315"/>
    </row>
    <row r="658" spans="10:22" ht="16">
      <c r="J658" s="314"/>
      <c r="M658" s="350"/>
      <c r="P658" s="225"/>
      <c r="U658" s="315"/>
      <c r="V658" s="315"/>
    </row>
    <row r="659" spans="10:22" ht="16">
      <c r="J659" s="314"/>
      <c r="M659" s="350"/>
      <c r="P659" s="225"/>
      <c r="U659" s="315"/>
      <c r="V659" s="315"/>
    </row>
    <row r="660" spans="10:22" ht="16">
      <c r="J660" s="314"/>
      <c r="M660" s="350"/>
      <c r="P660" s="225"/>
      <c r="U660" s="315"/>
      <c r="V660" s="315"/>
    </row>
    <row r="661" spans="10:22" ht="16">
      <c r="J661" s="314"/>
      <c r="M661" s="350"/>
      <c r="P661" s="225"/>
      <c r="U661" s="315"/>
      <c r="V661" s="315"/>
    </row>
    <row r="662" spans="10:22" ht="16">
      <c r="J662" s="314"/>
      <c r="M662" s="350"/>
      <c r="P662" s="225"/>
      <c r="U662" s="315"/>
      <c r="V662" s="315"/>
    </row>
    <row r="663" spans="10:22" ht="16">
      <c r="J663" s="314"/>
      <c r="M663" s="350"/>
      <c r="P663" s="225"/>
      <c r="U663" s="315"/>
      <c r="V663" s="315"/>
    </row>
    <row r="664" spans="10:22" ht="16">
      <c r="J664" s="314"/>
      <c r="M664" s="350"/>
      <c r="P664" s="225"/>
      <c r="U664" s="315"/>
      <c r="V664" s="315"/>
    </row>
    <row r="665" spans="10:22" ht="16">
      <c r="J665" s="314"/>
      <c r="M665" s="350"/>
      <c r="P665" s="225"/>
      <c r="U665" s="315"/>
      <c r="V665" s="315"/>
    </row>
    <row r="666" spans="10:22" ht="16">
      <c r="J666" s="314"/>
      <c r="M666" s="350"/>
      <c r="P666" s="225"/>
      <c r="U666" s="315"/>
      <c r="V666" s="315"/>
    </row>
    <row r="667" spans="10:22" ht="16">
      <c r="J667" s="314"/>
      <c r="M667" s="350"/>
      <c r="P667" s="225"/>
      <c r="U667" s="315"/>
      <c r="V667" s="315"/>
    </row>
    <row r="668" spans="10:22" ht="16">
      <c r="J668" s="314"/>
      <c r="M668" s="350"/>
      <c r="P668" s="225"/>
      <c r="U668" s="315"/>
      <c r="V668" s="315"/>
    </row>
    <row r="669" spans="10:22" ht="16">
      <c r="J669" s="314"/>
      <c r="M669" s="350"/>
      <c r="P669" s="225"/>
      <c r="U669" s="315"/>
      <c r="V669" s="315"/>
    </row>
    <row r="670" spans="10:22" ht="16">
      <c r="J670" s="314"/>
      <c r="M670" s="350"/>
      <c r="P670" s="225"/>
      <c r="U670" s="315"/>
      <c r="V670" s="315"/>
    </row>
    <row r="671" spans="10:22" ht="16">
      <c r="J671" s="314"/>
      <c r="M671" s="350"/>
      <c r="P671" s="225"/>
      <c r="U671" s="315"/>
      <c r="V671" s="315"/>
    </row>
    <row r="672" spans="10:22" ht="16">
      <c r="J672" s="314"/>
      <c r="M672" s="350"/>
      <c r="P672" s="225"/>
      <c r="U672" s="315"/>
      <c r="V672" s="315"/>
    </row>
    <row r="673" spans="10:22" ht="16">
      <c r="J673" s="314"/>
      <c r="M673" s="350"/>
      <c r="P673" s="225"/>
      <c r="U673" s="315"/>
      <c r="V673" s="315"/>
    </row>
    <row r="674" spans="10:22" ht="16">
      <c r="J674" s="314"/>
      <c r="M674" s="350"/>
      <c r="P674" s="225"/>
      <c r="U674" s="315"/>
      <c r="V674" s="315"/>
    </row>
    <row r="675" spans="10:22" ht="16">
      <c r="J675" s="314"/>
      <c r="M675" s="350"/>
      <c r="P675" s="225"/>
      <c r="U675" s="315"/>
      <c r="V675" s="315"/>
    </row>
    <row r="676" spans="10:22" ht="16">
      <c r="J676" s="314"/>
      <c r="M676" s="350"/>
      <c r="P676" s="225"/>
      <c r="U676" s="315"/>
      <c r="V676" s="315"/>
    </row>
    <row r="677" spans="10:22" ht="16">
      <c r="J677" s="314"/>
      <c r="M677" s="350"/>
      <c r="P677" s="225"/>
      <c r="U677" s="315"/>
      <c r="V677" s="315"/>
    </row>
    <row r="678" spans="10:22" ht="16">
      <c r="J678" s="314"/>
      <c r="M678" s="350"/>
      <c r="P678" s="225"/>
      <c r="U678" s="315"/>
      <c r="V678" s="315"/>
    </row>
    <row r="679" spans="10:22" ht="16">
      <c r="J679" s="314"/>
      <c r="M679" s="350"/>
      <c r="P679" s="225"/>
      <c r="U679" s="315"/>
      <c r="V679" s="315"/>
    </row>
    <row r="680" spans="10:22" ht="16">
      <c r="J680" s="314"/>
      <c r="M680" s="350"/>
      <c r="P680" s="225"/>
      <c r="U680" s="315"/>
      <c r="V680" s="315"/>
    </row>
    <row r="681" spans="10:22" ht="16">
      <c r="J681" s="314"/>
      <c r="M681" s="350"/>
      <c r="P681" s="225"/>
      <c r="U681" s="315"/>
      <c r="V681" s="315"/>
    </row>
    <row r="682" spans="10:22" ht="16">
      <c r="J682" s="314"/>
      <c r="M682" s="350"/>
      <c r="P682" s="225"/>
      <c r="U682" s="315"/>
      <c r="V682" s="315"/>
    </row>
    <row r="683" spans="10:22" ht="16">
      <c r="J683" s="314"/>
      <c r="M683" s="350"/>
      <c r="P683" s="225"/>
      <c r="U683" s="315"/>
      <c r="V683" s="315"/>
    </row>
    <row r="684" spans="10:22" ht="16">
      <c r="J684" s="314"/>
      <c r="M684" s="350"/>
      <c r="P684" s="225"/>
      <c r="U684" s="315"/>
      <c r="V684" s="315"/>
    </row>
    <row r="685" spans="10:22" ht="16">
      <c r="J685" s="314"/>
      <c r="M685" s="350"/>
      <c r="P685" s="225"/>
      <c r="U685" s="315"/>
      <c r="V685" s="315"/>
    </row>
    <row r="686" spans="10:22" ht="16">
      <c r="J686" s="314"/>
      <c r="M686" s="350"/>
      <c r="P686" s="225"/>
      <c r="U686" s="315"/>
      <c r="V686" s="315"/>
    </row>
    <row r="687" spans="10:22" ht="16">
      <c r="J687" s="314"/>
      <c r="M687" s="350"/>
      <c r="P687" s="225"/>
      <c r="U687" s="315"/>
      <c r="V687" s="315"/>
    </row>
    <row r="688" spans="10:22" ht="16">
      <c r="J688" s="314"/>
      <c r="M688" s="350"/>
      <c r="P688" s="225"/>
      <c r="U688" s="315"/>
      <c r="V688" s="315"/>
    </row>
    <row r="689" spans="10:22" ht="16">
      <c r="J689" s="314"/>
      <c r="M689" s="350"/>
      <c r="P689" s="225"/>
      <c r="U689" s="315"/>
      <c r="V689" s="315"/>
    </row>
    <row r="690" spans="10:22" ht="16">
      <c r="J690" s="314"/>
      <c r="M690" s="350"/>
      <c r="P690" s="225"/>
      <c r="U690" s="315"/>
      <c r="V690" s="315"/>
    </row>
    <row r="691" spans="10:22" ht="16">
      <c r="J691" s="314"/>
      <c r="M691" s="350"/>
      <c r="P691" s="225"/>
      <c r="U691" s="315"/>
      <c r="V691" s="315"/>
    </row>
    <row r="692" spans="10:22" ht="16">
      <c r="J692" s="314"/>
      <c r="M692" s="350"/>
      <c r="P692" s="225"/>
      <c r="U692" s="315"/>
      <c r="V692" s="315"/>
    </row>
    <row r="693" spans="10:22" ht="16">
      <c r="J693" s="314"/>
      <c r="M693" s="350"/>
      <c r="P693" s="225"/>
      <c r="U693" s="315"/>
      <c r="V693" s="315"/>
    </row>
    <row r="694" spans="10:22" ht="16">
      <c r="J694" s="314"/>
      <c r="M694" s="350"/>
      <c r="P694" s="225"/>
      <c r="U694" s="315"/>
      <c r="V694" s="315"/>
    </row>
    <row r="695" spans="10:22" ht="16">
      <c r="J695" s="314"/>
      <c r="M695" s="350"/>
      <c r="P695" s="225"/>
      <c r="U695" s="315"/>
      <c r="V695" s="315"/>
    </row>
    <row r="696" spans="10:22" ht="16">
      <c r="J696" s="314"/>
      <c r="M696" s="350"/>
      <c r="P696" s="225"/>
      <c r="U696" s="315"/>
      <c r="V696" s="315"/>
    </row>
    <row r="697" spans="10:22" ht="16">
      <c r="J697" s="314"/>
      <c r="M697" s="350"/>
      <c r="P697" s="225"/>
      <c r="U697" s="315"/>
      <c r="V697" s="315"/>
    </row>
    <row r="698" spans="10:22" ht="16">
      <c r="J698" s="314"/>
      <c r="M698" s="350"/>
      <c r="P698" s="225"/>
      <c r="U698" s="315"/>
      <c r="V698" s="315"/>
    </row>
    <row r="699" spans="10:22" ht="16">
      <c r="J699" s="314"/>
      <c r="M699" s="350"/>
      <c r="P699" s="225"/>
      <c r="U699" s="315"/>
      <c r="V699" s="315"/>
    </row>
    <row r="700" spans="10:22" ht="16">
      <c r="J700" s="314"/>
      <c r="M700" s="350"/>
      <c r="P700" s="225"/>
      <c r="U700" s="315"/>
      <c r="V700" s="315"/>
    </row>
    <row r="701" spans="10:22" ht="16">
      <c r="J701" s="314"/>
      <c r="M701" s="350"/>
      <c r="P701" s="225"/>
      <c r="U701" s="315"/>
      <c r="V701" s="315"/>
    </row>
    <row r="702" spans="10:22" ht="16">
      <c r="J702" s="314"/>
      <c r="M702" s="350"/>
      <c r="P702" s="225"/>
      <c r="U702" s="315"/>
      <c r="V702" s="315"/>
    </row>
    <row r="703" spans="10:22" ht="16">
      <c r="J703" s="314"/>
      <c r="M703" s="350"/>
      <c r="P703" s="225"/>
      <c r="U703" s="315"/>
      <c r="V703" s="315"/>
    </row>
    <row r="704" spans="10:22" ht="16">
      <c r="J704" s="314"/>
      <c r="M704" s="350"/>
      <c r="P704" s="225"/>
      <c r="U704" s="315"/>
      <c r="V704" s="315"/>
    </row>
    <row r="705" spans="10:22" ht="16">
      <c r="J705" s="314"/>
      <c r="M705" s="350"/>
      <c r="P705" s="225"/>
      <c r="U705" s="315"/>
      <c r="V705" s="315"/>
    </row>
    <row r="706" spans="10:22" ht="16">
      <c r="J706" s="314"/>
      <c r="M706" s="350"/>
      <c r="P706" s="225"/>
      <c r="U706" s="315"/>
      <c r="V706" s="315"/>
    </row>
    <row r="707" spans="10:22" ht="16">
      <c r="J707" s="314"/>
      <c r="M707" s="350"/>
      <c r="P707" s="225"/>
      <c r="U707" s="315"/>
      <c r="V707" s="315"/>
    </row>
    <row r="708" spans="10:22" ht="16">
      <c r="J708" s="314"/>
      <c r="M708" s="350"/>
      <c r="P708" s="225"/>
      <c r="U708" s="315"/>
      <c r="V708" s="315"/>
    </row>
    <row r="709" spans="10:22" ht="16">
      <c r="J709" s="314"/>
      <c r="M709" s="350"/>
      <c r="P709" s="225"/>
      <c r="U709" s="315"/>
      <c r="V709" s="315"/>
    </row>
    <row r="710" spans="10:22" ht="16">
      <c r="J710" s="314"/>
      <c r="M710" s="350"/>
      <c r="P710" s="225"/>
      <c r="U710" s="315"/>
      <c r="V710" s="315"/>
    </row>
    <row r="711" spans="10:22" ht="16">
      <c r="J711" s="314"/>
      <c r="M711" s="350"/>
      <c r="P711" s="225"/>
      <c r="U711" s="315"/>
      <c r="V711" s="315"/>
    </row>
    <row r="712" spans="10:22" ht="16">
      <c r="J712" s="314"/>
      <c r="M712" s="350"/>
      <c r="P712" s="225"/>
      <c r="U712" s="315"/>
      <c r="V712" s="315"/>
    </row>
    <row r="713" spans="10:22" ht="16">
      <c r="J713" s="314"/>
      <c r="M713" s="350"/>
      <c r="P713" s="225"/>
      <c r="U713" s="315"/>
      <c r="V713" s="315"/>
    </row>
    <row r="714" spans="10:22" ht="16">
      <c r="J714" s="314"/>
      <c r="M714" s="350"/>
      <c r="P714" s="225"/>
      <c r="U714" s="315"/>
      <c r="V714" s="315"/>
    </row>
    <row r="715" spans="10:22" ht="16">
      <c r="J715" s="314"/>
      <c r="M715" s="350"/>
      <c r="P715" s="225"/>
      <c r="U715" s="315"/>
      <c r="V715" s="315"/>
    </row>
    <row r="716" spans="10:22" ht="16">
      <c r="J716" s="314"/>
      <c r="M716" s="350"/>
      <c r="P716" s="225"/>
      <c r="U716" s="315"/>
      <c r="V716" s="315"/>
    </row>
    <row r="717" spans="10:22" ht="16">
      <c r="J717" s="314"/>
      <c r="M717" s="350"/>
      <c r="P717" s="225"/>
      <c r="U717" s="315"/>
      <c r="V717" s="315"/>
    </row>
    <row r="718" spans="10:22" ht="16">
      <c r="J718" s="314"/>
      <c r="M718" s="350"/>
      <c r="P718" s="225"/>
      <c r="U718" s="315"/>
      <c r="V718" s="315"/>
    </row>
    <row r="719" spans="10:22" ht="16">
      <c r="J719" s="314"/>
      <c r="M719" s="350"/>
      <c r="P719" s="225"/>
      <c r="U719" s="315"/>
      <c r="V719" s="315"/>
    </row>
    <row r="720" spans="10:22" ht="16">
      <c r="J720" s="314"/>
      <c r="M720" s="350"/>
      <c r="P720" s="225"/>
      <c r="U720" s="315"/>
      <c r="V720" s="315"/>
    </row>
    <row r="721" spans="10:22" ht="16">
      <c r="J721" s="314"/>
      <c r="M721" s="350"/>
      <c r="P721" s="225"/>
      <c r="U721" s="315"/>
      <c r="V721" s="315"/>
    </row>
    <row r="722" spans="10:22" ht="16">
      <c r="J722" s="314"/>
      <c r="M722" s="350"/>
      <c r="P722" s="225"/>
      <c r="U722" s="315"/>
      <c r="V722" s="315"/>
    </row>
    <row r="723" spans="10:22" ht="16">
      <c r="J723" s="314"/>
      <c r="M723" s="350"/>
      <c r="P723" s="225"/>
      <c r="U723" s="315"/>
      <c r="V723" s="315"/>
    </row>
    <row r="724" spans="10:22" ht="16">
      <c r="J724" s="314"/>
      <c r="M724" s="350"/>
      <c r="P724" s="225"/>
      <c r="U724" s="315"/>
      <c r="V724" s="315"/>
    </row>
    <row r="725" spans="10:22" ht="16">
      <c r="J725" s="314"/>
      <c r="M725" s="350"/>
      <c r="P725" s="225"/>
      <c r="U725" s="315"/>
      <c r="V725" s="315"/>
    </row>
    <row r="726" spans="10:22" ht="16">
      <c r="J726" s="314"/>
      <c r="M726" s="350"/>
      <c r="P726" s="225"/>
      <c r="U726" s="315"/>
      <c r="V726" s="315"/>
    </row>
    <row r="727" spans="10:22" ht="16">
      <c r="J727" s="314"/>
      <c r="M727" s="350"/>
      <c r="P727" s="225"/>
      <c r="U727" s="315"/>
      <c r="V727" s="315"/>
    </row>
    <row r="728" spans="10:22" ht="16">
      <c r="J728" s="314"/>
      <c r="M728" s="350"/>
      <c r="P728" s="225"/>
      <c r="U728" s="315"/>
      <c r="V728" s="315"/>
    </row>
    <row r="729" spans="10:22" ht="16">
      <c r="J729" s="314"/>
      <c r="M729" s="350"/>
      <c r="P729" s="225"/>
      <c r="U729" s="315"/>
      <c r="V729" s="315"/>
    </row>
    <row r="730" spans="10:22" ht="16">
      <c r="J730" s="314"/>
      <c r="M730" s="350"/>
      <c r="P730" s="225"/>
      <c r="U730" s="315"/>
      <c r="V730" s="315"/>
    </row>
    <row r="731" spans="10:22" ht="16">
      <c r="J731" s="314"/>
      <c r="M731" s="350"/>
      <c r="P731" s="225"/>
      <c r="U731" s="315"/>
      <c r="V731" s="315"/>
    </row>
    <row r="732" spans="10:22" ht="16">
      <c r="J732" s="314"/>
      <c r="M732" s="350"/>
      <c r="P732" s="225"/>
      <c r="U732" s="315"/>
      <c r="V732" s="315"/>
    </row>
    <row r="733" spans="10:22" ht="16">
      <c r="J733" s="314"/>
      <c r="M733" s="350"/>
      <c r="P733" s="225"/>
      <c r="U733" s="315"/>
      <c r="V733" s="315"/>
    </row>
    <row r="734" spans="10:22" ht="16">
      <c r="J734" s="314"/>
      <c r="M734" s="350"/>
      <c r="P734" s="225"/>
      <c r="U734" s="315"/>
      <c r="V734" s="315"/>
    </row>
    <row r="735" spans="10:22" ht="16">
      <c r="J735" s="314"/>
      <c r="M735" s="350"/>
      <c r="P735" s="225"/>
      <c r="U735" s="315"/>
      <c r="V735" s="315"/>
    </row>
    <row r="736" spans="10:22" ht="16">
      <c r="J736" s="314"/>
      <c r="M736" s="350"/>
      <c r="P736" s="225"/>
      <c r="U736" s="315"/>
      <c r="V736" s="315"/>
    </row>
    <row r="737" spans="10:22" ht="16">
      <c r="J737" s="314"/>
      <c r="M737" s="350"/>
      <c r="P737" s="225"/>
      <c r="U737" s="315"/>
      <c r="V737" s="315"/>
    </row>
    <row r="738" spans="10:22" ht="16">
      <c r="J738" s="314"/>
      <c r="M738" s="350"/>
      <c r="P738" s="225"/>
      <c r="U738" s="315"/>
      <c r="V738" s="315"/>
    </row>
    <row r="739" spans="10:22" ht="16">
      <c r="J739" s="314"/>
      <c r="M739" s="350"/>
      <c r="P739" s="225"/>
      <c r="U739" s="315"/>
      <c r="V739" s="315"/>
    </row>
    <row r="740" spans="10:22" ht="16">
      <c r="J740" s="314"/>
      <c r="M740" s="350"/>
      <c r="P740" s="225"/>
      <c r="U740" s="315"/>
      <c r="V740" s="315"/>
    </row>
    <row r="741" spans="10:22" ht="16">
      <c r="J741" s="314"/>
      <c r="M741" s="350"/>
      <c r="P741" s="225"/>
      <c r="U741" s="315"/>
      <c r="V741" s="315"/>
    </row>
    <row r="742" spans="10:22" ht="16">
      <c r="J742" s="314"/>
      <c r="M742" s="350"/>
      <c r="P742" s="225"/>
      <c r="U742" s="315"/>
      <c r="V742" s="315"/>
    </row>
    <row r="743" spans="10:22" ht="16">
      <c r="J743" s="314"/>
      <c r="M743" s="350"/>
      <c r="P743" s="225"/>
      <c r="U743" s="315"/>
      <c r="V743" s="315"/>
    </row>
    <row r="744" spans="10:22" ht="16">
      <c r="J744" s="314"/>
      <c r="M744" s="350"/>
      <c r="P744" s="225"/>
      <c r="U744" s="315"/>
      <c r="V744" s="315"/>
    </row>
    <row r="745" spans="10:22" ht="16">
      <c r="J745" s="314"/>
      <c r="M745" s="350"/>
      <c r="P745" s="225"/>
      <c r="U745" s="315"/>
      <c r="V745" s="315"/>
    </row>
    <row r="746" spans="10:22" ht="16">
      <c r="J746" s="314"/>
      <c r="M746" s="350"/>
      <c r="P746" s="225"/>
      <c r="U746" s="315"/>
      <c r="V746" s="315"/>
    </row>
    <row r="747" spans="10:22" ht="16">
      <c r="J747" s="314"/>
      <c r="M747" s="350"/>
      <c r="P747" s="225"/>
      <c r="U747" s="315"/>
      <c r="V747" s="315"/>
    </row>
    <row r="748" spans="10:22" ht="16">
      <c r="J748" s="314"/>
      <c r="M748" s="350"/>
      <c r="P748" s="225"/>
      <c r="U748" s="315"/>
      <c r="V748" s="315"/>
    </row>
    <row r="749" spans="10:22" ht="16">
      <c r="J749" s="314"/>
      <c r="M749" s="350"/>
      <c r="P749" s="225"/>
      <c r="U749" s="315"/>
      <c r="V749" s="315"/>
    </row>
    <row r="750" spans="10:22" ht="16">
      <c r="J750" s="314"/>
      <c r="M750" s="350"/>
      <c r="P750" s="225"/>
      <c r="U750" s="315"/>
      <c r="V750" s="315"/>
    </row>
    <row r="751" spans="10:22" ht="16">
      <c r="J751" s="314"/>
      <c r="M751" s="350"/>
      <c r="P751" s="225"/>
      <c r="U751" s="315"/>
      <c r="V751" s="315"/>
    </row>
    <row r="752" spans="10:22" ht="16">
      <c r="J752" s="314"/>
      <c r="M752" s="350"/>
      <c r="P752" s="225"/>
      <c r="U752" s="315"/>
      <c r="V752" s="315"/>
    </row>
    <row r="753" spans="10:22" ht="16">
      <c r="J753" s="314"/>
      <c r="M753" s="350"/>
      <c r="P753" s="225"/>
      <c r="U753" s="315"/>
      <c r="V753" s="315"/>
    </row>
    <row r="754" spans="10:22" ht="16">
      <c r="J754" s="314"/>
      <c r="M754" s="350"/>
      <c r="P754" s="225"/>
      <c r="U754" s="315"/>
      <c r="V754" s="315"/>
    </row>
    <row r="755" spans="10:22" ht="16">
      <c r="J755" s="314"/>
      <c r="M755" s="350"/>
      <c r="P755" s="225"/>
      <c r="U755" s="315"/>
      <c r="V755" s="315"/>
    </row>
    <row r="756" spans="10:22" ht="16">
      <c r="J756" s="314"/>
      <c r="M756" s="350"/>
      <c r="P756" s="225"/>
      <c r="U756" s="315"/>
      <c r="V756" s="315"/>
    </row>
    <row r="757" spans="10:22" ht="16">
      <c r="J757" s="314"/>
      <c r="M757" s="350"/>
      <c r="P757" s="225"/>
      <c r="U757" s="315"/>
      <c r="V757" s="315"/>
    </row>
    <row r="758" spans="10:22" ht="16">
      <c r="J758" s="314"/>
      <c r="M758" s="350"/>
      <c r="P758" s="225"/>
      <c r="U758" s="315"/>
      <c r="V758" s="315"/>
    </row>
    <row r="759" spans="10:22" ht="16">
      <c r="J759" s="314"/>
      <c r="M759" s="350"/>
      <c r="P759" s="225"/>
      <c r="U759" s="315"/>
      <c r="V759" s="315"/>
    </row>
    <row r="760" spans="10:22" ht="16">
      <c r="J760" s="314"/>
      <c r="M760" s="350"/>
      <c r="P760" s="225"/>
      <c r="U760" s="315"/>
      <c r="V760" s="315"/>
    </row>
    <row r="761" spans="10:22" ht="16">
      <c r="J761" s="314"/>
      <c r="M761" s="350"/>
      <c r="P761" s="225"/>
      <c r="U761" s="315"/>
      <c r="V761" s="315"/>
    </row>
    <row r="762" spans="10:22" ht="16">
      <c r="J762" s="314"/>
      <c r="M762" s="350"/>
      <c r="P762" s="225"/>
      <c r="U762" s="315"/>
      <c r="V762" s="315"/>
    </row>
    <row r="763" spans="10:22" ht="16">
      <c r="J763" s="314"/>
      <c r="M763" s="350"/>
      <c r="P763" s="225"/>
      <c r="U763" s="315"/>
      <c r="V763" s="315"/>
    </row>
    <row r="764" spans="10:22" ht="16">
      <c r="J764" s="314"/>
      <c r="M764" s="350"/>
      <c r="P764" s="225"/>
      <c r="U764" s="315"/>
      <c r="V764" s="315"/>
    </row>
    <row r="765" spans="10:22" ht="16">
      <c r="J765" s="314"/>
      <c r="M765" s="350"/>
      <c r="P765" s="225"/>
      <c r="U765" s="315"/>
      <c r="V765" s="315"/>
    </row>
    <row r="766" spans="10:22" ht="16">
      <c r="J766" s="314"/>
      <c r="M766" s="350"/>
      <c r="P766" s="225"/>
      <c r="U766" s="315"/>
      <c r="V766" s="315"/>
    </row>
    <row r="767" spans="10:22" ht="16">
      <c r="J767" s="314"/>
      <c r="M767" s="350"/>
      <c r="P767" s="225"/>
      <c r="U767" s="315"/>
      <c r="V767" s="315"/>
    </row>
    <row r="768" spans="10:22" ht="16">
      <c r="J768" s="314"/>
      <c r="M768" s="350"/>
      <c r="P768" s="225"/>
      <c r="U768" s="315"/>
      <c r="V768" s="315"/>
    </row>
    <row r="769" spans="10:22" ht="16">
      <c r="J769" s="314"/>
      <c r="M769" s="350"/>
      <c r="P769" s="225"/>
      <c r="U769" s="315"/>
      <c r="V769" s="315"/>
    </row>
    <row r="770" spans="10:22" ht="16">
      <c r="J770" s="314"/>
      <c r="M770" s="350"/>
      <c r="P770" s="225"/>
      <c r="U770" s="315"/>
      <c r="V770" s="315"/>
    </row>
    <row r="771" spans="10:22" ht="16">
      <c r="J771" s="314"/>
      <c r="M771" s="350"/>
      <c r="P771" s="225"/>
      <c r="U771" s="315"/>
      <c r="V771" s="315"/>
    </row>
    <row r="772" spans="10:22" ht="16">
      <c r="J772" s="314"/>
      <c r="M772" s="350"/>
      <c r="P772" s="225"/>
      <c r="U772" s="315"/>
      <c r="V772" s="315"/>
    </row>
    <row r="773" spans="10:22" ht="16">
      <c r="J773" s="314"/>
      <c r="M773" s="350"/>
      <c r="P773" s="225"/>
      <c r="U773" s="315"/>
      <c r="V773" s="315"/>
    </row>
    <row r="774" spans="10:22" ht="16">
      <c r="J774" s="314"/>
      <c r="M774" s="350"/>
      <c r="P774" s="225"/>
      <c r="U774" s="315"/>
      <c r="V774" s="315"/>
    </row>
    <row r="775" spans="10:22" ht="16">
      <c r="J775" s="314"/>
      <c r="M775" s="350"/>
      <c r="P775" s="225"/>
      <c r="U775" s="315"/>
      <c r="V775" s="315"/>
    </row>
    <row r="776" spans="10:22" ht="16">
      <c r="J776" s="314"/>
      <c r="M776" s="350"/>
      <c r="P776" s="225"/>
      <c r="U776" s="315"/>
      <c r="V776" s="315"/>
    </row>
    <row r="777" spans="10:22" ht="16">
      <c r="J777" s="314"/>
      <c r="M777" s="350"/>
      <c r="P777" s="225"/>
      <c r="U777" s="315"/>
      <c r="V777" s="315"/>
    </row>
    <row r="778" spans="10:22" ht="16">
      <c r="J778" s="314"/>
      <c r="M778" s="350"/>
      <c r="P778" s="225"/>
      <c r="U778" s="315"/>
      <c r="V778" s="315"/>
    </row>
    <row r="779" spans="10:22" ht="16">
      <c r="J779" s="314"/>
      <c r="M779" s="350"/>
      <c r="P779" s="225"/>
      <c r="U779" s="315"/>
      <c r="V779" s="315"/>
    </row>
    <row r="780" spans="10:22" ht="16">
      <c r="J780" s="314"/>
      <c r="M780" s="350"/>
      <c r="P780" s="225"/>
      <c r="U780" s="315"/>
      <c r="V780" s="315"/>
    </row>
    <row r="781" spans="10:22" ht="16">
      <c r="J781" s="314"/>
      <c r="M781" s="350"/>
      <c r="P781" s="225"/>
      <c r="U781" s="315"/>
      <c r="V781" s="315"/>
    </row>
    <row r="782" spans="10:22" ht="16">
      <c r="J782" s="314"/>
      <c r="M782" s="350"/>
      <c r="P782" s="225"/>
      <c r="U782" s="315"/>
      <c r="V782" s="315"/>
    </row>
    <row r="783" spans="10:22" ht="16">
      <c r="J783" s="314"/>
      <c r="M783" s="350"/>
      <c r="P783" s="225"/>
      <c r="U783" s="315"/>
      <c r="V783" s="315"/>
    </row>
    <row r="784" spans="10:22" ht="16">
      <c r="J784" s="314"/>
      <c r="M784" s="350"/>
      <c r="P784" s="225"/>
      <c r="U784" s="315"/>
      <c r="V784" s="315"/>
    </row>
    <row r="785" spans="10:22" ht="16">
      <c r="J785" s="314"/>
      <c r="M785" s="350"/>
      <c r="P785" s="225"/>
      <c r="U785" s="315"/>
      <c r="V785" s="315"/>
    </row>
    <row r="786" spans="10:22" ht="16">
      <c r="J786" s="314"/>
      <c r="M786" s="350"/>
      <c r="P786" s="225"/>
      <c r="U786" s="315"/>
      <c r="V786" s="315"/>
    </row>
    <row r="787" spans="10:22" ht="16">
      <c r="J787" s="314"/>
      <c r="M787" s="350"/>
      <c r="P787" s="225"/>
      <c r="U787" s="315"/>
      <c r="V787" s="315"/>
    </row>
    <row r="788" spans="10:22" ht="16">
      <c r="J788" s="314"/>
      <c r="M788" s="350"/>
      <c r="P788" s="225"/>
      <c r="U788" s="315"/>
      <c r="V788" s="315"/>
    </row>
    <row r="789" spans="10:22" ht="16">
      <c r="J789" s="314"/>
      <c r="M789" s="350"/>
      <c r="P789" s="225"/>
      <c r="U789" s="315"/>
      <c r="V789" s="315"/>
    </row>
    <row r="790" spans="10:22" ht="16">
      <c r="J790" s="314"/>
      <c r="M790" s="350"/>
      <c r="P790" s="225"/>
      <c r="U790" s="315"/>
      <c r="V790" s="315"/>
    </row>
    <row r="791" spans="10:22" ht="16">
      <c r="J791" s="314"/>
      <c r="M791" s="350"/>
      <c r="P791" s="225"/>
      <c r="U791" s="315"/>
      <c r="V791" s="315"/>
    </row>
    <row r="792" spans="10:22" ht="16">
      <c r="J792" s="314"/>
      <c r="M792" s="350"/>
      <c r="P792" s="225"/>
      <c r="U792" s="315"/>
      <c r="V792" s="315"/>
    </row>
    <row r="793" spans="10:22" ht="16">
      <c r="J793" s="314"/>
      <c r="M793" s="350"/>
      <c r="P793" s="225"/>
      <c r="U793" s="315"/>
      <c r="V793" s="315"/>
    </row>
    <row r="794" spans="10:22" ht="16">
      <c r="J794" s="314"/>
      <c r="M794" s="350"/>
      <c r="P794" s="225"/>
      <c r="U794" s="315"/>
      <c r="V794" s="315"/>
    </row>
    <row r="795" spans="10:22" ht="16">
      <c r="J795" s="314"/>
      <c r="M795" s="350"/>
      <c r="P795" s="225"/>
      <c r="U795" s="315"/>
      <c r="V795" s="315"/>
    </row>
    <row r="796" spans="10:22" ht="16">
      <c r="J796" s="314"/>
      <c r="M796" s="350"/>
      <c r="P796" s="225"/>
      <c r="U796" s="315"/>
      <c r="V796" s="315"/>
    </row>
    <row r="797" spans="10:22" ht="16">
      <c r="J797" s="314"/>
      <c r="M797" s="350"/>
      <c r="P797" s="225"/>
      <c r="U797" s="315"/>
      <c r="V797" s="315"/>
    </row>
    <row r="798" spans="10:22" ht="16">
      <c r="J798" s="314"/>
      <c r="M798" s="350"/>
      <c r="P798" s="225"/>
      <c r="U798" s="315"/>
      <c r="V798" s="315"/>
    </row>
    <row r="799" spans="10:22" ht="16">
      <c r="J799" s="314"/>
      <c r="M799" s="350"/>
      <c r="P799" s="225"/>
      <c r="U799" s="315"/>
      <c r="V799" s="315"/>
    </row>
    <row r="800" spans="10:22" ht="16">
      <c r="J800" s="314"/>
      <c r="M800" s="350"/>
      <c r="P800" s="225"/>
      <c r="U800" s="315"/>
      <c r="V800" s="315"/>
    </row>
    <row r="801" spans="10:22" ht="16">
      <c r="J801" s="314"/>
      <c r="M801" s="350"/>
      <c r="P801" s="225"/>
      <c r="U801" s="315"/>
      <c r="V801" s="315"/>
    </row>
    <row r="802" spans="10:22" ht="16">
      <c r="J802" s="314"/>
      <c r="M802" s="350"/>
      <c r="P802" s="225"/>
      <c r="U802" s="315"/>
      <c r="V802" s="315"/>
    </row>
    <row r="803" spans="10:22" ht="16">
      <c r="J803" s="314"/>
      <c r="M803" s="350"/>
      <c r="P803" s="225"/>
      <c r="U803" s="315"/>
      <c r="V803" s="315"/>
    </row>
    <row r="804" spans="10:22" ht="16">
      <c r="J804" s="314"/>
      <c r="M804" s="350"/>
      <c r="P804" s="225"/>
      <c r="U804" s="315"/>
      <c r="V804" s="315"/>
    </row>
    <row r="805" spans="10:22" ht="16">
      <c r="J805" s="314"/>
      <c r="M805" s="350"/>
      <c r="P805" s="225"/>
      <c r="U805" s="315"/>
      <c r="V805" s="315"/>
    </row>
    <row r="806" spans="10:22" ht="16">
      <c r="J806" s="314"/>
      <c r="M806" s="350"/>
      <c r="P806" s="225"/>
      <c r="U806" s="315"/>
      <c r="V806" s="315"/>
    </row>
    <row r="807" spans="10:22" ht="16">
      <c r="J807" s="314"/>
      <c r="M807" s="350"/>
      <c r="P807" s="225"/>
      <c r="U807" s="315"/>
      <c r="V807" s="315"/>
    </row>
    <row r="808" spans="10:22" ht="16">
      <c r="J808" s="314"/>
      <c r="M808" s="350"/>
      <c r="P808" s="225"/>
      <c r="U808" s="315"/>
      <c r="V808" s="315"/>
    </row>
    <row r="809" spans="10:22" ht="16">
      <c r="J809" s="314"/>
      <c r="M809" s="350"/>
      <c r="P809" s="225"/>
      <c r="U809" s="315"/>
      <c r="V809" s="315"/>
    </row>
    <row r="810" spans="10:22" ht="16">
      <c r="J810" s="314"/>
      <c r="M810" s="350"/>
      <c r="P810" s="225"/>
      <c r="U810" s="315"/>
      <c r="V810" s="315"/>
    </row>
    <row r="811" spans="10:22" ht="16">
      <c r="J811" s="314"/>
      <c r="M811" s="350"/>
      <c r="P811" s="225"/>
      <c r="U811" s="315"/>
      <c r="V811" s="315"/>
    </row>
    <row r="812" spans="10:22" ht="16">
      <c r="J812" s="314"/>
      <c r="M812" s="350"/>
      <c r="P812" s="225"/>
      <c r="U812" s="315"/>
      <c r="V812" s="315"/>
    </row>
    <row r="813" spans="10:22" ht="16">
      <c r="J813" s="314"/>
      <c r="M813" s="350"/>
      <c r="P813" s="225"/>
      <c r="U813" s="315"/>
      <c r="V813" s="315"/>
    </row>
    <row r="814" spans="10:22" ht="16">
      <c r="J814" s="314"/>
      <c r="M814" s="350"/>
      <c r="P814" s="225"/>
      <c r="U814" s="315"/>
      <c r="V814" s="315"/>
    </row>
    <row r="815" spans="10:22" ht="16">
      <c r="J815" s="314"/>
      <c r="M815" s="350"/>
      <c r="P815" s="225"/>
      <c r="U815" s="315"/>
      <c r="V815" s="315"/>
    </row>
    <row r="816" spans="10:22" ht="16">
      <c r="J816" s="314"/>
      <c r="M816" s="350"/>
      <c r="P816" s="225"/>
      <c r="U816" s="315"/>
      <c r="V816" s="315"/>
    </row>
    <row r="817" spans="10:22" ht="16">
      <c r="J817" s="314"/>
      <c r="M817" s="350"/>
      <c r="P817" s="225"/>
      <c r="U817" s="315"/>
      <c r="V817" s="315"/>
    </row>
    <row r="818" spans="10:22" ht="16">
      <c r="J818" s="314"/>
      <c r="M818" s="350"/>
      <c r="P818" s="225"/>
      <c r="U818" s="315"/>
      <c r="V818" s="315"/>
    </row>
    <row r="819" spans="10:22" ht="16">
      <c r="J819" s="314"/>
      <c r="M819" s="350"/>
      <c r="P819" s="225"/>
      <c r="U819" s="315"/>
      <c r="V819" s="315"/>
    </row>
    <row r="820" spans="10:22" ht="16">
      <c r="J820" s="314"/>
      <c r="M820" s="350"/>
      <c r="P820" s="225"/>
      <c r="U820" s="315"/>
      <c r="V820" s="315"/>
    </row>
    <row r="821" spans="10:22" ht="16">
      <c r="J821" s="314"/>
      <c r="M821" s="350"/>
      <c r="P821" s="225"/>
      <c r="U821" s="315"/>
      <c r="V821" s="315"/>
    </row>
    <row r="822" spans="10:22" ht="16">
      <c r="J822" s="314"/>
      <c r="M822" s="350"/>
      <c r="P822" s="225"/>
      <c r="U822" s="315"/>
      <c r="V822" s="315"/>
    </row>
    <row r="823" spans="10:22" ht="16">
      <c r="J823" s="314"/>
      <c r="M823" s="350"/>
      <c r="P823" s="225"/>
      <c r="U823" s="315"/>
      <c r="V823" s="315"/>
    </row>
    <row r="824" spans="10:22" ht="16">
      <c r="J824" s="314"/>
      <c r="M824" s="350"/>
      <c r="P824" s="225"/>
      <c r="U824" s="315"/>
      <c r="V824" s="315"/>
    </row>
    <row r="825" spans="10:22" ht="16">
      <c r="J825" s="314"/>
      <c r="M825" s="350"/>
      <c r="P825" s="225"/>
      <c r="U825" s="315"/>
      <c r="V825" s="315"/>
    </row>
    <row r="826" spans="10:22" ht="16">
      <c r="J826" s="314"/>
      <c r="M826" s="350"/>
      <c r="P826" s="225"/>
      <c r="U826" s="315"/>
      <c r="V826" s="315"/>
    </row>
    <row r="827" spans="10:22" ht="16">
      <c r="J827" s="314"/>
      <c r="M827" s="350"/>
      <c r="P827" s="225"/>
      <c r="U827" s="315"/>
      <c r="V827" s="315"/>
    </row>
    <row r="828" spans="10:22" ht="16">
      <c r="J828" s="314"/>
      <c r="M828" s="350"/>
      <c r="P828" s="225"/>
      <c r="U828" s="315"/>
      <c r="V828" s="315"/>
    </row>
    <row r="829" spans="10:22" ht="16">
      <c r="J829" s="314"/>
      <c r="M829" s="350"/>
      <c r="P829" s="225"/>
      <c r="U829" s="315"/>
      <c r="V829" s="315"/>
    </row>
    <row r="830" spans="10:22" ht="16">
      <c r="J830" s="314"/>
      <c r="M830" s="350"/>
      <c r="P830" s="225"/>
      <c r="U830" s="315"/>
      <c r="V830" s="315"/>
    </row>
    <row r="831" spans="10:22" ht="16">
      <c r="J831" s="314"/>
      <c r="M831" s="350"/>
      <c r="P831" s="225"/>
      <c r="U831" s="315"/>
      <c r="V831" s="315"/>
    </row>
    <row r="832" spans="10:22" ht="16">
      <c r="J832" s="314"/>
      <c r="M832" s="350"/>
      <c r="P832" s="225"/>
      <c r="U832" s="315"/>
      <c r="V832" s="315"/>
    </row>
    <row r="833" spans="10:22" ht="16">
      <c r="J833" s="314"/>
      <c r="M833" s="350"/>
      <c r="P833" s="225"/>
      <c r="U833" s="315"/>
      <c r="V833" s="315"/>
    </row>
    <row r="834" spans="10:22" ht="16">
      <c r="J834" s="314"/>
      <c r="M834" s="350"/>
      <c r="P834" s="225"/>
      <c r="U834" s="315"/>
      <c r="V834" s="315"/>
    </row>
    <row r="835" spans="10:22" ht="16">
      <c r="J835" s="314"/>
      <c r="M835" s="350"/>
      <c r="P835" s="225"/>
      <c r="U835" s="315"/>
      <c r="V835" s="315"/>
    </row>
    <row r="836" spans="10:22" ht="16">
      <c r="J836" s="314"/>
      <c r="M836" s="350"/>
      <c r="P836" s="225"/>
      <c r="U836" s="315"/>
      <c r="V836" s="315"/>
    </row>
    <row r="837" spans="10:22" ht="16">
      <c r="J837" s="314"/>
      <c r="M837" s="350"/>
      <c r="P837" s="225"/>
      <c r="U837" s="315"/>
      <c r="V837" s="315"/>
    </row>
    <row r="838" spans="10:22" ht="16">
      <c r="J838" s="314"/>
      <c r="M838" s="350"/>
      <c r="P838" s="225"/>
      <c r="U838" s="315"/>
      <c r="V838" s="315"/>
    </row>
    <row r="839" spans="10:22" ht="16">
      <c r="J839" s="314"/>
      <c r="M839" s="350"/>
      <c r="P839" s="225"/>
      <c r="U839" s="315"/>
      <c r="V839" s="315"/>
    </row>
    <row r="840" spans="10:22" ht="16">
      <c r="J840" s="314"/>
      <c r="M840" s="350"/>
      <c r="P840" s="225"/>
      <c r="U840" s="315"/>
      <c r="V840" s="315"/>
    </row>
    <row r="841" spans="10:22" ht="16">
      <c r="J841" s="314"/>
      <c r="M841" s="350"/>
      <c r="P841" s="225"/>
      <c r="U841" s="315"/>
      <c r="V841" s="315"/>
    </row>
    <row r="842" spans="10:22" ht="16">
      <c r="J842" s="314"/>
      <c r="M842" s="350"/>
      <c r="P842" s="225"/>
      <c r="U842" s="315"/>
      <c r="V842" s="315"/>
    </row>
    <row r="843" spans="10:22" ht="16">
      <c r="J843" s="314"/>
      <c r="M843" s="350"/>
      <c r="P843" s="225"/>
      <c r="U843" s="315"/>
      <c r="V843" s="315"/>
    </row>
    <row r="844" spans="10:22" ht="16">
      <c r="J844" s="314"/>
      <c r="M844" s="350"/>
      <c r="P844" s="225"/>
      <c r="U844" s="315"/>
      <c r="V844" s="315"/>
    </row>
    <row r="845" spans="10:22" ht="16">
      <c r="J845" s="314"/>
      <c r="M845" s="350"/>
      <c r="P845" s="225"/>
      <c r="U845" s="315"/>
      <c r="V845" s="315"/>
    </row>
    <row r="846" spans="10:22" ht="16">
      <c r="J846" s="314"/>
      <c r="M846" s="350"/>
      <c r="P846" s="225"/>
      <c r="U846" s="315"/>
      <c r="V846" s="315"/>
    </row>
    <row r="847" spans="10:22" ht="16">
      <c r="J847" s="314"/>
      <c r="M847" s="350"/>
      <c r="P847" s="225"/>
      <c r="U847" s="315"/>
      <c r="V847" s="315"/>
    </row>
    <row r="848" spans="10:22" ht="16">
      <c r="J848" s="314"/>
      <c r="M848" s="350"/>
      <c r="P848" s="225"/>
      <c r="U848" s="315"/>
      <c r="V848" s="315"/>
    </row>
    <row r="849" spans="10:22" ht="16">
      <c r="J849" s="314"/>
      <c r="M849" s="350"/>
      <c r="P849" s="225"/>
      <c r="U849" s="315"/>
      <c r="V849" s="315"/>
    </row>
    <row r="850" spans="10:22" ht="16">
      <c r="J850" s="314"/>
      <c r="M850" s="350"/>
      <c r="P850" s="225"/>
      <c r="U850" s="315"/>
      <c r="V850" s="315"/>
    </row>
    <row r="851" spans="10:22" ht="16">
      <c r="J851" s="314"/>
      <c r="M851" s="350"/>
      <c r="P851" s="225"/>
      <c r="U851" s="315"/>
      <c r="V851" s="315"/>
    </row>
    <row r="852" spans="10:22" ht="16">
      <c r="J852" s="314"/>
      <c r="M852" s="350"/>
      <c r="P852" s="225"/>
      <c r="U852" s="315"/>
      <c r="V852" s="315"/>
    </row>
    <row r="853" spans="10:22" ht="16">
      <c r="J853" s="314"/>
      <c r="M853" s="350"/>
      <c r="P853" s="225"/>
      <c r="U853" s="315"/>
      <c r="V853" s="315"/>
    </row>
    <row r="854" spans="10:22" ht="16">
      <c r="J854" s="314"/>
      <c r="M854" s="350"/>
      <c r="P854" s="225"/>
      <c r="U854" s="315"/>
      <c r="V854" s="315"/>
    </row>
    <row r="855" spans="10:22" ht="16">
      <c r="J855" s="314"/>
      <c r="M855" s="350"/>
      <c r="P855" s="225"/>
      <c r="U855" s="315"/>
      <c r="V855" s="315"/>
    </row>
    <row r="856" spans="10:22" ht="16">
      <c r="J856" s="314"/>
      <c r="M856" s="350"/>
      <c r="P856" s="225"/>
      <c r="U856" s="315"/>
      <c r="V856" s="315"/>
    </row>
    <row r="857" spans="10:22" ht="16">
      <c r="J857" s="314"/>
      <c r="M857" s="350"/>
      <c r="P857" s="225"/>
      <c r="U857" s="315"/>
      <c r="V857" s="315"/>
    </row>
    <row r="858" spans="10:22" ht="16">
      <c r="J858" s="314"/>
      <c r="M858" s="350"/>
      <c r="P858" s="225"/>
      <c r="U858" s="315"/>
      <c r="V858" s="315"/>
    </row>
    <row r="859" spans="10:22" ht="16">
      <c r="J859" s="314"/>
      <c r="M859" s="350"/>
      <c r="P859" s="225"/>
      <c r="U859" s="315"/>
      <c r="V859" s="315"/>
    </row>
    <row r="860" spans="10:22" ht="16">
      <c r="J860" s="314"/>
      <c r="M860" s="350"/>
      <c r="P860" s="225"/>
      <c r="U860" s="315"/>
      <c r="V860" s="315"/>
    </row>
    <row r="861" spans="10:22" ht="16">
      <c r="J861" s="314"/>
      <c r="M861" s="350"/>
      <c r="P861" s="225"/>
      <c r="U861" s="315"/>
      <c r="V861" s="315"/>
    </row>
    <row r="862" spans="10:22" ht="16">
      <c r="J862" s="314"/>
      <c r="M862" s="350"/>
      <c r="P862" s="225"/>
      <c r="U862" s="315"/>
      <c r="V862" s="315"/>
    </row>
    <row r="863" spans="10:22" ht="16">
      <c r="J863" s="314"/>
      <c r="M863" s="350"/>
      <c r="P863" s="225"/>
      <c r="U863" s="315"/>
      <c r="V863" s="315"/>
    </row>
    <row r="864" spans="10:22" ht="16">
      <c r="J864" s="314"/>
      <c r="M864" s="350"/>
      <c r="P864" s="225"/>
      <c r="U864" s="315"/>
      <c r="V864" s="315"/>
    </row>
    <row r="865" spans="10:22" ht="16">
      <c r="J865" s="314"/>
      <c r="M865" s="350"/>
      <c r="P865" s="225"/>
      <c r="U865" s="315"/>
      <c r="V865" s="315"/>
    </row>
    <row r="866" spans="10:22" ht="16">
      <c r="J866" s="314"/>
      <c r="M866" s="350"/>
      <c r="P866" s="225"/>
      <c r="U866" s="315"/>
      <c r="V866" s="315"/>
    </row>
    <row r="867" spans="10:22" ht="16">
      <c r="J867" s="314"/>
      <c r="M867" s="350"/>
      <c r="P867" s="225"/>
      <c r="U867" s="315"/>
      <c r="V867" s="315"/>
    </row>
    <row r="868" spans="10:22" ht="16">
      <c r="J868" s="314"/>
      <c r="M868" s="350"/>
      <c r="P868" s="225"/>
      <c r="U868" s="315"/>
      <c r="V868" s="315"/>
    </row>
    <row r="869" spans="10:22" ht="16">
      <c r="J869" s="314"/>
      <c r="M869" s="350"/>
      <c r="P869" s="225"/>
      <c r="U869" s="315"/>
      <c r="V869" s="315"/>
    </row>
    <row r="870" spans="10:22" ht="16">
      <c r="J870" s="314"/>
      <c r="M870" s="350"/>
      <c r="P870" s="225"/>
      <c r="U870" s="315"/>
      <c r="V870" s="315"/>
    </row>
    <row r="871" spans="10:22" ht="16">
      <c r="J871" s="314"/>
      <c r="M871" s="350"/>
      <c r="P871" s="225"/>
      <c r="U871" s="315"/>
      <c r="V871" s="315"/>
    </row>
    <row r="872" spans="10:22" ht="16">
      <c r="J872" s="314"/>
      <c r="M872" s="350"/>
      <c r="P872" s="225"/>
      <c r="U872" s="315"/>
      <c r="V872" s="315"/>
    </row>
    <row r="873" spans="10:22" ht="16">
      <c r="J873" s="314"/>
      <c r="M873" s="350"/>
      <c r="P873" s="225"/>
      <c r="U873" s="315"/>
      <c r="V873" s="315"/>
    </row>
    <row r="874" spans="10:22" ht="16">
      <c r="J874" s="314"/>
      <c r="M874" s="350"/>
      <c r="P874" s="225"/>
      <c r="U874" s="315"/>
      <c r="V874" s="315"/>
    </row>
    <row r="875" spans="10:22" ht="16">
      <c r="J875" s="314"/>
      <c r="M875" s="350"/>
      <c r="P875" s="225"/>
      <c r="U875" s="315"/>
      <c r="V875" s="315"/>
    </row>
    <row r="876" spans="10:22" ht="16">
      <c r="J876" s="314"/>
      <c r="M876" s="350"/>
      <c r="P876" s="225"/>
      <c r="U876" s="315"/>
      <c r="V876" s="315"/>
    </row>
    <row r="877" spans="10:22" ht="16">
      <c r="J877" s="314"/>
      <c r="M877" s="350"/>
      <c r="P877" s="225"/>
      <c r="U877" s="315"/>
      <c r="V877" s="315"/>
    </row>
    <row r="878" spans="10:22" ht="16">
      <c r="J878" s="314"/>
      <c r="M878" s="350"/>
      <c r="P878" s="225"/>
      <c r="U878" s="315"/>
      <c r="V878" s="315"/>
    </row>
    <row r="879" spans="10:22" ht="16">
      <c r="J879" s="314"/>
      <c r="M879" s="350"/>
      <c r="P879" s="225"/>
      <c r="U879" s="315"/>
      <c r="V879" s="315"/>
    </row>
    <row r="880" spans="10:22" ht="16">
      <c r="J880" s="314"/>
      <c r="M880" s="350"/>
      <c r="P880" s="225"/>
      <c r="U880" s="315"/>
      <c r="V880" s="315"/>
    </row>
    <row r="881" spans="10:22" ht="16">
      <c r="J881" s="314"/>
      <c r="M881" s="350"/>
      <c r="P881" s="225"/>
      <c r="U881" s="315"/>
      <c r="V881" s="315"/>
    </row>
    <row r="882" spans="10:22" ht="16">
      <c r="J882" s="314"/>
      <c r="M882" s="350"/>
      <c r="P882" s="225"/>
      <c r="U882" s="315"/>
      <c r="V882" s="315"/>
    </row>
    <row r="883" spans="10:22" ht="16">
      <c r="J883" s="314"/>
      <c r="M883" s="350"/>
      <c r="P883" s="225"/>
      <c r="U883" s="315"/>
      <c r="V883" s="315"/>
    </row>
    <row r="884" spans="10:22" ht="16">
      <c r="J884" s="314"/>
      <c r="M884" s="350"/>
      <c r="P884" s="225"/>
      <c r="U884" s="315"/>
      <c r="V884" s="315"/>
    </row>
    <row r="885" spans="10:22" ht="16">
      <c r="J885" s="314"/>
      <c r="M885" s="350"/>
      <c r="P885" s="225"/>
      <c r="U885" s="315"/>
      <c r="V885" s="315"/>
    </row>
    <row r="886" spans="10:22" ht="16">
      <c r="J886" s="314"/>
      <c r="M886" s="350"/>
      <c r="P886" s="225"/>
      <c r="U886" s="315"/>
      <c r="V886" s="315"/>
    </row>
    <row r="887" spans="10:22" ht="16">
      <c r="J887" s="314"/>
      <c r="M887" s="350"/>
      <c r="P887" s="225"/>
      <c r="U887" s="315"/>
      <c r="V887" s="315"/>
    </row>
    <row r="888" spans="10:22" ht="16">
      <c r="J888" s="314"/>
      <c r="M888" s="350"/>
      <c r="P888" s="225"/>
      <c r="U888" s="315"/>
      <c r="V888" s="315"/>
    </row>
    <row r="889" spans="10:22" ht="16">
      <c r="J889" s="314"/>
      <c r="M889" s="350"/>
      <c r="P889" s="225"/>
      <c r="U889" s="315"/>
      <c r="V889" s="315"/>
    </row>
    <row r="890" spans="10:22" ht="16">
      <c r="J890" s="314"/>
      <c r="M890" s="350"/>
      <c r="P890" s="225"/>
      <c r="U890" s="315"/>
      <c r="V890" s="315"/>
    </row>
    <row r="891" spans="10:22" ht="16">
      <c r="J891" s="314"/>
      <c r="M891" s="350"/>
      <c r="P891" s="225"/>
      <c r="U891" s="315"/>
      <c r="V891" s="315"/>
    </row>
    <row r="892" spans="10:22" ht="16">
      <c r="J892" s="314"/>
      <c r="M892" s="350"/>
      <c r="P892" s="225"/>
      <c r="U892" s="315"/>
      <c r="V892" s="315"/>
    </row>
    <row r="893" spans="10:22" ht="16">
      <c r="J893" s="314"/>
      <c r="M893" s="350"/>
      <c r="P893" s="225"/>
      <c r="U893" s="315"/>
      <c r="V893" s="315"/>
    </row>
    <row r="894" spans="10:22" ht="16">
      <c r="J894" s="314"/>
      <c r="M894" s="350"/>
      <c r="P894" s="225"/>
      <c r="U894" s="315"/>
      <c r="V894" s="315"/>
    </row>
    <row r="895" spans="10:22" ht="16">
      <c r="J895" s="314"/>
      <c r="M895" s="350"/>
      <c r="P895" s="225"/>
      <c r="U895" s="315"/>
      <c r="V895" s="315"/>
    </row>
    <row r="896" spans="10:22" ht="16">
      <c r="J896" s="314"/>
      <c r="M896" s="350"/>
      <c r="P896" s="225"/>
      <c r="U896" s="315"/>
      <c r="V896" s="315"/>
    </row>
    <row r="897" spans="10:22" ht="16">
      <c r="J897" s="314"/>
      <c r="M897" s="350"/>
      <c r="P897" s="225"/>
      <c r="U897" s="315"/>
      <c r="V897" s="315"/>
    </row>
    <row r="898" spans="10:22" ht="16">
      <c r="J898" s="314"/>
      <c r="M898" s="350"/>
      <c r="P898" s="225"/>
      <c r="U898" s="315"/>
      <c r="V898" s="315"/>
    </row>
    <row r="899" spans="10:22" ht="16">
      <c r="J899" s="314"/>
      <c r="M899" s="350"/>
      <c r="P899" s="225"/>
      <c r="U899" s="315"/>
      <c r="V899" s="315"/>
    </row>
    <row r="900" spans="10:22" ht="16">
      <c r="J900" s="314"/>
      <c r="M900" s="350"/>
      <c r="P900" s="225"/>
      <c r="U900" s="315"/>
      <c r="V900" s="315"/>
    </row>
    <row r="901" spans="10:22" ht="16">
      <c r="J901" s="314"/>
      <c r="M901" s="350"/>
      <c r="P901" s="225"/>
      <c r="U901" s="315"/>
      <c r="V901" s="315"/>
    </row>
    <row r="902" spans="10:22" ht="16">
      <c r="J902" s="314"/>
      <c r="M902" s="350"/>
      <c r="P902" s="225"/>
      <c r="U902" s="315"/>
      <c r="V902" s="315"/>
    </row>
    <row r="903" spans="10:22" ht="16">
      <c r="J903" s="314"/>
      <c r="M903" s="350"/>
      <c r="P903" s="225"/>
      <c r="U903" s="315"/>
      <c r="V903" s="315"/>
    </row>
    <row r="904" spans="10:22" ht="16">
      <c r="J904" s="314"/>
      <c r="M904" s="350"/>
      <c r="P904" s="225"/>
      <c r="U904" s="315"/>
      <c r="V904" s="315"/>
    </row>
    <row r="905" spans="10:22" ht="16">
      <c r="J905" s="314"/>
      <c r="M905" s="350"/>
      <c r="P905" s="225"/>
      <c r="U905" s="315"/>
      <c r="V905" s="315"/>
    </row>
    <row r="906" spans="10:22" ht="16">
      <c r="J906" s="314"/>
      <c r="M906" s="350"/>
      <c r="P906" s="225"/>
      <c r="U906" s="315"/>
      <c r="V906" s="315"/>
    </row>
    <row r="907" spans="10:22" ht="16">
      <c r="J907" s="314"/>
      <c r="M907" s="350"/>
      <c r="P907" s="225"/>
      <c r="U907" s="315"/>
      <c r="V907" s="315"/>
    </row>
    <row r="908" spans="10:22" ht="16">
      <c r="J908" s="314"/>
      <c r="M908" s="350"/>
      <c r="P908" s="225"/>
      <c r="U908" s="315"/>
      <c r="V908" s="315"/>
    </row>
    <row r="909" spans="10:22" ht="16">
      <c r="J909" s="314"/>
      <c r="M909" s="350"/>
      <c r="P909" s="225"/>
      <c r="U909" s="315"/>
      <c r="V909" s="315"/>
    </row>
    <row r="910" spans="10:22" ht="16">
      <c r="J910" s="314"/>
      <c r="M910" s="350"/>
      <c r="P910" s="225"/>
      <c r="U910" s="315"/>
      <c r="V910" s="315"/>
    </row>
    <row r="911" spans="10:22" ht="16">
      <c r="J911" s="314"/>
      <c r="M911" s="350"/>
      <c r="P911" s="225"/>
      <c r="U911" s="315"/>
      <c r="V911" s="315"/>
    </row>
    <row r="912" spans="10:22" ht="16">
      <c r="J912" s="314"/>
      <c r="M912" s="350"/>
      <c r="P912" s="225"/>
      <c r="U912" s="315"/>
      <c r="V912" s="315"/>
    </row>
    <row r="913" spans="10:22" ht="16">
      <c r="J913" s="314"/>
      <c r="M913" s="350"/>
      <c r="P913" s="225"/>
      <c r="U913" s="315"/>
      <c r="V913" s="315"/>
    </row>
    <row r="914" spans="10:22" ht="16">
      <c r="J914" s="314"/>
      <c r="M914" s="350"/>
      <c r="P914" s="225"/>
      <c r="U914" s="315"/>
      <c r="V914" s="315"/>
    </row>
    <row r="915" spans="10:22" ht="16">
      <c r="J915" s="314"/>
      <c r="M915" s="350"/>
      <c r="P915" s="225"/>
      <c r="U915" s="315"/>
      <c r="V915" s="315"/>
    </row>
    <row r="916" spans="10:22" ht="16">
      <c r="J916" s="314"/>
      <c r="M916" s="350"/>
      <c r="P916" s="225"/>
      <c r="U916" s="315"/>
      <c r="V916" s="315"/>
    </row>
    <row r="917" spans="10:22" ht="16">
      <c r="J917" s="314"/>
      <c r="M917" s="350"/>
      <c r="P917" s="225"/>
      <c r="U917" s="315"/>
      <c r="V917" s="315"/>
    </row>
    <row r="918" spans="10:22" ht="16">
      <c r="J918" s="314"/>
      <c r="M918" s="350"/>
      <c r="P918" s="225"/>
      <c r="U918" s="315"/>
      <c r="V918" s="315"/>
    </row>
    <row r="919" spans="10:22" ht="16">
      <c r="J919" s="314"/>
      <c r="M919" s="350"/>
      <c r="P919" s="225"/>
      <c r="U919" s="315"/>
      <c r="V919" s="315"/>
    </row>
    <row r="920" spans="10:22" ht="16">
      <c r="J920" s="314"/>
      <c r="M920" s="350"/>
      <c r="P920" s="225"/>
      <c r="U920" s="315"/>
      <c r="V920" s="315"/>
    </row>
    <row r="921" spans="10:22" ht="16">
      <c r="J921" s="314"/>
      <c r="M921" s="350"/>
      <c r="P921" s="225"/>
      <c r="U921" s="315"/>
      <c r="V921" s="315"/>
    </row>
    <row r="922" spans="10:22" ht="16">
      <c r="J922" s="314"/>
      <c r="M922" s="350"/>
      <c r="P922" s="225"/>
      <c r="U922" s="315"/>
      <c r="V922" s="315"/>
    </row>
    <row r="923" spans="10:22" ht="16">
      <c r="J923" s="314"/>
      <c r="M923" s="350"/>
      <c r="P923" s="225"/>
      <c r="U923" s="315"/>
      <c r="V923" s="315"/>
    </row>
    <row r="924" spans="10:22" ht="16">
      <c r="J924" s="314"/>
      <c r="M924" s="350"/>
      <c r="P924" s="225"/>
      <c r="U924" s="315"/>
      <c r="V924" s="315"/>
    </row>
    <row r="925" spans="10:22" ht="16">
      <c r="J925" s="314"/>
      <c r="M925" s="350"/>
      <c r="P925" s="225"/>
      <c r="U925" s="315"/>
      <c r="V925" s="315"/>
    </row>
    <row r="926" spans="10:22" ht="16">
      <c r="J926" s="314"/>
      <c r="M926" s="350"/>
      <c r="P926" s="225"/>
      <c r="U926" s="315"/>
      <c r="V926" s="315"/>
    </row>
    <row r="927" spans="10:22" ht="16">
      <c r="J927" s="314"/>
      <c r="M927" s="350"/>
      <c r="P927" s="225"/>
      <c r="U927" s="315"/>
      <c r="V927" s="315"/>
    </row>
    <row r="928" spans="10:22" ht="16">
      <c r="J928" s="314"/>
      <c r="M928" s="350"/>
      <c r="P928" s="225"/>
      <c r="U928" s="315"/>
      <c r="V928" s="315"/>
    </row>
    <row r="929" spans="10:22" ht="16">
      <c r="J929" s="314"/>
      <c r="M929" s="350"/>
      <c r="P929" s="225"/>
      <c r="U929" s="315"/>
      <c r="V929" s="315"/>
    </row>
    <row r="930" spans="10:22" ht="16">
      <c r="J930" s="314"/>
      <c r="M930" s="350"/>
      <c r="P930" s="225"/>
      <c r="U930" s="315"/>
      <c r="V930" s="315"/>
    </row>
    <row r="931" spans="10:22" ht="16">
      <c r="J931" s="314"/>
      <c r="M931" s="350"/>
      <c r="P931" s="225"/>
      <c r="U931" s="315"/>
      <c r="V931" s="315"/>
    </row>
    <row r="932" spans="10:22" ht="16">
      <c r="J932" s="314"/>
      <c r="M932" s="350"/>
      <c r="P932" s="225"/>
      <c r="U932" s="315"/>
      <c r="V932" s="315"/>
    </row>
    <row r="933" spans="10:22" ht="16">
      <c r="J933" s="314"/>
      <c r="M933" s="350"/>
      <c r="P933" s="225"/>
      <c r="U933" s="315"/>
      <c r="V933" s="315"/>
    </row>
    <row r="934" spans="10:22" ht="16">
      <c r="J934" s="314"/>
      <c r="M934" s="350"/>
      <c r="P934" s="225"/>
      <c r="U934" s="315"/>
      <c r="V934" s="315"/>
    </row>
    <row r="935" spans="10:22" ht="16">
      <c r="J935" s="314"/>
      <c r="M935" s="350"/>
      <c r="P935" s="225"/>
      <c r="U935" s="315"/>
      <c r="V935" s="315"/>
    </row>
    <row r="936" spans="10:22" ht="16">
      <c r="J936" s="314"/>
      <c r="M936" s="350"/>
      <c r="P936" s="225"/>
      <c r="U936" s="315"/>
      <c r="V936" s="315"/>
    </row>
    <row r="937" spans="10:22" ht="16">
      <c r="J937" s="314"/>
      <c r="M937" s="350"/>
      <c r="P937" s="225"/>
      <c r="U937" s="315"/>
      <c r="V937" s="315"/>
    </row>
    <row r="938" spans="10:22" ht="16">
      <c r="J938" s="314"/>
      <c r="M938" s="350"/>
      <c r="P938" s="225"/>
      <c r="U938" s="315"/>
      <c r="V938" s="315"/>
    </row>
    <row r="939" spans="10:22" ht="16">
      <c r="J939" s="314"/>
      <c r="M939" s="350"/>
      <c r="P939" s="225"/>
      <c r="U939" s="315"/>
      <c r="V939" s="315"/>
    </row>
    <row r="940" spans="10:22" ht="16">
      <c r="J940" s="314"/>
      <c r="M940" s="350"/>
      <c r="P940" s="225"/>
      <c r="U940" s="315"/>
      <c r="V940" s="315"/>
    </row>
    <row r="941" spans="10:22" ht="16">
      <c r="J941" s="314"/>
      <c r="M941" s="350"/>
      <c r="P941" s="225"/>
      <c r="U941" s="315"/>
      <c r="V941" s="315"/>
    </row>
    <row r="942" spans="10:22" ht="16">
      <c r="J942" s="314"/>
      <c r="M942" s="350"/>
      <c r="P942" s="225"/>
      <c r="U942" s="315"/>
      <c r="V942" s="315"/>
    </row>
    <row r="943" spans="10:22" ht="16">
      <c r="J943" s="314"/>
      <c r="M943" s="350"/>
      <c r="P943" s="225"/>
      <c r="U943" s="315"/>
      <c r="V943" s="315"/>
    </row>
    <row r="944" spans="10:22" ht="16">
      <c r="J944" s="314"/>
      <c r="M944" s="350"/>
      <c r="P944" s="225"/>
      <c r="U944" s="315"/>
      <c r="V944" s="315"/>
    </row>
    <row r="945" spans="10:22" ht="16">
      <c r="J945" s="314"/>
      <c r="M945" s="350"/>
      <c r="P945" s="225"/>
      <c r="U945" s="315"/>
      <c r="V945" s="315"/>
    </row>
    <row r="946" spans="10:22" ht="16">
      <c r="J946" s="314"/>
      <c r="M946" s="350"/>
      <c r="P946" s="225"/>
      <c r="U946" s="315"/>
      <c r="V946" s="315"/>
    </row>
    <row r="947" spans="10:22" ht="16">
      <c r="J947" s="314"/>
      <c r="M947" s="350"/>
      <c r="P947" s="225"/>
      <c r="U947" s="315"/>
      <c r="V947" s="315"/>
    </row>
    <row r="948" spans="10:22" ht="16">
      <c r="J948" s="314"/>
      <c r="M948" s="350"/>
      <c r="P948" s="225"/>
      <c r="U948" s="315"/>
      <c r="V948" s="315"/>
    </row>
    <row r="949" spans="10:22" ht="16">
      <c r="J949" s="314"/>
      <c r="M949" s="350"/>
      <c r="P949" s="225"/>
      <c r="U949" s="315"/>
      <c r="V949" s="315"/>
    </row>
    <row r="950" spans="10:22" ht="16">
      <c r="J950" s="314"/>
      <c r="M950" s="350"/>
      <c r="P950" s="225"/>
      <c r="U950" s="315"/>
      <c r="V950" s="315"/>
    </row>
    <row r="951" spans="10:22" ht="16">
      <c r="J951" s="314"/>
      <c r="M951" s="350"/>
      <c r="P951" s="225"/>
      <c r="U951" s="315"/>
      <c r="V951" s="315"/>
    </row>
    <row r="952" spans="10:22" ht="16">
      <c r="J952" s="314"/>
      <c r="M952" s="350"/>
      <c r="P952" s="225"/>
      <c r="U952" s="315"/>
      <c r="V952" s="315"/>
    </row>
    <row r="953" spans="10:22" ht="16">
      <c r="J953" s="314"/>
      <c r="M953" s="350"/>
      <c r="P953" s="225"/>
      <c r="U953" s="315"/>
      <c r="V953" s="315"/>
    </row>
    <row r="954" spans="10:22" ht="16">
      <c r="J954" s="314"/>
      <c r="M954" s="350"/>
      <c r="P954" s="225"/>
      <c r="U954" s="315"/>
      <c r="V954" s="315"/>
    </row>
    <row r="955" spans="10:22" ht="16">
      <c r="J955" s="314"/>
      <c r="M955" s="350"/>
      <c r="P955" s="225"/>
      <c r="U955" s="315"/>
      <c r="V955" s="315"/>
    </row>
    <row r="956" spans="10:22" ht="16">
      <c r="J956" s="314"/>
      <c r="M956" s="350"/>
      <c r="P956" s="225"/>
      <c r="U956" s="315"/>
      <c r="V956" s="315"/>
    </row>
    <row r="957" spans="10:22" ht="16">
      <c r="J957" s="314"/>
      <c r="M957" s="350"/>
      <c r="P957" s="225"/>
      <c r="U957" s="315"/>
      <c r="V957" s="315"/>
    </row>
    <row r="958" spans="10:22" ht="16">
      <c r="J958" s="314"/>
      <c r="M958" s="350"/>
      <c r="P958" s="225"/>
      <c r="U958" s="315"/>
      <c r="V958" s="315"/>
    </row>
    <row r="959" spans="10:22" ht="16">
      <c r="J959" s="314"/>
      <c r="M959" s="350"/>
      <c r="P959" s="225"/>
      <c r="U959" s="315"/>
      <c r="V959" s="315"/>
    </row>
    <row r="960" spans="10:22" ht="16">
      <c r="J960" s="314"/>
      <c r="M960" s="350"/>
      <c r="P960" s="225"/>
      <c r="U960" s="315"/>
      <c r="V960" s="315"/>
    </row>
    <row r="961" spans="10:22" ht="16">
      <c r="J961" s="314"/>
      <c r="M961" s="350"/>
      <c r="P961" s="225"/>
      <c r="U961" s="315"/>
      <c r="V961" s="315"/>
    </row>
    <row r="962" spans="10:22" ht="16">
      <c r="J962" s="314"/>
      <c r="M962" s="350"/>
      <c r="P962" s="225"/>
      <c r="U962" s="315"/>
      <c r="V962" s="315"/>
    </row>
    <row r="963" spans="10:22" ht="16">
      <c r="J963" s="314"/>
      <c r="M963" s="350"/>
      <c r="P963" s="225"/>
      <c r="U963" s="315"/>
      <c r="V963" s="315"/>
    </row>
    <row r="964" spans="10:22" ht="16">
      <c r="J964" s="314"/>
      <c r="M964" s="350"/>
      <c r="P964" s="225"/>
      <c r="U964" s="315"/>
      <c r="V964" s="315"/>
    </row>
    <row r="965" spans="10:22" ht="16">
      <c r="J965" s="314"/>
      <c r="M965" s="350"/>
      <c r="P965" s="225"/>
      <c r="U965" s="315"/>
      <c r="V965" s="315"/>
    </row>
    <row r="966" spans="10:22" ht="16">
      <c r="J966" s="314"/>
      <c r="M966" s="350"/>
      <c r="P966" s="225"/>
      <c r="U966" s="315"/>
      <c r="V966" s="315"/>
    </row>
    <row r="967" spans="10:22" ht="16">
      <c r="J967" s="314"/>
      <c r="M967" s="350"/>
      <c r="P967" s="225"/>
      <c r="U967" s="315"/>
      <c r="V967" s="315"/>
    </row>
    <row r="968" spans="10:22" ht="16">
      <c r="J968" s="314"/>
      <c r="M968" s="350"/>
      <c r="P968" s="225"/>
      <c r="U968" s="315"/>
      <c r="V968" s="315"/>
    </row>
    <row r="969" spans="10:22" ht="16">
      <c r="J969" s="314"/>
      <c r="M969" s="350"/>
      <c r="P969" s="225"/>
      <c r="U969" s="315"/>
      <c r="V969" s="315"/>
    </row>
    <row r="970" spans="10:22" ht="16">
      <c r="J970" s="314"/>
      <c r="M970" s="350"/>
      <c r="P970" s="225"/>
      <c r="U970" s="315"/>
      <c r="V970" s="315"/>
    </row>
    <row r="971" spans="10:22" ht="16">
      <c r="J971" s="314"/>
      <c r="M971" s="350"/>
      <c r="P971" s="225"/>
      <c r="U971" s="315"/>
      <c r="V971" s="315"/>
    </row>
    <row r="972" spans="10:22" ht="16">
      <c r="J972" s="314"/>
      <c r="M972" s="350"/>
      <c r="P972" s="225"/>
      <c r="U972" s="315"/>
      <c r="V972" s="315"/>
    </row>
    <row r="973" spans="10:22" ht="16">
      <c r="J973" s="314"/>
      <c r="M973" s="350"/>
      <c r="P973" s="225"/>
      <c r="U973" s="315"/>
      <c r="V973" s="315"/>
    </row>
    <row r="974" spans="10:22" ht="16">
      <c r="J974" s="314"/>
      <c r="M974" s="350"/>
      <c r="P974" s="225"/>
      <c r="U974" s="315"/>
      <c r="V974" s="315"/>
    </row>
    <row r="975" spans="10:22" ht="16">
      <c r="J975" s="314"/>
      <c r="M975" s="350"/>
      <c r="P975" s="225"/>
      <c r="U975" s="315"/>
      <c r="V975" s="315"/>
    </row>
    <row r="976" spans="10:22" ht="16">
      <c r="J976" s="314"/>
      <c r="M976" s="350"/>
      <c r="P976" s="225"/>
      <c r="U976" s="315"/>
      <c r="V976" s="315"/>
    </row>
    <row r="977" spans="10:22" ht="16">
      <c r="J977" s="314"/>
      <c r="M977" s="350"/>
      <c r="P977" s="225"/>
      <c r="U977" s="315"/>
      <c r="V977" s="315"/>
    </row>
    <row r="978" spans="10:22" ht="16">
      <c r="J978" s="314"/>
      <c r="M978" s="350"/>
      <c r="P978" s="225"/>
      <c r="U978" s="315"/>
      <c r="V978" s="315"/>
    </row>
    <row r="979" spans="10:22" ht="16">
      <c r="J979" s="314"/>
      <c r="M979" s="350"/>
      <c r="P979" s="225"/>
      <c r="U979" s="315"/>
      <c r="V979" s="315"/>
    </row>
    <row r="980" spans="10:22" ht="16">
      <c r="J980" s="314"/>
      <c r="M980" s="350"/>
      <c r="P980" s="225"/>
      <c r="U980" s="315"/>
      <c r="V980" s="315"/>
    </row>
    <row r="981" spans="10:22" ht="16">
      <c r="J981" s="314"/>
      <c r="M981" s="350"/>
      <c r="P981" s="225"/>
      <c r="U981" s="315"/>
      <c r="V981" s="315"/>
    </row>
    <row r="982" spans="10:22" ht="16">
      <c r="J982" s="314"/>
      <c r="M982" s="350"/>
      <c r="P982" s="225"/>
      <c r="U982" s="315"/>
      <c r="V982" s="315"/>
    </row>
    <row r="983" spans="10:22" ht="16">
      <c r="J983" s="314"/>
      <c r="M983" s="350"/>
      <c r="P983" s="225"/>
      <c r="U983" s="315"/>
      <c r="V983" s="315"/>
    </row>
    <row r="984" spans="10:22" ht="16">
      <c r="J984" s="314"/>
      <c r="M984" s="350"/>
      <c r="P984" s="225"/>
      <c r="U984" s="315"/>
      <c r="V984" s="315"/>
    </row>
    <row r="985" spans="10:22" ht="16">
      <c r="J985" s="314"/>
      <c r="M985" s="350"/>
      <c r="P985" s="225"/>
      <c r="U985" s="315"/>
      <c r="V985" s="315"/>
    </row>
    <row r="986" spans="10:22" ht="16">
      <c r="J986" s="314"/>
      <c r="M986" s="350"/>
      <c r="P986" s="225"/>
      <c r="U986" s="315"/>
      <c r="V986" s="315"/>
    </row>
    <row r="987" spans="10:22" ht="16">
      <c r="J987" s="314"/>
      <c r="M987" s="350"/>
      <c r="P987" s="225"/>
      <c r="U987" s="315"/>
      <c r="V987" s="315"/>
    </row>
    <row r="988" spans="10:22" ht="16">
      <c r="J988" s="314"/>
      <c r="M988" s="350"/>
      <c r="P988" s="225"/>
      <c r="U988" s="315"/>
      <c r="V988" s="315"/>
    </row>
    <row r="989" spans="10:22" ht="16">
      <c r="J989" s="314"/>
      <c r="M989" s="350"/>
      <c r="P989" s="225"/>
      <c r="U989" s="315"/>
      <c r="V989" s="315"/>
    </row>
    <row r="990" spans="10:22" ht="16">
      <c r="J990" s="314"/>
      <c r="M990" s="350"/>
      <c r="P990" s="225"/>
      <c r="U990" s="315"/>
      <c r="V990" s="315"/>
    </row>
    <row r="991" spans="10:22" ht="16">
      <c r="J991" s="314"/>
      <c r="M991" s="350"/>
      <c r="P991" s="225"/>
      <c r="U991" s="315"/>
      <c r="V991" s="315"/>
    </row>
    <row r="992" spans="10:22" ht="16">
      <c r="J992" s="314"/>
      <c r="M992" s="350"/>
      <c r="P992" s="225"/>
      <c r="U992" s="315"/>
      <c r="V992" s="315"/>
    </row>
    <row r="993" spans="10:22" ht="16">
      <c r="J993" s="314"/>
      <c r="M993" s="350"/>
      <c r="P993" s="225"/>
      <c r="U993" s="315"/>
      <c r="V993" s="315"/>
    </row>
    <row r="994" spans="10:22" ht="16">
      <c r="J994" s="314"/>
      <c r="M994" s="350"/>
      <c r="P994" s="225"/>
      <c r="U994" s="315"/>
      <c r="V994" s="315"/>
    </row>
    <row r="995" spans="10:22" ht="16">
      <c r="J995" s="314"/>
      <c r="M995" s="350"/>
      <c r="P995" s="225"/>
      <c r="U995" s="315"/>
      <c r="V995" s="315"/>
    </row>
    <row r="996" spans="10:22" ht="16">
      <c r="J996" s="314"/>
      <c r="M996" s="350"/>
      <c r="P996" s="225"/>
      <c r="U996" s="315"/>
      <c r="V996" s="315"/>
    </row>
    <row r="997" spans="10:22" ht="16">
      <c r="J997" s="314"/>
      <c r="M997" s="350"/>
      <c r="P997" s="225"/>
      <c r="U997" s="315"/>
      <c r="V997" s="315"/>
    </row>
    <row r="998" spans="10:22" ht="16">
      <c r="J998" s="314"/>
      <c r="M998" s="350"/>
      <c r="P998" s="225"/>
      <c r="U998" s="315"/>
      <c r="V998" s="315"/>
    </row>
    <row r="999" spans="10:22" ht="16">
      <c r="J999" s="314"/>
      <c r="M999" s="350"/>
      <c r="P999" s="225"/>
      <c r="U999" s="315"/>
      <c r="V999" s="315"/>
    </row>
    <row r="1000" spans="10:22" ht="16">
      <c r="J1000" s="314"/>
      <c r="M1000" s="350"/>
      <c r="P1000" s="225"/>
      <c r="U1000" s="315"/>
      <c r="V1000" s="315"/>
    </row>
    <row r="1001" spans="10:22" ht="16">
      <c r="J1001" s="314"/>
      <c r="M1001" s="350"/>
      <c r="P1001" s="225"/>
      <c r="U1001" s="315"/>
      <c r="V1001" s="315"/>
    </row>
    <row r="1002" spans="10:22" ht="16">
      <c r="J1002" s="314"/>
      <c r="M1002" s="350"/>
      <c r="P1002" s="225"/>
      <c r="U1002" s="315"/>
      <c r="V1002" s="315"/>
    </row>
    <row r="1003" spans="10:22" ht="16">
      <c r="J1003" s="314"/>
      <c r="M1003" s="350"/>
      <c r="P1003" s="225"/>
      <c r="U1003" s="315"/>
      <c r="V1003" s="315"/>
    </row>
    <row r="1004" spans="10:22" ht="16">
      <c r="J1004" s="314"/>
      <c r="M1004" s="350"/>
      <c r="P1004" s="225"/>
      <c r="U1004" s="315"/>
      <c r="V1004" s="315"/>
    </row>
    <row r="1005" spans="10:22" ht="16">
      <c r="J1005" s="314"/>
      <c r="M1005" s="350"/>
      <c r="P1005" s="225"/>
      <c r="U1005" s="315"/>
      <c r="V1005" s="315"/>
    </row>
    <row r="1006" spans="10:22" ht="16">
      <c r="J1006" s="314"/>
      <c r="M1006" s="350"/>
      <c r="P1006" s="225"/>
      <c r="U1006" s="315"/>
      <c r="V1006" s="315"/>
    </row>
    <row r="1007" spans="10:22" ht="16">
      <c r="J1007" s="314"/>
      <c r="M1007" s="350"/>
      <c r="P1007" s="225"/>
      <c r="U1007" s="315"/>
      <c r="V1007" s="315"/>
    </row>
    <row r="1008" spans="10:22" ht="16">
      <c r="J1008" s="314"/>
      <c r="M1008" s="350"/>
      <c r="P1008" s="225"/>
      <c r="U1008" s="315"/>
      <c r="V1008" s="315"/>
    </row>
    <row r="1009" spans="10:22" ht="16">
      <c r="J1009" s="314"/>
      <c r="M1009" s="350"/>
      <c r="P1009" s="225"/>
      <c r="U1009" s="315"/>
      <c r="V1009" s="315"/>
    </row>
    <row r="1010" spans="10:22" ht="16">
      <c r="J1010" s="314"/>
      <c r="M1010" s="350"/>
      <c r="P1010" s="225"/>
      <c r="U1010" s="315"/>
      <c r="V1010" s="315"/>
    </row>
    <row r="1011" spans="10:22" ht="16">
      <c r="J1011" s="314"/>
      <c r="M1011" s="350"/>
      <c r="P1011" s="225"/>
      <c r="U1011" s="315"/>
      <c r="V1011" s="315"/>
    </row>
    <row r="1012" spans="10:22" ht="16">
      <c r="J1012" s="314"/>
      <c r="M1012" s="350"/>
      <c r="P1012" s="225"/>
      <c r="U1012" s="315"/>
      <c r="V1012" s="315"/>
    </row>
    <row r="1013" spans="10:22" ht="16">
      <c r="J1013" s="314"/>
      <c r="M1013" s="350"/>
      <c r="P1013" s="225"/>
      <c r="U1013" s="315"/>
      <c r="V1013" s="315"/>
    </row>
    <row r="1014" spans="10:22" ht="16">
      <c r="J1014" s="314"/>
      <c r="M1014" s="350"/>
      <c r="P1014" s="225"/>
      <c r="U1014" s="315"/>
      <c r="V1014" s="315"/>
    </row>
    <row r="1015" spans="10:22" ht="16">
      <c r="J1015" s="314"/>
      <c r="M1015" s="350"/>
      <c r="P1015" s="225"/>
      <c r="U1015" s="315"/>
      <c r="V1015" s="315"/>
    </row>
    <row r="1016" spans="10:22" ht="16">
      <c r="J1016" s="314"/>
      <c r="M1016" s="350"/>
      <c r="P1016" s="225"/>
      <c r="U1016" s="315"/>
      <c r="V1016" s="315"/>
    </row>
    <row r="1017" spans="10:22" ht="16">
      <c r="J1017" s="314"/>
      <c r="M1017" s="350"/>
      <c r="P1017" s="225"/>
      <c r="U1017" s="315"/>
      <c r="V1017" s="315"/>
    </row>
    <row r="1018" spans="10:22" ht="16">
      <c r="J1018" s="314"/>
      <c r="M1018" s="350"/>
      <c r="P1018" s="225"/>
      <c r="U1018" s="315"/>
      <c r="V1018" s="315"/>
    </row>
    <row r="1019" spans="10:22" ht="16">
      <c r="J1019" s="314"/>
      <c r="M1019" s="350"/>
      <c r="P1019" s="225"/>
      <c r="U1019" s="315"/>
      <c r="V1019" s="315"/>
    </row>
    <row r="1020" spans="10:22" ht="16">
      <c r="J1020" s="314"/>
      <c r="M1020" s="350"/>
      <c r="P1020" s="225"/>
      <c r="U1020" s="315"/>
      <c r="V1020" s="315"/>
    </row>
    <row r="1021" spans="10:22" ht="16">
      <c r="J1021" s="314"/>
      <c r="M1021" s="350"/>
      <c r="P1021" s="225"/>
      <c r="U1021" s="315"/>
      <c r="V1021" s="315"/>
    </row>
    <row r="1022" spans="10:22" ht="16">
      <c r="J1022" s="314"/>
      <c r="M1022" s="350"/>
      <c r="P1022" s="225"/>
      <c r="U1022" s="315"/>
      <c r="V1022" s="315"/>
    </row>
    <row r="1023" spans="10:22" ht="16">
      <c r="J1023" s="314"/>
      <c r="M1023" s="350"/>
      <c r="P1023" s="225"/>
      <c r="U1023" s="315"/>
      <c r="V1023" s="315"/>
    </row>
    <row r="1024" spans="10:22" ht="16">
      <c r="J1024" s="314"/>
      <c r="M1024" s="350"/>
      <c r="U1024" s="316"/>
      <c r="V1024" s="316"/>
    </row>
    <row r="1025" spans="10:22" ht="16">
      <c r="J1025" s="314"/>
      <c r="M1025" s="350"/>
      <c r="U1025" s="316"/>
      <c r="V1025" s="316"/>
    </row>
    <row r="1026" spans="10:22" ht="16">
      <c r="J1026" s="314"/>
      <c r="M1026" s="350"/>
      <c r="U1026" s="316"/>
      <c r="V1026" s="316"/>
    </row>
    <row r="1027" spans="10:22" ht="16">
      <c r="J1027" s="314"/>
      <c r="M1027" s="350"/>
      <c r="U1027" s="316"/>
      <c r="V1027" s="316"/>
    </row>
  </sheetData>
  <mergeCells count="2">
    <mergeCell ref="B6:F6"/>
    <mergeCell ref="H7:I7"/>
  </mergeCells>
  <conditionalFormatting sqref="E2">
    <cfRule type="notContainsBlanks" dxfId="8" priority="1">
      <formula>LEN(TRIM(E2))&gt;0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V1009"/>
  <sheetViews>
    <sheetView workbookViewId="0">
      <pane ySplit="6" topLeftCell="A87" activePane="bottomLeft" state="frozen"/>
      <selection pane="bottomLeft" activeCell="I103" sqref="I103"/>
    </sheetView>
  </sheetViews>
  <sheetFormatPr baseColWidth="10" defaultColWidth="14.5" defaultRowHeight="15" customHeight="1"/>
  <cols>
    <col min="1" max="1" width="2" customWidth="1"/>
    <col min="2" max="2" width="13.6640625" customWidth="1"/>
    <col min="3" max="3" width="12.33203125" customWidth="1"/>
    <col min="4" max="4" width="15" customWidth="1"/>
    <col min="5" max="5" width="16.83203125" customWidth="1"/>
    <col min="6" max="6" width="64.5" customWidth="1"/>
    <col min="7" max="7" width="6.83203125" customWidth="1"/>
    <col min="8" max="8" width="5.5" customWidth="1"/>
    <col min="9" max="9" width="12.5" customWidth="1"/>
    <col min="10" max="10" width="10.6640625" customWidth="1"/>
    <col min="11" max="11" width="4.5" customWidth="1"/>
    <col min="12" max="12" width="12.33203125" customWidth="1"/>
    <col min="13" max="13" width="5.5" customWidth="1"/>
    <col min="14" max="14" width="4.5" customWidth="1"/>
    <col min="15" max="15" width="12.5" customWidth="1"/>
    <col min="16" max="16" width="4.83203125" customWidth="1"/>
    <col min="17" max="17" width="17.6640625" customWidth="1"/>
    <col min="18" max="18" width="20.1640625" customWidth="1"/>
    <col min="19" max="19" width="6.1640625" customWidth="1"/>
    <col min="20" max="21" width="23.33203125" customWidth="1"/>
  </cols>
  <sheetData>
    <row r="1" spans="1:22" ht="50.25" customHeight="1">
      <c r="A1" s="539" t="s">
        <v>9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28"/>
      <c r="V1" s="1"/>
    </row>
    <row r="2" spans="1:22" ht="16">
      <c r="A2" s="1"/>
      <c r="B2" s="351" t="s">
        <v>1</v>
      </c>
      <c r="C2" s="352">
        <v>900000</v>
      </c>
      <c r="D2" s="6">
        <f>C3/C2</f>
        <v>1.1904722222222222</v>
      </c>
      <c r="E2" s="298">
        <f ca="1">MONTH(TODAY())</f>
        <v>1</v>
      </c>
      <c r="F2" s="299">
        <v>45322</v>
      </c>
      <c r="G2" s="90"/>
      <c r="H2" s="90"/>
      <c r="I2" s="90"/>
      <c r="J2" s="90"/>
      <c r="K2" s="90"/>
      <c r="L2" s="321"/>
      <c r="M2" s="90"/>
      <c r="N2" s="90"/>
      <c r="O2" s="90"/>
      <c r="P2" s="90"/>
      <c r="Q2" s="90"/>
      <c r="R2" s="90"/>
      <c r="S2" s="90"/>
      <c r="T2" s="90"/>
      <c r="U2" s="90"/>
      <c r="V2" s="1"/>
    </row>
    <row r="3" spans="1:22" ht="16">
      <c r="A3" s="1"/>
      <c r="B3" s="353" t="s">
        <v>2</v>
      </c>
      <c r="C3" s="352">
        <f>SUM(J8:J232)</f>
        <v>1071425</v>
      </c>
      <c r="D3" s="14" t="s">
        <v>3</v>
      </c>
      <c r="E3" s="14" t="s">
        <v>3</v>
      </c>
      <c r="F3" s="14"/>
      <c r="G3" s="299"/>
      <c r="H3" s="299"/>
      <c r="I3" s="299"/>
      <c r="J3" s="299"/>
      <c r="K3" s="299"/>
      <c r="L3" s="325"/>
      <c r="M3" s="299"/>
      <c r="N3" s="299"/>
      <c r="O3" s="299"/>
      <c r="P3" s="299"/>
      <c r="Q3" s="299"/>
      <c r="R3" s="299"/>
      <c r="S3" s="299"/>
      <c r="T3" s="299"/>
      <c r="U3" s="299"/>
      <c r="V3" s="1"/>
    </row>
    <row r="4" spans="1:22">
      <c r="A4" s="1"/>
      <c r="B4" s="354" t="s">
        <v>2218</v>
      </c>
      <c r="C4" s="354">
        <f ca="1">(D5-TODAY())</f>
        <v>-249</v>
      </c>
      <c r="D4" s="178"/>
      <c r="E4" s="90"/>
      <c r="F4" s="90"/>
      <c r="G4" s="90"/>
      <c r="H4" s="90"/>
      <c r="I4" s="90"/>
      <c r="J4" s="90"/>
      <c r="K4" s="90"/>
      <c r="L4" s="321"/>
      <c r="M4" s="90"/>
      <c r="N4" s="90"/>
      <c r="O4" s="90"/>
      <c r="P4" s="90"/>
      <c r="Q4" s="90"/>
      <c r="R4" s="90"/>
      <c r="S4" s="90"/>
      <c r="T4" s="90"/>
      <c r="U4" s="90"/>
      <c r="V4" s="1"/>
    </row>
    <row r="5" spans="1:22" ht="16">
      <c r="A5" s="1"/>
      <c r="B5" s="355" t="s">
        <v>6</v>
      </c>
      <c r="C5" s="356">
        <f ca="1">TODAY()</f>
        <v>46026</v>
      </c>
      <c r="D5" s="210">
        <v>45777</v>
      </c>
      <c r="E5" s="90"/>
      <c r="F5" s="299"/>
      <c r="G5" s="90"/>
      <c r="H5" s="90"/>
      <c r="I5" s="300"/>
      <c r="J5" s="300"/>
      <c r="K5" s="90"/>
      <c r="L5" s="321"/>
      <c r="M5" s="301"/>
      <c r="N5" s="302"/>
      <c r="O5" s="303"/>
      <c r="P5" s="90"/>
      <c r="Q5" s="304"/>
      <c r="R5" s="304"/>
      <c r="S5" s="90"/>
      <c r="T5" s="305"/>
      <c r="U5" s="305"/>
      <c r="V5" s="1"/>
    </row>
    <row r="6" spans="1:22" ht="22">
      <c r="A6" s="1"/>
      <c r="B6" s="549" t="s">
        <v>2734</v>
      </c>
      <c r="C6" s="537"/>
      <c r="D6" s="537"/>
      <c r="E6" s="537"/>
      <c r="F6" s="26"/>
      <c r="G6" s="23"/>
      <c r="H6" s="23"/>
      <c r="I6" s="23"/>
      <c r="J6" s="23"/>
      <c r="K6" s="23"/>
      <c r="L6" s="331"/>
      <c r="M6" s="23"/>
      <c r="N6" s="24"/>
      <c r="O6" s="211"/>
      <c r="P6" s="23"/>
      <c r="Q6" s="332"/>
      <c r="R6" s="127"/>
      <c r="S6" s="26"/>
      <c r="T6" s="306"/>
      <c r="U6" s="306"/>
      <c r="V6" s="1"/>
    </row>
    <row r="7" spans="1:22" ht="14.25" customHeight="1">
      <c r="A7" s="98"/>
      <c r="B7" s="38" t="s">
        <v>18</v>
      </c>
      <c r="C7" s="38" t="s">
        <v>19</v>
      </c>
      <c r="D7" s="38" t="s">
        <v>20</v>
      </c>
      <c r="E7" s="38" t="s">
        <v>21</v>
      </c>
      <c r="F7" s="38" t="s">
        <v>2018</v>
      </c>
      <c r="G7" s="538" t="s">
        <v>22</v>
      </c>
      <c r="H7" s="528"/>
      <c r="I7" s="40"/>
      <c r="J7" s="41" t="s">
        <v>23</v>
      </c>
      <c r="K7" s="42"/>
      <c r="L7" s="333"/>
      <c r="M7" s="43"/>
      <c r="N7" s="44"/>
      <c r="O7" s="213"/>
      <c r="P7" s="45"/>
      <c r="Q7" s="128"/>
      <c r="R7" s="307" t="s">
        <v>3443</v>
      </c>
      <c r="S7" s="47"/>
      <c r="T7" s="307"/>
      <c r="U7" s="307"/>
      <c r="V7" s="100" t="s">
        <v>24</v>
      </c>
    </row>
    <row r="8" spans="1:22" ht="16.5" customHeight="1">
      <c r="A8" s="1"/>
      <c r="B8" s="71" t="s">
        <v>4348</v>
      </c>
      <c r="C8" s="53" t="s">
        <v>262</v>
      </c>
      <c r="D8" s="53" t="s">
        <v>263</v>
      </c>
      <c r="E8" s="53" t="s">
        <v>2855</v>
      </c>
      <c r="F8" s="80" t="s">
        <v>4349</v>
      </c>
      <c r="G8" s="131" t="s">
        <v>30</v>
      </c>
      <c r="H8" s="131">
        <v>40</v>
      </c>
      <c r="I8" s="188">
        <v>725</v>
      </c>
      <c r="J8" s="54">
        <f t="shared" ref="J8:J207" si="0">H8*I8</f>
        <v>29000</v>
      </c>
      <c r="K8" s="55" t="b">
        <v>1</v>
      </c>
      <c r="L8" s="56">
        <v>40420250918</v>
      </c>
      <c r="M8" s="57" t="b">
        <v>1</v>
      </c>
      <c r="N8" s="58" t="s">
        <v>529</v>
      </c>
      <c r="O8" s="226">
        <v>45754</v>
      </c>
      <c r="P8" s="191" t="b">
        <v>1</v>
      </c>
      <c r="Q8" s="308" t="s">
        <v>3138</v>
      </c>
      <c r="R8" s="388" t="s">
        <v>4350</v>
      </c>
      <c r="S8" s="47" t="b">
        <v>1</v>
      </c>
      <c r="T8" s="310" t="s">
        <v>4351</v>
      </c>
      <c r="U8" s="307"/>
      <c r="V8" s="54"/>
    </row>
    <row r="9" spans="1:22" ht="16.5" customHeight="1">
      <c r="A9" s="1"/>
      <c r="B9" s="71" t="s">
        <v>4348</v>
      </c>
      <c r="C9" s="53" t="s">
        <v>262</v>
      </c>
      <c r="D9" s="53" t="s">
        <v>263</v>
      </c>
      <c r="E9" s="53" t="s">
        <v>2855</v>
      </c>
      <c r="F9" s="131" t="s">
        <v>4352</v>
      </c>
      <c r="G9" s="131" t="s">
        <v>30</v>
      </c>
      <c r="H9" s="69">
        <v>30</v>
      </c>
      <c r="I9" s="70">
        <v>750</v>
      </c>
      <c r="J9" s="54">
        <f t="shared" si="0"/>
        <v>22500</v>
      </c>
      <c r="K9" s="55" t="b">
        <v>1</v>
      </c>
      <c r="L9" s="56">
        <v>40420250918</v>
      </c>
      <c r="M9" s="57" t="b">
        <v>1</v>
      </c>
      <c r="N9" s="58" t="s">
        <v>529</v>
      </c>
      <c r="O9" s="215" t="s">
        <v>4353</v>
      </c>
      <c r="P9" s="191" t="b">
        <v>1</v>
      </c>
      <c r="Q9" s="308" t="s">
        <v>3138</v>
      </c>
      <c r="R9" s="388" t="s">
        <v>4350</v>
      </c>
      <c r="S9" s="47" t="b">
        <v>1</v>
      </c>
      <c r="T9" s="310" t="s">
        <v>4351</v>
      </c>
      <c r="U9" s="307"/>
      <c r="V9" s="54"/>
    </row>
    <row r="10" spans="1:22" ht="16.5" customHeight="1">
      <c r="A10" s="18"/>
      <c r="B10" s="71" t="s">
        <v>4348</v>
      </c>
      <c r="C10" s="53" t="s">
        <v>262</v>
      </c>
      <c r="D10" s="53" t="s">
        <v>263</v>
      </c>
      <c r="E10" s="53" t="s">
        <v>2855</v>
      </c>
      <c r="F10" s="131" t="s">
        <v>49</v>
      </c>
      <c r="G10" s="131" t="s">
        <v>30</v>
      </c>
      <c r="H10" s="131">
        <v>10</v>
      </c>
      <c r="I10" s="188">
        <v>635</v>
      </c>
      <c r="J10" s="54">
        <f t="shared" si="0"/>
        <v>6350</v>
      </c>
      <c r="K10" s="55" t="b">
        <v>1</v>
      </c>
      <c r="L10" s="56">
        <v>40420250918</v>
      </c>
      <c r="M10" s="57" t="b">
        <v>1</v>
      </c>
      <c r="N10" s="58" t="s">
        <v>39</v>
      </c>
      <c r="O10" s="226">
        <v>45754</v>
      </c>
      <c r="P10" s="191" t="b">
        <v>1</v>
      </c>
      <c r="Q10" s="308" t="s">
        <v>3138</v>
      </c>
      <c r="R10" s="388" t="s">
        <v>4354</v>
      </c>
      <c r="S10" s="47" t="b">
        <v>1</v>
      </c>
      <c r="T10" s="310" t="s">
        <v>4355</v>
      </c>
      <c r="U10" s="307"/>
      <c r="V10" s="54"/>
    </row>
    <row r="11" spans="1:22" ht="16.5" customHeight="1">
      <c r="A11" s="18"/>
      <c r="B11" s="71" t="s">
        <v>4348</v>
      </c>
      <c r="C11" s="53" t="s">
        <v>104</v>
      </c>
      <c r="D11" s="53" t="s">
        <v>1157</v>
      </c>
      <c r="E11" s="53" t="s">
        <v>1158</v>
      </c>
      <c r="F11" s="53" t="s">
        <v>49</v>
      </c>
      <c r="G11" s="53" t="s">
        <v>30</v>
      </c>
      <c r="H11" s="53">
        <v>10</v>
      </c>
      <c r="I11" s="54">
        <v>635</v>
      </c>
      <c r="J11" s="54">
        <f t="shared" si="0"/>
        <v>6350</v>
      </c>
      <c r="K11" s="55" t="b">
        <v>1</v>
      </c>
      <c r="L11" s="56">
        <v>40420250932</v>
      </c>
      <c r="M11" s="57" t="b">
        <v>1</v>
      </c>
      <c r="N11" s="58" t="s">
        <v>39</v>
      </c>
      <c r="O11" s="226">
        <v>45754</v>
      </c>
      <c r="P11" s="191" t="b">
        <v>1</v>
      </c>
      <c r="Q11" s="308" t="s">
        <v>3138</v>
      </c>
      <c r="R11" s="388" t="s">
        <v>4356</v>
      </c>
      <c r="S11" s="47" t="b">
        <v>1</v>
      </c>
      <c r="T11" s="310" t="s">
        <v>4357</v>
      </c>
      <c r="U11" s="307"/>
      <c r="V11" s="54"/>
    </row>
    <row r="12" spans="1:22" ht="15.75" customHeight="1">
      <c r="A12" s="18"/>
      <c r="B12" s="71" t="s">
        <v>4348</v>
      </c>
      <c r="C12" s="53" t="s">
        <v>104</v>
      </c>
      <c r="D12" s="53" t="s">
        <v>1157</v>
      </c>
      <c r="E12" s="53" t="s">
        <v>1158</v>
      </c>
      <c r="F12" s="53" t="s">
        <v>3366</v>
      </c>
      <c r="G12" s="53" t="s">
        <v>30</v>
      </c>
      <c r="H12" s="53">
        <v>3</v>
      </c>
      <c r="I12" s="188">
        <v>2100</v>
      </c>
      <c r="J12" s="54">
        <f t="shared" si="0"/>
        <v>6300</v>
      </c>
      <c r="K12" s="55" t="b">
        <v>1</v>
      </c>
      <c r="L12" s="56">
        <v>40420250932</v>
      </c>
      <c r="M12" s="57" t="b">
        <v>1</v>
      </c>
      <c r="N12" s="58" t="s">
        <v>77</v>
      </c>
      <c r="O12" s="226"/>
      <c r="P12" s="191" t="b">
        <v>1</v>
      </c>
      <c r="Q12" s="308" t="s">
        <v>3138</v>
      </c>
      <c r="R12" s="388" t="s">
        <v>4358</v>
      </c>
      <c r="S12" s="47" t="b">
        <v>1</v>
      </c>
      <c r="T12" s="310" t="s">
        <v>4359</v>
      </c>
      <c r="U12" s="307"/>
      <c r="V12" s="54"/>
    </row>
    <row r="13" spans="1:22" ht="16">
      <c r="A13" s="162"/>
      <c r="B13" s="71" t="s">
        <v>4348</v>
      </c>
      <c r="C13" s="53" t="s">
        <v>55</v>
      </c>
      <c r="D13" s="53">
        <v>41</v>
      </c>
      <c r="E13" s="53" t="s">
        <v>1552</v>
      </c>
      <c r="F13" s="53" t="s">
        <v>1623</v>
      </c>
      <c r="G13" s="53" t="s">
        <v>30</v>
      </c>
      <c r="H13" s="53">
        <v>25</v>
      </c>
      <c r="I13" s="188">
        <v>200</v>
      </c>
      <c r="J13" s="54">
        <f t="shared" si="0"/>
        <v>5000</v>
      </c>
      <c r="K13" s="55" t="b">
        <v>1</v>
      </c>
      <c r="L13" s="56">
        <v>40420250938</v>
      </c>
      <c r="M13" s="57" t="b">
        <v>1</v>
      </c>
      <c r="N13" s="58" t="s">
        <v>4360</v>
      </c>
      <c r="O13" s="226"/>
      <c r="P13" s="191" t="b">
        <v>1</v>
      </c>
      <c r="Q13" s="308" t="s">
        <v>3138</v>
      </c>
      <c r="R13" s="388" t="s">
        <v>4361</v>
      </c>
      <c r="S13" s="47" t="b">
        <v>1</v>
      </c>
      <c r="T13" s="310" t="s">
        <v>4362</v>
      </c>
      <c r="U13" s="307"/>
      <c r="V13" s="54"/>
    </row>
    <row r="14" spans="1:22" ht="16">
      <c r="A14" s="162"/>
      <c r="B14" s="71" t="s">
        <v>4348</v>
      </c>
      <c r="C14" s="53" t="s">
        <v>55</v>
      </c>
      <c r="D14" s="53">
        <v>41</v>
      </c>
      <c r="E14" s="53" t="s">
        <v>1552</v>
      </c>
      <c r="F14" s="53" t="s">
        <v>760</v>
      </c>
      <c r="G14" s="53" t="s">
        <v>30</v>
      </c>
      <c r="H14" s="53">
        <v>25</v>
      </c>
      <c r="I14" s="188">
        <v>100</v>
      </c>
      <c r="J14" s="54">
        <f t="shared" si="0"/>
        <v>2500</v>
      </c>
      <c r="K14" s="55" t="b">
        <v>1</v>
      </c>
      <c r="L14" s="56">
        <v>40420250938</v>
      </c>
      <c r="M14" s="57" t="b">
        <v>1</v>
      </c>
      <c r="N14" s="58" t="s">
        <v>2968</v>
      </c>
      <c r="O14" s="226"/>
      <c r="P14" s="191" t="b">
        <v>1</v>
      </c>
      <c r="Q14" s="308" t="s">
        <v>3138</v>
      </c>
      <c r="R14" s="388" t="s">
        <v>4361</v>
      </c>
      <c r="S14" s="47" t="b">
        <v>1</v>
      </c>
      <c r="T14" s="310" t="s">
        <v>4362</v>
      </c>
      <c r="U14" s="307"/>
      <c r="V14" s="54"/>
    </row>
    <row r="15" spans="1:22" ht="16">
      <c r="A15" s="162"/>
      <c r="B15" s="71" t="s">
        <v>4348</v>
      </c>
      <c r="C15" s="53" t="s">
        <v>418</v>
      </c>
      <c r="D15" s="53" t="s">
        <v>230</v>
      </c>
      <c r="E15" s="53" t="s">
        <v>4363</v>
      </c>
      <c r="F15" s="53" t="s">
        <v>4364</v>
      </c>
      <c r="G15" s="53" t="s">
        <v>30</v>
      </c>
      <c r="H15" s="53">
        <v>5</v>
      </c>
      <c r="I15" s="188">
        <v>8750</v>
      </c>
      <c r="J15" s="54">
        <f t="shared" si="0"/>
        <v>43750</v>
      </c>
      <c r="K15" s="55" t="b">
        <v>1</v>
      </c>
      <c r="L15" s="56">
        <v>40420250954</v>
      </c>
      <c r="M15" s="57" t="b">
        <v>1</v>
      </c>
      <c r="N15" s="58" t="s">
        <v>529</v>
      </c>
      <c r="O15" s="226"/>
      <c r="P15" s="191" t="b">
        <v>1</v>
      </c>
      <c r="Q15" s="308" t="s">
        <v>3138</v>
      </c>
      <c r="R15" s="388" t="s">
        <v>4365</v>
      </c>
      <c r="S15" s="47" t="b">
        <v>1</v>
      </c>
      <c r="T15" s="310" t="s">
        <v>4366</v>
      </c>
      <c r="U15" s="307"/>
      <c r="V15" s="54"/>
    </row>
    <row r="16" spans="1:22" ht="16">
      <c r="A16" s="162"/>
      <c r="B16" s="71" t="s">
        <v>4348</v>
      </c>
      <c r="C16" s="53" t="s">
        <v>418</v>
      </c>
      <c r="D16" s="53" t="s">
        <v>230</v>
      </c>
      <c r="E16" s="53" t="s">
        <v>4363</v>
      </c>
      <c r="F16" s="53" t="s">
        <v>72</v>
      </c>
      <c r="G16" s="53" t="s">
        <v>30</v>
      </c>
      <c r="H16" s="53">
        <v>1</v>
      </c>
      <c r="I16" s="188">
        <v>5750</v>
      </c>
      <c r="J16" s="54">
        <f t="shared" si="0"/>
        <v>5750</v>
      </c>
      <c r="K16" s="55" t="b">
        <v>1</v>
      </c>
      <c r="L16" s="56">
        <v>40420250954</v>
      </c>
      <c r="M16" s="57" t="b">
        <v>1</v>
      </c>
      <c r="N16" s="58" t="s">
        <v>529</v>
      </c>
      <c r="O16" s="226"/>
      <c r="P16" s="191" t="b">
        <v>1</v>
      </c>
      <c r="Q16" s="308" t="s">
        <v>3138</v>
      </c>
      <c r="R16" s="388"/>
      <c r="S16" s="47" t="b">
        <v>1</v>
      </c>
      <c r="T16" s="310" t="s">
        <v>4367</v>
      </c>
      <c r="U16" s="307"/>
      <c r="V16" s="54"/>
    </row>
    <row r="17" spans="1:22" ht="14.25" customHeight="1">
      <c r="A17" s="162"/>
      <c r="B17" s="71" t="s">
        <v>4348</v>
      </c>
      <c r="C17" s="53" t="s">
        <v>51</v>
      </c>
      <c r="D17" s="53" t="s">
        <v>89</v>
      </c>
      <c r="E17" s="53" t="s">
        <v>4368</v>
      </c>
      <c r="F17" s="53" t="s">
        <v>68</v>
      </c>
      <c r="G17" s="53" t="s">
        <v>30</v>
      </c>
      <c r="H17" s="53">
        <v>5</v>
      </c>
      <c r="I17" s="188">
        <v>2350</v>
      </c>
      <c r="J17" s="54">
        <f t="shared" si="0"/>
        <v>11750</v>
      </c>
      <c r="K17" s="55" t="b">
        <v>1</v>
      </c>
      <c r="L17" s="56">
        <v>40420251258</v>
      </c>
      <c r="M17" s="57" t="b">
        <v>1</v>
      </c>
      <c r="N17" s="58" t="s">
        <v>1581</v>
      </c>
      <c r="O17" s="226"/>
      <c r="P17" s="191" t="b">
        <v>1</v>
      </c>
      <c r="Q17" s="308" t="s">
        <v>3138</v>
      </c>
      <c r="R17" s="388" t="s">
        <v>4369</v>
      </c>
      <c r="S17" s="47" t="b">
        <v>1</v>
      </c>
      <c r="T17" s="310" t="s">
        <v>4370</v>
      </c>
      <c r="U17" s="307"/>
      <c r="V17" s="54"/>
    </row>
    <row r="18" spans="1:22" ht="16">
      <c r="A18" s="162"/>
      <c r="B18" s="71" t="s">
        <v>4348</v>
      </c>
      <c r="C18" s="53" t="s">
        <v>51</v>
      </c>
      <c r="D18" s="53" t="s">
        <v>89</v>
      </c>
      <c r="E18" s="53" t="s">
        <v>4368</v>
      </c>
      <c r="F18" s="53" t="s">
        <v>4371</v>
      </c>
      <c r="G18" s="131" t="s">
        <v>30</v>
      </c>
      <c r="H18" s="53">
        <v>1</v>
      </c>
      <c r="I18" s="188">
        <v>1800</v>
      </c>
      <c r="J18" s="54">
        <f t="shared" si="0"/>
        <v>1800</v>
      </c>
      <c r="K18" s="55" t="b">
        <v>1</v>
      </c>
      <c r="L18" s="56">
        <v>40420251258</v>
      </c>
      <c r="M18" s="57" t="b">
        <v>1</v>
      </c>
      <c r="N18" s="58" t="s">
        <v>2968</v>
      </c>
      <c r="O18" s="226"/>
      <c r="P18" s="191" t="b">
        <v>1</v>
      </c>
      <c r="Q18" s="308" t="s">
        <v>3138</v>
      </c>
      <c r="R18" s="388" t="s">
        <v>4369</v>
      </c>
      <c r="S18" s="47" t="b">
        <v>1</v>
      </c>
      <c r="T18" s="310" t="s">
        <v>4370</v>
      </c>
      <c r="U18" s="307"/>
      <c r="V18" s="54"/>
    </row>
    <row r="19" spans="1:22" ht="16">
      <c r="A19" s="162"/>
      <c r="B19" s="71" t="s">
        <v>4348</v>
      </c>
      <c r="C19" s="53" t="s">
        <v>51</v>
      </c>
      <c r="D19" s="53" t="s">
        <v>89</v>
      </c>
      <c r="E19" s="53" t="s">
        <v>4368</v>
      </c>
      <c r="F19" s="53" t="s">
        <v>321</v>
      </c>
      <c r="G19" s="131" t="s">
        <v>30</v>
      </c>
      <c r="H19" s="53">
        <v>84</v>
      </c>
      <c r="I19" s="188">
        <v>42</v>
      </c>
      <c r="J19" s="54">
        <f t="shared" si="0"/>
        <v>3528</v>
      </c>
      <c r="K19" s="55" t="b">
        <v>1</v>
      </c>
      <c r="L19" s="56">
        <v>40420251258</v>
      </c>
      <c r="M19" s="57" t="b">
        <v>1</v>
      </c>
      <c r="N19" s="58" t="s">
        <v>1581</v>
      </c>
      <c r="O19" s="226"/>
      <c r="P19" s="191" t="b">
        <v>1</v>
      </c>
      <c r="Q19" s="308" t="s">
        <v>3138</v>
      </c>
      <c r="R19" s="388" t="s">
        <v>4369</v>
      </c>
      <c r="S19" s="47" t="b">
        <v>1</v>
      </c>
      <c r="T19" s="310" t="s">
        <v>4370</v>
      </c>
      <c r="U19" s="307"/>
      <c r="V19" s="54"/>
    </row>
    <row r="20" spans="1:22" ht="16">
      <c r="A20" s="162"/>
      <c r="B20" s="71" t="s">
        <v>4348</v>
      </c>
      <c r="C20" s="53" t="s">
        <v>51</v>
      </c>
      <c r="D20" s="53" t="s">
        <v>201</v>
      </c>
      <c r="E20" s="53" t="s">
        <v>202</v>
      </c>
      <c r="F20" s="66" t="s">
        <v>4372</v>
      </c>
      <c r="G20" s="53" t="s">
        <v>30</v>
      </c>
      <c r="H20" s="66">
        <v>200</v>
      </c>
      <c r="I20" s="70">
        <v>9.25</v>
      </c>
      <c r="J20" s="54">
        <f t="shared" si="0"/>
        <v>1850</v>
      </c>
      <c r="K20" s="55" t="b">
        <v>1</v>
      </c>
      <c r="L20" s="56">
        <v>40420251805</v>
      </c>
      <c r="M20" s="57" t="b">
        <v>1</v>
      </c>
      <c r="N20" s="58" t="s">
        <v>2968</v>
      </c>
      <c r="O20" s="226"/>
      <c r="P20" s="191" t="b">
        <v>1</v>
      </c>
      <c r="Q20" s="308" t="s">
        <v>3138</v>
      </c>
      <c r="R20" s="388"/>
      <c r="S20" s="47" t="b">
        <v>1</v>
      </c>
      <c r="T20" s="310" t="s">
        <v>4373</v>
      </c>
      <c r="U20" s="307"/>
      <c r="V20" s="54"/>
    </row>
    <row r="21" spans="1:22" ht="16">
      <c r="A21" s="162"/>
      <c r="B21" s="132" t="s">
        <v>4374</v>
      </c>
      <c r="C21" s="66" t="s">
        <v>171</v>
      </c>
      <c r="D21" s="66" t="s">
        <v>137</v>
      </c>
      <c r="E21" s="53" t="s">
        <v>4375</v>
      </c>
      <c r="F21" s="66" t="s">
        <v>4376</v>
      </c>
      <c r="G21" s="69" t="s">
        <v>30</v>
      </c>
      <c r="H21" s="66">
        <v>1</v>
      </c>
      <c r="I21" s="70">
        <v>300</v>
      </c>
      <c r="J21" s="54">
        <f t="shared" si="0"/>
        <v>300</v>
      </c>
      <c r="K21" s="55" t="b">
        <v>1</v>
      </c>
      <c r="L21" s="56">
        <v>50420251953</v>
      </c>
      <c r="M21" s="57" t="b">
        <v>1</v>
      </c>
      <c r="N21" s="58" t="s">
        <v>2968</v>
      </c>
      <c r="O21" s="226">
        <v>45754</v>
      </c>
      <c r="P21" s="191" t="b">
        <v>1</v>
      </c>
      <c r="Q21" s="308" t="s">
        <v>3138</v>
      </c>
      <c r="R21" s="388"/>
      <c r="S21" s="47" t="b">
        <v>1</v>
      </c>
      <c r="T21" s="310" t="s">
        <v>4377</v>
      </c>
      <c r="U21" s="307"/>
      <c r="V21" s="54"/>
    </row>
    <row r="22" spans="1:22" ht="16">
      <c r="A22" s="162"/>
      <c r="B22" s="132" t="s">
        <v>4374</v>
      </c>
      <c r="C22" s="66" t="s">
        <v>171</v>
      </c>
      <c r="D22" s="66" t="s">
        <v>137</v>
      </c>
      <c r="E22" s="53" t="s">
        <v>4375</v>
      </c>
      <c r="F22" s="66" t="s">
        <v>4378</v>
      </c>
      <c r="G22" s="69" t="s">
        <v>30</v>
      </c>
      <c r="H22" s="66">
        <v>1</v>
      </c>
      <c r="I22" s="70">
        <v>875</v>
      </c>
      <c r="J22" s="54">
        <f t="shared" si="0"/>
        <v>875</v>
      </c>
      <c r="K22" s="55" t="b">
        <v>1</v>
      </c>
      <c r="L22" s="56">
        <v>50420251953</v>
      </c>
      <c r="M22" s="57" t="b">
        <v>1</v>
      </c>
      <c r="N22" s="58" t="s">
        <v>39</v>
      </c>
      <c r="O22" s="226">
        <v>45754</v>
      </c>
      <c r="P22" s="191" t="b">
        <v>1</v>
      </c>
      <c r="Q22" s="389" t="s">
        <v>3684</v>
      </c>
      <c r="R22" s="388"/>
      <c r="S22" s="47" t="b">
        <v>1</v>
      </c>
      <c r="T22" s="310" t="s">
        <v>4379</v>
      </c>
      <c r="U22" s="307"/>
      <c r="V22" s="54"/>
    </row>
    <row r="23" spans="1:22" ht="16">
      <c r="A23" s="162"/>
      <c r="B23" s="132" t="s">
        <v>4374</v>
      </c>
      <c r="C23" s="66" t="s">
        <v>51</v>
      </c>
      <c r="D23" s="66" t="s">
        <v>201</v>
      </c>
      <c r="E23" s="53" t="s">
        <v>202</v>
      </c>
      <c r="F23" s="53" t="s">
        <v>4380</v>
      </c>
      <c r="G23" s="69" t="s">
        <v>30</v>
      </c>
      <c r="H23" s="66">
        <v>30</v>
      </c>
      <c r="I23" s="70">
        <v>196</v>
      </c>
      <c r="J23" s="54">
        <f t="shared" si="0"/>
        <v>5880</v>
      </c>
      <c r="K23" s="55" t="b">
        <v>1</v>
      </c>
      <c r="L23" s="56">
        <v>50420251953</v>
      </c>
      <c r="M23" s="57" t="b">
        <v>1</v>
      </c>
      <c r="N23" s="58"/>
      <c r="O23" s="226"/>
      <c r="P23" s="191" t="b">
        <v>1</v>
      </c>
      <c r="Q23" s="389" t="s">
        <v>3684</v>
      </c>
      <c r="R23" s="388"/>
      <c r="S23" s="47" t="b">
        <v>1</v>
      </c>
      <c r="T23" s="310" t="s">
        <v>4373</v>
      </c>
      <c r="U23" s="307"/>
      <c r="V23" s="54"/>
    </row>
    <row r="24" spans="1:22" ht="16">
      <c r="A24" s="162"/>
      <c r="B24" s="132" t="s">
        <v>4374</v>
      </c>
      <c r="C24" s="66" t="s">
        <v>51</v>
      </c>
      <c r="D24" s="66" t="s">
        <v>201</v>
      </c>
      <c r="E24" s="53" t="s">
        <v>202</v>
      </c>
      <c r="F24" s="53" t="s">
        <v>3459</v>
      </c>
      <c r="G24" s="131" t="s">
        <v>30</v>
      </c>
      <c r="H24" s="53">
        <v>10</v>
      </c>
      <c r="I24" s="188">
        <v>725</v>
      </c>
      <c r="J24" s="54">
        <f t="shared" si="0"/>
        <v>7250</v>
      </c>
      <c r="K24" s="55" t="b">
        <v>1</v>
      </c>
      <c r="L24" s="56">
        <v>50420251953</v>
      </c>
      <c r="M24" s="57" t="b">
        <v>1</v>
      </c>
      <c r="N24" s="58" t="s">
        <v>2968</v>
      </c>
      <c r="O24" s="215"/>
      <c r="P24" s="191" t="b">
        <v>1</v>
      </c>
      <c r="Q24" s="389" t="s">
        <v>3684</v>
      </c>
      <c r="R24" s="388"/>
      <c r="S24" s="47" t="b">
        <v>1</v>
      </c>
      <c r="T24" s="310" t="s">
        <v>4381</v>
      </c>
      <c r="U24" s="307"/>
      <c r="V24" s="54"/>
    </row>
    <row r="25" spans="1:22" ht="16">
      <c r="A25" s="162"/>
      <c r="B25" s="71" t="s">
        <v>4382</v>
      </c>
      <c r="C25" s="66" t="s">
        <v>262</v>
      </c>
      <c r="D25" s="53" t="s">
        <v>263</v>
      </c>
      <c r="E25" s="53" t="s">
        <v>2855</v>
      </c>
      <c r="F25" s="53" t="s">
        <v>68</v>
      </c>
      <c r="G25" s="131" t="s">
        <v>30</v>
      </c>
      <c r="H25" s="53">
        <v>2</v>
      </c>
      <c r="I25" s="188">
        <v>2350</v>
      </c>
      <c r="J25" s="54">
        <f t="shared" si="0"/>
        <v>4700</v>
      </c>
      <c r="K25" s="55" t="b">
        <v>1</v>
      </c>
      <c r="L25" s="56">
        <v>70420250851</v>
      </c>
      <c r="M25" s="57" t="b">
        <v>1</v>
      </c>
      <c r="N25" s="58" t="s">
        <v>1581</v>
      </c>
      <c r="O25" s="226"/>
      <c r="P25" s="191" t="b">
        <v>1</v>
      </c>
      <c r="Q25" s="308" t="s">
        <v>3138</v>
      </c>
      <c r="R25" s="388" t="s">
        <v>4383</v>
      </c>
      <c r="S25" s="47" t="b">
        <v>1</v>
      </c>
      <c r="T25" s="310" t="s">
        <v>4384</v>
      </c>
      <c r="U25" s="307"/>
      <c r="V25" s="54"/>
    </row>
    <row r="26" spans="1:22" ht="16">
      <c r="A26" s="162"/>
      <c r="B26" s="71" t="s">
        <v>4382</v>
      </c>
      <c r="C26" s="53" t="s">
        <v>262</v>
      </c>
      <c r="D26" s="53" t="s">
        <v>3446</v>
      </c>
      <c r="E26" s="53" t="s">
        <v>3447</v>
      </c>
      <c r="F26" s="53" t="s">
        <v>68</v>
      </c>
      <c r="G26" s="131" t="s">
        <v>30</v>
      </c>
      <c r="H26" s="53">
        <v>1</v>
      </c>
      <c r="I26" s="188">
        <v>2350</v>
      </c>
      <c r="J26" s="54">
        <f t="shared" si="0"/>
        <v>2350</v>
      </c>
      <c r="K26" s="55" t="b">
        <v>1</v>
      </c>
      <c r="L26" s="56">
        <v>70420251427</v>
      </c>
      <c r="M26" s="57" t="b">
        <v>1</v>
      </c>
      <c r="N26" s="58"/>
      <c r="O26" s="226"/>
      <c r="P26" s="191" t="b">
        <v>1</v>
      </c>
      <c r="Q26" s="308" t="s">
        <v>3138</v>
      </c>
      <c r="R26" s="388"/>
      <c r="S26" s="47" t="b">
        <v>1</v>
      </c>
      <c r="T26" s="310" t="s">
        <v>4385</v>
      </c>
      <c r="U26" s="307"/>
      <c r="V26" s="54"/>
    </row>
    <row r="27" spans="1:22" ht="16">
      <c r="A27" s="162"/>
      <c r="B27" s="71" t="s">
        <v>4382</v>
      </c>
      <c r="C27" s="53" t="s">
        <v>262</v>
      </c>
      <c r="D27" s="53" t="s">
        <v>3446</v>
      </c>
      <c r="E27" s="53" t="s">
        <v>3447</v>
      </c>
      <c r="F27" s="53" t="s">
        <v>3964</v>
      </c>
      <c r="G27" s="131" t="s">
        <v>30</v>
      </c>
      <c r="H27" s="53">
        <v>1</v>
      </c>
      <c r="I27" s="188">
        <v>4350</v>
      </c>
      <c r="J27" s="54">
        <f t="shared" si="0"/>
        <v>4350</v>
      </c>
      <c r="K27" s="55" t="b">
        <v>1</v>
      </c>
      <c r="L27" s="56">
        <v>70420251427</v>
      </c>
      <c r="M27" s="57" t="b">
        <v>1</v>
      </c>
      <c r="N27" s="58" t="s">
        <v>529</v>
      </c>
      <c r="O27" s="226"/>
      <c r="P27" s="191" t="b">
        <v>1</v>
      </c>
      <c r="Q27" s="308" t="s">
        <v>3138</v>
      </c>
      <c r="R27" s="388" t="s">
        <v>4386</v>
      </c>
      <c r="S27" s="47" t="b">
        <v>1</v>
      </c>
      <c r="T27" s="310" t="s">
        <v>4387</v>
      </c>
      <c r="U27" s="307"/>
      <c r="V27" s="54"/>
    </row>
    <row r="28" spans="1:22" ht="16">
      <c r="A28" s="162"/>
      <c r="B28" s="71" t="s">
        <v>4382</v>
      </c>
      <c r="C28" s="53" t="s">
        <v>262</v>
      </c>
      <c r="D28" s="53" t="s">
        <v>3446</v>
      </c>
      <c r="E28" s="53" t="s">
        <v>3447</v>
      </c>
      <c r="F28" s="53" t="s">
        <v>4388</v>
      </c>
      <c r="G28" s="131" t="s">
        <v>30</v>
      </c>
      <c r="H28" s="53">
        <v>4</v>
      </c>
      <c r="I28" s="188">
        <v>285</v>
      </c>
      <c r="J28" s="54">
        <f t="shared" si="0"/>
        <v>1140</v>
      </c>
      <c r="K28" s="55" t="b">
        <v>1</v>
      </c>
      <c r="L28" s="56">
        <v>70420251427</v>
      </c>
      <c r="M28" s="57" t="b">
        <v>1</v>
      </c>
      <c r="N28" s="58"/>
      <c r="O28" s="226"/>
      <c r="P28" s="191" t="b">
        <v>1</v>
      </c>
      <c r="Q28" s="308" t="s">
        <v>3138</v>
      </c>
      <c r="R28" s="388" t="s">
        <v>4389</v>
      </c>
      <c r="S28" s="47" t="b">
        <v>1</v>
      </c>
      <c r="T28" s="310" t="s">
        <v>4390</v>
      </c>
      <c r="U28" s="307"/>
      <c r="V28" s="54"/>
    </row>
    <row r="29" spans="1:22" ht="16">
      <c r="A29" s="162"/>
      <c r="B29" s="71" t="s">
        <v>4382</v>
      </c>
      <c r="C29" s="53" t="s">
        <v>51</v>
      </c>
      <c r="D29" s="53" t="s">
        <v>52</v>
      </c>
      <c r="E29" s="53" t="s">
        <v>1710</v>
      </c>
      <c r="F29" s="53" t="s">
        <v>4391</v>
      </c>
      <c r="G29" s="131" t="s">
        <v>30</v>
      </c>
      <c r="H29" s="53">
        <v>10</v>
      </c>
      <c r="I29" s="188">
        <v>635</v>
      </c>
      <c r="J29" s="54">
        <f t="shared" si="0"/>
        <v>6350</v>
      </c>
      <c r="K29" s="55" t="b">
        <v>1</v>
      </c>
      <c r="L29" s="56">
        <v>70420251427</v>
      </c>
      <c r="M29" s="57" t="b">
        <v>1</v>
      </c>
      <c r="N29" s="58" t="s">
        <v>39</v>
      </c>
      <c r="O29" s="226">
        <v>45754</v>
      </c>
      <c r="P29" s="191" t="b">
        <v>1</v>
      </c>
      <c r="Q29" s="308" t="s">
        <v>3138</v>
      </c>
      <c r="R29" s="388"/>
      <c r="S29" s="47" t="b">
        <v>1</v>
      </c>
      <c r="T29" s="310" t="s">
        <v>4392</v>
      </c>
      <c r="U29" s="307"/>
      <c r="V29" s="54"/>
    </row>
    <row r="30" spans="1:22" ht="16">
      <c r="A30" s="162"/>
      <c r="B30" s="71" t="s">
        <v>4382</v>
      </c>
      <c r="C30" s="53" t="s">
        <v>104</v>
      </c>
      <c r="D30" s="53" t="s">
        <v>516</v>
      </c>
      <c r="E30" s="53" t="s">
        <v>517</v>
      </c>
      <c r="F30" s="66" t="s">
        <v>49</v>
      </c>
      <c r="G30" s="131" t="s">
        <v>30</v>
      </c>
      <c r="H30" s="66">
        <v>10</v>
      </c>
      <c r="I30" s="188">
        <v>635</v>
      </c>
      <c r="J30" s="54">
        <f t="shared" si="0"/>
        <v>6350</v>
      </c>
      <c r="K30" s="55" t="b">
        <v>1</v>
      </c>
      <c r="L30" s="56">
        <v>70420251624</v>
      </c>
      <c r="M30" s="57" t="b">
        <v>1</v>
      </c>
      <c r="N30" s="58" t="s">
        <v>39</v>
      </c>
      <c r="O30" s="226">
        <v>45755</v>
      </c>
      <c r="P30" s="191" t="b">
        <v>1</v>
      </c>
      <c r="Q30" s="308" t="s">
        <v>3138</v>
      </c>
      <c r="R30" s="388"/>
      <c r="S30" s="47" t="b">
        <v>1</v>
      </c>
      <c r="T30" s="310" t="s">
        <v>4393</v>
      </c>
      <c r="U30" s="307"/>
      <c r="V30" s="54"/>
    </row>
    <row r="31" spans="1:22" ht="16">
      <c r="A31" s="162"/>
      <c r="B31" s="71" t="s">
        <v>4382</v>
      </c>
      <c r="C31" s="53" t="s">
        <v>26</v>
      </c>
      <c r="D31" s="53" t="s">
        <v>158</v>
      </c>
      <c r="E31" s="53" t="s">
        <v>3584</v>
      </c>
      <c r="F31" s="66" t="s">
        <v>49</v>
      </c>
      <c r="G31" s="131" t="s">
        <v>30</v>
      </c>
      <c r="H31" s="66">
        <v>10</v>
      </c>
      <c r="I31" s="70">
        <v>635</v>
      </c>
      <c r="J31" s="54">
        <f t="shared" si="0"/>
        <v>6350</v>
      </c>
      <c r="K31" s="55" t="b">
        <v>1</v>
      </c>
      <c r="L31" s="56">
        <v>70420251634</v>
      </c>
      <c r="M31" s="57" t="b">
        <v>1</v>
      </c>
      <c r="N31" s="58" t="s">
        <v>39</v>
      </c>
      <c r="O31" s="226">
        <v>45755</v>
      </c>
      <c r="P31" s="191" t="b">
        <v>1</v>
      </c>
      <c r="Q31" s="308" t="s">
        <v>3138</v>
      </c>
      <c r="R31" s="388"/>
      <c r="S31" s="47" t="b">
        <v>1</v>
      </c>
      <c r="T31" s="310" t="s">
        <v>4394</v>
      </c>
      <c r="U31" s="307"/>
      <c r="V31" s="54"/>
    </row>
    <row r="32" spans="1:22" ht="15.75" customHeight="1">
      <c r="A32" s="162"/>
      <c r="B32" s="132" t="s">
        <v>4374</v>
      </c>
      <c r="C32" s="66" t="s">
        <v>51</v>
      </c>
      <c r="D32" s="66" t="s">
        <v>89</v>
      </c>
      <c r="E32" s="53" t="s">
        <v>4368</v>
      </c>
      <c r="F32" s="53" t="s">
        <v>4395</v>
      </c>
      <c r="G32" s="131" t="s">
        <v>30</v>
      </c>
      <c r="H32" s="53">
        <v>5</v>
      </c>
      <c r="I32" s="188">
        <v>285</v>
      </c>
      <c r="J32" s="54">
        <f t="shared" si="0"/>
        <v>1425</v>
      </c>
      <c r="K32" s="55" t="b">
        <v>1</v>
      </c>
      <c r="L32" s="56">
        <v>70420251634</v>
      </c>
      <c r="M32" s="57" t="b">
        <v>1</v>
      </c>
      <c r="N32" s="58"/>
      <c r="O32" s="226"/>
      <c r="P32" s="191" t="b">
        <v>1</v>
      </c>
      <c r="Q32" s="308" t="s">
        <v>3138</v>
      </c>
      <c r="R32" s="388" t="s">
        <v>4396</v>
      </c>
      <c r="S32" s="47" t="b">
        <v>1</v>
      </c>
      <c r="T32" s="310" t="s">
        <v>4397</v>
      </c>
      <c r="U32" s="307"/>
      <c r="V32" s="54"/>
    </row>
    <row r="33" spans="1:22" ht="15.75" customHeight="1">
      <c r="A33" s="162"/>
      <c r="B33" s="132" t="s">
        <v>4374</v>
      </c>
      <c r="C33" s="66" t="s">
        <v>51</v>
      </c>
      <c r="D33" s="66" t="s">
        <v>89</v>
      </c>
      <c r="E33" s="53" t="s">
        <v>4368</v>
      </c>
      <c r="F33" s="53" t="s">
        <v>4398</v>
      </c>
      <c r="G33" s="131" t="s">
        <v>30</v>
      </c>
      <c r="H33" s="53">
        <v>2</v>
      </c>
      <c r="I33" s="188">
        <v>4500</v>
      </c>
      <c r="J33" s="54">
        <f t="shared" si="0"/>
        <v>9000</v>
      </c>
      <c r="K33" s="55" t="b">
        <v>1</v>
      </c>
      <c r="L33" s="56">
        <v>70420251634</v>
      </c>
      <c r="M33" s="57" t="b">
        <v>1</v>
      </c>
      <c r="N33" s="58" t="s">
        <v>39</v>
      </c>
      <c r="O33" s="226"/>
      <c r="P33" s="191" t="b">
        <v>1</v>
      </c>
      <c r="Q33" s="308" t="s">
        <v>3138</v>
      </c>
      <c r="R33" s="388"/>
      <c r="S33" s="47" t="b">
        <v>1</v>
      </c>
      <c r="T33" s="310" t="s">
        <v>4399</v>
      </c>
      <c r="U33" s="307"/>
      <c r="V33" s="54"/>
    </row>
    <row r="34" spans="1:22" ht="15.75" customHeight="1">
      <c r="A34" s="162"/>
      <c r="B34" s="132" t="s">
        <v>4374</v>
      </c>
      <c r="C34" s="66" t="s">
        <v>51</v>
      </c>
      <c r="D34" s="66" t="s">
        <v>89</v>
      </c>
      <c r="E34" s="66" t="s">
        <v>1872</v>
      </c>
      <c r="F34" s="53" t="s">
        <v>4400</v>
      </c>
      <c r="G34" s="131" t="s">
        <v>30</v>
      </c>
      <c r="H34" s="53">
        <v>85</v>
      </c>
      <c r="I34" s="188">
        <v>45</v>
      </c>
      <c r="J34" s="54">
        <f t="shared" si="0"/>
        <v>3825</v>
      </c>
      <c r="K34" s="55" t="b">
        <v>1</v>
      </c>
      <c r="L34" s="56">
        <v>70420251634</v>
      </c>
      <c r="M34" s="57" t="b">
        <v>1</v>
      </c>
      <c r="N34" s="58" t="s">
        <v>39</v>
      </c>
      <c r="O34" s="226"/>
      <c r="P34" s="191" t="b">
        <v>1</v>
      </c>
      <c r="Q34" s="308" t="s">
        <v>3138</v>
      </c>
      <c r="R34" s="388"/>
      <c r="S34" s="47" t="b">
        <v>1</v>
      </c>
      <c r="T34" s="310" t="s">
        <v>4399</v>
      </c>
      <c r="U34" s="307"/>
      <c r="V34" s="54"/>
    </row>
    <row r="35" spans="1:22" ht="15.75" customHeight="1">
      <c r="A35" s="162"/>
      <c r="B35" s="71" t="s">
        <v>4382</v>
      </c>
      <c r="C35" s="53" t="s">
        <v>51</v>
      </c>
      <c r="D35" s="53" t="s">
        <v>372</v>
      </c>
      <c r="E35" s="53" t="s">
        <v>1035</v>
      </c>
      <c r="F35" s="53" t="s">
        <v>4401</v>
      </c>
      <c r="G35" s="131" t="s">
        <v>30</v>
      </c>
      <c r="H35" s="53">
        <v>1</v>
      </c>
      <c r="I35" s="188">
        <v>4500</v>
      </c>
      <c r="J35" s="54">
        <f t="shared" si="0"/>
        <v>4500</v>
      </c>
      <c r="K35" s="55" t="b">
        <v>1</v>
      </c>
      <c r="L35" s="56">
        <v>70420251634</v>
      </c>
      <c r="M35" s="57" t="b">
        <v>1</v>
      </c>
      <c r="N35" s="58" t="s">
        <v>39</v>
      </c>
      <c r="O35" s="226"/>
      <c r="P35" s="191" t="b">
        <v>1</v>
      </c>
      <c r="Q35" s="308" t="s">
        <v>3138</v>
      </c>
      <c r="R35" s="388"/>
      <c r="S35" s="47" t="b">
        <v>1</v>
      </c>
      <c r="T35" s="310" t="s">
        <v>4402</v>
      </c>
      <c r="U35" s="307"/>
      <c r="V35" s="54"/>
    </row>
    <row r="36" spans="1:22" ht="15.75" customHeight="1">
      <c r="A36" s="162"/>
      <c r="B36" s="71" t="s">
        <v>4382</v>
      </c>
      <c r="C36" s="53" t="s">
        <v>51</v>
      </c>
      <c r="D36" s="53" t="s">
        <v>372</v>
      </c>
      <c r="E36" s="53" t="s">
        <v>1035</v>
      </c>
      <c r="F36" s="53" t="s">
        <v>4403</v>
      </c>
      <c r="G36" s="131" t="s">
        <v>30</v>
      </c>
      <c r="H36" s="53">
        <v>40</v>
      </c>
      <c r="I36" s="188">
        <v>45</v>
      </c>
      <c r="J36" s="54">
        <f t="shared" si="0"/>
        <v>1800</v>
      </c>
      <c r="K36" s="55" t="b">
        <v>1</v>
      </c>
      <c r="L36" s="56">
        <v>70420251634</v>
      </c>
      <c r="M36" s="57" t="b">
        <v>1</v>
      </c>
      <c r="N36" s="58" t="s">
        <v>39</v>
      </c>
      <c r="O36" s="226"/>
      <c r="P36" s="191" t="b">
        <v>1</v>
      </c>
      <c r="Q36" s="308" t="s">
        <v>3138</v>
      </c>
      <c r="R36" s="388"/>
      <c r="S36" s="47" t="b">
        <v>1</v>
      </c>
      <c r="T36" s="310" t="s">
        <v>4402</v>
      </c>
      <c r="U36" s="307"/>
      <c r="V36" s="54"/>
    </row>
    <row r="37" spans="1:22" ht="15.75" customHeight="1">
      <c r="A37" s="162"/>
      <c r="B37" s="71" t="s">
        <v>4382</v>
      </c>
      <c r="C37" s="53" t="s">
        <v>51</v>
      </c>
      <c r="D37" s="53" t="s">
        <v>335</v>
      </c>
      <c r="E37" s="53" t="s">
        <v>457</v>
      </c>
      <c r="F37" s="53" t="s">
        <v>4404</v>
      </c>
      <c r="G37" s="131" t="s">
        <v>30</v>
      </c>
      <c r="H37" s="53">
        <v>2</v>
      </c>
      <c r="I37" s="188">
        <v>4500</v>
      </c>
      <c r="J37" s="54">
        <f t="shared" si="0"/>
        <v>9000</v>
      </c>
      <c r="K37" s="55" t="b">
        <v>1</v>
      </c>
      <c r="L37" s="56">
        <v>70420251634</v>
      </c>
      <c r="M37" s="57" t="b">
        <v>1</v>
      </c>
      <c r="N37" s="58" t="s">
        <v>39</v>
      </c>
      <c r="O37" s="226"/>
      <c r="P37" s="191" t="b">
        <v>1</v>
      </c>
      <c r="Q37" s="308" t="s">
        <v>3138</v>
      </c>
      <c r="R37" s="388"/>
      <c r="S37" s="47" t="b">
        <v>1</v>
      </c>
      <c r="T37" s="310" t="s">
        <v>4405</v>
      </c>
      <c r="U37" s="307"/>
      <c r="V37" s="54"/>
    </row>
    <row r="38" spans="1:22" ht="15.75" customHeight="1">
      <c r="A38" s="162"/>
      <c r="B38" s="71" t="s">
        <v>4382</v>
      </c>
      <c r="C38" s="53" t="s">
        <v>51</v>
      </c>
      <c r="D38" s="53" t="s">
        <v>335</v>
      </c>
      <c r="E38" s="53" t="s">
        <v>457</v>
      </c>
      <c r="F38" s="53" t="s">
        <v>4406</v>
      </c>
      <c r="G38" s="131" t="s">
        <v>30</v>
      </c>
      <c r="H38" s="53">
        <v>100</v>
      </c>
      <c r="I38" s="188">
        <v>45</v>
      </c>
      <c r="J38" s="54">
        <f t="shared" si="0"/>
        <v>4500</v>
      </c>
      <c r="K38" s="55" t="b">
        <v>1</v>
      </c>
      <c r="L38" s="56">
        <v>70420251634</v>
      </c>
      <c r="M38" s="57" t="b">
        <v>1</v>
      </c>
      <c r="N38" s="58" t="s">
        <v>39</v>
      </c>
      <c r="O38" s="226"/>
      <c r="P38" s="191" t="b">
        <v>1</v>
      </c>
      <c r="Q38" s="308" t="s">
        <v>3138</v>
      </c>
      <c r="R38" s="388"/>
      <c r="S38" s="47" t="b">
        <v>1</v>
      </c>
      <c r="T38" s="310" t="s">
        <v>4405</v>
      </c>
      <c r="U38" s="307"/>
      <c r="V38" s="54"/>
    </row>
    <row r="39" spans="1:22" ht="16">
      <c r="A39" s="162"/>
      <c r="B39" s="71" t="s">
        <v>4382</v>
      </c>
      <c r="C39" s="53" t="s">
        <v>51</v>
      </c>
      <c r="D39" s="53" t="s">
        <v>137</v>
      </c>
      <c r="E39" s="53" t="s">
        <v>138</v>
      </c>
      <c r="F39" s="53" t="s">
        <v>4407</v>
      </c>
      <c r="G39" s="131" t="s">
        <v>30</v>
      </c>
      <c r="H39" s="53">
        <v>1</v>
      </c>
      <c r="I39" s="188">
        <v>4500</v>
      </c>
      <c r="J39" s="54">
        <f t="shared" si="0"/>
        <v>4500</v>
      </c>
      <c r="K39" s="55" t="b">
        <v>1</v>
      </c>
      <c r="L39" s="56">
        <v>70420251634</v>
      </c>
      <c r="M39" s="57" t="b">
        <v>1</v>
      </c>
      <c r="N39" s="58" t="s">
        <v>39</v>
      </c>
      <c r="O39" s="226"/>
      <c r="P39" s="191" t="b">
        <v>1</v>
      </c>
      <c r="Q39" s="308" t="s">
        <v>3138</v>
      </c>
      <c r="R39" s="388"/>
      <c r="S39" s="47" t="b">
        <v>1</v>
      </c>
      <c r="T39" s="310" t="s">
        <v>4408</v>
      </c>
      <c r="U39" s="307"/>
      <c r="V39" s="54"/>
    </row>
    <row r="40" spans="1:22" ht="16">
      <c r="A40" s="162"/>
      <c r="B40" s="71" t="s">
        <v>4382</v>
      </c>
      <c r="C40" s="53" t="s">
        <v>51</v>
      </c>
      <c r="D40" s="53" t="s">
        <v>137</v>
      </c>
      <c r="E40" s="53" t="s">
        <v>138</v>
      </c>
      <c r="F40" s="53" t="s">
        <v>4400</v>
      </c>
      <c r="G40" s="131" t="s">
        <v>30</v>
      </c>
      <c r="H40" s="53">
        <v>100</v>
      </c>
      <c r="I40" s="188">
        <v>45</v>
      </c>
      <c r="J40" s="54">
        <f t="shared" si="0"/>
        <v>4500</v>
      </c>
      <c r="K40" s="55" t="b">
        <v>1</v>
      </c>
      <c r="L40" s="56">
        <v>70420251634</v>
      </c>
      <c r="M40" s="57" t="b">
        <v>1</v>
      </c>
      <c r="N40" s="58" t="s">
        <v>39</v>
      </c>
      <c r="O40" s="226"/>
      <c r="P40" s="191" t="b">
        <v>1</v>
      </c>
      <c r="Q40" s="308" t="s">
        <v>3138</v>
      </c>
      <c r="R40" s="388"/>
      <c r="S40" s="47" t="b">
        <v>1</v>
      </c>
      <c r="T40" s="310" t="s">
        <v>4408</v>
      </c>
      <c r="U40" s="307"/>
      <c r="V40" s="54"/>
    </row>
    <row r="41" spans="1:22" ht="16">
      <c r="A41" s="162"/>
      <c r="B41" s="71" t="s">
        <v>4382</v>
      </c>
      <c r="C41" s="53" t="s">
        <v>51</v>
      </c>
      <c r="D41" s="53" t="s">
        <v>66</v>
      </c>
      <c r="E41" s="53" t="s">
        <v>67</v>
      </c>
      <c r="F41" s="53" t="s">
        <v>4398</v>
      </c>
      <c r="G41" s="131" t="s">
        <v>30</v>
      </c>
      <c r="H41" s="53">
        <v>1</v>
      </c>
      <c r="I41" s="188">
        <v>2250</v>
      </c>
      <c r="J41" s="54">
        <f t="shared" si="0"/>
        <v>2250</v>
      </c>
      <c r="K41" s="55" t="b">
        <v>1</v>
      </c>
      <c r="L41" s="56">
        <v>70420251634</v>
      </c>
      <c r="M41" s="57" t="b">
        <v>1</v>
      </c>
      <c r="N41" s="58" t="s">
        <v>39</v>
      </c>
      <c r="O41" s="226"/>
      <c r="P41" s="191" t="b">
        <v>1</v>
      </c>
      <c r="Q41" s="308" t="s">
        <v>3138</v>
      </c>
      <c r="R41" s="388"/>
      <c r="S41" s="47" t="b">
        <v>1</v>
      </c>
      <c r="T41" s="310" t="s">
        <v>4409</v>
      </c>
      <c r="U41" s="307"/>
      <c r="V41" s="54"/>
    </row>
    <row r="42" spans="1:22" ht="16">
      <c r="A42" s="162"/>
      <c r="B42" s="71" t="s">
        <v>4382</v>
      </c>
      <c r="C42" s="53" t="s">
        <v>51</v>
      </c>
      <c r="D42" s="53" t="s">
        <v>66</v>
      </c>
      <c r="E42" s="53" t="s">
        <v>67</v>
      </c>
      <c r="F42" s="53" t="s">
        <v>4400</v>
      </c>
      <c r="G42" s="131" t="s">
        <v>30</v>
      </c>
      <c r="H42" s="53">
        <v>100</v>
      </c>
      <c r="I42" s="188">
        <v>45</v>
      </c>
      <c r="J42" s="54">
        <f t="shared" si="0"/>
        <v>4500</v>
      </c>
      <c r="K42" s="55" t="b">
        <v>1</v>
      </c>
      <c r="L42" s="56">
        <v>70420251634</v>
      </c>
      <c r="M42" s="57" t="b">
        <v>1</v>
      </c>
      <c r="N42" s="58" t="s">
        <v>39</v>
      </c>
      <c r="O42" s="226"/>
      <c r="P42" s="191" t="b">
        <v>1</v>
      </c>
      <c r="Q42" s="308" t="s">
        <v>3138</v>
      </c>
      <c r="R42" s="388"/>
      <c r="S42" s="47" t="b">
        <v>1</v>
      </c>
      <c r="T42" s="310" t="s">
        <v>4409</v>
      </c>
      <c r="U42" s="307"/>
      <c r="V42" s="54"/>
    </row>
    <row r="43" spans="1:22" ht="16">
      <c r="A43" s="162"/>
      <c r="B43" s="71" t="s">
        <v>4382</v>
      </c>
      <c r="C43" s="53" t="s">
        <v>51</v>
      </c>
      <c r="D43" s="53" t="s">
        <v>61</v>
      </c>
      <c r="E43" s="53" t="s">
        <v>548</v>
      </c>
      <c r="F43" s="53" t="s">
        <v>4410</v>
      </c>
      <c r="G43" s="131" t="s">
        <v>30</v>
      </c>
      <c r="H43" s="53">
        <v>1</v>
      </c>
      <c r="I43" s="188">
        <v>3000</v>
      </c>
      <c r="J43" s="54">
        <f t="shared" si="0"/>
        <v>3000</v>
      </c>
      <c r="K43" s="55" t="b">
        <v>1</v>
      </c>
      <c r="L43" s="56">
        <v>70420251634</v>
      </c>
      <c r="M43" s="57" t="b">
        <v>1</v>
      </c>
      <c r="N43" s="58" t="s">
        <v>39</v>
      </c>
      <c r="O43" s="226"/>
      <c r="P43" s="191" t="b">
        <v>1</v>
      </c>
      <c r="Q43" s="308" t="s">
        <v>3138</v>
      </c>
      <c r="R43" s="388"/>
      <c r="S43" s="47" t="b">
        <v>1</v>
      </c>
      <c r="T43" s="310" t="s">
        <v>4411</v>
      </c>
      <c r="U43" s="307"/>
      <c r="V43" s="54"/>
    </row>
    <row r="44" spans="1:22" ht="16">
      <c r="A44" s="162"/>
      <c r="B44" s="71" t="s">
        <v>4382</v>
      </c>
      <c r="C44" s="53" t="s">
        <v>51</v>
      </c>
      <c r="D44" s="53" t="s">
        <v>61</v>
      </c>
      <c r="E44" s="53" t="s">
        <v>548</v>
      </c>
      <c r="F44" s="53" t="s">
        <v>4400</v>
      </c>
      <c r="G44" s="131" t="s">
        <v>30</v>
      </c>
      <c r="H44" s="53">
        <v>70</v>
      </c>
      <c r="I44" s="188">
        <v>45</v>
      </c>
      <c r="J44" s="54">
        <f t="shared" si="0"/>
        <v>3150</v>
      </c>
      <c r="K44" s="55" t="b">
        <v>1</v>
      </c>
      <c r="L44" s="56">
        <v>70420251634</v>
      </c>
      <c r="M44" s="57" t="b">
        <v>1</v>
      </c>
      <c r="N44" s="58" t="s">
        <v>39</v>
      </c>
      <c r="O44" s="226"/>
      <c r="P44" s="191" t="b">
        <v>1</v>
      </c>
      <c r="Q44" s="308" t="s">
        <v>3138</v>
      </c>
      <c r="R44" s="388"/>
      <c r="S44" s="47" t="b">
        <v>1</v>
      </c>
      <c r="T44" s="310" t="s">
        <v>4411</v>
      </c>
      <c r="U44" s="307"/>
      <c r="V44" s="54"/>
    </row>
    <row r="45" spans="1:22" ht="16">
      <c r="A45" s="162"/>
      <c r="B45" s="71" t="s">
        <v>4382</v>
      </c>
      <c r="C45" s="53" t="s">
        <v>51</v>
      </c>
      <c r="D45" s="53" t="s">
        <v>475</v>
      </c>
      <c r="E45" s="53" t="s">
        <v>2105</v>
      </c>
      <c r="F45" s="53" t="s">
        <v>4412</v>
      </c>
      <c r="G45" s="131" t="s">
        <v>30</v>
      </c>
      <c r="H45" s="53">
        <v>80</v>
      </c>
      <c r="I45" s="188">
        <v>45</v>
      </c>
      <c r="J45" s="54">
        <f t="shared" si="0"/>
        <v>3600</v>
      </c>
      <c r="K45" s="55" t="b">
        <v>1</v>
      </c>
      <c r="L45" s="56">
        <v>70420251634</v>
      </c>
      <c r="M45" s="57" t="b">
        <v>1</v>
      </c>
      <c r="N45" s="58" t="s">
        <v>39</v>
      </c>
      <c r="O45" s="226"/>
      <c r="P45" s="191" t="b">
        <v>1</v>
      </c>
      <c r="Q45" s="308" t="s">
        <v>3138</v>
      </c>
      <c r="R45" s="388"/>
      <c r="S45" s="47" t="b">
        <v>1</v>
      </c>
      <c r="T45" s="310" t="s">
        <v>4413</v>
      </c>
      <c r="U45" s="307"/>
      <c r="V45" s="54"/>
    </row>
    <row r="46" spans="1:22" ht="16">
      <c r="A46" s="162"/>
      <c r="B46" s="71" t="s">
        <v>4382</v>
      </c>
      <c r="C46" s="53" t="s">
        <v>51</v>
      </c>
      <c r="D46" s="53" t="s">
        <v>594</v>
      </c>
      <c r="E46" s="53" t="s">
        <v>4414</v>
      </c>
      <c r="F46" s="53" t="s">
        <v>4415</v>
      </c>
      <c r="G46" s="131" t="s">
        <v>30</v>
      </c>
      <c r="H46" s="53">
        <v>2</v>
      </c>
      <c r="I46" s="188">
        <v>2750</v>
      </c>
      <c r="J46" s="54">
        <f t="shared" si="0"/>
        <v>5500</v>
      </c>
      <c r="K46" s="55" t="b">
        <v>1</v>
      </c>
      <c r="L46" s="56">
        <v>70420251634</v>
      </c>
      <c r="M46" s="57" t="b">
        <v>1</v>
      </c>
      <c r="N46" s="58" t="s">
        <v>39</v>
      </c>
      <c r="O46" s="226"/>
      <c r="P46" s="191" t="b">
        <v>1</v>
      </c>
      <c r="Q46" s="308" t="s">
        <v>3138</v>
      </c>
      <c r="R46" s="388"/>
      <c r="S46" s="47" t="b">
        <v>1</v>
      </c>
      <c r="T46" s="310" t="s">
        <v>4416</v>
      </c>
      <c r="U46" s="307"/>
      <c r="V46" s="54"/>
    </row>
    <row r="47" spans="1:22" ht="16">
      <c r="A47" s="162"/>
      <c r="B47" s="71" t="s">
        <v>4382</v>
      </c>
      <c r="C47" s="53" t="s">
        <v>51</v>
      </c>
      <c r="D47" s="53" t="s">
        <v>594</v>
      </c>
      <c r="E47" s="53" t="s">
        <v>4414</v>
      </c>
      <c r="F47" s="53" t="s">
        <v>4412</v>
      </c>
      <c r="G47" s="131" t="s">
        <v>30</v>
      </c>
      <c r="H47" s="53">
        <v>100</v>
      </c>
      <c r="I47" s="188">
        <v>45</v>
      </c>
      <c r="J47" s="54">
        <f t="shared" si="0"/>
        <v>4500</v>
      </c>
      <c r="K47" s="55" t="b">
        <v>1</v>
      </c>
      <c r="L47" s="56">
        <v>70420251634</v>
      </c>
      <c r="M47" s="57" t="b">
        <v>1</v>
      </c>
      <c r="N47" s="58" t="s">
        <v>39</v>
      </c>
      <c r="O47" s="226"/>
      <c r="P47" s="191" t="b">
        <v>1</v>
      </c>
      <c r="Q47" s="308" t="s">
        <v>3138</v>
      </c>
      <c r="R47" s="388"/>
      <c r="S47" s="47" t="b">
        <v>1</v>
      </c>
      <c r="T47" s="310" t="s">
        <v>4416</v>
      </c>
      <c r="U47" s="307"/>
      <c r="V47" s="54"/>
    </row>
    <row r="48" spans="1:22" ht="16">
      <c r="A48" s="162"/>
      <c r="B48" s="71" t="s">
        <v>4382</v>
      </c>
      <c r="C48" s="53" t="s">
        <v>51</v>
      </c>
      <c r="D48" s="53" t="s">
        <v>594</v>
      </c>
      <c r="E48" s="53" t="s">
        <v>4414</v>
      </c>
      <c r="F48" s="53" t="s">
        <v>4410</v>
      </c>
      <c r="G48" s="131" t="s">
        <v>30</v>
      </c>
      <c r="H48" s="53">
        <v>1</v>
      </c>
      <c r="I48" s="188">
        <v>3000</v>
      </c>
      <c r="J48" s="54">
        <f t="shared" si="0"/>
        <v>3000</v>
      </c>
      <c r="K48" s="55" t="b">
        <v>1</v>
      </c>
      <c r="L48" s="56">
        <v>70420251634</v>
      </c>
      <c r="M48" s="57" t="b">
        <v>1</v>
      </c>
      <c r="N48" s="58" t="s">
        <v>39</v>
      </c>
      <c r="O48" s="226"/>
      <c r="P48" s="191" t="b">
        <v>1</v>
      </c>
      <c r="Q48" s="308" t="s">
        <v>3138</v>
      </c>
      <c r="R48" s="53" t="s">
        <v>51</v>
      </c>
      <c r="S48" s="53" t="s">
        <v>594</v>
      </c>
      <c r="T48" s="310" t="s">
        <v>4416</v>
      </c>
      <c r="U48" s="307"/>
      <c r="V48" s="54"/>
    </row>
    <row r="49" spans="1:22" ht="16">
      <c r="A49" s="162"/>
      <c r="B49" s="71" t="s">
        <v>4382</v>
      </c>
      <c r="C49" s="53" t="s">
        <v>51</v>
      </c>
      <c r="D49" s="53" t="s">
        <v>201</v>
      </c>
      <c r="E49" s="53" t="s">
        <v>1936</v>
      </c>
      <c r="F49" s="53" t="s">
        <v>4412</v>
      </c>
      <c r="G49" s="131" t="s">
        <v>30</v>
      </c>
      <c r="H49" s="53">
        <v>70</v>
      </c>
      <c r="I49" s="188">
        <v>45</v>
      </c>
      <c r="J49" s="54">
        <f t="shared" si="0"/>
        <v>3150</v>
      </c>
      <c r="K49" s="55" t="b">
        <v>1</v>
      </c>
      <c r="L49" s="56">
        <v>70420251634</v>
      </c>
      <c r="M49" s="57" t="b">
        <v>1</v>
      </c>
      <c r="N49" s="58" t="s">
        <v>39</v>
      </c>
      <c r="O49" s="226"/>
      <c r="P49" s="191" t="b">
        <v>1</v>
      </c>
      <c r="Q49" s="308" t="s">
        <v>3138</v>
      </c>
      <c r="R49" s="388"/>
      <c r="S49" s="47" t="b">
        <v>1</v>
      </c>
      <c r="T49" s="310" t="s">
        <v>4417</v>
      </c>
      <c r="U49" s="307"/>
      <c r="V49" s="54"/>
    </row>
    <row r="50" spans="1:22" ht="16">
      <c r="A50" s="162"/>
      <c r="B50" s="71" t="s">
        <v>4382</v>
      </c>
      <c r="C50" s="53" t="s">
        <v>51</v>
      </c>
      <c r="D50" s="53" t="s">
        <v>201</v>
      </c>
      <c r="E50" s="53" t="s">
        <v>1936</v>
      </c>
      <c r="F50" s="53" t="s">
        <v>4410</v>
      </c>
      <c r="G50" s="131" t="s">
        <v>30</v>
      </c>
      <c r="H50" s="53">
        <v>2</v>
      </c>
      <c r="I50" s="188">
        <v>3000</v>
      </c>
      <c r="J50" s="54">
        <f t="shared" si="0"/>
        <v>6000</v>
      </c>
      <c r="K50" s="55" t="b">
        <v>1</v>
      </c>
      <c r="L50" s="56">
        <v>70420251634</v>
      </c>
      <c r="M50" s="57" t="b">
        <v>1</v>
      </c>
      <c r="N50" s="58" t="s">
        <v>39</v>
      </c>
      <c r="O50" s="226"/>
      <c r="P50" s="191" t="b">
        <v>1</v>
      </c>
      <c r="Q50" s="308" t="s">
        <v>3138</v>
      </c>
      <c r="R50" s="388"/>
      <c r="S50" s="47" t="b">
        <v>1</v>
      </c>
      <c r="T50" s="310" t="s">
        <v>4417</v>
      </c>
      <c r="U50" s="307"/>
      <c r="V50" s="54"/>
    </row>
    <row r="51" spans="1:22" ht="16">
      <c r="A51" s="162"/>
      <c r="B51" s="71" t="s">
        <v>4382</v>
      </c>
      <c r="C51" s="53" t="s">
        <v>51</v>
      </c>
      <c r="D51" s="53" t="s">
        <v>201</v>
      </c>
      <c r="E51" s="53" t="s">
        <v>202</v>
      </c>
      <c r="F51" s="53" t="s">
        <v>4418</v>
      </c>
      <c r="G51" s="131" t="s">
        <v>30</v>
      </c>
      <c r="H51" s="53">
        <v>1</v>
      </c>
      <c r="I51" s="188">
        <v>1670</v>
      </c>
      <c r="J51" s="54">
        <f t="shared" si="0"/>
        <v>1670</v>
      </c>
      <c r="K51" s="55" t="b">
        <v>1</v>
      </c>
      <c r="L51" s="56">
        <v>70420251634</v>
      </c>
      <c r="M51" s="57" t="b">
        <v>1</v>
      </c>
      <c r="N51" s="58"/>
      <c r="O51" s="226"/>
      <c r="P51" s="191" t="b">
        <v>1</v>
      </c>
      <c r="Q51" s="308" t="s">
        <v>3138</v>
      </c>
      <c r="R51" s="388"/>
      <c r="S51" s="47" t="b">
        <v>1</v>
      </c>
      <c r="T51" s="310" t="s">
        <v>4419</v>
      </c>
      <c r="U51" s="307"/>
      <c r="V51" s="54"/>
    </row>
    <row r="52" spans="1:22" ht="16">
      <c r="A52" s="162"/>
      <c r="B52" s="71" t="s">
        <v>4382</v>
      </c>
      <c r="C52" s="53" t="s">
        <v>51</v>
      </c>
      <c r="D52" s="53" t="s">
        <v>335</v>
      </c>
      <c r="E52" s="53" t="s">
        <v>457</v>
      </c>
      <c r="F52" s="53" t="s">
        <v>4395</v>
      </c>
      <c r="G52" s="131" t="s">
        <v>30</v>
      </c>
      <c r="H52" s="53">
        <v>3</v>
      </c>
      <c r="I52" s="188">
        <v>285</v>
      </c>
      <c r="J52" s="54">
        <f t="shared" si="0"/>
        <v>855</v>
      </c>
      <c r="K52" s="55" t="b">
        <v>1</v>
      </c>
      <c r="L52" s="56">
        <v>70420251634</v>
      </c>
      <c r="M52" s="57" t="b">
        <v>1</v>
      </c>
      <c r="N52" s="58"/>
      <c r="O52" s="226"/>
      <c r="P52" s="191" t="b">
        <v>1</v>
      </c>
      <c r="Q52" s="308" t="s">
        <v>3138</v>
      </c>
      <c r="R52" s="388" t="s">
        <v>4420</v>
      </c>
      <c r="S52" s="47" t="b">
        <v>1</v>
      </c>
      <c r="T52" s="310" t="s">
        <v>4421</v>
      </c>
      <c r="U52" s="307"/>
      <c r="V52" s="54"/>
    </row>
    <row r="53" spans="1:22" ht="16">
      <c r="A53" s="162"/>
      <c r="B53" s="71" t="s">
        <v>4382</v>
      </c>
      <c r="C53" s="53" t="s">
        <v>345</v>
      </c>
      <c r="D53" s="53" t="s">
        <v>342</v>
      </c>
      <c r="E53" s="53" t="s">
        <v>927</v>
      </c>
      <c r="F53" s="53" t="s">
        <v>4422</v>
      </c>
      <c r="G53" s="131" t="s">
        <v>30</v>
      </c>
      <c r="H53" s="53">
        <v>6</v>
      </c>
      <c r="I53" s="188">
        <v>135</v>
      </c>
      <c r="J53" s="54">
        <f t="shared" si="0"/>
        <v>810</v>
      </c>
      <c r="K53" s="55" t="b">
        <v>1</v>
      </c>
      <c r="L53" s="56">
        <v>70420251634</v>
      </c>
      <c r="M53" s="57" t="b">
        <v>1</v>
      </c>
      <c r="N53" s="58" t="s">
        <v>2968</v>
      </c>
      <c r="O53" s="226"/>
      <c r="P53" s="191" t="b">
        <v>1</v>
      </c>
      <c r="Q53" s="308" t="s">
        <v>3138</v>
      </c>
      <c r="R53" s="388"/>
      <c r="S53" s="47" t="b">
        <v>1</v>
      </c>
      <c r="T53" s="310" t="s">
        <v>4423</v>
      </c>
      <c r="U53" s="307"/>
      <c r="V53" s="54"/>
    </row>
    <row r="54" spans="1:22" ht="16">
      <c r="A54" s="162"/>
      <c r="B54" s="71" t="s">
        <v>4382</v>
      </c>
      <c r="C54" s="53" t="s">
        <v>51</v>
      </c>
      <c r="D54" s="53" t="s">
        <v>594</v>
      </c>
      <c r="E54" s="53" t="s">
        <v>4414</v>
      </c>
      <c r="F54" s="53" t="s">
        <v>4395</v>
      </c>
      <c r="G54" s="131" t="s">
        <v>30</v>
      </c>
      <c r="H54" s="53">
        <v>2</v>
      </c>
      <c r="I54" s="188">
        <v>285</v>
      </c>
      <c r="J54" s="54">
        <f t="shared" si="0"/>
        <v>570</v>
      </c>
      <c r="K54" s="55" t="b">
        <v>1</v>
      </c>
      <c r="L54" s="56">
        <v>70420251815</v>
      </c>
      <c r="M54" s="57" t="b">
        <v>1</v>
      </c>
      <c r="N54" s="58"/>
      <c r="O54" s="226"/>
      <c r="P54" s="191" t="b">
        <v>1</v>
      </c>
      <c r="Q54" s="308" t="s">
        <v>3138</v>
      </c>
      <c r="R54" s="388" t="s">
        <v>4424</v>
      </c>
      <c r="S54" s="47" t="b">
        <v>1</v>
      </c>
      <c r="T54" s="310" t="s">
        <v>4425</v>
      </c>
      <c r="U54" s="307"/>
      <c r="V54" s="54"/>
    </row>
    <row r="55" spans="1:22" ht="16">
      <c r="A55" s="162"/>
      <c r="B55" s="71" t="s">
        <v>4426</v>
      </c>
      <c r="C55" s="66" t="s">
        <v>51</v>
      </c>
      <c r="D55" s="66" t="s">
        <v>89</v>
      </c>
      <c r="E55" s="66" t="s">
        <v>1872</v>
      </c>
      <c r="F55" s="66" t="s">
        <v>4427</v>
      </c>
      <c r="G55" s="131" t="s">
        <v>30</v>
      </c>
      <c r="H55" s="69">
        <v>1</v>
      </c>
      <c r="I55" s="188">
        <v>13500</v>
      </c>
      <c r="J55" s="54">
        <f t="shared" si="0"/>
        <v>13500</v>
      </c>
      <c r="K55" s="55" t="b">
        <v>1</v>
      </c>
      <c r="L55" s="56">
        <v>80420251851</v>
      </c>
      <c r="M55" s="57" t="b">
        <v>1</v>
      </c>
      <c r="N55" s="58"/>
      <c r="O55" s="226"/>
      <c r="P55" s="191" t="b">
        <v>1</v>
      </c>
      <c r="Q55" s="308" t="s">
        <v>3138</v>
      </c>
      <c r="R55" s="388"/>
      <c r="S55" s="47" t="b">
        <v>1</v>
      </c>
      <c r="T55" s="310" t="s">
        <v>4428</v>
      </c>
      <c r="U55" s="307"/>
      <c r="V55" s="54"/>
    </row>
    <row r="56" spans="1:22" ht="16">
      <c r="A56" s="162"/>
      <c r="B56" s="71" t="s">
        <v>4426</v>
      </c>
      <c r="C56" s="66" t="s">
        <v>890</v>
      </c>
      <c r="D56" s="66" t="s">
        <v>890</v>
      </c>
      <c r="E56" s="66" t="s">
        <v>131</v>
      </c>
      <c r="F56" s="66" t="s">
        <v>4395</v>
      </c>
      <c r="G56" s="69" t="s">
        <v>30</v>
      </c>
      <c r="H56" s="66">
        <v>2</v>
      </c>
      <c r="I56" s="70">
        <v>285</v>
      </c>
      <c r="J56" s="54">
        <f t="shared" si="0"/>
        <v>570</v>
      </c>
      <c r="K56" s="55" t="b">
        <v>1</v>
      </c>
      <c r="L56" s="56">
        <v>80420251851</v>
      </c>
      <c r="M56" s="57" t="b">
        <v>1</v>
      </c>
      <c r="N56" s="58"/>
      <c r="O56" s="226"/>
      <c r="P56" s="191" t="b">
        <v>1</v>
      </c>
      <c r="Q56" s="308" t="s">
        <v>3138</v>
      </c>
      <c r="R56" s="388" t="s">
        <v>4429</v>
      </c>
      <c r="S56" s="47" t="b">
        <v>1</v>
      </c>
      <c r="T56" s="310" t="s">
        <v>4430</v>
      </c>
      <c r="U56" s="307"/>
      <c r="V56" s="54"/>
    </row>
    <row r="57" spans="1:22" ht="16">
      <c r="A57" s="162"/>
      <c r="B57" s="71" t="s">
        <v>4426</v>
      </c>
      <c r="C57" s="66" t="s">
        <v>93</v>
      </c>
      <c r="D57" s="66" t="s">
        <v>94</v>
      </c>
      <c r="E57" s="66" t="s">
        <v>4431</v>
      </c>
      <c r="F57" s="53" t="s">
        <v>1700</v>
      </c>
      <c r="G57" s="131" t="s">
        <v>30</v>
      </c>
      <c r="H57" s="53">
        <v>100</v>
      </c>
      <c r="I57" s="188">
        <v>16.5</v>
      </c>
      <c r="J57" s="54">
        <f t="shared" si="0"/>
        <v>1650</v>
      </c>
      <c r="K57" s="55" t="b">
        <v>1</v>
      </c>
      <c r="L57" s="56">
        <v>80420251851</v>
      </c>
      <c r="M57" s="57" t="b">
        <v>1</v>
      </c>
      <c r="N57" s="58" t="s">
        <v>1581</v>
      </c>
      <c r="O57" s="226"/>
      <c r="P57" s="191" t="b">
        <v>1</v>
      </c>
      <c r="Q57" s="308" t="s">
        <v>3138</v>
      </c>
      <c r="R57" s="388" t="s">
        <v>4432</v>
      </c>
      <c r="S57" s="47" t="b">
        <v>1</v>
      </c>
      <c r="T57" s="310" t="s">
        <v>4433</v>
      </c>
      <c r="U57" s="307"/>
      <c r="V57" s="54"/>
    </row>
    <row r="58" spans="1:22" ht="16">
      <c r="A58" s="162"/>
      <c r="B58" s="71" t="s">
        <v>4426</v>
      </c>
      <c r="C58" s="53" t="s">
        <v>26</v>
      </c>
      <c r="D58" s="53" t="s">
        <v>27</v>
      </c>
      <c r="E58" s="53" t="s">
        <v>28</v>
      </c>
      <c r="F58" s="131" t="s">
        <v>4352</v>
      </c>
      <c r="G58" s="131" t="s">
        <v>30</v>
      </c>
      <c r="H58" s="53">
        <v>15</v>
      </c>
      <c r="I58" s="188">
        <v>725</v>
      </c>
      <c r="J58" s="54">
        <f t="shared" si="0"/>
        <v>10875</v>
      </c>
      <c r="K58" s="55" t="b">
        <v>1</v>
      </c>
      <c r="L58" s="56">
        <v>80420251851</v>
      </c>
      <c r="M58" s="57" t="b">
        <v>1</v>
      </c>
      <c r="N58" s="58" t="s">
        <v>529</v>
      </c>
      <c r="O58" s="226"/>
      <c r="P58" s="191" t="b">
        <v>1</v>
      </c>
      <c r="Q58" s="308" t="s">
        <v>3138</v>
      </c>
      <c r="R58" s="173" t="s">
        <v>4434</v>
      </c>
      <c r="S58" s="47" t="b">
        <v>1</v>
      </c>
      <c r="T58" s="310" t="s">
        <v>4435</v>
      </c>
      <c r="U58" s="307"/>
      <c r="V58" s="54"/>
    </row>
    <row r="59" spans="1:22" ht="16">
      <c r="A59" s="162"/>
      <c r="B59" s="71" t="s">
        <v>4426</v>
      </c>
      <c r="C59" s="53" t="s">
        <v>104</v>
      </c>
      <c r="D59" s="53" t="s">
        <v>673</v>
      </c>
      <c r="E59" s="53" t="s">
        <v>3747</v>
      </c>
      <c r="F59" s="53" t="s">
        <v>668</v>
      </c>
      <c r="G59" s="131" t="s">
        <v>30</v>
      </c>
      <c r="H59" s="53">
        <v>3</v>
      </c>
      <c r="I59" s="188">
        <v>195</v>
      </c>
      <c r="J59" s="54">
        <f t="shared" si="0"/>
        <v>585</v>
      </c>
      <c r="K59" s="55" t="b">
        <v>1</v>
      </c>
      <c r="L59" s="56">
        <v>80420251851</v>
      </c>
      <c r="M59" s="57" t="b">
        <v>1</v>
      </c>
      <c r="N59" s="58"/>
      <c r="O59" s="226"/>
      <c r="P59" s="191" t="b">
        <v>1</v>
      </c>
      <c r="Q59" s="308" t="s">
        <v>3138</v>
      </c>
      <c r="R59" s="388" t="s">
        <v>4436</v>
      </c>
      <c r="S59" s="47" t="b">
        <v>1</v>
      </c>
      <c r="T59" s="310" t="s">
        <v>4437</v>
      </c>
      <c r="U59" s="307"/>
      <c r="V59" s="54"/>
    </row>
    <row r="60" spans="1:22" ht="16">
      <c r="A60" s="162"/>
      <c r="B60" s="71" t="s">
        <v>4426</v>
      </c>
      <c r="C60" s="53" t="s">
        <v>171</v>
      </c>
      <c r="D60" s="53" t="s">
        <v>137</v>
      </c>
      <c r="E60" s="53" t="s">
        <v>2992</v>
      </c>
      <c r="F60" s="53" t="s">
        <v>1024</v>
      </c>
      <c r="G60" s="131" t="s">
        <v>30</v>
      </c>
      <c r="H60" s="53">
        <v>5</v>
      </c>
      <c r="I60" s="188">
        <v>165</v>
      </c>
      <c r="J60" s="54">
        <f t="shared" si="0"/>
        <v>825</v>
      </c>
      <c r="K60" s="55" t="b">
        <v>1</v>
      </c>
      <c r="L60" s="56">
        <v>80420251851</v>
      </c>
      <c r="M60" s="57" t="b">
        <v>1</v>
      </c>
      <c r="N60" s="58"/>
      <c r="O60" s="226"/>
      <c r="P60" s="191" t="b">
        <v>1</v>
      </c>
      <c r="Q60" s="308" t="s">
        <v>3138</v>
      </c>
      <c r="R60" s="388" t="s">
        <v>4438</v>
      </c>
      <c r="S60" s="47" t="b">
        <v>1</v>
      </c>
      <c r="T60" s="310" t="s">
        <v>4439</v>
      </c>
      <c r="U60" s="307"/>
      <c r="V60" s="54"/>
    </row>
    <row r="61" spans="1:22" ht="16">
      <c r="A61" s="162"/>
      <c r="B61" s="71" t="s">
        <v>4426</v>
      </c>
      <c r="C61" s="53" t="s">
        <v>171</v>
      </c>
      <c r="D61" s="53" t="s">
        <v>137</v>
      </c>
      <c r="E61" s="53" t="s">
        <v>2992</v>
      </c>
      <c r="F61" s="53" t="s">
        <v>4440</v>
      </c>
      <c r="G61" s="131" t="s">
        <v>30</v>
      </c>
      <c r="H61" s="53">
        <v>5</v>
      </c>
      <c r="I61" s="188">
        <v>595</v>
      </c>
      <c r="J61" s="54">
        <f t="shared" si="0"/>
        <v>2975</v>
      </c>
      <c r="K61" s="55" t="b">
        <v>1</v>
      </c>
      <c r="L61" s="56">
        <v>80420251851</v>
      </c>
      <c r="M61" s="57" t="b">
        <v>1</v>
      </c>
      <c r="N61" s="58" t="s">
        <v>529</v>
      </c>
      <c r="O61" s="226"/>
      <c r="P61" s="191" t="b">
        <v>1</v>
      </c>
      <c r="Q61" s="308" t="s">
        <v>3138</v>
      </c>
      <c r="R61" s="173" t="s">
        <v>4441</v>
      </c>
      <c r="S61" s="47" t="b">
        <v>1</v>
      </c>
      <c r="T61" s="310" t="s">
        <v>4442</v>
      </c>
      <c r="U61" s="307"/>
      <c r="V61" s="54"/>
    </row>
    <row r="62" spans="1:22" ht="16">
      <c r="A62" s="162"/>
      <c r="B62" s="71" t="s">
        <v>4426</v>
      </c>
      <c r="C62" s="53" t="s">
        <v>171</v>
      </c>
      <c r="D62" s="53" t="s">
        <v>137</v>
      </c>
      <c r="E62" s="53" t="s">
        <v>2992</v>
      </c>
      <c r="F62" s="66" t="s">
        <v>4443</v>
      </c>
      <c r="G62" s="131" t="s">
        <v>30</v>
      </c>
      <c r="H62" s="66">
        <v>1</v>
      </c>
      <c r="I62" s="70">
        <v>1550</v>
      </c>
      <c r="J62" s="54">
        <f t="shared" si="0"/>
        <v>1550</v>
      </c>
      <c r="K62" s="55" t="b">
        <v>1</v>
      </c>
      <c r="L62" s="56">
        <v>80420251851</v>
      </c>
      <c r="M62" s="57" t="b">
        <v>1</v>
      </c>
      <c r="N62" s="58" t="s">
        <v>529</v>
      </c>
      <c r="O62" s="226"/>
      <c r="P62" s="191" t="b">
        <v>1</v>
      </c>
      <c r="Q62" s="308" t="s">
        <v>3138</v>
      </c>
      <c r="R62" s="173" t="s">
        <v>4441</v>
      </c>
      <c r="S62" s="47" t="b">
        <v>1</v>
      </c>
      <c r="T62" s="310" t="s">
        <v>4442</v>
      </c>
      <c r="U62" s="307"/>
      <c r="V62" s="54"/>
    </row>
    <row r="63" spans="1:22" ht="16">
      <c r="A63" s="101"/>
      <c r="B63" s="71" t="s">
        <v>4444</v>
      </c>
      <c r="C63" s="53" t="s">
        <v>418</v>
      </c>
      <c r="D63" s="53" t="s">
        <v>565</v>
      </c>
      <c r="E63" s="53" t="s">
        <v>43</v>
      </c>
      <c r="F63" s="53" t="s">
        <v>321</v>
      </c>
      <c r="G63" s="53" t="s">
        <v>30</v>
      </c>
      <c r="H63" s="53">
        <v>84</v>
      </c>
      <c r="I63" s="188">
        <v>42</v>
      </c>
      <c r="J63" s="54">
        <f t="shared" si="0"/>
        <v>3528</v>
      </c>
      <c r="K63" s="55" t="b">
        <v>1</v>
      </c>
      <c r="L63" s="56">
        <v>90420250923</v>
      </c>
      <c r="M63" s="57" t="b">
        <v>1</v>
      </c>
      <c r="N63" s="58"/>
      <c r="O63" s="226"/>
      <c r="P63" s="191" t="b">
        <v>1</v>
      </c>
      <c r="Q63" s="308" t="s">
        <v>3138</v>
      </c>
      <c r="R63" s="388" t="s">
        <v>4445</v>
      </c>
      <c r="S63" s="47" t="b">
        <v>1</v>
      </c>
      <c r="T63" s="310" t="s">
        <v>4446</v>
      </c>
      <c r="U63" s="307"/>
      <c r="V63" s="54"/>
    </row>
    <row r="64" spans="1:22" ht="16">
      <c r="A64" s="162"/>
      <c r="B64" s="71" t="s">
        <v>4444</v>
      </c>
      <c r="C64" s="53" t="s">
        <v>104</v>
      </c>
      <c r="D64" s="53" t="s">
        <v>2273</v>
      </c>
      <c r="E64" s="53" t="s">
        <v>2274</v>
      </c>
      <c r="F64" s="53" t="s">
        <v>68</v>
      </c>
      <c r="G64" s="53" t="s">
        <v>30</v>
      </c>
      <c r="H64" s="53">
        <v>1</v>
      </c>
      <c r="I64" s="188">
        <v>2350</v>
      </c>
      <c r="J64" s="54">
        <f t="shared" si="0"/>
        <v>2350</v>
      </c>
      <c r="K64" s="55" t="b">
        <v>1</v>
      </c>
      <c r="L64" s="56">
        <v>90420251113</v>
      </c>
      <c r="M64" s="57" t="b">
        <v>1</v>
      </c>
      <c r="N64" s="58" t="s">
        <v>529</v>
      </c>
      <c r="O64" s="226"/>
      <c r="P64" s="191" t="b">
        <v>1</v>
      </c>
      <c r="Q64" s="308" t="s">
        <v>3138</v>
      </c>
      <c r="R64" s="388"/>
      <c r="S64" s="47" t="b">
        <v>1</v>
      </c>
      <c r="T64" s="310" t="s">
        <v>4447</v>
      </c>
      <c r="U64" s="307"/>
      <c r="V64" s="54"/>
    </row>
    <row r="65" spans="1:22" ht="16">
      <c r="A65" s="162"/>
      <c r="B65" s="71" t="s">
        <v>4444</v>
      </c>
      <c r="C65" s="53" t="s">
        <v>104</v>
      </c>
      <c r="D65" s="53" t="s">
        <v>2273</v>
      </c>
      <c r="E65" s="53" t="s">
        <v>2274</v>
      </c>
      <c r="F65" s="53" t="s">
        <v>1952</v>
      </c>
      <c r="G65" s="53" t="s">
        <v>30</v>
      </c>
      <c r="H65" s="53">
        <v>10</v>
      </c>
      <c r="I65" s="188">
        <v>635</v>
      </c>
      <c r="J65" s="54">
        <f t="shared" si="0"/>
        <v>6350</v>
      </c>
      <c r="K65" s="55" t="b">
        <v>1</v>
      </c>
      <c r="L65" s="56">
        <v>90420251113</v>
      </c>
      <c r="M65" s="57" t="b">
        <v>1</v>
      </c>
      <c r="N65" s="58" t="s">
        <v>39</v>
      </c>
      <c r="O65" s="226">
        <v>45756</v>
      </c>
      <c r="P65" s="191" t="b">
        <v>1</v>
      </c>
      <c r="Q65" s="308" t="s">
        <v>3138</v>
      </c>
      <c r="R65" s="388" t="s">
        <v>4448</v>
      </c>
      <c r="S65" s="47" t="b">
        <v>1</v>
      </c>
      <c r="T65" s="310" t="s">
        <v>4449</v>
      </c>
      <c r="U65" s="307"/>
      <c r="V65" s="54"/>
    </row>
    <row r="66" spans="1:22" ht="16">
      <c r="A66" s="162"/>
      <c r="B66" s="71" t="s">
        <v>4444</v>
      </c>
      <c r="C66" s="53" t="s">
        <v>418</v>
      </c>
      <c r="D66" s="66" t="s">
        <v>565</v>
      </c>
      <c r="E66" s="66" t="s">
        <v>43</v>
      </c>
      <c r="F66" s="66" t="s">
        <v>1952</v>
      </c>
      <c r="G66" s="53" t="s">
        <v>30</v>
      </c>
      <c r="H66" s="66">
        <v>10</v>
      </c>
      <c r="I66" s="70">
        <v>635</v>
      </c>
      <c r="J66" s="54">
        <f t="shared" si="0"/>
        <v>6350</v>
      </c>
      <c r="K66" s="55" t="b">
        <v>1</v>
      </c>
      <c r="L66" s="56">
        <v>90420251113</v>
      </c>
      <c r="M66" s="57" t="b">
        <v>1</v>
      </c>
      <c r="N66" s="58" t="s">
        <v>39</v>
      </c>
      <c r="O66" s="226">
        <v>45756</v>
      </c>
      <c r="P66" s="191" t="b">
        <v>1</v>
      </c>
      <c r="Q66" s="308" t="s">
        <v>3138</v>
      </c>
      <c r="R66" s="388" t="s">
        <v>4450</v>
      </c>
      <c r="S66" s="47" t="b">
        <v>1</v>
      </c>
      <c r="T66" s="310" t="s">
        <v>4451</v>
      </c>
      <c r="U66" s="307"/>
      <c r="V66" s="54"/>
    </row>
    <row r="67" spans="1:22" ht="16">
      <c r="A67" s="162"/>
      <c r="B67" s="71" t="s">
        <v>4444</v>
      </c>
      <c r="C67" s="53" t="s">
        <v>418</v>
      </c>
      <c r="D67" s="66" t="s">
        <v>565</v>
      </c>
      <c r="E67" s="66" t="s">
        <v>43</v>
      </c>
      <c r="F67" s="53" t="s">
        <v>103</v>
      </c>
      <c r="G67" s="53" t="s">
        <v>30</v>
      </c>
      <c r="H67" s="53">
        <v>30</v>
      </c>
      <c r="I67" s="188">
        <v>315</v>
      </c>
      <c r="J67" s="54">
        <f t="shared" si="0"/>
        <v>9450</v>
      </c>
      <c r="K67" s="55" t="b">
        <v>1</v>
      </c>
      <c r="L67" s="56">
        <v>90420251113</v>
      </c>
      <c r="M67" s="57" t="b">
        <v>1</v>
      </c>
      <c r="N67" s="58"/>
      <c r="O67" s="215"/>
      <c r="P67" s="191" t="b">
        <v>1</v>
      </c>
      <c r="Q67" s="308" t="s">
        <v>3138</v>
      </c>
      <c r="R67" s="388"/>
      <c r="S67" s="47" t="b">
        <v>1</v>
      </c>
      <c r="T67" s="310" t="s">
        <v>4452</v>
      </c>
      <c r="U67" s="307"/>
      <c r="V67" s="54"/>
    </row>
    <row r="68" spans="1:22" ht="16">
      <c r="A68" s="162"/>
      <c r="B68" s="71" t="s">
        <v>4444</v>
      </c>
      <c r="C68" s="53" t="s">
        <v>418</v>
      </c>
      <c r="D68" s="66" t="s">
        <v>565</v>
      </c>
      <c r="E68" s="66" t="s">
        <v>43</v>
      </c>
      <c r="F68" s="53" t="s">
        <v>2989</v>
      </c>
      <c r="G68" s="53" t="s">
        <v>30</v>
      </c>
      <c r="H68" s="53">
        <v>20</v>
      </c>
      <c r="I68" s="188">
        <v>155</v>
      </c>
      <c r="J68" s="54">
        <f t="shared" si="0"/>
        <v>3100</v>
      </c>
      <c r="K68" s="55" t="b">
        <v>1</v>
      </c>
      <c r="L68" s="56">
        <v>90420251113</v>
      </c>
      <c r="M68" s="57" t="b">
        <v>1</v>
      </c>
      <c r="N68" s="58" t="s">
        <v>3300</v>
      </c>
      <c r="O68" s="226"/>
      <c r="P68" s="191" t="b">
        <v>1</v>
      </c>
      <c r="Q68" s="308" t="s">
        <v>3138</v>
      </c>
      <c r="R68" s="173" t="s">
        <v>4453</v>
      </c>
      <c r="S68" s="47" t="b">
        <v>1</v>
      </c>
      <c r="T68" s="310" t="s">
        <v>4454</v>
      </c>
      <c r="U68" s="307"/>
      <c r="V68" s="54"/>
    </row>
    <row r="69" spans="1:22" ht="16">
      <c r="A69" s="162"/>
      <c r="B69" s="71" t="s">
        <v>4444</v>
      </c>
      <c r="C69" s="53" t="s">
        <v>108</v>
      </c>
      <c r="D69" s="66" t="s">
        <v>109</v>
      </c>
      <c r="E69" s="66" t="s">
        <v>110</v>
      </c>
      <c r="F69" s="66" t="s">
        <v>4455</v>
      </c>
      <c r="G69" s="53" t="s">
        <v>30</v>
      </c>
      <c r="H69" s="53">
        <v>1</v>
      </c>
      <c r="I69" s="188">
        <v>2100</v>
      </c>
      <c r="J69" s="54">
        <f t="shared" si="0"/>
        <v>2100</v>
      </c>
      <c r="K69" s="55" t="b">
        <v>1</v>
      </c>
      <c r="L69" s="56">
        <v>90420251134</v>
      </c>
      <c r="M69" s="57" t="b">
        <v>1</v>
      </c>
      <c r="N69" s="58"/>
      <c r="O69" s="226"/>
      <c r="P69" s="191" t="b">
        <v>1</v>
      </c>
      <c r="Q69" s="308" t="s">
        <v>3138</v>
      </c>
      <c r="R69" s="388" t="s">
        <v>4456</v>
      </c>
      <c r="S69" s="47" t="b">
        <v>1</v>
      </c>
      <c r="T69" s="310" t="s">
        <v>4457</v>
      </c>
      <c r="U69" s="307"/>
      <c r="V69" s="54"/>
    </row>
    <row r="70" spans="1:22" ht="16">
      <c r="A70" s="162"/>
      <c r="B70" s="71" t="s">
        <v>4444</v>
      </c>
      <c r="C70" s="53" t="s">
        <v>262</v>
      </c>
      <c r="D70" s="53" t="s">
        <v>263</v>
      </c>
      <c r="E70" s="53" t="s">
        <v>2855</v>
      </c>
      <c r="F70" s="53" t="s">
        <v>4395</v>
      </c>
      <c r="G70" s="53" t="s">
        <v>30</v>
      </c>
      <c r="H70" s="66">
        <v>5</v>
      </c>
      <c r="I70" s="70">
        <v>285</v>
      </c>
      <c r="J70" s="54">
        <f t="shared" si="0"/>
        <v>1425</v>
      </c>
      <c r="K70" s="55" t="b">
        <v>1</v>
      </c>
      <c r="L70" s="56">
        <v>90420251134</v>
      </c>
      <c r="M70" s="57" t="b">
        <v>1</v>
      </c>
      <c r="N70" s="58"/>
      <c r="O70" s="226"/>
      <c r="P70" s="191" t="b">
        <v>1</v>
      </c>
      <c r="Q70" s="308" t="s">
        <v>3138</v>
      </c>
      <c r="R70" s="388" t="s">
        <v>4458</v>
      </c>
      <c r="S70" s="47" t="b">
        <v>1</v>
      </c>
      <c r="T70" s="310" t="s">
        <v>4459</v>
      </c>
      <c r="U70" s="307"/>
      <c r="V70" s="54"/>
    </row>
    <row r="71" spans="1:22" ht="14.25" customHeight="1">
      <c r="A71" s="162"/>
      <c r="B71" s="71" t="s">
        <v>4444</v>
      </c>
      <c r="C71" s="53" t="s">
        <v>262</v>
      </c>
      <c r="D71" s="53" t="s">
        <v>263</v>
      </c>
      <c r="E71" s="53" t="s">
        <v>2855</v>
      </c>
      <c r="F71" s="53" t="s">
        <v>4460</v>
      </c>
      <c r="G71" s="53" t="s">
        <v>30</v>
      </c>
      <c r="H71" s="53">
        <v>5</v>
      </c>
      <c r="I71" s="188">
        <v>595</v>
      </c>
      <c r="J71" s="54">
        <f t="shared" si="0"/>
        <v>2975</v>
      </c>
      <c r="K71" s="55" t="b">
        <v>1</v>
      </c>
      <c r="L71" s="56">
        <v>90420251134</v>
      </c>
      <c r="M71" s="57" t="b">
        <v>1</v>
      </c>
      <c r="N71" s="58" t="s">
        <v>529</v>
      </c>
      <c r="O71" s="226"/>
      <c r="P71" s="191" t="b">
        <v>1</v>
      </c>
      <c r="Q71" s="308" t="s">
        <v>3138</v>
      </c>
      <c r="R71" s="173" t="s">
        <v>4461</v>
      </c>
      <c r="S71" s="47" t="b">
        <v>1</v>
      </c>
      <c r="T71" s="310" t="s">
        <v>4462</v>
      </c>
      <c r="U71" s="307"/>
      <c r="V71" s="359"/>
    </row>
    <row r="72" spans="1:22" ht="16">
      <c r="A72" s="162"/>
      <c r="B72" s="71" t="s">
        <v>4444</v>
      </c>
      <c r="C72" s="53" t="s">
        <v>262</v>
      </c>
      <c r="D72" s="53" t="s">
        <v>263</v>
      </c>
      <c r="E72" s="53" t="s">
        <v>2855</v>
      </c>
      <c r="F72" s="53" t="s">
        <v>4463</v>
      </c>
      <c r="G72" s="53" t="s">
        <v>30</v>
      </c>
      <c r="H72" s="53">
        <v>1</v>
      </c>
      <c r="I72" s="188">
        <v>1550</v>
      </c>
      <c r="J72" s="54">
        <f t="shared" si="0"/>
        <v>1550</v>
      </c>
      <c r="K72" s="55" t="b">
        <v>1</v>
      </c>
      <c r="L72" s="56">
        <v>90420251134</v>
      </c>
      <c r="M72" s="57" t="b">
        <v>1</v>
      </c>
      <c r="N72" s="58" t="s">
        <v>529</v>
      </c>
      <c r="O72" s="226"/>
      <c r="P72" s="191" t="b">
        <v>1</v>
      </c>
      <c r="Q72" s="308" t="s">
        <v>3138</v>
      </c>
      <c r="R72" s="173" t="s">
        <v>4461</v>
      </c>
      <c r="S72" s="47" t="b">
        <v>1</v>
      </c>
      <c r="T72" s="310" t="s">
        <v>4462</v>
      </c>
      <c r="U72" s="307"/>
      <c r="V72" s="54"/>
    </row>
    <row r="73" spans="1:22" ht="16">
      <c r="A73" s="162"/>
      <c r="B73" s="71" t="s">
        <v>4444</v>
      </c>
      <c r="C73" s="53" t="s">
        <v>51</v>
      </c>
      <c r="D73" s="53" t="s">
        <v>201</v>
      </c>
      <c r="E73" s="53" t="s">
        <v>607</v>
      </c>
      <c r="F73" s="53" t="s">
        <v>4464</v>
      </c>
      <c r="G73" s="53" t="s">
        <v>30</v>
      </c>
      <c r="H73" s="53">
        <v>150</v>
      </c>
      <c r="I73" s="188">
        <v>22.5</v>
      </c>
      <c r="J73" s="54">
        <f t="shared" si="0"/>
        <v>3375</v>
      </c>
      <c r="K73" s="55" t="b">
        <v>1</v>
      </c>
      <c r="L73" s="56">
        <v>90420251134</v>
      </c>
      <c r="M73" s="57" t="b">
        <v>1</v>
      </c>
      <c r="N73" s="58"/>
      <c r="O73" s="226"/>
      <c r="P73" s="191" t="b">
        <v>1</v>
      </c>
      <c r="Q73" s="308" t="s">
        <v>3138</v>
      </c>
      <c r="R73" s="388" t="s">
        <v>4465</v>
      </c>
      <c r="S73" s="47" t="b">
        <v>1</v>
      </c>
      <c r="T73" s="310" t="s">
        <v>4466</v>
      </c>
      <c r="V73" s="54"/>
    </row>
    <row r="74" spans="1:22" ht="16">
      <c r="A74" s="162"/>
      <c r="B74" s="71" t="s">
        <v>4444</v>
      </c>
      <c r="C74" s="53" t="s">
        <v>51</v>
      </c>
      <c r="D74" s="53" t="s">
        <v>475</v>
      </c>
      <c r="E74" s="53" t="s">
        <v>2105</v>
      </c>
      <c r="F74" s="53" t="s">
        <v>4464</v>
      </c>
      <c r="G74" s="53" t="s">
        <v>30</v>
      </c>
      <c r="H74" s="53">
        <v>100</v>
      </c>
      <c r="I74" s="188">
        <v>22.5</v>
      </c>
      <c r="J74" s="54">
        <f t="shared" si="0"/>
        <v>2250</v>
      </c>
      <c r="K74" s="55" t="b">
        <v>1</v>
      </c>
      <c r="L74" s="56">
        <v>90420251134</v>
      </c>
      <c r="M74" s="57" t="b">
        <v>1</v>
      </c>
      <c r="N74" s="58"/>
      <c r="O74" s="226"/>
      <c r="P74" s="191" t="b">
        <v>1</v>
      </c>
      <c r="Q74" s="308" t="s">
        <v>3138</v>
      </c>
      <c r="R74" s="388" t="s">
        <v>4467</v>
      </c>
      <c r="S74" s="47" t="b">
        <v>1</v>
      </c>
      <c r="T74" s="310" t="s">
        <v>4468</v>
      </c>
      <c r="U74" s="307"/>
      <c r="V74" s="54"/>
    </row>
    <row r="75" spans="1:22" ht="16">
      <c r="A75" s="162"/>
      <c r="B75" s="132" t="s">
        <v>4469</v>
      </c>
      <c r="C75" s="66" t="s">
        <v>144</v>
      </c>
      <c r="D75" s="66" t="s">
        <v>1959</v>
      </c>
      <c r="E75" s="66" t="s">
        <v>1235</v>
      </c>
      <c r="F75" s="53" t="s">
        <v>4464</v>
      </c>
      <c r="G75" s="53" t="s">
        <v>30</v>
      </c>
      <c r="H75" s="53">
        <v>150</v>
      </c>
      <c r="I75" s="188">
        <v>22.5</v>
      </c>
      <c r="J75" s="54">
        <f t="shared" si="0"/>
        <v>3375</v>
      </c>
      <c r="K75" s="55" t="b">
        <v>1</v>
      </c>
      <c r="L75" s="56">
        <v>100420251050</v>
      </c>
      <c r="M75" s="57" t="b">
        <v>1</v>
      </c>
      <c r="N75" s="58"/>
      <c r="O75" s="226"/>
      <c r="P75" s="191" t="b">
        <v>1</v>
      </c>
      <c r="Q75" s="308" t="s">
        <v>3138</v>
      </c>
      <c r="R75" s="388" t="s">
        <v>4470</v>
      </c>
      <c r="S75" s="47" t="b">
        <v>1</v>
      </c>
      <c r="T75" s="310" t="s">
        <v>4471</v>
      </c>
      <c r="U75" s="307"/>
      <c r="V75" s="54"/>
    </row>
    <row r="76" spans="1:22" ht="16">
      <c r="A76" s="162"/>
      <c r="B76" s="132" t="s">
        <v>4469</v>
      </c>
      <c r="C76" s="66" t="s">
        <v>144</v>
      </c>
      <c r="D76" s="66" t="s">
        <v>243</v>
      </c>
      <c r="E76" s="66" t="s">
        <v>244</v>
      </c>
      <c r="F76" s="53" t="s">
        <v>668</v>
      </c>
      <c r="G76" s="53" t="s">
        <v>30</v>
      </c>
      <c r="H76" s="53">
        <v>5</v>
      </c>
      <c r="I76" s="188">
        <v>195</v>
      </c>
      <c r="J76" s="54">
        <f t="shared" si="0"/>
        <v>975</v>
      </c>
      <c r="K76" s="55" t="b">
        <v>1</v>
      </c>
      <c r="L76" s="56">
        <v>100420251222</v>
      </c>
      <c r="M76" s="57" t="b">
        <v>1</v>
      </c>
      <c r="N76" s="58"/>
      <c r="O76" s="226"/>
      <c r="P76" s="191" t="b">
        <v>1</v>
      </c>
      <c r="Q76" s="308" t="s">
        <v>3138</v>
      </c>
      <c r="R76" s="388" t="s">
        <v>4472</v>
      </c>
      <c r="S76" s="47" t="b">
        <v>1</v>
      </c>
      <c r="T76" s="310" t="s">
        <v>4473</v>
      </c>
      <c r="U76" s="307"/>
      <c r="V76" s="54"/>
    </row>
    <row r="77" spans="1:22" ht="16">
      <c r="A77" s="162"/>
      <c r="B77" s="132" t="s">
        <v>4474</v>
      </c>
      <c r="C77" s="53" t="s">
        <v>51</v>
      </c>
      <c r="D77" s="53" t="s">
        <v>594</v>
      </c>
      <c r="E77" s="53" t="s">
        <v>4414</v>
      </c>
      <c r="F77" s="53" t="s">
        <v>4475</v>
      </c>
      <c r="G77" s="53" t="s">
        <v>30</v>
      </c>
      <c r="H77" s="53">
        <v>10</v>
      </c>
      <c r="I77" s="188">
        <v>135</v>
      </c>
      <c r="J77" s="54">
        <f t="shared" si="0"/>
        <v>1350</v>
      </c>
      <c r="K77" s="55" t="b">
        <v>1</v>
      </c>
      <c r="L77" s="56">
        <v>100420251309</v>
      </c>
      <c r="M77" s="57" t="b">
        <v>1</v>
      </c>
      <c r="N77" s="58"/>
      <c r="O77" s="226"/>
      <c r="P77" s="191" t="b">
        <v>1</v>
      </c>
      <c r="Q77" s="308" t="s">
        <v>3138</v>
      </c>
      <c r="R77" s="388" t="s">
        <v>4476</v>
      </c>
      <c r="S77" s="47" t="b">
        <v>1</v>
      </c>
      <c r="T77" s="310" t="s">
        <v>4477</v>
      </c>
      <c r="U77" s="307"/>
      <c r="V77" s="54"/>
    </row>
    <row r="78" spans="1:22" ht="16">
      <c r="A78" s="162"/>
      <c r="B78" s="132" t="s">
        <v>4469</v>
      </c>
      <c r="C78" s="53" t="s">
        <v>104</v>
      </c>
      <c r="D78" s="53" t="s">
        <v>620</v>
      </c>
      <c r="E78" s="53" t="s">
        <v>621</v>
      </c>
      <c r="F78" s="53" t="s">
        <v>4464</v>
      </c>
      <c r="G78" s="53" t="s">
        <v>30</v>
      </c>
      <c r="H78" s="53">
        <v>100</v>
      </c>
      <c r="I78" s="188">
        <v>22.5</v>
      </c>
      <c r="J78" s="54">
        <f t="shared" si="0"/>
        <v>2250</v>
      </c>
      <c r="K78" s="55" t="b">
        <v>1</v>
      </c>
      <c r="L78" s="56">
        <v>100420251313</v>
      </c>
      <c r="M78" s="57" t="b">
        <v>1</v>
      </c>
      <c r="N78" s="58" t="s">
        <v>529</v>
      </c>
      <c r="O78" s="226"/>
      <c r="P78" s="191" t="b">
        <v>1</v>
      </c>
      <c r="Q78" s="308" t="s">
        <v>3138</v>
      </c>
      <c r="R78" s="388" t="s">
        <v>4478</v>
      </c>
      <c r="S78" s="47" t="b">
        <v>1</v>
      </c>
      <c r="T78" s="310" t="s">
        <v>4479</v>
      </c>
      <c r="U78" s="307"/>
      <c r="V78" s="54"/>
    </row>
    <row r="79" spans="1:22" ht="16">
      <c r="A79" s="162"/>
      <c r="B79" s="132" t="s">
        <v>4469</v>
      </c>
      <c r="C79" s="53" t="s">
        <v>104</v>
      </c>
      <c r="D79" s="53" t="s">
        <v>620</v>
      </c>
      <c r="E79" s="53" t="s">
        <v>621</v>
      </c>
      <c r="F79" s="53" t="s">
        <v>4464</v>
      </c>
      <c r="G79" s="53" t="s">
        <v>30</v>
      </c>
      <c r="H79" s="53">
        <v>50</v>
      </c>
      <c r="I79" s="188">
        <v>22.5</v>
      </c>
      <c r="J79" s="54">
        <f t="shared" si="0"/>
        <v>1125</v>
      </c>
      <c r="K79" s="55" t="b">
        <v>1</v>
      </c>
      <c r="L79" s="56">
        <v>100420251313</v>
      </c>
      <c r="M79" s="57" t="b">
        <v>1</v>
      </c>
      <c r="N79" s="58" t="s">
        <v>529</v>
      </c>
      <c r="O79" s="226"/>
      <c r="P79" s="191" t="b">
        <v>1</v>
      </c>
      <c r="Q79" s="308" t="s">
        <v>3138</v>
      </c>
      <c r="R79" s="173" t="s">
        <v>4480</v>
      </c>
      <c r="S79" s="47" t="b">
        <v>1</v>
      </c>
      <c r="T79" s="310" t="s">
        <v>4481</v>
      </c>
      <c r="U79" s="307"/>
      <c r="V79" s="54"/>
    </row>
    <row r="80" spans="1:22" ht="16">
      <c r="A80" s="162"/>
      <c r="B80" s="132" t="s">
        <v>4469</v>
      </c>
      <c r="C80" s="53" t="s">
        <v>418</v>
      </c>
      <c r="D80" s="53" t="s">
        <v>230</v>
      </c>
      <c r="E80" s="53" t="s">
        <v>1990</v>
      </c>
      <c r="F80" s="53" t="s">
        <v>4464</v>
      </c>
      <c r="G80" s="53" t="s">
        <v>30</v>
      </c>
      <c r="H80" s="53">
        <v>150</v>
      </c>
      <c r="I80" s="188">
        <v>22.5</v>
      </c>
      <c r="J80" s="54">
        <f t="shared" si="0"/>
        <v>3375</v>
      </c>
      <c r="K80" s="55" t="b">
        <v>1</v>
      </c>
      <c r="L80" s="56">
        <v>100420252118</v>
      </c>
      <c r="M80" s="57" t="b">
        <v>1</v>
      </c>
      <c r="N80" s="58" t="s">
        <v>529</v>
      </c>
      <c r="O80" s="226"/>
      <c r="P80" s="191" t="b">
        <v>1</v>
      </c>
      <c r="Q80" s="308" t="s">
        <v>3138</v>
      </c>
      <c r="R80" s="388"/>
      <c r="S80" s="47" t="b">
        <v>1</v>
      </c>
      <c r="T80" s="310" t="s">
        <v>4482</v>
      </c>
      <c r="U80" s="307"/>
      <c r="V80" s="54"/>
    </row>
    <row r="81" spans="1:22" ht="16">
      <c r="A81" s="162"/>
      <c r="B81" s="132" t="s">
        <v>4483</v>
      </c>
      <c r="C81" s="53" t="s">
        <v>438</v>
      </c>
      <c r="D81" s="53" t="s">
        <v>439</v>
      </c>
      <c r="E81" s="53" t="s">
        <v>4484</v>
      </c>
      <c r="F81" s="69" t="s">
        <v>4464</v>
      </c>
      <c r="G81" s="53" t="s">
        <v>30</v>
      </c>
      <c r="H81" s="53">
        <v>50</v>
      </c>
      <c r="I81" s="188">
        <v>22.5</v>
      </c>
      <c r="J81" s="54">
        <f t="shared" si="0"/>
        <v>1125</v>
      </c>
      <c r="K81" s="55" t="b">
        <v>1</v>
      </c>
      <c r="L81" s="56">
        <v>110420251243</v>
      </c>
      <c r="M81" s="57" t="b">
        <v>1</v>
      </c>
      <c r="N81" s="58" t="s">
        <v>529</v>
      </c>
      <c r="O81" s="226"/>
      <c r="P81" s="191" t="b">
        <v>1</v>
      </c>
      <c r="Q81" s="308" t="s">
        <v>3138</v>
      </c>
      <c r="R81" s="388"/>
      <c r="S81" s="47" t="b">
        <v>1</v>
      </c>
      <c r="T81" s="310" t="s">
        <v>4485</v>
      </c>
      <c r="U81" s="307"/>
      <c r="V81" s="54"/>
    </row>
    <row r="82" spans="1:22" ht="16">
      <c r="A82" s="162"/>
      <c r="B82" s="132" t="s">
        <v>4483</v>
      </c>
      <c r="C82" s="53" t="s">
        <v>51</v>
      </c>
      <c r="D82" s="53" t="s">
        <v>335</v>
      </c>
      <c r="E82" s="53" t="s">
        <v>339</v>
      </c>
      <c r="F82" s="53" t="s">
        <v>4464</v>
      </c>
      <c r="G82" s="131" t="s">
        <v>30</v>
      </c>
      <c r="H82" s="53">
        <v>150</v>
      </c>
      <c r="I82" s="188">
        <v>22.5</v>
      </c>
      <c r="J82" s="54">
        <f t="shared" si="0"/>
        <v>3375</v>
      </c>
      <c r="K82" s="55" t="b">
        <v>1</v>
      </c>
      <c r="L82" s="56">
        <v>110420251301</v>
      </c>
      <c r="M82" s="57" t="b">
        <v>1</v>
      </c>
      <c r="N82" s="58" t="s">
        <v>529</v>
      </c>
      <c r="O82" s="226"/>
      <c r="P82" s="191" t="b">
        <v>1</v>
      </c>
      <c r="Q82" s="308" t="s">
        <v>3138</v>
      </c>
      <c r="R82" s="388"/>
      <c r="S82" s="47" t="b">
        <v>1</v>
      </c>
      <c r="T82" s="310" t="s">
        <v>4486</v>
      </c>
      <c r="U82" s="307"/>
      <c r="V82" s="54"/>
    </row>
    <row r="83" spans="1:22" ht="16">
      <c r="A83" s="162"/>
      <c r="B83" s="132" t="s">
        <v>4483</v>
      </c>
      <c r="C83" s="53" t="s">
        <v>51</v>
      </c>
      <c r="D83" s="53" t="s">
        <v>338</v>
      </c>
      <c r="E83" s="53" t="s">
        <v>4487</v>
      </c>
      <c r="F83" s="53" t="s">
        <v>4464</v>
      </c>
      <c r="G83" s="131" t="s">
        <v>30</v>
      </c>
      <c r="H83" s="53">
        <v>50</v>
      </c>
      <c r="I83" s="188">
        <v>22.5</v>
      </c>
      <c r="J83" s="54">
        <f t="shared" si="0"/>
        <v>1125</v>
      </c>
      <c r="K83" s="55" t="b">
        <v>1</v>
      </c>
      <c r="L83" s="56">
        <v>110420251326</v>
      </c>
      <c r="M83" s="57" t="b">
        <v>1</v>
      </c>
      <c r="N83" s="58" t="s">
        <v>529</v>
      </c>
      <c r="O83" s="226"/>
      <c r="P83" s="191" t="b">
        <v>1</v>
      </c>
      <c r="Q83" s="308" t="s">
        <v>3138</v>
      </c>
      <c r="R83" s="388"/>
      <c r="S83" s="47" t="b">
        <v>1</v>
      </c>
      <c r="T83" s="310" t="s">
        <v>4488</v>
      </c>
      <c r="U83" s="307"/>
      <c r="V83" s="54"/>
    </row>
    <row r="84" spans="1:22" ht="16">
      <c r="A84" s="162"/>
      <c r="B84" s="132" t="s">
        <v>4483</v>
      </c>
      <c r="C84" s="53" t="s">
        <v>98</v>
      </c>
      <c r="D84" s="53" t="s">
        <v>2296</v>
      </c>
      <c r="E84" s="53" t="s">
        <v>1279</v>
      </c>
      <c r="F84" s="53" t="s">
        <v>4464</v>
      </c>
      <c r="G84" s="131" t="s">
        <v>30</v>
      </c>
      <c r="H84" s="53">
        <v>300</v>
      </c>
      <c r="I84" s="188">
        <v>22.5</v>
      </c>
      <c r="J84" s="54">
        <f t="shared" si="0"/>
        <v>6750</v>
      </c>
      <c r="K84" s="55" t="b">
        <v>1</v>
      </c>
      <c r="L84" s="56">
        <v>110420251326</v>
      </c>
      <c r="M84" s="57" t="b">
        <v>1</v>
      </c>
      <c r="N84" s="58" t="s">
        <v>529</v>
      </c>
      <c r="O84" s="226"/>
      <c r="P84" s="191" t="b">
        <v>1</v>
      </c>
      <c r="Q84" s="308" t="s">
        <v>3138</v>
      </c>
      <c r="R84" s="388"/>
      <c r="S84" s="47" t="b">
        <v>1</v>
      </c>
      <c r="T84" s="310" t="s">
        <v>4489</v>
      </c>
      <c r="U84" s="307"/>
      <c r="V84" s="54"/>
    </row>
    <row r="85" spans="1:22" ht="16">
      <c r="A85" s="162"/>
      <c r="B85" s="132" t="s">
        <v>4483</v>
      </c>
      <c r="C85" s="53" t="s">
        <v>171</v>
      </c>
      <c r="D85" s="53" t="s">
        <v>137</v>
      </c>
      <c r="E85" s="53" t="s">
        <v>2678</v>
      </c>
      <c r="F85" s="53" t="s">
        <v>4490</v>
      </c>
      <c r="G85" s="131" t="s">
        <v>30</v>
      </c>
      <c r="H85" s="53">
        <v>300</v>
      </c>
      <c r="I85" s="188">
        <v>22.5</v>
      </c>
      <c r="J85" s="54">
        <f t="shared" si="0"/>
        <v>6750</v>
      </c>
      <c r="K85" s="55" t="b">
        <v>1</v>
      </c>
      <c r="L85" s="56">
        <v>110420251326</v>
      </c>
      <c r="M85" s="57" t="b">
        <v>1</v>
      </c>
      <c r="N85" s="58" t="s">
        <v>529</v>
      </c>
      <c r="O85" s="226"/>
      <c r="P85" s="191" t="b">
        <v>1</v>
      </c>
      <c r="Q85" s="308" t="s">
        <v>3138</v>
      </c>
      <c r="R85" s="388"/>
      <c r="S85" s="47" t="b">
        <v>1</v>
      </c>
      <c r="T85" s="310" t="s">
        <v>4491</v>
      </c>
      <c r="U85" s="307"/>
      <c r="V85" s="54"/>
    </row>
    <row r="86" spans="1:22" ht="16">
      <c r="A86" s="162"/>
      <c r="B86" s="71" t="s">
        <v>4483</v>
      </c>
      <c r="C86" s="53" t="s">
        <v>55</v>
      </c>
      <c r="D86" s="53" t="s">
        <v>56</v>
      </c>
      <c r="E86" s="53" t="s">
        <v>57</v>
      </c>
      <c r="F86" s="53" t="s">
        <v>4464</v>
      </c>
      <c r="G86" s="131" t="s">
        <v>30</v>
      </c>
      <c r="H86" s="53">
        <v>300</v>
      </c>
      <c r="I86" s="188">
        <v>22.5</v>
      </c>
      <c r="J86" s="54">
        <f t="shared" si="0"/>
        <v>6750</v>
      </c>
      <c r="K86" s="55" t="b">
        <v>1</v>
      </c>
      <c r="L86" s="56">
        <v>110420251354</v>
      </c>
      <c r="M86" s="57" t="b">
        <v>1</v>
      </c>
      <c r="N86" s="58" t="s">
        <v>529</v>
      </c>
      <c r="O86" s="226"/>
      <c r="P86" s="191" t="b">
        <v>1</v>
      </c>
      <c r="Q86" s="308" t="s">
        <v>3138</v>
      </c>
      <c r="R86" s="388"/>
      <c r="S86" s="47" t="b">
        <v>1</v>
      </c>
      <c r="T86" s="310" t="s">
        <v>4492</v>
      </c>
      <c r="U86" s="307"/>
      <c r="V86" s="54"/>
    </row>
    <row r="87" spans="1:22" ht="16">
      <c r="A87" s="162"/>
      <c r="B87" s="71" t="s">
        <v>4483</v>
      </c>
      <c r="C87" s="53" t="s">
        <v>51</v>
      </c>
      <c r="D87" s="53" t="s">
        <v>52</v>
      </c>
      <c r="E87" s="53" t="s">
        <v>807</v>
      </c>
      <c r="F87" s="53" t="s">
        <v>4464</v>
      </c>
      <c r="G87" s="131" t="s">
        <v>30</v>
      </c>
      <c r="H87" s="53">
        <v>150</v>
      </c>
      <c r="I87" s="188">
        <v>22.5</v>
      </c>
      <c r="J87" s="54">
        <f t="shared" si="0"/>
        <v>3375</v>
      </c>
      <c r="K87" s="55" t="b">
        <v>1</v>
      </c>
      <c r="L87" s="56">
        <v>110420251356</v>
      </c>
      <c r="M87" s="57" t="b">
        <v>1</v>
      </c>
      <c r="N87" s="58" t="s">
        <v>529</v>
      </c>
      <c r="O87" s="226"/>
      <c r="P87" s="191" t="b">
        <v>1</v>
      </c>
      <c r="Q87" s="308" t="s">
        <v>3138</v>
      </c>
      <c r="R87" s="173" t="s">
        <v>4493</v>
      </c>
      <c r="S87" s="47" t="b">
        <v>1</v>
      </c>
      <c r="T87" s="310" t="s">
        <v>4494</v>
      </c>
      <c r="U87" s="310" t="s">
        <v>4495</v>
      </c>
      <c r="V87" s="54"/>
    </row>
    <row r="88" spans="1:22" ht="16">
      <c r="A88" s="162"/>
      <c r="B88" s="71" t="s">
        <v>4483</v>
      </c>
      <c r="C88" s="53" t="s">
        <v>26</v>
      </c>
      <c r="D88" s="53" t="s">
        <v>27</v>
      </c>
      <c r="E88" s="53" t="s">
        <v>28</v>
      </c>
      <c r="F88" s="53" t="s">
        <v>4496</v>
      </c>
      <c r="G88" s="131" t="s">
        <v>30</v>
      </c>
      <c r="H88" s="53">
        <v>150</v>
      </c>
      <c r="I88" s="188">
        <v>22.5</v>
      </c>
      <c r="J88" s="54">
        <f t="shared" si="0"/>
        <v>3375</v>
      </c>
      <c r="K88" s="55" t="b">
        <v>1</v>
      </c>
      <c r="L88" s="56">
        <v>110420251412</v>
      </c>
      <c r="M88" s="57" t="b">
        <v>1</v>
      </c>
      <c r="N88" s="58" t="s">
        <v>529</v>
      </c>
      <c r="O88" s="226"/>
      <c r="P88" s="191" t="b">
        <v>1</v>
      </c>
      <c r="Q88" s="308" t="s">
        <v>3138</v>
      </c>
      <c r="R88" s="388"/>
      <c r="S88" s="47" t="b">
        <v>1</v>
      </c>
      <c r="T88" s="310" t="s">
        <v>4497</v>
      </c>
      <c r="U88" s="307"/>
      <c r="V88" s="54"/>
    </row>
    <row r="89" spans="1:22" ht="16">
      <c r="A89" s="162"/>
      <c r="B89" s="71" t="s">
        <v>4483</v>
      </c>
      <c r="C89" s="53" t="s">
        <v>51</v>
      </c>
      <c r="D89" s="53" t="s">
        <v>201</v>
      </c>
      <c r="E89" s="53" t="s">
        <v>607</v>
      </c>
      <c r="F89" s="53" t="s">
        <v>4464</v>
      </c>
      <c r="G89" s="131" t="s">
        <v>30</v>
      </c>
      <c r="H89" s="53">
        <v>500</v>
      </c>
      <c r="I89" s="188">
        <v>22.5</v>
      </c>
      <c r="J89" s="54">
        <f t="shared" si="0"/>
        <v>11250</v>
      </c>
      <c r="K89" s="55" t="b">
        <v>1</v>
      </c>
      <c r="L89" s="56">
        <v>110420251432</v>
      </c>
      <c r="M89" s="57" t="b">
        <v>1</v>
      </c>
      <c r="N89" s="58" t="s">
        <v>529</v>
      </c>
      <c r="O89" s="226"/>
      <c r="P89" s="191" t="b">
        <v>1</v>
      </c>
      <c r="Q89" s="308" t="s">
        <v>3138</v>
      </c>
      <c r="R89" s="388"/>
      <c r="S89" s="47" t="b">
        <v>1</v>
      </c>
      <c r="T89" s="310" t="s">
        <v>4498</v>
      </c>
      <c r="U89" s="307"/>
      <c r="V89" s="54"/>
    </row>
    <row r="90" spans="1:22" ht="16">
      <c r="A90" s="162"/>
      <c r="B90" s="71" t="s">
        <v>4483</v>
      </c>
      <c r="C90" s="53" t="s">
        <v>418</v>
      </c>
      <c r="D90" s="53" t="s">
        <v>3373</v>
      </c>
      <c r="E90" s="53" t="s">
        <v>3406</v>
      </c>
      <c r="F90" s="53" t="s">
        <v>4499</v>
      </c>
      <c r="G90" s="131" t="s">
        <v>30</v>
      </c>
      <c r="H90" s="53">
        <v>10</v>
      </c>
      <c r="I90" s="188">
        <v>2250</v>
      </c>
      <c r="J90" s="54">
        <f t="shared" si="0"/>
        <v>22500</v>
      </c>
      <c r="K90" s="55" t="b">
        <v>1</v>
      </c>
      <c r="L90" s="56">
        <v>11040251509</v>
      </c>
      <c r="M90" s="57" t="b">
        <v>1</v>
      </c>
      <c r="N90" s="58" t="s">
        <v>529</v>
      </c>
      <c r="O90" s="226"/>
      <c r="P90" s="191" t="b">
        <v>1</v>
      </c>
      <c r="Q90" s="308" t="s">
        <v>3138</v>
      </c>
      <c r="R90" s="173" t="s">
        <v>4500</v>
      </c>
      <c r="S90" s="47" t="b">
        <v>1</v>
      </c>
      <c r="T90" s="310" t="s">
        <v>4501</v>
      </c>
      <c r="U90" s="307"/>
      <c r="V90" s="54"/>
    </row>
    <row r="91" spans="1:22" ht="13.5" customHeight="1">
      <c r="A91" s="162"/>
      <c r="B91" s="71" t="s">
        <v>4483</v>
      </c>
      <c r="C91" s="53" t="s">
        <v>418</v>
      </c>
      <c r="D91" s="53" t="s">
        <v>3373</v>
      </c>
      <c r="E91" s="53" t="s">
        <v>3406</v>
      </c>
      <c r="F91" s="53" t="s">
        <v>72</v>
      </c>
      <c r="G91" s="131" t="s">
        <v>30</v>
      </c>
      <c r="H91" s="53">
        <v>1</v>
      </c>
      <c r="I91" s="188">
        <v>1250</v>
      </c>
      <c r="J91" s="54">
        <f t="shared" si="0"/>
        <v>1250</v>
      </c>
      <c r="K91" s="55" t="b">
        <v>1</v>
      </c>
      <c r="L91" s="56">
        <v>11040251509</v>
      </c>
      <c r="M91" s="57" t="b">
        <v>1</v>
      </c>
      <c r="N91" s="58" t="s">
        <v>529</v>
      </c>
      <c r="O91" s="226"/>
      <c r="P91" s="191" t="b">
        <v>1</v>
      </c>
      <c r="Q91" s="308" t="s">
        <v>3138</v>
      </c>
      <c r="R91" s="388"/>
      <c r="S91" s="47" t="b">
        <v>1</v>
      </c>
      <c r="T91" s="310" t="s">
        <v>4502</v>
      </c>
      <c r="U91" s="307"/>
      <c r="V91" s="54"/>
    </row>
    <row r="92" spans="1:22" ht="16">
      <c r="A92" s="162"/>
      <c r="B92" s="71" t="s">
        <v>4483</v>
      </c>
      <c r="C92" s="53" t="s">
        <v>104</v>
      </c>
      <c r="D92" s="53" t="s">
        <v>4503</v>
      </c>
      <c r="E92" s="53" t="s">
        <v>123</v>
      </c>
      <c r="F92" s="69" t="s">
        <v>4496</v>
      </c>
      <c r="G92" s="131" t="s">
        <v>30</v>
      </c>
      <c r="H92" s="53">
        <v>450</v>
      </c>
      <c r="I92" s="188">
        <v>21.5</v>
      </c>
      <c r="J92" s="54">
        <f t="shared" si="0"/>
        <v>9675</v>
      </c>
      <c r="K92" s="55" t="b">
        <v>1</v>
      </c>
      <c r="L92" s="56">
        <v>11040251509</v>
      </c>
      <c r="M92" s="57" t="b">
        <v>1</v>
      </c>
      <c r="N92" s="58" t="s">
        <v>529</v>
      </c>
      <c r="O92" s="226"/>
      <c r="P92" s="191" t="b">
        <v>1</v>
      </c>
      <c r="Q92" s="308" t="s">
        <v>3138</v>
      </c>
      <c r="R92" s="388"/>
      <c r="S92" s="47" t="b">
        <v>1</v>
      </c>
      <c r="T92" s="310" t="s">
        <v>4504</v>
      </c>
      <c r="U92" s="307"/>
      <c r="V92" s="54"/>
    </row>
    <row r="93" spans="1:22" ht="16">
      <c r="A93" s="162"/>
      <c r="B93" s="71" t="s">
        <v>4483</v>
      </c>
      <c r="C93" s="53" t="s">
        <v>104</v>
      </c>
      <c r="D93" s="53" t="s">
        <v>296</v>
      </c>
      <c r="E93" s="53" t="s">
        <v>297</v>
      </c>
      <c r="F93" s="53" t="s">
        <v>4464</v>
      </c>
      <c r="G93" s="131" t="s">
        <v>30</v>
      </c>
      <c r="H93" s="53">
        <v>20</v>
      </c>
      <c r="I93" s="188">
        <v>22.5</v>
      </c>
      <c r="J93" s="54">
        <f t="shared" si="0"/>
        <v>450</v>
      </c>
      <c r="K93" s="55" t="b">
        <v>1</v>
      </c>
      <c r="L93" s="56">
        <v>110420251617</v>
      </c>
      <c r="M93" s="57" t="b">
        <v>1</v>
      </c>
      <c r="N93" s="58" t="s">
        <v>529</v>
      </c>
      <c r="O93" s="226"/>
      <c r="P93" s="191" t="b">
        <v>1</v>
      </c>
      <c r="Q93" s="308" t="s">
        <v>3138</v>
      </c>
      <c r="R93" s="388"/>
      <c r="S93" s="47" t="b">
        <v>1</v>
      </c>
      <c r="T93" s="310" t="s">
        <v>4505</v>
      </c>
      <c r="U93" s="307"/>
      <c r="V93" s="54"/>
    </row>
    <row r="94" spans="1:22" ht="16">
      <c r="A94" s="162"/>
      <c r="B94" s="71" t="s">
        <v>4483</v>
      </c>
      <c r="C94" s="53" t="s">
        <v>51</v>
      </c>
      <c r="D94" s="53" t="s">
        <v>475</v>
      </c>
      <c r="E94" s="53" t="s">
        <v>2105</v>
      </c>
      <c r="F94" s="53" t="s">
        <v>4506</v>
      </c>
      <c r="G94" s="131" t="s">
        <v>30</v>
      </c>
      <c r="H94" s="53">
        <v>1</v>
      </c>
      <c r="I94" s="188">
        <v>24500</v>
      </c>
      <c r="J94" s="54">
        <f t="shared" si="0"/>
        <v>24500</v>
      </c>
      <c r="K94" s="55" t="b">
        <v>1</v>
      </c>
      <c r="L94" s="56">
        <v>110420251630</v>
      </c>
      <c r="M94" s="57" t="b">
        <v>1</v>
      </c>
      <c r="N94" s="58"/>
      <c r="O94" s="215"/>
      <c r="P94" s="191" t="b">
        <v>1</v>
      </c>
      <c r="Q94" s="308" t="s">
        <v>3138</v>
      </c>
      <c r="R94" s="388"/>
      <c r="S94" s="47" t="b">
        <v>1</v>
      </c>
      <c r="T94" s="310" t="s">
        <v>4507</v>
      </c>
      <c r="U94" s="307"/>
      <c r="V94" s="54"/>
    </row>
    <row r="95" spans="1:22" ht="16.5" customHeight="1">
      <c r="A95" s="162"/>
      <c r="B95" s="71" t="s">
        <v>4483</v>
      </c>
      <c r="C95" s="53" t="s">
        <v>104</v>
      </c>
      <c r="D95" s="53" t="s">
        <v>2273</v>
      </c>
      <c r="E95" s="53" t="s">
        <v>1314</v>
      </c>
      <c r="F95" s="53" t="s">
        <v>4464</v>
      </c>
      <c r="G95" s="131" t="s">
        <v>30</v>
      </c>
      <c r="H95" s="53">
        <v>300</v>
      </c>
      <c r="I95" s="188">
        <v>22</v>
      </c>
      <c r="J95" s="54">
        <f t="shared" si="0"/>
        <v>6600</v>
      </c>
      <c r="K95" s="55" t="b">
        <v>1</v>
      </c>
      <c r="L95" s="56">
        <v>110420251630</v>
      </c>
      <c r="M95" s="57" t="b">
        <v>1</v>
      </c>
      <c r="N95" s="58" t="s">
        <v>529</v>
      </c>
      <c r="O95" s="226"/>
      <c r="P95" s="191" t="b">
        <v>1</v>
      </c>
      <c r="Q95" s="308" t="s">
        <v>3138</v>
      </c>
      <c r="R95" s="388"/>
      <c r="S95" s="47" t="b">
        <v>1</v>
      </c>
      <c r="T95" s="310" t="s">
        <v>4508</v>
      </c>
      <c r="U95" s="307"/>
      <c r="V95" s="54"/>
    </row>
    <row r="96" spans="1:22" ht="16">
      <c r="A96" s="162"/>
      <c r="B96" s="71" t="s">
        <v>4483</v>
      </c>
      <c r="C96" s="53" t="s">
        <v>51</v>
      </c>
      <c r="D96" s="53" t="s">
        <v>66</v>
      </c>
      <c r="E96" s="53" t="s">
        <v>1703</v>
      </c>
      <c r="F96" s="53" t="s">
        <v>2238</v>
      </c>
      <c r="G96" s="131" t="s">
        <v>30</v>
      </c>
      <c r="H96" s="53">
        <v>1</v>
      </c>
      <c r="I96" s="188">
        <v>2250</v>
      </c>
      <c r="J96" s="54">
        <f t="shared" si="0"/>
        <v>2250</v>
      </c>
      <c r="K96" s="55" t="b">
        <v>1</v>
      </c>
      <c r="L96" s="56">
        <v>110420251630</v>
      </c>
      <c r="M96" s="57" t="b">
        <v>1</v>
      </c>
      <c r="N96" s="58"/>
      <c r="O96" s="226"/>
      <c r="P96" s="191" t="b">
        <v>1</v>
      </c>
      <c r="Q96" s="308" t="s">
        <v>3138</v>
      </c>
      <c r="R96" s="388"/>
      <c r="S96" s="47" t="b">
        <v>1</v>
      </c>
      <c r="T96" s="310" t="s">
        <v>4509</v>
      </c>
      <c r="U96" s="307"/>
      <c r="V96" s="54"/>
    </row>
    <row r="97" spans="1:22" ht="16">
      <c r="A97" s="162"/>
      <c r="B97" s="71" t="s">
        <v>4483</v>
      </c>
      <c r="C97" s="53" t="s">
        <v>397</v>
      </c>
      <c r="D97" s="53" t="s">
        <v>646</v>
      </c>
      <c r="E97" s="53" t="s">
        <v>2260</v>
      </c>
      <c r="F97" s="53" t="s">
        <v>4464</v>
      </c>
      <c r="G97" s="131" t="s">
        <v>30</v>
      </c>
      <c r="H97" s="53">
        <v>150</v>
      </c>
      <c r="I97" s="188">
        <v>22.5</v>
      </c>
      <c r="J97" s="54">
        <f t="shared" si="0"/>
        <v>3375</v>
      </c>
      <c r="K97" s="55" t="b">
        <v>1</v>
      </c>
      <c r="L97" s="56">
        <v>110420252216</v>
      </c>
      <c r="M97" s="57" t="b">
        <v>1</v>
      </c>
      <c r="N97" s="58" t="s">
        <v>529</v>
      </c>
      <c r="O97" s="226"/>
      <c r="P97" s="191" t="b">
        <v>1</v>
      </c>
      <c r="Q97" s="308" t="s">
        <v>3138</v>
      </c>
      <c r="R97" s="388"/>
      <c r="S97" s="47" t="b">
        <v>1</v>
      </c>
      <c r="T97" s="310" t="s">
        <v>4510</v>
      </c>
      <c r="U97" s="307"/>
      <c r="V97" s="54"/>
    </row>
    <row r="98" spans="1:22" ht="16">
      <c r="A98" s="162"/>
      <c r="B98" s="71" t="s">
        <v>4511</v>
      </c>
      <c r="C98" s="53" t="s">
        <v>51</v>
      </c>
      <c r="D98" s="53" t="s">
        <v>66</v>
      </c>
      <c r="E98" s="53" t="s">
        <v>67</v>
      </c>
      <c r="F98" s="53" t="s">
        <v>4464</v>
      </c>
      <c r="G98" s="131" t="s">
        <v>30</v>
      </c>
      <c r="H98" s="53">
        <v>200</v>
      </c>
      <c r="I98" s="188">
        <v>22.5</v>
      </c>
      <c r="J98" s="54">
        <f t="shared" si="0"/>
        <v>4500</v>
      </c>
      <c r="K98" s="55" t="b">
        <v>1</v>
      </c>
      <c r="L98" s="56">
        <v>120420251359</v>
      </c>
      <c r="M98" s="57" t="b">
        <v>1</v>
      </c>
      <c r="N98" s="58" t="s">
        <v>529</v>
      </c>
      <c r="O98" s="226"/>
      <c r="P98" s="191" t="b">
        <v>1</v>
      </c>
      <c r="Q98" s="308" t="s">
        <v>3138</v>
      </c>
      <c r="R98" s="173" t="s">
        <v>4512</v>
      </c>
      <c r="S98" s="47" t="b">
        <v>1</v>
      </c>
      <c r="T98" s="310" t="s">
        <v>4513</v>
      </c>
      <c r="U98" s="307"/>
      <c r="V98" s="54"/>
    </row>
    <row r="99" spans="1:22" ht="16">
      <c r="A99" s="162"/>
      <c r="B99" s="71" t="s">
        <v>4514</v>
      </c>
      <c r="C99" s="53" t="s">
        <v>212</v>
      </c>
      <c r="D99" s="53" t="s">
        <v>311</v>
      </c>
      <c r="E99" s="53" t="s">
        <v>312</v>
      </c>
      <c r="F99" s="53" t="s">
        <v>4443</v>
      </c>
      <c r="G99" s="131" t="s">
        <v>30</v>
      </c>
      <c r="H99" s="53">
        <v>1</v>
      </c>
      <c r="I99" s="188">
        <v>1550</v>
      </c>
      <c r="J99" s="54">
        <f t="shared" si="0"/>
        <v>1550</v>
      </c>
      <c r="K99" s="55" t="b">
        <v>1</v>
      </c>
      <c r="L99" s="56">
        <v>130420242003</v>
      </c>
      <c r="M99" s="57" t="b">
        <v>1</v>
      </c>
      <c r="N99" s="58" t="s">
        <v>529</v>
      </c>
      <c r="O99" s="226"/>
      <c r="P99" s="191" t="b">
        <v>1</v>
      </c>
      <c r="Q99" s="308" t="s">
        <v>3138</v>
      </c>
      <c r="R99" s="173" t="s">
        <v>4515</v>
      </c>
      <c r="S99" s="47" t="b">
        <v>1</v>
      </c>
      <c r="T99" s="310" t="s">
        <v>4516</v>
      </c>
      <c r="U99" s="307"/>
      <c r="V99" s="54"/>
    </row>
    <row r="100" spans="1:22" ht="13.5" customHeight="1">
      <c r="A100" s="162"/>
      <c r="B100" s="71" t="s">
        <v>4514</v>
      </c>
      <c r="C100" s="53" t="s">
        <v>212</v>
      </c>
      <c r="D100" s="53" t="s">
        <v>311</v>
      </c>
      <c r="E100" s="53" t="s">
        <v>312</v>
      </c>
      <c r="F100" s="53" t="s">
        <v>4440</v>
      </c>
      <c r="G100" s="131" t="s">
        <v>30</v>
      </c>
      <c r="H100" s="53">
        <v>5</v>
      </c>
      <c r="I100" s="188">
        <v>595</v>
      </c>
      <c r="J100" s="54">
        <f t="shared" si="0"/>
        <v>2975</v>
      </c>
      <c r="K100" s="55" t="b">
        <v>1</v>
      </c>
      <c r="L100" s="56">
        <v>130420242003</v>
      </c>
      <c r="M100" s="57" t="b">
        <v>1</v>
      </c>
      <c r="N100" s="58" t="s">
        <v>529</v>
      </c>
      <c r="O100" s="226"/>
      <c r="P100" s="191" t="b">
        <v>1</v>
      </c>
      <c r="Q100" s="308" t="s">
        <v>3138</v>
      </c>
      <c r="R100" s="173" t="s">
        <v>4515</v>
      </c>
      <c r="S100" s="47" t="b">
        <v>1</v>
      </c>
      <c r="T100" s="310" t="s">
        <v>4516</v>
      </c>
      <c r="U100" s="307"/>
      <c r="V100" s="54"/>
    </row>
    <row r="101" spans="1:22" ht="16">
      <c r="A101" s="162"/>
      <c r="B101" s="71" t="s">
        <v>4514</v>
      </c>
      <c r="C101" s="53" t="s">
        <v>171</v>
      </c>
      <c r="D101" s="53" t="s">
        <v>137</v>
      </c>
      <c r="E101" s="53" t="s">
        <v>2992</v>
      </c>
      <c r="F101" s="53" t="s">
        <v>4517</v>
      </c>
      <c r="G101" s="131" t="s">
        <v>30</v>
      </c>
      <c r="H101" s="53">
        <v>2</v>
      </c>
      <c r="I101" s="188">
        <v>135</v>
      </c>
      <c r="J101" s="54">
        <f t="shared" si="0"/>
        <v>270</v>
      </c>
      <c r="K101" s="55" t="b">
        <v>1</v>
      </c>
      <c r="L101" s="56">
        <v>130420242003</v>
      </c>
      <c r="M101" s="57" t="b">
        <v>1</v>
      </c>
      <c r="N101" s="58" t="s">
        <v>2968</v>
      </c>
      <c r="O101" s="226">
        <v>45761</v>
      </c>
      <c r="P101" s="191" t="b">
        <v>1</v>
      </c>
      <c r="Q101" s="308" t="s">
        <v>3138</v>
      </c>
      <c r="R101" s="173" t="s">
        <v>4518</v>
      </c>
      <c r="S101" s="47" t="b">
        <v>1</v>
      </c>
      <c r="T101" s="310" t="s">
        <v>4519</v>
      </c>
      <c r="U101" s="307"/>
      <c r="V101" s="54"/>
    </row>
    <row r="102" spans="1:22" ht="14.25" customHeight="1">
      <c r="A102" s="162"/>
      <c r="B102" s="71" t="s">
        <v>4514</v>
      </c>
      <c r="C102" s="53" t="s">
        <v>51</v>
      </c>
      <c r="D102" s="53" t="s">
        <v>66</v>
      </c>
      <c r="E102" s="53" t="s">
        <v>67</v>
      </c>
      <c r="F102" s="53" t="s">
        <v>4520</v>
      </c>
      <c r="G102" s="131" t="s">
        <v>30</v>
      </c>
      <c r="H102" s="53">
        <v>1</v>
      </c>
      <c r="I102" s="188">
        <v>5750</v>
      </c>
      <c r="J102" s="54">
        <f t="shared" si="0"/>
        <v>5750</v>
      </c>
      <c r="K102" s="55" t="b">
        <v>1</v>
      </c>
      <c r="L102" s="56">
        <v>130420252016</v>
      </c>
      <c r="M102" s="57" t="b">
        <v>1</v>
      </c>
      <c r="N102" s="58" t="s">
        <v>529</v>
      </c>
      <c r="O102" s="226"/>
      <c r="P102" s="191" t="b">
        <v>1</v>
      </c>
      <c r="Q102" s="308" t="s">
        <v>3138</v>
      </c>
      <c r="R102" s="388"/>
      <c r="S102" s="47" t="b">
        <v>1</v>
      </c>
      <c r="T102" s="310" t="s">
        <v>4521</v>
      </c>
      <c r="U102" s="307"/>
      <c r="V102" s="54"/>
    </row>
    <row r="103" spans="1:22" ht="16">
      <c r="A103" s="162" t="s">
        <v>3293</v>
      </c>
      <c r="B103" s="71" t="s">
        <v>4522</v>
      </c>
      <c r="C103" s="53" t="s">
        <v>171</v>
      </c>
      <c r="D103" s="53" t="s">
        <v>137</v>
      </c>
      <c r="E103" s="53" t="s">
        <v>4523</v>
      </c>
      <c r="F103" s="53" t="s">
        <v>4524</v>
      </c>
      <c r="G103" s="131" t="s">
        <v>30</v>
      </c>
      <c r="H103" s="53">
        <v>1</v>
      </c>
      <c r="I103" s="188">
        <v>52030</v>
      </c>
      <c r="J103" s="54">
        <f t="shared" si="0"/>
        <v>52030</v>
      </c>
      <c r="K103" s="55" t="b">
        <v>1</v>
      </c>
      <c r="L103" s="56">
        <v>140420250952</v>
      </c>
      <c r="M103" s="57" t="b">
        <v>1</v>
      </c>
      <c r="N103" s="58" t="s">
        <v>2968</v>
      </c>
      <c r="O103" s="226"/>
      <c r="P103" s="191" t="b">
        <v>1</v>
      </c>
      <c r="Q103" s="308" t="s">
        <v>3138</v>
      </c>
      <c r="R103" s="173" t="s">
        <v>4525</v>
      </c>
      <c r="S103" s="47" t="b">
        <v>1</v>
      </c>
      <c r="T103" s="310" t="s">
        <v>4526</v>
      </c>
      <c r="U103" s="307"/>
      <c r="V103" s="54"/>
    </row>
    <row r="104" spans="1:22" ht="16">
      <c r="A104" s="162"/>
      <c r="B104" s="71" t="s">
        <v>4522</v>
      </c>
      <c r="C104" s="53" t="s">
        <v>171</v>
      </c>
      <c r="D104" s="53" t="s">
        <v>137</v>
      </c>
      <c r="E104" s="53" t="s">
        <v>4523</v>
      </c>
      <c r="F104" s="53" t="s">
        <v>4527</v>
      </c>
      <c r="G104" s="131" t="s">
        <v>30</v>
      </c>
      <c r="H104" s="53">
        <v>1</v>
      </c>
      <c r="I104" s="188">
        <v>2730</v>
      </c>
      <c r="J104" s="54">
        <f t="shared" si="0"/>
        <v>2730</v>
      </c>
      <c r="K104" s="55" t="b">
        <v>1</v>
      </c>
      <c r="L104" s="56">
        <v>140420250952</v>
      </c>
      <c r="M104" s="57" t="b">
        <v>1</v>
      </c>
      <c r="N104" s="58" t="s">
        <v>2968</v>
      </c>
      <c r="O104" s="226"/>
      <c r="P104" s="191" t="b">
        <v>1</v>
      </c>
      <c r="Q104" s="308" t="s">
        <v>3138</v>
      </c>
      <c r="R104" s="173" t="s">
        <v>4525</v>
      </c>
      <c r="S104" s="47" t="b">
        <v>1</v>
      </c>
      <c r="T104" s="310" t="s">
        <v>4526</v>
      </c>
      <c r="U104" s="307"/>
      <c r="V104" s="54"/>
    </row>
    <row r="105" spans="1:22" ht="16">
      <c r="A105" s="162"/>
      <c r="B105" s="71" t="s">
        <v>4522</v>
      </c>
      <c r="C105" s="53" t="s">
        <v>212</v>
      </c>
      <c r="D105" s="53" t="s">
        <v>213</v>
      </c>
      <c r="E105" s="53" t="s">
        <v>214</v>
      </c>
      <c r="F105" s="53" t="s">
        <v>2595</v>
      </c>
      <c r="G105" s="131" t="s">
        <v>30</v>
      </c>
      <c r="H105" s="53">
        <v>2</v>
      </c>
      <c r="I105" s="188">
        <v>270</v>
      </c>
      <c r="J105" s="54">
        <f t="shared" si="0"/>
        <v>540</v>
      </c>
      <c r="K105" s="55" t="b">
        <v>1</v>
      </c>
      <c r="L105" s="56">
        <v>140420251015</v>
      </c>
      <c r="M105" s="57" t="b">
        <v>1</v>
      </c>
      <c r="N105" s="58"/>
      <c r="O105" s="226"/>
      <c r="P105" s="191" t="b">
        <v>1</v>
      </c>
      <c r="Q105" s="389" t="s">
        <v>4528</v>
      </c>
      <c r="R105" s="388" t="s">
        <v>4529</v>
      </c>
      <c r="S105" s="47" t="b">
        <v>1</v>
      </c>
      <c r="T105" s="310" t="s">
        <v>4530</v>
      </c>
      <c r="U105" s="307"/>
      <c r="V105" s="54"/>
    </row>
    <row r="106" spans="1:22" ht="16">
      <c r="A106" s="162"/>
      <c r="B106" s="71" t="s">
        <v>4522</v>
      </c>
      <c r="C106" s="53" t="s">
        <v>51</v>
      </c>
      <c r="D106" s="53" t="s">
        <v>201</v>
      </c>
      <c r="E106" s="53" t="s">
        <v>202</v>
      </c>
      <c r="F106" s="53" t="s">
        <v>1700</v>
      </c>
      <c r="G106" s="131" t="s">
        <v>30</v>
      </c>
      <c r="H106" s="53">
        <v>50</v>
      </c>
      <c r="I106" s="188">
        <v>15</v>
      </c>
      <c r="J106" s="54">
        <f t="shared" si="0"/>
        <v>750</v>
      </c>
      <c r="K106" s="55" t="b">
        <v>1</v>
      </c>
      <c r="L106" s="56">
        <v>140420251015</v>
      </c>
      <c r="M106" s="57" t="b">
        <v>1</v>
      </c>
      <c r="N106" s="58"/>
      <c r="O106" s="226"/>
      <c r="P106" s="191" t="b">
        <v>1</v>
      </c>
      <c r="Q106" s="389" t="s">
        <v>4528</v>
      </c>
      <c r="R106" s="388" t="s">
        <v>4531</v>
      </c>
      <c r="S106" s="47" t="b">
        <v>1</v>
      </c>
      <c r="T106" s="310" t="s">
        <v>4532</v>
      </c>
      <c r="U106" s="307"/>
      <c r="V106" s="54"/>
    </row>
    <row r="107" spans="1:22" ht="16">
      <c r="A107" s="162"/>
      <c r="B107" s="71" t="s">
        <v>4522</v>
      </c>
      <c r="C107" s="53" t="s">
        <v>104</v>
      </c>
      <c r="D107" s="53" t="s">
        <v>158</v>
      </c>
      <c r="E107" s="53" t="s">
        <v>3496</v>
      </c>
      <c r="F107" s="53" t="s">
        <v>1966</v>
      </c>
      <c r="G107" s="131" t="s">
        <v>30</v>
      </c>
      <c r="H107" s="53">
        <v>10</v>
      </c>
      <c r="I107" s="188">
        <v>635</v>
      </c>
      <c r="J107" s="54">
        <f t="shared" si="0"/>
        <v>6350</v>
      </c>
      <c r="K107" s="55" t="b">
        <v>1</v>
      </c>
      <c r="L107" s="56">
        <v>140420251015</v>
      </c>
      <c r="M107" s="57" t="b">
        <v>1</v>
      </c>
      <c r="N107" s="58" t="s">
        <v>39</v>
      </c>
      <c r="O107" s="226">
        <v>45761</v>
      </c>
      <c r="P107" s="191" t="b">
        <v>1</v>
      </c>
      <c r="Q107" s="308" t="s">
        <v>3138</v>
      </c>
      <c r="R107" s="388"/>
      <c r="S107" s="47" t="b">
        <v>1</v>
      </c>
      <c r="T107" s="310" t="s">
        <v>4533</v>
      </c>
      <c r="U107" s="307"/>
      <c r="V107" s="54"/>
    </row>
    <row r="108" spans="1:22" ht="16">
      <c r="A108" s="162"/>
      <c r="B108" s="71" t="s">
        <v>4522</v>
      </c>
      <c r="C108" s="53" t="s">
        <v>149</v>
      </c>
      <c r="D108" s="53" t="s">
        <v>130</v>
      </c>
      <c r="E108" s="53" t="s">
        <v>150</v>
      </c>
      <c r="F108" s="53" t="s">
        <v>4464</v>
      </c>
      <c r="G108" s="131" t="s">
        <v>30</v>
      </c>
      <c r="H108" s="53">
        <v>25</v>
      </c>
      <c r="I108" s="188">
        <v>22.5</v>
      </c>
      <c r="J108" s="54">
        <f t="shared" si="0"/>
        <v>562.5</v>
      </c>
      <c r="K108" s="55" t="b">
        <v>1</v>
      </c>
      <c r="L108" s="56">
        <v>140420251134</v>
      </c>
      <c r="M108" s="57" t="b">
        <v>1</v>
      </c>
      <c r="N108" s="58" t="s">
        <v>529</v>
      </c>
      <c r="O108" s="226"/>
      <c r="P108" s="191" t="b">
        <v>1</v>
      </c>
      <c r="Q108" s="308" t="s">
        <v>3138</v>
      </c>
      <c r="R108" s="388"/>
      <c r="S108" s="47" t="b">
        <v>1</v>
      </c>
      <c r="T108" s="310" t="s">
        <v>4534</v>
      </c>
      <c r="U108" s="307"/>
      <c r="V108" s="54"/>
    </row>
    <row r="109" spans="1:22" ht="16">
      <c r="A109" s="162"/>
      <c r="B109" s="71" t="s">
        <v>4522</v>
      </c>
      <c r="C109" s="53" t="s">
        <v>171</v>
      </c>
      <c r="D109" s="53" t="s">
        <v>137</v>
      </c>
      <c r="E109" s="53" t="s">
        <v>2992</v>
      </c>
      <c r="F109" s="53" t="s">
        <v>4535</v>
      </c>
      <c r="G109" s="131" t="s">
        <v>30</v>
      </c>
      <c r="H109" s="53">
        <v>1</v>
      </c>
      <c r="I109" s="188">
        <v>875</v>
      </c>
      <c r="J109" s="54">
        <f t="shared" si="0"/>
        <v>875</v>
      </c>
      <c r="K109" s="55" t="b">
        <v>1</v>
      </c>
      <c r="L109" s="56">
        <v>140420251457</v>
      </c>
      <c r="M109" s="57" t="b">
        <v>1</v>
      </c>
      <c r="N109" s="58" t="s">
        <v>39</v>
      </c>
      <c r="O109" s="226"/>
      <c r="P109" s="191" t="b">
        <v>1</v>
      </c>
      <c r="Q109" s="308" t="s">
        <v>3138</v>
      </c>
      <c r="R109" s="173" t="s">
        <v>4536</v>
      </c>
      <c r="S109" s="47" t="b">
        <v>1</v>
      </c>
      <c r="T109" s="310" t="s">
        <v>4537</v>
      </c>
      <c r="U109" s="307"/>
      <c r="V109" s="54"/>
    </row>
    <row r="110" spans="1:22" ht="16">
      <c r="A110" s="162"/>
      <c r="B110" s="71" t="s">
        <v>4522</v>
      </c>
      <c r="C110" s="53" t="s">
        <v>418</v>
      </c>
      <c r="D110" s="53" t="s">
        <v>4538</v>
      </c>
      <c r="E110" s="53" t="s">
        <v>420</v>
      </c>
      <c r="F110" s="53" t="s">
        <v>4539</v>
      </c>
      <c r="G110" s="131" t="s">
        <v>30</v>
      </c>
      <c r="H110" s="53">
        <v>1</v>
      </c>
      <c r="I110" s="188">
        <v>2100</v>
      </c>
      <c r="J110" s="54">
        <f t="shared" si="0"/>
        <v>2100</v>
      </c>
      <c r="K110" s="55" t="b">
        <v>1</v>
      </c>
      <c r="L110" s="56">
        <v>140420251457</v>
      </c>
      <c r="M110" s="57" t="b">
        <v>1</v>
      </c>
      <c r="N110" s="58"/>
      <c r="O110" s="226"/>
      <c r="P110" s="191" t="b">
        <v>1</v>
      </c>
      <c r="Q110" s="308" t="s">
        <v>3138</v>
      </c>
      <c r="R110" s="388" t="s">
        <v>4540</v>
      </c>
      <c r="S110" s="47" t="b">
        <v>1</v>
      </c>
      <c r="T110" s="310" t="s">
        <v>4541</v>
      </c>
      <c r="U110" s="307"/>
      <c r="V110" s="54"/>
    </row>
    <row r="111" spans="1:22" ht="16">
      <c r="A111" s="162"/>
      <c r="B111" s="71" t="s">
        <v>4522</v>
      </c>
      <c r="C111" s="53" t="s">
        <v>51</v>
      </c>
      <c r="D111" s="53" t="s">
        <v>52</v>
      </c>
      <c r="E111" s="53" t="s">
        <v>807</v>
      </c>
      <c r="F111" s="53" t="s">
        <v>4395</v>
      </c>
      <c r="G111" s="131" t="s">
        <v>30</v>
      </c>
      <c r="H111" s="53">
        <v>5</v>
      </c>
      <c r="I111" s="188">
        <v>285</v>
      </c>
      <c r="J111" s="54">
        <f t="shared" si="0"/>
        <v>1425</v>
      </c>
      <c r="K111" s="55" t="b">
        <v>1</v>
      </c>
      <c r="L111" s="56">
        <v>140420251457</v>
      </c>
      <c r="M111" s="57" t="b">
        <v>1</v>
      </c>
      <c r="N111" s="58"/>
      <c r="O111" s="226"/>
      <c r="P111" s="191" t="b">
        <v>1</v>
      </c>
      <c r="Q111" s="308" t="s">
        <v>3138</v>
      </c>
      <c r="R111" s="388"/>
      <c r="S111" s="47" t="b">
        <v>1</v>
      </c>
      <c r="T111" s="310" t="s">
        <v>4542</v>
      </c>
      <c r="U111" s="307"/>
      <c r="V111" s="54"/>
    </row>
    <row r="112" spans="1:22" ht="16">
      <c r="A112" s="162"/>
      <c r="B112" s="71" t="s">
        <v>4522</v>
      </c>
      <c r="C112" s="53" t="s">
        <v>51</v>
      </c>
      <c r="D112" s="53" t="s">
        <v>52</v>
      </c>
      <c r="E112" s="53" t="s">
        <v>807</v>
      </c>
      <c r="F112" s="53" t="s">
        <v>4543</v>
      </c>
      <c r="G112" s="131" t="s">
        <v>30</v>
      </c>
      <c r="H112" s="53">
        <v>200</v>
      </c>
      <c r="I112" s="188">
        <v>9.75</v>
      </c>
      <c r="J112" s="54">
        <f t="shared" si="0"/>
        <v>1950</v>
      </c>
      <c r="K112" s="55" t="b">
        <v>1</v>
      </c>
      <c r="L112" s="56">
        <v>140420251457</v>
      </c>
      <c r="M112" s="57" t="b">
        <v>1</v>
      </c>
      <c r="N112" s="58"/>
      <c r="O112" s="226"/>
      <c r="P112" s="191" t="b">
        <v>1</v>
      </c>
      <c r="Q112" s="308" t="s">
        <v>3138</v>
      </c>
      <c r="R112" s="388"/>
      <c r="S112" s="47" t="b">
        <v>1</v>
      </c>
      <c r="T112" s="310" t="s">
        <v>4542</v>
      </c>
      <c r="U112" s="307"/>
      <c r="V112" s="54"/>
    </row>
    <row r="113" spans="1:22" ht="16">
      <c r="A113" s="162"/>
      <c r="B113" s="71" t="s">
        <v>4522</v>
      </c>
      <c r="C113" s="53" t="s">
        <v>55</v>
      </c>
      <c r="D113" s="53" t="s">
        <v>56</v>
      </c>
      <c r="E113" s="53" t="s">
        <v>57</v>
      </c>
      <c r="F113" s="53" t="s">
        <v>1197</v>
      </c>
      <c r="G113" s="131" t="s">
        <v>30</v>
      </c>
      <c r="H113" s="53">
        <v>5</v>
      </c>
      <c r="I113" s="188">
        <v>775</v>
      </c>
      <c r="J113" s="54">
        <f t="shared" si="0"/>
        <v>3875</v>
      </c>
      <c r="K113" s="55" t="b">
        <v>1</v>
      </c>
      <c r="L113" s="56">
        <v>140420251457</v>
      </c>
      <c r="M113" s="57" t="b">
        <v>1</v>
      </c>
      <c r="N113" s="58"/>
      <c r="O113" s="226"/>
      <c r="P113" s="191" t="b">
        <v>1</v>
      </c>
      <c r="Q113" s="308" t="s">
        <v>3138</v>
      </c>
      <c r="R113" s="388" t="s">
        <v>4544</v>
      </c>
      <c r="S113" s="47" t="b">
        <v>1</v>
      </c>
      <c r="T113" s="310" t="s">
        <v>4545</v>
      </c>
      <c r="U113" s="307"/>
      <c r="V113" s="54"/>
    </row>
    <row r="114" spans="1:22" ht="16">
      <c r="A114" s="162"/>
      <c r="B114" s="71" t="s">
        <v>4522</v>
      </c>
      <c r="C114" s="53" t="s">
        <v>55</v>
      </c>
      <c r="D114" s="53">
        <v>41</v>
      </c>
      <c r="E114" s="53" t="s">
        <v>1552</v>
      </c>
      <c r="F114" s="53" t="s">
        <v>142</v>
      </c>
      <c r="G114" s="131" t="s">
        <v>30</v>
      </c>
      <c r="H114" s="53">
        <v>1500</v>
      </c>
      <c r="I114" s="188">
        <v>1.5</v>
      </c>
      <c r="J114" s="54">
        <f t="shared" si="0"/>
        <v>2250</v>
      </c>
      <c r="K114" s="55" t="b">
        <v>1</v>
      </c>
      <c r="L114" s="56">
        <v>140420251507</v>
      </c>
      <c r="M114" s="57" t="b">
        <v>1</v>
      </c>
      <c r="N114" s="58"/>
      <c r="O114" s="226"/>
      <c r="P114" s="191" t="b">
        <v>1</v>
      </c>
      <c r="Q114" s="308" t="s">
        <v>3138</v>
      </c>
      <c r="R114" s="388"/>
      <c r="S114" s="47" t="b">
        <v>1</v>
      </c>
      <c r="T114" s="310" t="s">
        <v>4546</v>
      </c>
      <c r="U114" s="307"/>
      <c r="V114" s="54"/>
    </row>
    <row r="115" spans="1:22" ht="16">
      <c r="A115" s="162"/>
      <c r="B115" s="71" t="s">
        <v>4522</v>
      </c>
      <c r="C115" s="53" t="s">
        <v>108</v>
      </c>
      <c r="D115" s="53" t="s">
        <v>109</v>
      </c>
      <c r="E115" s="53" t="s">
        <v>4547</v>
      </c>
      <c r="F115" s="53" t="s">
        <v>4548</v>
      </c>
      <c r="G115" s="131" t="s">
        <v>30</v>
      </c>
      <c r="H115" s="53">
        <v>200</v>
      </c>
      <c r="I115" s="188">
        <v>22.5</v>
      </c>
      <c r="J115" s="54">
        <f t="shared" si="0"/>
        <v>4500</v>
      </c>
      <c r="K115" s="55" t="b">
        <v>1</v>
      </c>
      <c r="L115" s="56">
        <v>140420251602</v>
      </c>
      <c r="M115" s="57" t="b">
        <v>1</v>
      </c>
      <c r="N115" s="58" t="s">
        <v>529</v>
      </c>
      <c r="O115" s="226"/>
      <c r="P115" s="191" t="b">
        <v>1</v>
      </c>
      <c r="Q115" s="308" t="s">
        <v>3138</v>
      </c>
      <c r="R115" s="388"/>
      <c r="S115" s="47" t="b">
        <v>1</v>
      </c>
      <c r="T115" s="310" t="s">
        <v>4549</v>
      </c>
      <c r="U115" s="307"/>
      <c r="V115" s="54"/>
    </row>
    <row r="116" spans="1:22" ht="16">
      <c r="A116" s="162"/>
      <c r="B116" s="71" t="s">
        <v>4522</v>
      </c>
      <c r="C116" s="53" t="s">
        <v>55</v>
      </c>
      <c r="D116" s="53" t="s">
        <v>56</v>
      </c>
      <c r="E116" s="53" t="s">
        <v>57</v>
      </c>
      <c r="F116" s="53" t="s">
        <v>1966</v>
      </c>
      <c r="G116" s="131" t="s">
        <v>30</v>
      </c>
      <c r="H116" s="53">
        <v>10</v>
      </c>
      <c r="I116" s="188">
        <v>635</v>
      </c>
      <c r="J116" s="54">
        <f t="shared" si="0"/>
        <v>6350</v>
      </c>
      <c r="K116" s="55" t="b">
        <v>1</v>
      </c>
      <c r="L116" s="56">
        <v>140420251604</v>
      </c>
      <c r="M116" s="57" t="b">
        <v>1</v>
      </c>
      <c r="N116" s="58" t="s">
        <v>39</v>
      </c>
      <c r="O116" s="226">
        <v>45762</v>
      </c>
      <c r="P116" s="191" t="b">
        <v>1</v>
      </c>
      <c r="Q116" s="308" t="s">
        <v>3138</v>
      </c>
      <c r="R116" s="388"/>
      <c r="S116" s="47" t="b">
        <v>1</v>
      </c>
      <c r="T116" s="310" t="s">
        <v>4550</v>
      </c>
      <c r="U116" s="307"/>
      <c r="V116" s="54"/>
    </row>
    <row r="117" spans="1:22" ht="16">
      <c r="A117" s="162"/>
      <c r="B117" s="71" t="s">
        <v>4522</v>
      </c>
      <c r="C117" s="71" t="s">
        <v>418</v>
      </c>
      <c r="D117" s="53" t="s">
        <v>42</v>
      </c>
      <c r="E117" s="53" t="s">
        <v>209</v>
      </c>
      <c r="F117" s="53" t="s">
        <v>4548</v>
      </c>
      <c r="G117" s="131" t="s">
        <v>30</v>
      </c>
      <c r="H117" s="53">
        <v>150</v>
      </c>
      <c r="I117" s="188">
        <v>22.5</v>
      </c>
      <c r="J117" s="54">
        <f t="shared" si="0"/>
        <v>3375</v>
      </c>
      <c r="K117" s="55" t="b">
        <v>1</v>
      </c>
      <c r="L117" s="56">
        <v>140420251953</v>
      </c>
      <c r="M117" s="57" t="b">
        <v>1</v>
      </c>
      <c r="N117" s="58" t="s">
        <v>529</v>
      </c>
      <c r="O117" s="226"/>
      <c r="P117" s="191" t="b">
        <v>1</v>
      </c>
      <c r="Q117" s="308" t="s">
        <v>3138</v>
      </c>
      <c r="R117" s="388"/>
      <c r="S117" s="47" t="b">
        <v>1</v>
      </c>
      <c r="T117" s="310" t="s">
        <v>4551</v>
      </c>
      <c r="U117" s="307"/>
      <c r="V117" s="54"/>
    </row>
    <row r="118" spans="1:22" ht="16">
      <c r="A118" s="162"/>
      <c r="B118" s="71" t="s">
        <v>4522</v>
      </c>
      <c r="C118" s="53" t="s">
        <v>104</v>
      </c>
      <c r="D118" s="53" t="s">
        <v>486</v>
      </c>
      <c r="E118" s="53" t="s">
        <v>241</v>
      </c>
      <c r="F118" s="53" t="s">
        <v>4395</v>
      </c>
      <c r="G118" s="131" t="s">
        <v>30</v>
      </c>
      <c r="H118" s="53">
        <v>5</v>
      </c>
      <c r="I118" s="188">
        <v>285</v>
      </c>
      <c r="J118" s="54">
        <f t="shared" si="0"/>
        <v>1425</v>
      </c>
      <c r="K118" s="55" t="b">
        <v>1</v>
      </c>
      <c r="L118" s="56">
        <v>140420251953</v>
      </c>
      <c r="M118" s="57" t="b">
        <v>1</v>
      </c>
      <c r="N118" s="58"/>
      <c r="O118" s="226"/>
      <c r="P118" s="191" t="b">
        <v>1</v>
      </c>
      <c r="Q118" s="308" t="s">
        <v>3138</v>
      </c>
      <c r="R118" s="388" t="s">
        <v>4552</v>
      </c>
      <c r="S118" s="47" t="b">
        <v>1</v>
      </c>
      <c r="T118" s="310" t="s">
        <v>4553</v>
      </c>
      <c r="U118" s="307"/>
      <c r="V118" s="54"/>
    </row>
    <row r="119" spans="1:22" ht="16">
      <c r="A119" s="162"/>
      <c r="B119" s="71" t="s">
        <v>4522</v>
      </c>
      <c r="C119" s="53" t="s">
        <v>104</v>
      </c>
      <c r="D119" s="53" t="s">
        <v>486</v>
      </c>
      <c r="E119" s="53" t="s">
        <v>241</v>
      </c>
      <c r="F119" s="53" t="s">
        <v>4554</v>
      </c>
      <c r="G119" s="131" t="s">
        <v>30</v>
      </c>
      <c r="H119" s="53">
        <v>20</v>
      </c>
      <c r="I119" s="188">
        <v>115</v>
      </c>
      <c r="J119" s="54">
        <f t="shared" si="0"/>
        <v>2300</v>
      </c>
      <c r="K119" s="55" t="b">
        <v>1</v>
      </c>
      <c r="L119" s="56">
        <v>140420251953</v>
      </c>
      <c r="M119" s="57" t="b">
        <v>1</v>
      </c>
      <c r="N119" s="58"/>
      <c r="O119" s="226"/>
      <c r="P119" s="191" t="b">
        <v>1</v>
      </c>
      <c r="Q119" s="308" t="s">
        <v>3138</v>
      </c>
      <c r="R119" s="388" t="s">
        <v>4555</v>
      </c>
      <c r="S119" s="47" t="b">
        <v>1</v>
      </c>
      <c r="T119" s="310" t="s">
        <v>4556</v>
      </c>
      <c r="U119" s="307"/>
      <c r="V119" s="54"/>
    </row>
    <row r="120" spans="1:22" ht="16">
      <c r="A120" s="162"/>
      <c r="B120" s="390" t="s">
        <v>4522</v>
      </c>
      <c r="C120" s="391" t="s">
        <v>104</v>
      </c>
      <c r="D120" s="391" t="s">
        <v>486</v>
      </c>
      <c r="E120" s="391" t="s">
        <v>241</v>
      </c>
      <c r="F120" s="391" t="s">
        <v>229</v>
      </c>
      <c r="G120" s="392" t="s">
        <v>30</v>
      </c>
      <c r="H120" s="391">
        <v>10</v>
      </c>
      <c r="I120" s="393">
        <v>750</v>
      </c>
      <c r="J120" s="394">
        <f t="shared" si="0"/>
        <v>7500</v>
      </c>
      <c r="K120" s="55" t="b">
        <v>1</v>
      </c>
      <c r="L120" s="56">
        <v>140420251953</v>
      </c>
      <c r="M120" s="57" t="b">
        <v>1</v>
      </c>
      <c r="N120" s="58"/>
      <c r="O120" s="226"/>
      <c r="P120" s="191" t="b">
        <v>1</v>
      </c>
      <c r="Q120" s="308" t="s">
        <v>3138</v>
      </c>
      <c r="R120" s="173" t="s">
        <v>4557</v>
      </c>
      <c r="S120" s="47" t="b">
        <v>1</v>
      </c>
      <c r="T120" s="310" t="s">
        <v>4558</v>
      </c>
      <c r="U120" s="307"/>
      <c r="V120" s="54"/>
    </row>
    <row r="121" spans="1:22" ht="16">
      <c r="A121" s="162"/>
      <c r="B121" s="390" t="s">
        <v>4522</v>
      </c>
      <c r="C121" s="391" t="s">
        <v>104</v>
      </c>
      <c r="D121" s="391" t="s">
        <v>486</v>
      </c>
      <c r="E121" s="391" t="s">
        <v>241</v>
      </c>
      <c r="F121" s="391" t="s">
        <v>124</v>
      </c>
      <c r="G121" s="392" t="s">
        <v>30</v>
      </c>
      <c r="H121" s="391">
        <v>10</v>
      </c>
      <c r="I121" s="393">
        <v>775</v>
      </c>
      <c r="J121" s="394">
        <f t="shared" si="0"/>
        <v>7750</v>
      </c>
      <c r="K121" s="55" t="b">
        <v>1</v>
      </c>
      <c r="L121" s="56">
        <v>140420251953</v>
      </c>
      <c r="M121" s="57" t="b">
        <v>1</v>
      </c>
      <c r="N121" s="58"/>
      <c r="O121" s="226"/>
      <c r="P121" s="191" t="b">
        <v>1</v>
      </c>
      <c r="Q121" s="308" t="s">
        <v>3138</v>
      </c>
      <c r="R121" s="173" t="s">
        <v>4557</v>
      </c>
      <c r="S121" s="47" t="b">
        <v>1</v>
      </c>
      <c r="T121" s="310" t="s">
        <v>4558</v>
      </c>
      <c r="U121" s="307"/>
      <c r="V121" s="54"/>
    </row>
    <row r="122" spans="1:22" ht="16">
      <c r="A122" s="162"/>
      <c r="B122" s="71" t="s">
        <v>4522</v>
      </c>
      <c r="C122" s="53" t="s">
        <v>55</v>
      </c>
      <c r="D122" s="53">
        <v>41</v>
      </c>
      <c r="E122" s="53" t="s">
        <v>1552</v>
      </c>
      <c r="F122" s="53" t="s">
        <v>4559</v>
      </c>
      <c r="G122" s="131" t="s">
        <v>30</v>
      </c>
      <c r="H122" s="53">
        <v>50</v>
      </c>
      <c r="I122" s="188">
        <v>65</v>
      </c>
      <c r="J122" s="54">
        <f t="shared" si="0"/>
        <v>3250</v>
      </c>
      <c r="K122" s="55" t="b">
        <v>1</v>
      </c>
      <c r="L122" s="56">
        <v>140420251953</v>
      </c>
      <c r="M122" s="57" t="b">
        <v>1</v>
      </c>
      <c r="N122" s="58"/>
      <c r="O122" s="215"/>
      <c r="P122" s="191" t="b">
        <v>1</v>
      </c>
      <c r="Q122" s="308" t="s">
        <v>3138</v>
      </c>
      <c r="R122" s="388" t="s">
        <v>4560</v>
      </c>
      <c r="S122" s="47" t="b">
        <v>1</v>
      </c>
      <c r="T122" s="310" t="s">
        <v>4561</v>
      </c>
      <c r="U122" s="307"/>
      <c r="V122" s="54"/>
    </row>
    <row r="123" spans="1:22" ht="16">
      <c r="A123" s="162"/>
      <c r="B123" s="71" t="s">
        <v>4522</v>
      </c>
      <c r="C123" s="53" t="s">
        <v>55</v>
      </c>
      <c r="D123" s="53">
        <v>41</v>
      </c>
      <c r="E123" s="53" t="s">
        <v>1552</v>
      </c>
      <c r="F123" s="66" t="s">
        <v>4562</v>
      </c>
      <c r="G123" s="69" t="s">
        <v>30</v>
      </c>
      <c r="H123" s="66">
        <v>2</v>
      </c>
      <c r="I123" s="70">
        <v>300</v>
      </c>
      <c r="J123" s="54">
        <f t="shared" si="0"/>
        <v>600</v>
      </c>
      <c r="K123" s="55" t="b">
        <v>1</v>
      </c>
      <c r="L123" s="56">
        <v>140420251953</v>
      </c>
      <c r="M123" s="57" t="b">
        <v>1</v>
      </c>
      <c r="N123" s="58" t="s">
        <v>2968</v>
      </c>
      <c r="O123" s="226">
        <v>45762</v>
      </c>
      <c r="P123" s="191" t="b">
        <v>1</v>
      </c>
      <c r="Q123" s="308" t="s">
        <v>3138</v>
      </c>
      <c r="R123" s="388"/>
      <c r="S123" s="47" t="b">
        <v>1</v>
      </c>
      <c r="T123" s="310" t="s">
        <v>4563</v>
      </c>
      <c r="U123" s="307"/>
      <c r="V123" s="75"/>
    </row>
    <row r="124" spans="1:22" ht="16">
      <c r="A124" s="162"/>
      <c r="B124" s="132" t="s">
        <v>4522</v>
      </c>
      <c r="C124" s="66" t="s">
        <v>104</v>
      </c>
      <c r="D124" s="66" t="s">
        <v>3755</v>
      </c>
      <c r="E124" s="66" t="s">
        <v>2446</v>
      </c>
      <c r="F124" s="66" t="s">
        <v>1952</v>
      </c>
      <c r="G124" s="69" t="s">
        <v>30</v>
      </c>
      <c r="H124" s="66">
        <v>10</v>
      </c>
      <c r="I124" s="70">
        <v>635</v>
      </c>
      <c r="J124" s="54">
        <f t="shared" si="0"/>
        <v>6350</v>
      </c>
      <c r="K124" s="55" t="b">
        <v>1</v>
      </c>
      <c r="L124" s="56">
        <v>140420251953</v>
      </c>
      <c r="M124" s="57" t="b">
        <v>1</v>
      </c>
      <c r="N124" s="58" t="s">
        <v>39</v>
      </c>
      <c r="O124" s="226">
        <v>45762</v>
      </c>
      <c r="P124" s="191" t="b">
        <v>1</v>
      </c>
      <c r="Q124" s="308" t="s">
        <v>3138</v>
      </c>
      <c r="R124" s="388"/>
      <c r="S124" s="47" t="b">
        <v>1</v>
      </c>
      <c r="T124" s="310" t="s">
        <v>4564</v>
      </c>
      <c r="U124" s="307"/>
      <c r="V124" s="75"/>
    </row>
    <row r="125" spans="1:22" ht="16">
      <c r="A125" s="162"/>
      <c r="B125" s="132" t="s">
        <v>4522</v>
      </c>
      <c r="C125" s="66" t="s">
        <v>104</v>
      </c>
      <c r="D125" s="66" t="s">
        <v>3755</v>
      </c>
      <c r="E125" s="66" t="s">
        <v>2446</v>
      </c>
      <c r="F125" s="53" t="s">
        <v>308</v>
      </c>
      <c r="G125" s="131" t="s">
        <v>30</v>
      </c>
      <c r="H125" s="53">
        <v>10</v>
      </c>
      <c r="I125" s="188">
        <v>895</v>
      </c>
      <c r="J125" s="54">
        <f t="shared" si="0"/>
        <v>8950</v>
      </c>
      <c r="K125" s="55" t="b">
        <v>1</v>
      </c>
      <c r="L125" s="56">
        <v>140420252011</v>
      </c>
      <c r="M125" s="57" t="b">
        <v>1</v>
      </c>
      <c r="N125" s="58" t="s">
        <v>529</v>
      </c>
      <c r="O125" s="215" t="s">
        <v>4565</v>
      </c>
      <c r="P125" s="191" t="b">
        <v>1</v>
      </c>
      <c r="Q125" s="308" t="s">
        <v>3138</v>
      </c>
      <c r="R125" s="173" t="s">
        <v>4566</v>
      </c>
      <c r="S125" s="47" t="b">
        <v>1</v>
      </c>
      <c r="T125" s="310" t="s">
        <v>4567</v>
      </c>
      <c r="U125" s="307"/>
      <c r="V125" s="54"/>
    </row>
    <row r="126" spans="1:22" ht="16">
      <c r="A126" s="162"/>
      <c r="B126" s="132" t="s">
        <v>4522</v>
      </c>
      <c r="C126" s="66" t="s">
        <v>104</v>
      </c>
      <c r="D126" s="66" t="s">
        <v>3755</v>
      </c>
      <c r="E126" s="66" t="s">
        <v>2446</v>
      </c>
      <c r="F126" s="53" t="s">
        <v>4559</v>
      </c>
      <c r="G126" s="131" t="s">
        <v>30</v>
      </c>
      <c r="H126" s="53">
        <v>28</v>
      </c>
      <c r="I126" s="188">
        <v>65</v>
      </c>
      <c r="J126" s="54">
        <f t="shared" si="0"/>
        <v>1820</v>
      </c>
      <c r="K126" s="55" t="b">
        <v>1</v>
      </c>
      <c r="L126" s="56">
        <v>140420252011</v>
      </c>
      <c r="M126" s="57" t="b">
        <v>1</v>
      </c>
      <c r="N126" s="58"/>
      <c r="O126" s="226"/>
      <c r="P126" s="191" t="b">
        <v>1</v>
      </c>
      <c r="Q126" s="308" t="s">
        <v>3138</v>
      </c>
      <c r="R126" s="173" t="s">
        <v>4568</v>
      </c>
      <c r="S126" s="47" t="b">
        <v>1</v>
      </c>
      <c r="T126" s="310" t="s">
        <v>4569</v>
      </c>
      <c r="U126" s="307"/>
      <c r="V126" s="54"/>
    </row>
    <row r="127" spans="1:22" ht="16">
      <c r="A127" s="162"/>
      <c r="B127" s="132" t="s">
        <v>4522</v>
      </c>
      <c r="C127" s="66" t="s">
        <v>104</v>
      </c>
      <c r="D127" s="66" t="s">
        <v>3755</v>
      </c>
      <c r="E127" s="66" t="s">
        <v>2446</v>
      </c>
      <c r="F127" s="53" t="s">
        <v>4570</v>
      </c>
      <c r="G127" s="131" t="s">
        <v>30</v>
      </c>
      <c r="H127" s="53">
        <v>1</v>
      </c>
      <c r="I127" s="188">
        <v>1875</v>
      </c>
      <c r="J127" s="54">
        <f t="shared" si="0"/>
        <v>1875</v>
      </c>
      <c r="K127" s="55" t="b">
        <v>1</v>
      </c>
      <c r="L127" s="56">
        <v>140420252011</v>
      </c>
      <c r="M127" s="57" t="b">
        <v>1</v>
      </c>
      <c r="N127" s="58" t="s">
        <v>2968</v>
      </c>
      <c r="O127" s="226"/>
      <c r="P127" s="191" t="b">
        <v>1</v>
      </c>
      <c r="Q127" s="308" t="s">
        <v>3138</v>
      </c>
      <c r="R127" s="173" t="s">
        <v>4568</v>
      </c>
      <c r="S127" s="47" t="b">
        <v>1</v>
      </c>
      <c r="T127" s="310" t="s">
        <v>4571</v>
      </c>
      <c r="U127" s="307"/>
      <c r="V127" s="54"/>
    </row>
    <row r="128" spans="1:22" ht="16">
      <c r="A128" s="162"/>
      <c r="B128" s="132" t="s">
        <v>4522</v>
      </c>
      <c r="C128" s="66" t="s">
        <v>104</v>
      </c>
      <c r="D128" s="66" t="s">
        <v>3755</v>
      </c>
      <c r="E128" s="66" t="s">
        <v>2446</v>
      </c>
      <c r="F128" s="69" t="s">
        <v>4395</v>
      </c>
      <c r="G128" s="131" t="s">
        <v>30</v>
      </c>
      <c r="H128" s="53">
        <v>5</v>
      </c>
      <c r="I128" s="188">
        <v>285</v>
      </c>
      <c r="J128" s="54">
        <f t="shared" si="0"/>
        <v>1425</v>
      </c>
      <c r="K128" s="55" t="b">
        <v>1</v>
      </c>
      <c r="L128" s="56">
        <v>140420252011</v>
      </c>
      <c r="M128" s="57" t="b">
        <v>1</v>
      </c>
      <c r="N128" s="58" t="s">
        <v>2968</v>
      </c>
      <c r="O128" s="226"/>
      <c r="P128" s="191" t="b">
        <v>1</v>
      </c>
      <c r="Q128" s="308" t="s">
        <v>3138</v>
      </c>
      <c r="R128" s="173"/>
      <c r="S128" s="47" t="b">
        <v>1</v>
      </c>
      <c r="T128" s="310" t="s">
        <v>4571</v>
      </c>
      <c r="U128" s="307"/>
      <c r="V128" s="54"/>
    </row>
    <row r="129" spans="1:22" ht="16">
      <c r="A129" s="162"/>
      <c r="B129" s="71" t="s">
        <v>4572</v>
      </c>
      <c r="C129" s="53" t="s">
        <v>247</v>
      </c>
      <c r="D129" s="53" t="s">
        <v>248</v>
      </c>
      <c r="E129" s="53" t="s">
        <v>4573</v>
      </c>
      <c r="F129" s="53" t="s">
        <v>4395</v>
      </c>
      <c r="G129" s="131" t="s">
        <v>30</v>
      </c>
      <c r="H129" s="53">
        <v>2</v>
      </c>
      <c r="I129" s="188">
        <v>285</v>
      </c>
      <c r="J129" s="54">
        <f t="shared" si="0"/>
        <v>570</v>
      </c>
      <c r="K129" s="55" t="b">
        <v>1</v>
      </c>
      <c r="L129" s="56">
        <v>140420252011</v>
      </c>
      <c r="M129" s="57" t="b">
        <v>1</v>
      </c>
      <c r="N129" s="58" t="s">
        <v>2968</v>
      </c>
      <c r="O129" s="226"/>
      <c r="P129" s="191" t="b">
        <v>1</v>
      </c>
      <c r="Q129" s="308" t="s">
        <v>3138</v>
      </c>
      <c r="R129" s="388" t="s">
        <v>4574</v>
      </c>
      <c r="S129" s="47" t="b">
        <v>1</v>
      </c>
      <c r="T129" s="310" t="s">
        <v>4575</v>
      </c>
      <c r="U129" s="307"/>
      <c r="V129" s="54"/>
    </row>
    <row r="130" spans="1:22" ht="16">
      <c r="A130" s="162"/>
      <c r="B130" s="71" t="s">
        <v>4572</v>
      </c>
      <c r="C130" s="53" t="s">
        <v>51</v>
      </c>
      <c r="D130" s="53" t="s">
        <v>66</v>
      </c>
      <c r="E130" s="53" t="s">
        <v>67</v>
      </c>
      <c r="F130" s="53" t="s">
        <v>4576</v>
      </c>
      <c r="G130" s="131" t="s">
        <v>30</v>
      </c>
      <c r="H130" s="53">
        <v>1</v>
      </c>
      <c r="I130" s="188">
        <v>2750</v>
      </c>
      <c r="J130" s="54">
        <f t="shared" si="0"/>
        <v>2750</v>
      </c>
      <c r="K130" s="55" t="b">
        <v>1</v>
      </c>
      <c r="L130" s="56">
        <v>140420251307</v>
      </c>
      <c r="M130" s="57" t="b">
        <v>1</v>
      </c>
      <c r="N130" s="58" t="s">
        <v>2968</v>
      </c>
      <c r="O130" s="226"/>
      <c r="P130" s="191" t="b">
        <v>1</v>
      </c>
      <c r="Q130" s="308" t="s">
        <v>3138</v>
      </c>
      <c r="R130" s="173" t="s">
        <v>4577</v>
      </c>
      <c r="S130" s="47" t="b">
        <v>1</v>
      </c>
      <c r="T130" s="310" t="s">
        <v>4578</v>
      </c>
      <c r="U130" s="307"/>
      <c r="V130" s="54"/>
    </row>
    <row r="131" spans="1:22" ht="16">
      <c r="A131" s="162"/>
      <c r="B131" s="71" t="s">
        <v>4572</v>
      </c>
      <c r="C131" s="53" t="s">
        <v>171</v>
      </c>
      <c r="D131" s="53" t="s">
        <v>137</v>
      </c>
      <c r="E131" s="53" t="s">
        <v>4579</v>
      </c>
      <c r="F131" s="53" t="s">
        <v>4422</v>
      </c>
      <c r="G131" s="131" t="s">
        <v>30</v>
      </c>
      <c r="H131" s="53">
        <v>6</v>
      </c>
      <c r="I131" s="188">
        <v>135</v>
      </c>
      <c r="J131" s="54">
        <f t="shared" si="0"/>
        <v>810</v>
      </c>
      <c r="K131" s="55" t="b">
        <v>1</v>
      </c>
      <c r="L131" s="56">
        <v>140420251307</v>
      </c>
      <c r="M131" s="57" t="b">
        <v>1</v>
      </c>
      <c r="N131" s="58" t="s">
        <v>2968</v>
      </c>
      <c r="O131" s="215" t="s">
        <v>4580</v>
      </c>
      <c r="P131" s="191" t="b">
        <v>1</v>
      </c>
      <c r="Q131" s="308" t="s">
        <v>3138</v>
      </c>
      <c r="R131" s="173" t="s">
        <v>4581</v>
      </c>
      <c r="S131" s="47" t="b">
        <v>1</v>
      </c>
      <c r="T131" s="310" t="s">
        <v>4582</v>
      </c>
      <c r="U131" s="307"/>
      <c r="V131" s="54"/>
    </row>
    <row r="132" spans="1:22" ht="16">
      <c r="A132" s="162"/>
      <c r="B132" s="71" t="s">
        <v>4572</v>
      </c>
      <c r="C132" s="53" t="s">
        <v>51</v>
      </c>
      <c r="D132" s="53" t="s">
        <v>61</v>
      </c>
      <c r="E132" s="53" t="s">
        <v>505</v>
      </c>
      <c r="F132" s="53" t="s">
        <v>4583</v>
      </c>
      <c r="G132" s="131" t="s">
        <v>30</v>
      </c>
      <c r="H132" s="53">
        <v>300</v>
      </c>
      <c r="I132" s="188">
        <v>22.5</v>
      </c>
      <c r="J132" s="54">
        <f t="shared" si="0"/>
        <v>6750</v>
      </c>
      <c r="K132" s="55" t="b">
        <v>1</v>
      </c>
      <c r="L132" s="56">
        <v>140420251537</v>
      </c>
      <c r="M132" s="57" t="b">
        <v>1</v>
      </c>
      <c r="N132" s="58" t="s">
        <v>529</v>
      </c>
      <c r="O132" s="226"/>
      <c r="P132" s="191" t="b">
        <v>1</v>
      </c>
      <c r="Q132" s="308" t="s">
        <v>3138</v>
      </c>
      <c r="R132" s="173" t="s">
        <v>4584</v>
      </c>
      <c r="S132" s="47" t="b">
        <v>1</v>
      </c>
      <c r="T132" s="310" t="s">
        <v>4585</v>
      </c>
      <c r="U132" s="307"/>
      <c r="V132" s="54"/>
    </row>
    <row r="133" spans="1:22" ht="16">
      <c r="A133" s="162"/>
      <c r="B133" s="71" t="s">
        <v>4572</v>
      </c>
      <c r="C133" s="53" t="s">
        <v>282</v>
      </c>
      <c r="D133" s="53" t="s">
        <v>282</v>
      </c>
      <c r="E133" s="53" t="s">
        <v>365</v>
      </c>
      <c r="F133" s="53" t="s">
        <v>2833</v>
      </c>
      <c r="G133" s="131" t="s">
        <v>30</v>
      </c>
      <c r="H133" s="53">
        <v>10</v>
      </c>
      <c r="I133" s="188">
        <v>135</v>
      </c>
      <c r="J133" s="54">
        <f t="shared" si="0"/>
        <v>1350</v>
      </c>
      <c r="K133" s="55" t="b">
        <v>1</v>
      </c>
      <c r="L133" s="56">
        <v>150420252046</v>
      </c>
      <c r="M133" s="57" t="b">
        <v>1</v>
      </c>
      <c r="N133" s="58"/>
      <c r="O133" s="226"/>
      <c r="P133" s="191" t="b">
        <v>1</v>
      </c>
      <c r="Q133" s="308" t="s">
        <v>3138</v>
      </c>
      <c r="R133" s="173" t="s">
        <v>4586</v>
      </c>
      <c r="S133" s="47" t="b">
        <v>1</v>
      </c>
      <c r="T133" s="310" t="s">
        <v>4587</v>
      </c>
      <c r="U133" s="307"/>
      <c r="V133" s="54"/>
    </row>
    <row r="134" spans="1:22" ht="16">
      <c r="A134" s="162"/>
      <c r="B134" s="71" t="s">
        <v>4572</v>
      </c>
      <c r="C134" s="53" t="s">
        <v>51</v>
      </c>
      <c r="D134" s="53" t="s">
        <v>66</v>
      </c>
      <c r="E134" s="53" t="s">
        <v>67</v>
      </c>
      <c r="F134" s="53" t="s">
        <v>68</v>
      </c>
      <c r="G134" s="131" t="s">
        <v>30</v>
      </c>
      <c r="H134" s="53">
        <v>3</v>
      </c>
      <c r="I134" s="188">
        <v>2350</v>
      </c>
      <c r="J134" s="54">
        <f t="shared" si="0"/>
        <v>7050</v>
      </c>
      <c r="K134" s="55" t="b">
        <v>1</v>
      </c>
      <c r="L134" s="56">
        <v>150420252046</v>
      </c>
      <c r="M134" s="57" t="b">
        <v>1</v>
      </c>
      <c r="N134" s="58"/>
      <c r="O134" s="226"/>
      <c r="P134" s="191" t="b">
        <v>1</v>
      </c>
      <c r="Q134" s="308" t="s">
        <v>3138</v>
      </c>
      <c r="R134" s="173" t="s">
        <v>4588</v>
      </c>
      <c r="S134" s="47" t="b">
        <v>1</v>
      </c>
      <c r="T134" s="310" t="s">
        <v>4589</v>
      </c>
      <c r="U134" s="307"/>
      <c r="V134" s="54"/>
    </row>
    <row r="135" spans="1:22" ht="16">
      <c r="A135" s="162"/>
      <c r="B135" s="71" t="s">
        <v>4572</v>
      </c>
      <c r="C135" s="53" t="s">
        <v>569</v>
      </c>
      <c r="D135" s="53" t="s">
        <v>569</v>
      </c>
      <c r="E135" s="53" t="s">
        <v>2200</v>
      </c>
      <c r="F135" s="53" t="s">
        <v>1952</v>
      </c>
      <c r="G135" s="131" t="s">
        <v>30</v>
      </c>
      <c r="H135" s="53">
        <v>10</v>
      </c>
      <c r="I135" s="188">
        <v>635</v>
      </c>
      <c r="J135" s="54">
        <f t="shared" si="0"/>
        <v>6350</v>
      </c>
      <c r="K135" s="55" t="b">
        <v>1</v>
      </c>
      <c r="L135" s="56">
        <v>150420252046</v>
      </c>
      <c r="M135" s="57" t="b">
        <v>1</v>
      </c>
      <c r="N135" s="58" t="s">
        <v>39</v>
      </c>
      <c r="O135" s="226"/>
      <c r="P135" s="191" t="b">
        <v>1</v>
      </c>
      <c r="Q135" s="308" t="s">
        <v>3138</v>
      </c>
      <c r="R135" s="388"/>
      <c r="S135" s="47" t="b">
        <v>1</v>
      </c>
      <c r="T135" s="310" t="s">
        <v>4590</v>
      </c>
      <c r="U135" s="307"/>
      <c r="V135" s="54"/>
    </row>
    <row r="136" spans="1:22" ht="16">
      <c r="A136" s="162"/>
      <c r="B136" s="71" t="s">
        <v>4572</v>
      </c>
      <c r="C136" s="53" t="s">
        <v>262</v>
      </c>
      <c r="D136" s="53" t="s">
        <v>263</v>
      </c>
      <c r="E136" s="53" t="s">
        <v>2855</v>
      </c>
      <c r="F136" s="53" t="s">
        <v>874</v>
      </c>
      <c r="G136" s="131" t="s">
        <v>30</v>
      </c>
      <c r="H136" s="53">
        <v>200</v>
      </c>
      <c r="I136" s="188">
        <v>2.95</v>
      </c>
      <c r="J136" s="54">
        <f t="shared" si="0"/>
        <v>590</v>
      </c>
      <c r="K136" s="55" t="b">
        <v>1</v>
      </c>
      <c r="L136" s="56">
        <v>150420252046</v>
      </c>
      <c r="M136" s="57" t="b">
        <v>1</v>
      </c>
      <c r="N136" s="58"/>
      <c r="O136" s="226"/>
      <c r="P136" s="191" t="b">
        <v>1</v>
      </c>
      <c r="Q136" s="308" t="s">
        <v>3138</v>
      </c>
      <c r="R136" s="173" t="s">
        <v>4591</v>
      </c>
      <c r="S136" s="47" t="b">
        <v>1</v>
      </c>
      <c r="T136" s="310" t="s">
        <v>4592</v>
      </c>
      <c r="U136" s="307"/>
      <c r="V136" s="54"/>
    </row>
    <row r="137" spans="1:22" ht="16">
      <c r="A137" s="162"/>
      <c r="B137" s="71" t="s">
        <v>4572</v>
      </c>
      <c r="C137" s="53" t="s">
        <v>46</v>
      </c>
      <c r="D137" s="53" t="s">
        <v>47</v>
      </c>
      <c r="E137" s="53" t="s">
        <v>2676</v>
      </c>
      <c r="F137" s="53" t="s">
        <v>4583</v>
      </c>
      <c r="G137" s="131" t="s">
        <v>30</v>
      </c>
      <c r="H137" s="53">
        <v>300</v>
      </c>
      <c r="I137" s="188">
        <v>22.5</v>
      </c>
      <c r="J137" s="54">
        <f t="shared" si="0"/>
        <v>6750</v>
      </c>
      <c r="K137" s="55" t="b">
        <v>1</v>
      </c>
      <c r="L137" s="56">
        <v>150420252046</v>
      </c>
      <c r="M137" s="57" t="b">
        <v>1</v>
      </c>
      <c r="N137" s="58" t="s">
        <v>529</v>
      </c>
      <c r="O137" s="226"/>
      <c r="P137" s="191" t="b">
        <v>1</v>
      </c>
      <c r="Q137" s="308" t="s">
        <v>3138</v>
      </c>
      <c r="R137" s="388"/>
      <c r="S137" s="47" t="b">
        <v>1</v>
      </c>
      <c r="T137" s="310" t="s">
        <v>4593</v>
      </c>
      <c r="U137" s="307"/>
      <c r="V137" s="54" t="s">
        <v>4594</v>
      </c>
    </row>
    <row r="138" spans="1:22" ht="16">
      <c r="A138" s="162"/>
      <c r="B138" s="71" t="s">
        <v>4596</v>
      </c>
      <c r="C138" s="53" t="s">
        <v>212</v>
      </c>
      <c r="D138" s="53" t="s">
        <v>213</v>
      </c>
      <c r="E138" s="53" t="s">
        <v>2839</v>
      </c>
      <c r="F138" s="53" t="s">
        <v>2206</v>
      </c>
      <c r="G138" s="131" t="s">
        <v>30</v>
      </c>
      <c r="H138" s="53">
        <v>10</v>
      </c>
      <c r="I138" s="188">
        <v>635</v>
      </c>
      <c r="J138" s="54">
        <f t="shared" si="0"/>
        <v>6350</v>
      </c>
      <c r="K138" s="55" t="b">
        <v>1</v>
      </c>
      <c r="L138" s="56">
        <v>150420252046</v>
      </c>
      <c r="M138" s="57" t="b">
        <v>1</v>
      </c>
      <c r="N138" s="58" t="s">
        <v>39</v>
      </c>
      <c r="O138" s="226"/>
      <c r="P138" s="191" t="b">
        <v>1</v>
      </c>
      <c r="Q138" s="308" t="s">
        <v>3138</v>
      </c>
      <c r="R138" s="388"/>
      <c r="S138" s="47" t="b">
        <v>1</v>
      </c>
      <c r="T138" s="310" t="s">
        <v>4595</v>
      </c>
      <c r="U138" s="307"/>
      <c r="V138" s="54"/>
    </row>
    <row r="139" spans="1:22" ht="16">
      <c r="A139" s="162"/>
      <c r="B139" s="71" t="s">
        <v>4596</v>
      </c>
      <c r="C139" s="53" t="s">
        <v>104</v>
      </c>
      <c r="D139" s="53" t="s">
        <v>2273</v>
      </c>
      <c r="E139" s="53" t="s">
        <v>349</v>
      </c>
      <c r="F139" s="53" t="s">
        <v>4597</v>
      </c>
      <c r="G139" s="131" t="s">
        <v>30</v>
      </c>
      <c r="H139" s="53">
        <v>1</v>
      </c>
      <c r="I139" s="188">
        <v>875</v>
      </c>
      <c r="J139" s="54">
        <f t="shared" si="0"/>
        <v>875</v>
      </c>
      <c r="K139" s="55" t="b">
        <v>1</v>
      </c>
      <c r="L139" s="56">
        <v>150420252046</v>
      </c>
      <c r="M139" s="57" t="b">
        <v>1</v>
      </c>
      <c r="N139" s="58" t="s">
        <v>39</v>
      </c>
      <c r="O139" s="226">
        <v>45775</v>
      </c>
      <c r="P139" s="191" t="b">
        <v>1</v>
      </c>
      <c r="Q139" s="308" t="s">
        <v>3138</v>
      </c>
      <c r="R139" s="388"/>
      <c r="S139" s="47" t="b">
        <v>1</v>
      </c>
      <c r="T139" s="310" t="s">
        <v>4598</v>
      </c>
      <c r="U139" s="307"/>
      <c r="V139" s="54"/>
    </row>
    <row r="140" spans="1:22" ht="16">
      <c r="A140" s="162"/>
      <c r="B140" s="71" t="s">
        <v>4596</v>
      </c>
      <c r="C140" s="53" t="s">
        <v>51</v>
      </c>
      <c r="D140" s="53" t="s">
        <v>52</v>
      </c>
      <c r="E140" s="53" t="s">
        <v>1710</v>
      </c>
      <c r="F140" s="53" t="s">
        <v>1024</v>
      </c>
      <c r="G140" s="131" t="s">
        <v>30</v>
      </c>
      <c r="H140" s="53">
        <v>5</v>
      </c>
      <c r="I140" s="188">
        <v>165</v>
      </c>
      <c r="J140" s="54">
        <f t="shared" si="0"/>
        <v>825</v>
      </c>
      <c r="K140" s="55" t="b">
        <v>1</v>
      </c>
      <c r="L140" s="56">
        <v>150420252046</v>
      </c>
      <c r="M140" s="57" t="b">
        <v>1</v>
      </c>
      <c r="N140" s="58"/>
      <c r="O140" s="226"/>
      <c r="P140" s="191" t="b">
        <v>1</v>
      </c>
      <c r="Q140" s="308" t="s">
        <v>3138</v>
      </c>
      <c r="R140" s="173" t="s">
        <v>4599</v>
      </c>
      <c r="S140" s="47" t="b">
        <v>1</v>
      </c>
      <c r="T140" s="310" t="s">
        <v>4600</v>
      </c>
      <c r="U140" s="307"/>
      <c r="V140" s="54"/>
    </row>
    <row r="141" spans="1:22" ht="16">
      <c r="A141" s="162"/>
      <c r="B141" s="71" t="s">
        <v>4596</v>
      </c>
      <c r="C141" s="53" t="s">
        <v>212</v>
      </c>
      <c r="D141" s="53" t="s">
        <v>213</v>
      </c>
      <c r="E141" s="53" t="s">
        <v>214</v>
      </c>
      <c r="F141" s="53" t="s">
        <v>2595</v>
      </c>
      <c r="G141" s="131" t="s">
        <v>30</v>
      </c>
      <c r="H141" s="53">
        <v>30</v>
      </c>
      <c r="I141" s="188">
        <v>260</v>
      </c>
      <c r="J141" s="54">
        <f t="shared" si="0"/>
        <v>7800</v>
      </c>
      <c r="K141" s="55" t="b">
        <v>1</v>
      </c>
      <c r="L141" s="56">
        <v>150420251814</v>
      </c>
      <c r="M141" s="57" t="b">
        <v>1</v>
      </c>
      <c r="N141" s="58" t="s">
        <v>529</v>
      </c>
      <c r="O141" s="226">
        <v>45764</v>
      </c>
      <c r="P141" s="191" t="b">
        <v>1</v>
      </c>
      <c r="Q141" s="308" t="s">
        <v>3138</v>
      </c>
      <c r="R141" s="173" t="s">
        <v>4601</v>
      </c>
      <c r="S141" s="47" t="b">
        <v>1</v>
      </c>
      <c r="T141" s="310" t="s">
        <v>4602</v>
      </c>
      <c r="U141" s="307"/>
      <c r="V141" s="54"/>
    </row>
    <row r="142" spans="1:22" ht="16">
      <c r="A142" s="162"/>
      <c r="B142" s="71" t="s">
        <v>4596</v>
      </c>
      <c r="C142" s="53" t="s">
        <v>1133</v>
      </c>
      <c r="D142" s="53" t="s">
        <v>1234</v>
      </c>
      <c r="E142" s="53" t="s">
        <v>1439</v>
      </c>
      <c r="F142" s="53" t="s">
        <v>4603</v>
      </c>
      <c r="G142" s="131" t="s">
        <v>30</v>
      </c>
      <c r="H142" s="53">
        <v>30</v>
      </c>
      <c r="I142" s="188">
        <v>135</v>
      </c>
      <c r="J142" s="54">
        <f t="shared" si="0"/>
        <v>4050</v>
      </c>
      <c r="K142" s="55" t="b">
        <v>1</v>
      </c>
      <c r="L142" s="56">
        <v>160420252022</v>
      </c>
      <c r="M142" s="57" t="b">
        <v>1</v>
      </c>
      <c r="N142" s="58"/>
      <c r="O142" s="226"/>
      <c r="P142" s="191" t="b">
        <v>1</v>
      </c>
      <c r="Q142" s="308" t="s">
        <v>3138</v>
      </c>
      <c r="R142" s="173" t="s">
        <v>4604</v>
      </c>
      <c r="S142" s="47" t="b">
        <v>1</v>
      </c>
      <c r="T142" s="310" t="s">
        <v>4605</v>
      </c>
      <c r="U142" s="307"/>
      <c r="V142" s="54"/>
    </row>
    <row r="143" spans="1:22" ht="16">
      <c r="A143" s="162"/>
      <c r="B143" s="71" t="s">
        <v>791</v>
      </c>
      <c r="C143" s="53" t="s">
        <v>4606</v>
      </c>
      <c r="D143" s="53" t="s">
        <v>149</v>
      </c>
      <c r="E143" s="53" t="s">
        <v>150</v>
      </c>
      <c r="F143" s="53" t="s">
        <v>436</v>
      </c>
      <c r="G143" s="131" t="s">
        <v>30</v>
      </c>
      <c r="H143" s="53">
        <v>100</v>
      </c>
      <c r="I143" s="188">
        <v>250</v>
      </c>
      <c r="J143" s="54">
        <f t="shared" si="0"/>
        <v>25000</v>
      </c>
      <c r="K143" s="55" t="b">
        <v>1</v>
      </c>
      <c r="L143" s="56">
        <v>170420251529</v>
      </c>
      <c r="M143" s="57" t="b">
        <v>1</v>
      </c>
      <c r="N143" s="58" t="s">
        <v>529</v>
      </c>
      <c r="O143" s="226"/>
      <c r="P143" s="191" t="b">
        <v>1</v>
      </c>
      <c r="Q143" s="389" t="s">
        <v>4528</v>
      </c>
      <c r="R143" s="173" t="s">
        <v>4607</v>
      </c>
      <c r="S143" s="47" t="b">
        <v>1</v>
      </c>
      <c r="T143" s="310" t="s">
        <v>4608</v>
      </c>
      <c r="U143" s="307"/>
      <c r="V143" s="54"/>
    </row>
    <row r="144" spans="1:22" ht="16">
      <c r="A144" s="162"/>
      <c r="B144" s="71" t="s">
        <v>791</v>
      </c>
      <c r="C144" s="53" t="s">
        <v>4606</v>
      </c>
      <c r="D144" s="53" t="s">
        <v>149</v>
      </c>
      <c r="E144" s="53" t="s">
        <v>150</v>
      </c>
      <c r="F144" s="53" t="s">
        <v>436</v>
      </c>
      <c r="G144" s="131" t="s">
        <v>30</v>
      </c>
      <c r="H144" s="53">
        <v>50</v>
      </c>
      <c r="I144" s="188">
        <v>250</v>
      </c>
      <c r="J144" s="54">
        <f t="shared" si="0"/>
        <v>12500</v>
      </c>
      <c r="K144" s="55" t="b">
        <v>1</v>
      </c>
      <c r="L144" s="56">
        <v>170420251529</v>
      </c>
      <c r="M144" s="57" t="b">
        <v>1</v>
      </c>
      <c r="N144" s="58" t="s">
        <v>529</v>
      </c>
      <c r="O144" s="226"/>
      <c r="P144" s="191" t="b">
        <v>1</v>
      </c>
      <c r="Q144" s="389" t="s">
        <v>4528</v>
      </c>
      <c r="R144" s="395"/>
      <c r="S144" s="47" t="b">
        <v>1</v>
      </c>
      <c r="T144" s="310" t="s">
        <v>4609</v>
      </c>
      <c r="U144" s="307"/>
      <c r="V144" s="54"/>
    </row>
    <row r="145" spans="1:22" ht="16">
      <c r="A145" s="162"/>
      <c r="B145" s="71" t="s">
        <v>791</v>
      </c>
      <c r="C145" s="53" t="s">
        <v>4606</v>
      </c>
      <c r="D145" s="53" t="s">
        <v>149</v>
      </c>
      <c r="E145" s="53" t="s">
        <v>150</v>
      </c>
      <c r="F145" s="53" t="s">
        <v>72</v>
      </c>
      <c r="G145" s="131" t="s">
        <v>30</v>
      </c>
      <c r="H145" s="53">
        <v>1</v>
      </c>
      <c r="I145" s="188">
        <v>2000</v>
      </c>
      <c r="J145" s="54">
        <f t="shared" si="0"/>
        <v>2000</v>
      </c>
      <c r="K145" s="55" t="b">
        <v>1</v>
      </c>
      <c r="L145" s="56">
        <v>170420251529</v>
      </c>
      <c r="M145" s="57" t="b">
        <v>1</v>
      </c>
      <c r="N145" s="58"/>
      <c r="O145" s="226"/>
      <c r="P145" s="191" t="b">
        <v>1</v>
      </c>
      <c r="Q145" s="389" t="s">
        <v>4528</v>
      </c>
      <c r="R145" s="388"/>
      <c r="S145" s="47" t="b">
        <v>1</v>
      </c>
      <c r="T145" s="310" t="s">
        <v>4610</v>
      </c>
      <c r="U145" s="307"/>
      <c r="V145" s="54"/>
    </row>
    <row r="146" spans="1:22" ht="16">
      <c r="A146" s="162"/>
      <c r="B146" s="71" t="s">
        <v>791</v>
      </c>
      <c r="C146" s="53" t="s">
        <v>51</v>
      </c>
      <c r="D146" s="53" t="s">
        <v>89</v>
      </c>
      <c r="E146" s="53" t="s">
        <v>2853</v>
      </c>
      <c r="F146" s="53" t="s">
        <v>4611</v>
      </c>
      <c r="G146" s="131" t="s">
        <v>30</v>
      </c>
      <c r="H146" s="53">
        <v>1</v>
      </c>
      <c r="I146" s="188">
        <v>1350</v>
      </c>
      <c r="J146" s="54">
        <f t="shared" si="0"/>
        <v>1350</v>
      </c>
      <c r="K146" s="55" t="b">
        <v>1</v>
      </c>
      <c r="L146" s="56">
        <v>180220251623</v>
      </c>
      <c r="M146" s="57" t="b">
        <v>1</v>
      </c>
      <c r="N146" s="58"/>
      <c r="O146" s="226"/>
      <c r="P146" s="191" t="b">
        <v>1</v>
      </c>
      <c r="Q146" s="308" t="s">
        <v>3138</v>
      </c>
      <c r="R146" s="173" t="s">
        <v>4612</v>
      </c>
      <c r="S146" s="47" t="b">
        <v>1</v>
      </c>
      <c r="T146" s="310" t="s">
        <v>4613</v>
      </c>
      <c r="U146" s="307"/>
      <c r="V146" s="54"/>
    </row>
    <row r="147" spans="1:22" ht="16">
      <c r="A147" s="162"/>
      <c r="B147" s="71" t="s">
        <v>4614</v>
      </c>
      <c r="C147" s="53" t="s">
        <v>51</v>
      </c>
      <c r="D147" s="53" t="s">
        <v>475</v>
      </c>
      <c r="E147" s="53" t="s">
        <v>2105</v>
      </c>
      <c r="F147" s="53" t="s">
        <v>4583</v>
      </c>
      <c r="G147" s="131" t="s">
        <v>30</v>
      </c>
      <c r="H147" s="53">
        <v>150</v>
      </c>
      <c r="I147" s="188">
        <v>22.5</v>
      </c>
      <c r="J147" s="54">
        <f t="shared" si="0"/>
        <v>3375</v>
      </c>
      <c r="K147" s="55" t="b">
        <v>1</v>
      </c>
      <c r="L147" s="56">
        <v>180220251623</v>
      </c>
      <c r="M147" s="57" t="b">
        <v>1</v>
      </c>
      <c r="N147" s="58" t="s">
        <v>529</v>
      </c>
      <c r="O147" s="226"/>
      <c r="P147" s="191" t="b">
        <v>1</v>
      </c>
      <c r="Q147" s="308" t="s">
        <v>3138</v>
      </c>
      <c r="R147" s="173" t="s">
        <v>4615</v>
      </c>
      <c r="S147" s="47" t="b">
        <v>1</v>
      </c>
      <c r="T147" s="310" t="s">
        <v>4616</v>
      </c>
      <c r="U147" s="307"/>
      <c r="V147" s="54"/>
    </row>
    <row r="148" spans="1:22" ht="16">
      <c r="A148" s="162"/>
      <c r="B148" s="71" t="s">
        <v>4614</v>
      </c>
      <c r="C148" s="53" t="s">
        <v>418</v>
      </c>
      <c r="D148" s="53" t="s">
        <v>4617</v>
      </c>
      <c r="E148" s="53" t="s">
        <v>4618</v>
      </c>
      <c r="F148" s="53" t="s">
        <v>3375</v>
      </c>
      <c r="G148" s="131" t="s">
        <v>30</v>
      </c>
      <c r="H148" s="53">
        <v>5</v>
      </c>
      <c r="I148" s="188">
        <v>2100</v>
      </c>
      <c r="J148" s="54">
        <f t="shared" si="0"/>
        <v>10500</v>
      </c>
      <c r="K148" s="55" t="b">
        <v>1</v>
      </c>
      <c r="L148" s="56">
        <v>180220251623</v>
      </c>
      <c r="M148" s="57" t="b">
        <v>1</v>
      </c>
      <c r="N148" s="58" t="s">
        <v>3300</v>
      </c>
      <c r="O148" s="226"/>
      <c r="P148" s="191" t="b">
        <v>1</v>
      </c>
      <c r="Q148" s="308" t="s">
        <v>3138</v>
      </c>
      <c r="R148" s="173" t="s">
        <v>4619</v>
      </c>
      <c r="S148" s="47" t="b">
        <v>1</v>
      </c>
      <c r="T148" s="310" t="s">
        <v>4620</v>
      </c>
      <c r="U148" s="307"/>
      <c r="V148" s="54"/>
    </row>
    <row r="149" spans="1:22" ht="16">
      <c r="A149" s="162"/>
      <c r="B149" s="71" t="s">
        <v>4614</v>
      </c>
      <c r="C149" s="53" t="s">
        <v>2152</v>
      </c>
      <c r="D149" s="53" t="s">
        <v>2152</v>
      </c>
      <c r="E149" s="53" t="s">
        <v>4621</v>
      </c>
      <c r="F149" s="53" t="s">
        <v>49</v>
      </c>
      <c r="G149" s="131" t="s">
        <v>30</v>
      </c>
      <c r="H149" s="53">
        <v>10</v>
      </c>
      <c r="I149" s="188">
        <v>635</v>
      </c>
      <c r="J149" s="54">
        <f t="shared" si="0"/>
        <v>6350</v>
      </c>
      <c r="K149" s="55" t="b">
        <v>1</v>
      </c>
      <c r="L149" s="56">
        <v>180220251623</v>
      </c>
      <c r="M149" s="57" t="b">
        <v>1</v>
      </c>
      <c r="N149" s="58" t="s">
        <v>39</v>
      </c>
      <c r="O149" s="226">
        <v>45766</v>
      </c>
      <c r="P149" s="191" t="b">
        <v>1</v>
      </c>
      <c r="Q149" s="308" t="s">
        <v>3138</v>
      </c>
      <c r="R149" s="388"/>
      <c r="S149" s="47" t="b">
        <v>1</v>
      </c>
      <c r="T149" s="310" t="s">
        <v>4622</v>
      </c>
      <c r="U149" s="307"/>
      <c r="V149" s="54"/>
    </row>
    <row r="150" spans="1:22" ht="14.25" customHeight="1">
      <c r="A150" s="162"/>
      <c r="B150" s="71" t="s">
        <v>4614</v>
      </c>
      <c r="C150" s="53" t="s">
        <v>2152</v>
      </c>
      <c r="D150" s="53" t="s">
        <v>137</v>
      </c>
      <c r="E150" s="53" t="s">
        <v>4621</v>
      </c>
      <c r="F150" s="53" t="s">
        <v>68</v>
      </c>
      <c r="G150" s="131" t="s">
        <v>30</v>
      </c>
      <c r="H150" s="53">
        <v>1</v>
      </c>
      <c r="I150" s="188">
        <v>2350</v>
      </c>
      <c r="J150" s="54">
        <f t="shared" si="0"/>
        <v>2350</v>
      </c>
      <c r="K150" s="55" t="b">
        <v>1</v>
      </c>
      <c r="L150" s="56">
        <v>180220251623</v>
      </c>
      <c r="M150" s="57" t="b">
        <v>1</v>
      </c>
      <c r="N150" s="58"/>
      <c r="O150" s="226"/>
      <c r="P150" s="191" t="b">
        <v>1</v>
      </c>
      <c r="Q150" s="308" t="s">
        <v>3138</v>
      </c>
      <c r="R150" s="173" t="s">
        <v>4623</v>
      </c>
      <c r="S150" s="47" t="b">
        <v>1</v>
      </c>
      <c r="T150" s="310" t="s">
        <v>4624</v>
      </c>
      <c r="U150" s="307"/>
      <c r="V150" s="54"/>
    </row>
    <row r="151" spans="1:22" ht="16">
      <c r="A151" s="162"/>
      <c r="B151" s="71" t="s">
        <v>4614</v>
      </c>
      <c r="C151" s="53" t="s">
        <v>2152</v>
      </c>
      <c r="D151" s="53" t="s">
        <v>137</v>
      </c>
      <c r="E151" s="53" t="s">
        <v>4621</v>
      </c>
      <c r="F151" s="53" t="s">
        <v>4583</v>
      </c>
      <c r="G151" s="131" t="s">
        <v>30</v>
      </c>
      <c r="H151" s="53">
        <v>150</v>
      </c>
      <c r="I151" s="188">
        <v>22.5</v>
      </c>
      <c r="J151" s="54">
        <f t="shared" si="0"/>
        <v>3375</v>
      </c>
      <c r="K151" s="55" t="b">
        <v>1</v>
      </c>
      <c r="L151" s="56">
        <v>180220251623</v>
      </c>
      <c r="M151" s="57" t="b">
        <v>1</v>
      </c>
      <c r="N151" s="58" t="s">
        <v>529</v>
      </c>
      <c r="O151" s="226"/>
      <c r="P151" s="191" t="b">
        <v>1</v>
      </c>
      <c r="Q151" s="308" t="s">
        <v>3138</v>
      </c>
      <c r="R151" s="388"/>
      <c r="S151" s="47" t="b">
        <v>1</v>
      </c>
      <c r="T151" s="310" t="s">
        <v>4625</v>
      </c>
      <c r="U151" s="307"/>
      <c r="V151" s="54"/>
    </row>
    <row r="152" spans="1:22" ht="16">
      <c r="A152" s="162"/>
      <c r="B152" s="71" t="s">
        <v>4614</v>
      </c>
      <c r="C152" s="53" t="s">
        <v>104</v>
      </c>
      <c r="D152" s="53" t="s">
        <v>620</v>
      </c>
      <c r="E152" s="53" t="s">
        <v>621</v>
      </c>
      <c r="F152" s="53" t="s">
        <v>139</v>
      </c>
      <c r="G152" s="131" t="s">
        <v>30</v>
      </c>
      <c r="H152" s="53">
        <v>100</v>
      </c>
      <c r="I152" s="188">
        <v>30</v>
      </c>
      <c r="J152" s="54">
        <f t="shared" si="0"/>
        <v>3000</v>
      </c>
      <c r="K152" s="55" t="b">
        <v>1</v>
      </c>
      <c r="L152" s="56">
        <v>180220251623</v>
      </c>
      <c r="M152" s="57" t="b">
        <v>1</v>
      </c>
      <c r="N152" s="58"/>
      <c r="O152" s="226"/>
      <c r="P152" s="191" t="b">
        <v>1</v>
      </c>
      <c r="Q152" s="308" t="s">
        <v>3138</v>
      </c>
      <c r="R152" s="173" t="s">
        <v>4626</v>
      </c>
      <c r="S152" s="47" t="b">
        <v>1</v>
      </c>
      <c r="T152" s="310" t="s">
        <v>4627</v>
      </c>
      <c r="U152" s="307"/>
      <c r="V152" s="54"/>
    </row>
    <row r="153" spans="1:22" ht="16">
      <c r="A153" s="162"/>
      <c r="B153" s="71" t="s">
        <v>4614</v>
      </c>
      <c r="C153" s="53" t="s">
        <v>144</v>
      </c>
      <c r="D153" s="53" t="s">
        <v>2055</v>
      </c>
      <c r="E153" s="53" t="s">
        <v>286</v>
      </c>
      <c r="F153" s="53" t="s">
        <v>49</v>
      </c>
      <c r="G153" s="131" t="s">
        <v>30</v>
      </c>
      <c r="H153" s="53">
        <v>10</v>
      </c>
      <c r="I153" s="188">
        <v>635</v>
      </c>
      <c r="J153" s="54">
        <f t="shared" si="0"/>
        <v>6350</v>
      </c>
      <c r="K153" s="55" t="b">
        <v>1</v>
      </c>
      <c r="L153" s="56">
        <v>180220251623</v>
      </c>
      <c r="M153" s="57" t="b">
        <v>1</v>
      </c>
      <c r="N153" s="58" t="s">
        <v>39</v>
      </c>
      <c r="O153" s="226">
        <v>45766</v>
      </c>
      <c r="P153" s="191" t="b">
        <v>1</v>
      </c>
      <c r="Q153" s="308" t="s">
        <v>3138</v>
      </c>
      <c r="R153" s="388"/>
      <c r="S153" s="47" t="b">
        <v>1</v>
      </c>
      <c r="T153" s="310" t="s">
        <v>4628</v>
      </c>
      <c r="U153" s="307"/>
      <c r="V153" s="54"/>
    </row>
    <row r="154" spans="1:22" ht="16">
      <c r="A154" s="162"/>
      <c r="B154" s="71" t="s">
        <v>4614</v>
      </c>
      <c r="C154" s="53" t="s">
        <v>144</v>
      </c>
      <c r="D154" s="53" t="s">
        <v>2055</v>
      </c>
      <c r="E154" s="53" t="s">
        <v>286</v>
      </c>
      <c r="F154" s="53" t="s">
        <v>4629</v>
      </c>
      <c r="G154" s="131" t="s">
        <v>30</v>
      </c>
      <c r="H154" s="53">
        <v>5</v>
      </c>
      <c r="I154" s="188">
        <v>1950</v>
      </c>
      <c r="J154" s="54">
        <f t="shared" si="0"/>
        <v>9750</v>
      </c>
      <c r="K154" s="55" t="b">
        <v>1</v>
      </c>
      <c r="L154" s="56">
        <v>180220251623</v>
      </c>
      <c r="M154" s="57" t="b">
        <v>1</v>
      </c>
      <c r="N154" s="58" t="s">
        <v>3300</v>
      </c>
      <c r="O154" s="226"/>
      <c r="P154" s="191" t="b">
        <v>1</v>
      </c>
      <c r="Q154" s="308" t="s">
        <v>3138</v>
      </c>
      <c r="R154" s="173" t="s">
        <v>4630</v>
      </c>
      <c r="S154" s="47" t="b">
        <v>1</v>
      </c>
      <c r="T154" s="310" t="s">
        <v>4631</v>
      </c>
      <c r="U154" s="307"/>
      <c r="V154" s="54"/>
    </row>
    <row r="155" spans="1:22" ht="16">
      <c r="A155" s="162"/>
      <c r="B155" s="71" t="s">
        <v>4614</v>
      </c>
      <c r="C155" s="53" t="s">
        <v>144</v>
      </c>
      <c r="D155" s="53" t="s">
        <v>2055</v>
      </c>
      <c r="E155" s="53" t="s">
        <v>286</v>
      </c>
      <c r="F155" s="53" t="s">
        <v>4632</v>
      </c>
      <c r="G155" s="131" t="s">
        <v>30</v>
      </c>
      <c r="H155" s="53">
        <v>6</v>
      </c>
      <c r="I155" s="188">
        <v>1250</v>
      </c>
      <c r="J155" s="54">
        <f t="shared" si="0"/>
        <v>7500</v>
      </c>
      <c r="K155" s="55" t="b">
        <v>1</v>
      </c>
      <c r="L155" s="56">
        <v>180220251623</v>
      </c>
      <c r="M155" s="57" t="b">
        <v>1</v>
      </c>
      <c r="N155" s="58" t="s">
        <v>3300</v>
      </c>
      <c r="O155" s="226"/>
      <c r="P155" s="191" t="b">
        <v>1</v>
      </c>
      <c r="Q155" s="308" t="s">
        <v>3138</v>
      </c>
      <c r="R155" s="173" t="s">
        <v>4630</v>
      </c>
      <c r="S155" s="47" t="b">
        <v>1</v>
      </c>
      <c r="T155" s="310" t="s">
        <v>4631</v>
      </c>
      <c r="U155" s="307"/>
      <c r="V155" s="54"/>
    </row>
    <row r="156" spans="1:22" ht="16">
      <c r="A156" s="162"/>
      <c r="B156" s="71" t="s">
        <v>4614</v>
      </c>
      <c r="C156" s="53" t="s">
        <v>26</v>
      </c>
      <c r="D156" s="53" t="s">
        <v>1976</v>
      </c>
      <c r="E156" s="53" t="s">
        <v>2124</v>
      </c>
      <c r="F156" s="53" t="s">
        <v>68</v>
      </c>
      <c r="G156" s="131" t="s">
        <v>30</v>
      </c>
      <c r="H156" s="53">
        <v>1</v>
      </c>
      <c r="I156" s="188">
        <v>2350</v>
      </c>
      <c r="J156" s="54">
        <f t="shared" si="0"/>
        <v>2350</v>
      </c>
      <c r="K156" s="55" t="b">
        <v>1</v>
      </c>
      <c r="L156" s="56">
        <v>180220251623</v>
      </c>
      <c r="M156" s="57" t="b">
        <v>1</v>
      </c>
      <c r="N156" s="58"/>
      <c r="O156" s="226"/>
      <c r="P156" s="191" t="b">
        <v>1</v>
      </c>
      <c r="Q156" s="308" t="s">
        <v>3138</v>
      </c>
      <c r="R156" s="173" t="s">
        <v>4633</v>
      </c>
      <c r="S156" s="47" t="b">
        <v>1</v>
      </c>
      <c r="T156" s="310" t="s">
        <v>4634</v>
      </c>
      <c r="U156" s="307"/>
      <c r="V156" s="54"/>
    </row>
    <row r="157" spans="1:22" ht="16">
      <c r="A157" s="162"/>
      <c r="B157" s="71" t="s">
        <v>4614</v>
      </c>
      <c r="C157" s="53" t="s">
        <v>51</v>
      </c>
      <c r="D157" s="53" t="s">
        <v>89</v>
      </c>
      <c r="E157" s="53" t="s">
        <v>2090</v>
      </c>
      <c r="F157" s="53" t="s">
        <v>49</v>
      </c>
      <c r="G157" s="131" t="s">
        <v>30</v>
      </c>
      <c r="H157" s="53">
        <v>10</v>
      </c>
      <c r="I157" s="188">
        <v>635</v>
      </c>
      <c r="J157" s="54">
        <f t="shared" si="0"/>
        <v>6350</v>
      </c>
      <c r="K157" s="55" t="b">
        <v>1</v>
      </c>
      <c r="L157" s="56">
        <v>180220251623</v>
      </c>
      <c r="M157" s="57" t="b">
        <v>1</v>
      </c>
      <c r="N157" s="58" t="s">
        <v>39</v>
      </c>
      <c r="O157" s="226">
        <v>45766</v>
      </c>
      <c r="P157" s="191" t="b">
        <v>1</v>
      </c>
      <c r="Q157" s="308" t="s">
        <v>3138</v>
      </c>
      <c r="R157" s="388"/>
      <c r="S157" s="47" t="b">
        <v>1</v>
      </c>
      <c r="T157" s="310" t="s">
        <v>4635</v>
      </c>
      <c r="U157" s="307"/>
      <c r="V157" s="54"/>
    </row>
    <row r="158" spans="1:22" ht="16">
      <c r="A158" s="162"/>
      <c r="B158" s="71" t="s">
        <v>4614</v>
      </c>
      <c r="C158" s="53" t="s">
        <v>51</v>
      </c>
      <c r="D158" s="53" t="s">
        <v>89</v>
      </c>
      <c r="E158" s="53" t="s">
        <v>2090</v>
      </c>
      <c r="F158" s="53" t="s">
        <v>1024</v>
      </c>
      <c r="G158" s="131" t="s">
        <v>30</v>
      </c>
      <c r="H158" s="53">
        <v>5</v>
      </c>
      <c r="I158" s="188">
        <v>165</v>
      </c>
      <c r="J158" s="54">
        <f t="shared" si="0"/>
        <v>825</v>
      </c>
      <c r="K158" s="55" t="b">
        <v>1</v>
      </c>
      <c r="L158" s="56">
        <v>180220251623</v>
      </c>
      <c r="M158" s="57" t="b">
        <v>1</v>
      </c>
      <c r="N158" s="58"/>
      <c r="O158" s="226"/>
      <c r="P158" s="191" t="b">
        <v>1</v>
      </c>
      <c r="Q158" s="308" t="s">
        <v>3138</v>
      </c>
      <c r="R158" s="173" t="s">
        <v>4636</v>
      </c>
      <c r="S158" s="47" t="b">
        <v>1</v>
      </c>
      <c r="T158" s="310" t="s">
        <v>4637</v>
      </c>
      <c r="U158" s="307"/>
      <c r="V158" s="54"/>
    </row>
    <row r="159" spans="1:22" ht="16">
      <c r="A159" s="162"/>
      <c r="B159" s="71" t="s">
        <v>4638</v>
      </c>
      <c r="C159" s="53" t="s">
        <v>212</v>
      </c>
      <c r="D159" s="53" t="s">
        <v>213</v>
      </c>
      <c r="E159" s="53" t="s">
        <v>214</v>
      </c>
      <c r="F159" s="53" t="s">
        <v>4583</v>
      </c>
      <c r="G159" s="131" t="s">
        <v>30</v>
      </c>
      <c r="H159" s="53">
        <v>5</v>
      </c>
      <c r="I159" s="188">
        <v>22.5</v>
      </c>
      <c r="J159" s="54">
        <f t="shared" si="0"/>
        <v>112.5</v>
      </c>
      <c r="K159" s="55" t="b">
        <v>1</v>
      </c>
      <c r="L159" s="56">
        <v>210420250847</v>
      </c>
      <c r="M159" s="57" t="b">
        <v>1</v>
      </c>
      <c r="N159" s="58" t="s">
        <v>529</v>
      </c>
      <c r="O159" s="226"/>
      <c r="P159" s="191" t="b">
        <v>1</v>
      </c>
      <c r="Q159" s="308" t="s">
        <v>3138</v>
      </c>
      <c r="R159" s="388"/>
      <c r="S159" s="47" t="b">
        <v>1</v>
      </c>
      <c r="T159" s="310" t="s">
        <v>4639</v>
      </c>
      <c r="U159" s="307"/>
      <c r="V159" s="54"/>
    </row>
    <row r="160" spans="1:22" ht="16">
      <c r="A160" s="162"/>
      <c r="B160" s="71" t="s">
        <v>4638</v>
      </c>
      <c r="C160" s="53" t="s">
        <v>3242</v>
      </c>
      <c r="D160" s="53" t="s">
        <v>2296</v>
      </c>
      <c r="E160" s="53" t="s">
        <v>2601</v>
      </c>
      <c r="F160" s="53" t="s">
        <v>58</v>
      </c>
      <c r="G160" s="131" t="s">
        <v>30</v>
      </c>
      <c r="H160" s="53">
        <v>84</v>
      </c>
      <c r="I160" s="188">
        <v>42</v>
      </c>
      <c r="J160" s="54">
        <f t="shared" si="0"/>
        <v>3528</v>
      </c>
      <c r="K160" s="55" t="b">
        <v>1</v>
      </c>
      <c r="L160" s="56">
        <v>210420250957</v>
      </c>
      <c r="M160" s="57" t="b">
        <v>1</v>
      </c>
      <c r="N160" s="58" t="s">
        <v>1581</v>
      </c>
      <c r="O160" s="226"/>
      <c r="P160" s="191" t="b">
        <v>1</v>
      </c>
      <c r="Q160" s="308" t="s">
        <v>3138</v>
      </c>
      <c r="R160" s="173" t="s">
        <v>4640</v>
      </c>
      <c r="S160" s="47" t="b">
        <v>1</v>
      </c>
      <c r="T160" s="310" t="s">
        <v>4641</v>
      </c>
      <c r="U160" s="307"/>
      <c r="V160" s="54"/>
    </row>
    <row r="161" spans="1:22" ht="16">
      <c r="A161" s="162"/>
      <c r="B161" s="71" t="s">
        <v>4638</v>
      </c>
      <c r="C161" s="53" t="s">
        <v>104</v>
      </c>
      <c r="D161" s="53" t="s">
        <v>4642</v>
      </c>
      <c r="E161" s="53" t="s">
        <v>975</v>
      </c>
      <c r="F161" s="396" t="s">
        <v>4643</v>
      </c>
      <c r="G161" s="131" t="s">
        <v>30</v>
      </c>
      <c r="H161" s="53">
        <v>25</v>
      </c>
      <c r="I161" s="188">
        <v>950</v>
      </c>
      <c r="J161" s="54">
        <f t="shared" si="0"/>
        <v>23750</v>
      </c>
      <c r="K161" s="55" t="b">
        <v>1</v>
      </c>
      <c r="L161" s="56">
        <v>21040251026</v>
      </c>
      <c r="M161" s="57" t="b">
        <v>1</v>
      </c>
      <c r="N161" s="58" t="s">
        <v>529</v>
      </c>
      <c r="O161" s="226">
        <v>45771</v>
      </c>
      <c r="P161" s="191" t="b">
        <v>1</v>
      </c>
      <c r="Q161" s="308" t="s">
        <v>3138</v>
      </c>
      <c r="R161" s="128"/>
      <c r="S161" s="47" t="b">
        <v>1</v>
      </c>
      <c r="T161" s="310" t="s">
        <v>4644</v>
      </c>
      <c r="U161" s="307"/>
      <c r="V161" s="54"/>
    </row>
    <row r="162" spans="1:22" ht="16">
      <c r="A162" s="162"/>
      <c r="B162" s="71" t="s">
        <v>4638</v>
      </c>
      <c r="C162" s="53" t="s">
        <v>104</v>
      </c>
      <c r="D162" s="53" t="s">
        <v>4642</v>
      </c>
      <c r="E162" s="53" t="s">
        <v>975</v>
      </c>
      <c r="F162" s="53" t="s">
        <v>72</v>
      </c>
      <c r="G162" s="131" t="s">
        <v>30</v>
      </c>
      <c r="H162" s="53">
        <v>1</v>
      </c>
      <c r="I162" s="188">
        <v>500</v>
      </c>
      <c r="J162" s="54">
        <f t="shared" si="0"/>
        <v>500</v>
      </c>
      <c r="K162" s="55" t="b">
        <v>1</v>
      </c>
      <c r="L162" s="56">
        <v>21040251026</v>
      </c>
      <c r="M162" s="57" t="b">
        <v>1</v>
      </c>
      <c r="N162" s="58" t="s">
        <v>529</v>
      </c>
      <c r="O162" s="226"/>
      <c r="P162" s="191" t="b">
        <v>1</v>
      </c>
      <c r="Q162" s="308" t="s">
        <v>3138</v>
      </c>
      <c r="R162" s="128"/>
      <c r="S162" s="47" t="b">
        <v>1</v>
      </c>
      <c r="T162" s="310" t="s">
        <v>4645</v>
      </c>
      <c r="U162" s="307"/>
      <c r="V162" s="54"/>
    </row>
    <row r="163" spans="1:22" ht="16">
      <c r="A163" s="162"/>
      <c r="B163" s="71" t="s">
        <v>4638</v>
      </c>
      <c r="C163" s="53" t="s">
        <v>104</v>
      </c>
      <c r="D163" s="53" t="s">
        <v>673</v>
      </c>
      <c r="E163" s="53" t="s">
        <v>3747</v>
      </c>
      <c r="F163" s="53" t="s">
        <v>2627</v>
      </c>
      <c r="G163" s="131" t="s">
        <v>30</v>
      </c>
      <c r="H163" s="53">
        <v>15</v>
      </c>
      <c r="I163" s="188">
        <v>750</v>
      </c>
      <c r="J163" s="54">
        <f t="shared" si="0"/>
        <v>11250</v>
      </c>
      <c r="K163" s="55" t="b">
        <v>1</v>
      </c>
      <c r="L163" s="56">
        <v>210420251042</v>
      </c>
      <c r="M163" s="57" t="b">
        <v>1</v>
      </c>
      <c r="N163" s="58" t="s">
        <v>529</v>
      </c>
      <c r="O163" s="226">
        <v>45771</v>
      </c>
      <c r="P163" s="191" t="b">
        <v>1</v>
      </c>
      <c r="Q163" s="308" t="s">
        <v>3138</v>
      </c>
      <c r="R163" s="128"/>
      <c r="S163" s="47" t="b">
        <v>1</v>
      </c>
      <c r="T163" s="310" t="s">
        <v>4646</v>
      </c>
      <c r="U163" s="307"/>
      <c r="V163" s="54"/>
    </row>
    <row r="164" spans="1:22" ht="16">
      <c r="A164" s="162"/>
      <c r="B164" s="71" t="s">
        <v>4638</v>
      </c>
      <c r="C164" s="53" t="s">
        <v>433</v>
      </c>
      <c r="D164" s="53" t="s">
        <v>706</v>
      </c>
      <c r="E164" s="53" t="s">
        <v>707</v>
      </c>
      <c r="F164" s="53" t="s">
        <v>4647</v>
      </c>
      <c r="G164" s="131" t="s">
        <v>30</v>
      </c>
      <c r="H164" s="53">
        <v>10</v>
      </c>
      <c r="I164" s="188">
        <v>635</v>
      </c>
      <c r="J164" s="54">
        <f t="shared" si="0"/>
        <v>6350</v>
      </c>
      <c r="K164" s="55" t="b">
        <v>1</v>
      </c>
      <c r="L164" s="56">
        <v>210420251928</v>
      </c>
      <c r="M164" s="57" t="b">
        <v>1</v>
      </c>
      <c r="N164" s="58" t="s">
        <v>1581</v>
      </c>
      <c r="O164" s="226"/>
      <c r="P164" s="191" t="b">
        <v>1</v>
      </c>
      <c r="Q164" s="308" t="s">
        <v>3138</v>
      </c>
      <c r="R164" s="173"/>
      <c r="S164" s="47" t="b">
        <v>1</v>
      </c>
      <c r="T164" s="310" t="s">
        <v>4648</v>
      </c>
      <c r="U164" s="307"/>
      <c r="V164" s="54"/>
    </row>
    <row r="165" spans="1:22" ht="16">
      <c r="A165" s="162"/>
      <c r="B165" s="71" t="s">
        <v>4638</v>
      </c>
      <c r="C165" s="53" t="s">
        <v>433</v>
      </c>
      <c r="D165" s="53" t="s">
        <v>706</v>
      </c>
      <c r="E165" s="53" t="s">
        <v>707</v>
      </c>
      <c r="F165" s="53" t="s">
        <v>308</v>
      </c>
      <c r="G165" s="131" t="s">
        <v>30</v>
      </c>
      <c r="H165" s="53">
        <v>5</v>
      </c>
      <c r="I165" s="188">
        <v>895</v>
      </c>
      <c r="J165" s="54">
        <f t="shared" si="0"/>
        <v>4475</v>
      </c>
      <c r="K165" s="55" t="b">
        <v>1</v>
      </c>
      <c r="L165" s="56">
        <v>210420251928</v>
      </c>
      <c r="M165" s="57" t="b">
        <v>1</v>
      </c>
      <c r="N165" s="58" t="s">
        <v>529</v>
      </c>
      <c r="O165" s="226">
        <v>45771</v>
      </c>
      <c r="P165" s="191" t="b">
        <v>1</v>
      </c>
      <c r="Q165" s="308" t="s">
        <v>3138</v>
      </c>
      <c r="R165" s="173" t="s">
        <v>4649</v>
      </c>
      <c r="S165" s="47" t="b">
        <v>1</v>
      </c>
      <c r="T165" s="310" t="s">
        <v>4650</v>
      </c>
      <c r="U165" s="307"/>
      <c r="V165" s="54"/>
    </row>
    <row r="166" spans="1:22" ht="16">
      <c r="A166" s="162"/>
      <c r="B166" s="71" t="s">
        <v>4638</v>
      </c>
      <c r="C166" s="53" t="s">
        <v>51</v>
      </c>
      <c r="D166" s="53" t="s">
        <v>475</v>
      </c>
      <c r="E166" s="53" t="s">
        <v>2105</v>
      </c>
      <c r="F166" s="53" t="s">
        <v>4651</v>
      </c>
      <c r="G166" s="131" t="s">
        <v>30</v>
      </c>
      <c r="H166" s="53">
        <v>10</v>
      </c>
      <c r="I166" s="188">
        <v>1550</v>
      </c>
      <c r="J166" s="54">
        <f t="shared" si="0"/>
        <v>15500</v>
      </c>
      <c r="K166" s="55" t="b">
        <v>1</v>
      </c>
      <c r="L166" s="56">
        <v>210420251928</v>
      </c>
      <c r="M166" s="57" t="b">
        <v>1</v>
      </c>
      <c r="N166" s="58"/>
      <c r="O166" s="226"/>
      <c r="P166" s="191" t="b">
        <v>1</v>
      </c>
      <c r="Q166" s="308" t="s">
        <v>3138</v>
      </c>
      <c r="R166" s="128"/>
      <c r="S166" s="47" t="b">
        <v>1</v>
      </c>
      <c r="T166" s="310" t="s">
        <v>4652</v>
      </c>
      <c r="U166" s="307"/>
      <c r="V166" s="54"/>
    </row>
    <row r="167" spans="1:22" ht="16">
      <c r="A167" s="162"/>
      <c r="B167" s="132" t="s">
        <v>810</v>
      </c>
      <c r="C167" s="53" t="s">
        <v>104</v>
      </c>
      <c r="D167" s="53" t="s">
        <v>158</v>
      </c>
      <c r="E167" s="53" t="s">
        <v>3496</v>
      </c>
      <c r="F167" s="53" t="s">
        <v>4653</v>
      </c>
      <c r="G167" s="131" t="s">
        <v>30</v>
      </c>
      <c r="H167" s="53">
        <v>2</v>
      </c>
      <c r="I167" s="188">
        <v>375</v>
      </c>
      <c r="J167" s="54">
        <f t="shared" si="0"/>
        <v>750</v>
      </c>
      <c r="K167" s="55" t="b">
        <v>1</v>
      </c>
      <c r="L167" s="56">
        <v>220420250926</v>
      </c>
      <c r="M167" s="57" t="b">
        <v>1</v>
      </c>
      <c r="N167" s="58"/>
      <c r="O167" s="226"/>
      <c r="P167" s="191" t="b">
        <v>1</v>
      </c>
      <c r="Q167" s="308" t="s">
        <v>3138</v>
      </c>
      <c r="R167" s="173" t="s">
        <v>4654</v>
      </c>
      <c r="S167" s="47" t="b">
        <v>1</v>
      </c>
      <c r="T167" s="310" t="s">
        <v>4655</v>
      </c>
      <c r="U167" s="307"/>
      <c r="V167" s="54"/>
    </row>
    <row r="168" spans="1:22" ht="16">
      <c r="A168" s="162"/>
      <c r="B168" s="132" t="s">
        <v>810</v>
      </c>
      <c r="C168" s="53" t="s">
        <v>104</v>
      </c>
      <c r="D168" s="53" t="s">
        <v>4656</v>
      </c>
      <c r="E168" s="53" t="s">
        <v>975</v>
      </c>
      <c r="F168" s="53" t="s">
        <v>4583</v>
      </c>
      <c r="G168" s="131" t="s">
        <v>30</v>
      </c>
      <c r="H168" s="53">
        <v>150</v>
      </c>
      <c r="I168" s="188">
        <v>22.5</v>
      </c>
      <c r="J168" s="54">
        <f t="shared" si="0"/>
        <v>3375</v>
      </c>
      <c r="K168" s="55" t="b">
        <v>1</v>
      </c>
      <c r="L168" s="56">
        <v>220420252056</v>
      </c>
      <c r="M168" s="57" t="b">
        <v>1</v>
      </c>
      <c r="N168" s="58"/>
      <c r="O168" s="226"/>
      <c r="P168" s="191" t="b">
        <v>1</v>
      </c>
      <c r="Q168" s="308" t="s">
        <v>3138</v>
      </c>
      <c r="R168" s="128"/>
      <c r="S168" s="47" t="b">
        <v>0</v>
      </c>
      <c r="T168" s="310" t="s">
        <v>4657</v>
      </c>
      <c r="U168" s="307"/>
      <c r="V168" s="54"/>
    </row>
    <row r="169" spans="1:22" ht="16">
      <c r="A169" s="162"/>
      <c r="B169" s="132" t="s">
        <v>4658</v>
      </c>
      <c r="C169" s="53" t="s">
        <v>433</v>
      </c>
      <c r="D169" s="53" t="s">
        <v>4659</v>
      </c>
      <c r="E169" s="53" t="s">
        <v>4660</v>
      </c>
      <c r="F169" s="53" t="s">
        <v>746</v>
      </c>
      <c r="G169" s="131" t="s">
        <v>30</v>
      </c>
      <c r="H169" s="53">
        <v>100</v>
      </c>
      <c r="I169" s="188">
        <v>810</v>
      </c>
      <c r="J169" s="54">
        <f t="shared" si="0"/>
        <v>81000</v>
      </c>
      <c r="K169" s="55" t="b">
        <v>1</v>
      </c>
      <c r="L169" s="56">
        <v>240420241222</v>
      </c>
      <c r="M169" s="57" t="b">
        <v>1</v>
      </c>
      <c r="N169" s="58" t="s">
        <v>529</v>
      </c>
      <c r="O169" s="226"/>
      <c r="P169" s="191" t="b">
        <v>1</v>
      </c>
      <c r="Q169" s="308" t="s">
        <v>3138</v>
      </c>
      <c r="R169" s="128"/>
      <c r="S169" s="47" t="b">
        <v>0</v>
      </c>
      <c r="T169" s="397" t="s">
        <v>4661</v>
      </c>
      <c r="U169" s="397" t="s">
        <v>4661</v>
      </c>
      <c r="V169" s="397" t="s">
        <v>4661</v>
      </c>
    </row>
    <row r="170" spans="1:22" ht="16">
      <c r="A170" s="162"/>
      <c r="B170" s="132" t="s">
        <v>4658</v>
      </c>
      <c r="C170" s="53" t="s">
        <v>1886</v>
      </c>
      <c r="D170" s="53" t="s">
        <v>4659</v>
      </c>
      <c r="E170" s="53" t="s">
        <v>4660</v>
      </c>
      <c r="F170" s="53" t="s">
        <v>72</v>
      </c>
      <c r="G170" s="131" t="s">
        <v>30</v>
      </c>
      <c r="H170" s="53">
        <v>1</v>
      </c>
      <c r="I170" s="188">
        <v>6500</v>
      </c>
      <c r="J170" s="54">
        <f t="shared" si="0"/>
        <v>6500</v>
      </c>
      <c r="K170" s="55" t="b">
        <v>1</v>
      </c>
      <c r="L170" s="56">
        <v>240420241222</v>
      </c>
      <c r="M170" s="57" t="b">
        <v>1</v>
      </c>
      <c r="N170" s="58" t="s">
        <v>529</v>
      </c>
      <c r="O170" s="226"/>
      <c r="P170" s="191" t="b">
        <v>1</v>
      </c>
      <c r="Q170" s="308" t="s">
        <v>3138</v>
      </c>
      <c r="R170" s="128"/>
      <c r="S170" s="47" t="b">
        <v>0</v>
      </c>
      <c r="T170" s="397" t="s">
        <v>4661</v>
      </c>
      <c r="U170" s="397" t="s">
        <v>4661</v>
      </c>
      <c r="V170" s="397" t="s">
        <v>4661</v>
      </c>
    </row>
    <row r="171" spans="1:22" ht="16">
      <c r="A171" s="162"/>
      <c r="B171" s="132" t="s">
        <v>4658</v>
      </c>
      <c r="C171" s="53" t="s">
        <v>51</v>
      </c>
      <c r="D171" s="53" t="s">
        <v>89</v>
      </c>
      <c r="E171" s="53" t="s">
        <v>3742</v>
      </c>
      <c r="F171" s="53" t="s">
        <v>4662</v>
      </c>
      <c r="G171" s="131" t="s">
        <v>30</v>
      </c>
      <c r="H171" s="53">
        <v>2</v>
      </c>
      <c r="I171" s="188">
        <v>4250</v>
      </c>
      <c r="J171" s="54">
        <f t="shared" si="0"/>
        <v>8500</v>
      </c>
      <c r="K171" s="55" t="b">
        <v>1</v>
      </c>
      <c r="L171" s="56">
        <v>240420251956</v>
      </c>
      <c r="M171" s="57" t="b">
        <v>1</v>
      </c>
      <c r="N171" s="58" t="s">
        <v>529</v>
      </c>
      <c r="O171" s="226"/>
      <c r="P171" s="191" t="b">
        <v>1</v>
      </c>
      <c r="Q171" s="308" t="s">
        <v>3138</v>
      </c>
      <c r="R171" s="128"/>
      <c r="S171" s="47" t="b">
        <v>1</v>
      </c>
      <c r="T171" s="310" t="s">
        <v>4663</v>
      </c>
      <c r="U171" s="307"/>
      <c r="V171" s="54"/>
    </row>
    <row r="172" spans="1:22" ht="16">
      <c r="A172" s="162"/>
      <c r="B172" s="71" t="s">
        <v>4664</v>
      </c>
      <c r="C172" s="53" t="s">
        <v>55</v>
      </c>
      <c r="D172" s="53">
        <v>41</v>
      </c>
      <c r="E172" s="53" t="s">
        <v>1552</v>
      </c>
      <c r="F172" s="53" t="s">
        <v>4653</v>
      </c>
      <c r="G172" s="131" t="s">
        <v>30</v>
      </c>
      <c r="H172" s="53">
        <v>2</v>
      </c>
      <c r="I172" s="188">
        <v>375</v>
      </c>
      <c r="J172" s="54">
        <f t="shared" si="0"/>
        <v>750</v>
      </c>
      <c r="K172" s="55" t="b">
        <v>1</v>
      </c>
      <c r="L172" s="56">
        <v>250420250842</v>
      </c>
      <c r="M172" s="57" t="b">
        <v>1</v>
      </c>
      <c r="N172" s="58" t="s">
        <v>529</v>
      </c>
      <c r="O172" s="226"/>
      <c r="P172" s="191" t="b">
        <v>1</v>
      </c>
      <c r="Q172" s="308" t="s">
        <v>3138</v>
      </c>
      <c r="R172" s="173" t="s">
        <v>4665</v>
      </c>
      <c r="S172" s="47" t="b">
        <v>1</v>
      </c>
      <c r="T172" s="310" t="s">
        <v>4666</v>
      </c>
      <c r="U172" s="307"/>
      <c r="V172" s="54"/>
    </row>
    <row r="173" spans="1:22" ht="16">
      <c r="A173" s="162"/>
      <c r="B173" s="132" t="s">
        <v>4664</v>
      </c>
      <c r="C173" s="53" t="s">
        <v>98</v>
      </c>
      <c r="D173" s="53" t="s">
        <v>99</v>
      </c>
      <c r="E173" s="53" t="s">
        <v>4667</v>
      </c>
      <c r="F173" s="53" t="s">
        <v>1781</v>
      </c>
      <c r="G173" s="131" t="s">
        <v>30</v>
      </c>
      <c r="H173" s="53">
        <v>168</v>
      </c>
      <c r="I173" s="188">
        <v>42.5</v>
      </c>
      <c r="J173" s="54">
        <f t="shared" si="0"/>
        <v>7140</v>
      </c>
      <c r="K173" s="55" t="b">
        <v>1</v>
      </c>
      <c r="L173" s="56">
        <v>250420251057</v>
      </c>
      <c r="M173" s="57" t="b">
        <v>1</v>
      </c>
      <c r="N173" s="58"/>
      <c r="O173" s="215" t="s">
        <v>1581</v>
      </c>
      <c r="P173" s="191" t="b">
        <v>1</v>
      </c>
      <c r="Q173" s="308" t="s">
        <v>3138</v>
      </c>
      <c r="R173" s="128"/>
      <c r="S173" s="47" t="b">
        <v>1</v>
      </c>
      <c r="T173" s="310" t="s">
        <v>4668</v>
      </c>
      <c r="U173" s="307"/>
      <c r="V173" s="54"/>
    </row>
    <row r="174" spans="1:22" ht="16">
      <c r="A174" s="162"/>
      <c r="B174" s="132" t="s">
        <v>4669</v>
      </c>
      <c r="C174" s="53" t="s">
        <v>51</v>
      </c>
      <c r="D174" s="53" t="s">
        <v>475</v>
      </c>
      <c r="E174" s="53" t="s">
        <v>168</v>
      </c>
      <c r="F174" s="53" t="s">
        <v>4455</v>
      </c>
      <c r="G174" s="131" t="s">
        <v>30</v>
      </c>
      <c r="H174" s="53">
        <v>1</v>
      </c>
      <c r="I174" s="188">
        <v>2100</v>
      </c>
      <c r="J174" s="54">
        <f t="shared" si="0"/>
        <v>2100</v>
      </c>
      <c r="K174" s="55" t="b">
        <v>1</v>
      </c>
      <c r="L174" s="56">
        <v>260420251220</v>
      </c>
      <c r="M174" s="57" t="b">
        <v>1</v>
      </c>
      <c r="N174" s="58"/>
      <c r="O174" s="226"/>
      <c r="P174" s="191" t="b">
        <v>1</v>
      </c>
      <c r="Q174" s="308" t="s">
        <v>3138</v>
      </c>
      <c r="R174" s="173" t="s">
        <v>4670</v>
      </c>
      <c r="S174" s="47" t="b">
        <v>1</v>
      </c>
      <c r="T174" s="310" t="s">
        <v>4671</v>
      </c>
      <c r="U174" s="307"/>
      <c r="V174" s="54"/>
    </row>
    <row r="175" spans="1:22" ht="16">
      <c r="A175" s="162"/>
      <c r="B175" s="132" t="s">
        <v>4669</v>
      </c>
      <c r="C175" s="53" t="s">
        <v>51</v>
      </c>
      <c r="D175" s="53" t="s">
        <v>89</v>
      </c>
      <c r="E175" s="53" t="s">
        <v>3742</v>
      </c>
      <c r="F175" s="53" t="s">
        <v>4672</v>
      </c>
      <c r="G175" s="131" t="s">
        <v>30</v>
      </c>
      <c r="H175" s="53">
        <v>1</v>
      </c>
      <c r="I175" s="188">
        <v>1950</v>
      </c>
      <c r="J175" s="54">
        <f t="shared" si="0"/>
        <v>1950</v>
      </c>
      <c r="K175" s="55" t="b">
        <v>1</v>
      </c>
      <c r="L175" s="56">
        <v>260420251220</v>
      </c>
      <c r="M175" s="57" t="b">
        <v>1</v>
      </c>
      <c r="N175" s="58" t="s">
        <v>2968</v>
      </c>
      <c r="O175" s="226"/>
      <c r="P175" s="191" t="b">
        <v>1</v>
      </c>
      <c r="Q175" s="308" t="s">
        <v>3138</v>
      </c>
      <c r="R175" s="128"/>
      <c r="S175" s="47" t="b">
        <v>1</v>
      </c>
      <c r="T175" s="310" t="s">
        <v>4673</v>
      </c>
      <c r="U175" s="307"/>
      <c r="V175" s="54"/>
    </row>
    <row r="176" spans="1:22" ht="16">
      <c r="A176" s="162"/>
      <c r="B176" s="132" t="s">
        <v>4674</v>
      </c>
      <c r="C176" s="53" t="s">
        <v>104</v>
      </c>
      <c r="D176" s="53" t="s">
        <v>620</v>
      </c>
      <c r="E176" s="53" t="s">
        <v>621</v>
      </c>
      <c r="F176" s="53" t="s">
        <v>4583</v>
      </c>
      <c r="G176" s="131" t="s">
        <v>30</v>
      </c>
      <c r="H176" s="53">
        <v>600</v>
      </c>
      <c r="I176" s="188">
        <v>22.5</v>
      </c>
      <c r="J176" s="54">
        <f t="shared" si="0"/>
        <v>13500</v>
      </c>
      <c r="K176" s="55" t="b">
        <v>1</v>
      </c>
      <c r="L176" s="56">
        <v>280420250912</v>
      </c>
      <c r="M176" s="57" t="b">
        <v>1</v>
      </c>
      <c r="N176" s="58" t="s">
        <v>529</v>
      </c>
      <c r="O176" s="226"/>
      <c r="P176" s="191" t="b">
        <v>1</v>
      </c>
      <c r="Q176" s="308" t="s">
        <v>3138</v>
      </c>
      <c r="R176" s="128"/>
      <c r="S176" s="47" t="b">
        <v>1</v>
      </c>
      <c r="T176" s="310" t="s">
        <v>4675</v>
      </c>
      <c r="U176" s="307"/>
      <c r="V176" s="54"/>
    </row>
    <row r="177" spans="1:22" ht="16">
      <c r="A177" s="162"/>
      <c r="B177" s="132" t="s">
        <v>4674</v>
      </c>
      <c r="C177" s="53" t="s">
        <v>104</v>
      </c>
      <c r="D177" s="53" t="s">
        <v>620</v>
      </c>
      <c r="E177" s="53" t="s">
        <v>621</v>
      </c>
      <c r="F177" s="53" t="s">
        <v>1024</v>
      </c>
      <c r="G177" s="131" t="s">
        <v>30</v>
      </c>
      <c r="H177" s="53">
        <v>25</v>
      </c>
      <c r="I177" s="188">
        <v>165</v>
      </c>
      <c r="J177" s="54">
        <f t="shared" si="0"/>
        <v>4125</v>
      </c>
      <c r="K177" s="55" t="b">
        <v>1</v>
      </c>
      <c r="L177" s="56">
        <v>280420250912</v>
      </c>
      <c r="M177" s="57" t="b">
        <v>1</v>
      </c>
      <c r="N177" s="58" t="s">
        <v>2968</v>
      </c>
      <c r="O177" s="226"/>
      <c r="P177" s="191" t="b">
        <v>1</v>
      </c>
      <c r="Q177" s="308" t="s">
        <v>3138</v>
      </c>
      <c r="R177" s="173" t="s">
        <v>4676</v>
      </c>
      <c r="S177" s="47" t="b">
        <v>1</v>
      </c>
      <c r="T177" s="310" t="s">
        <v>4677</v>
      </c>
      <c r="U177" s="307"/>
      <c r="V177" s="54"/>
    </row>
    <row r="178" spans="1:22" ht="16">
      <c r="A178" s="162"/>
      <c r="B178" s="132" t="s">
        <v>4674</v>
      </c>
      <c r="C178" s="53" t="s">
        <v>144</v>
      </c>
      <c r="D178" s="53" t="s">
        <v>1818</v>
      </c>
      <c r="E178" s="53" t="s">
        <v>582</v>
      </c>
      <c r="F178" s="53" t="s">
        <v>1952</v>
      </c>
      <c r="G178" s="131" t="s">
        <v>30</v>
      </c>
      <c r="H178" s="53">
        <v>3</v>
      </c>
      <c r="I178" s="188">
        <v>635</v>
      </c>
      <c r="J178" s="54">
        <f t="shared" si="0"/>
        <v>1905</v>
      </c>
      <c r="K178" s="55" t="b">
        <v>1</v>
      </c>
      <c r="L178" s="56">
        <v>280420251010</v>
      </c>
      <c r="M178" s="57" t="b">
        <v>1</v>
      </c>
      <c r="N178" s="58" t="s">
        <v>39</v>
      </c>
      <c r="O178" s="226"/>
      <c r="P178" s="191" t="b">
        <v>1</v>
      </c>
      <c r="Q178" s="308" t="s">
        <v>3138</v>
      </c>
      <c r="R178" s="128"/>
      <c r="S178" s="47" t="b">
        <v>1</v>
      </c>
      <c r="T178" s="310" t="s">
        <v>4678</v>
      </c>
      <c r="U178" s="307"/>
      <c r="V178" s="54"/>
    </row>
    <row r="179" spans="1:22" ht="16">
      <c r="A179" s="162"/>
      <c r="B179" s="132" t="s">
        <v>4674</v>
      </c>
      <c r="C179" s="53" t="s">
        <v>26</v>
      </c>
      <c r="D179" s="53" t="s">
        <v>27</v>
      </c>
      <c r="E179" s="53" t="s">
        <v>3988</v>
      </c>
      <c r="F179" s="53" t="s">
        <v>4679</v>
      </c>
      <c r="G179" s="131" t="s">
        <v>30</v>
      </c>
      <c r="H179" s="53">
        <v>2</v>
      </c>
      <c r="I179" s="188">
        <v>2350</v>
      </c>
      <c r="J179" s="54">
        <f t="shared" si="0"/>
        <v>4700</v>
      </c>
      <c r="K179" s="55" t="b">
        <v>1</v>
      </c>
      <c r="L179" s="56">
        <v>280420251045</v>
      </c>
      <c r="M179" s="57" t="b">
        <v>1</v>
      </c>
      <c r="N179" s="58" t="s">
        <v>1581</v>
      </c>
      <c r="O179" s="226"/>
      <c r="P179" s="191" t="b">
        <v>1</v>
      </c>
      <c r="Q179" s="308" t="s">
        <v>3138</v>
      </c>
      <c r="R179" s="128"/>
      <c r="S179" s="47" t="b">
        <v>1</v>
      </c>
      <c r="T179" s="310" t="s">
        <v>4680</v>
      </c>
      <c r="U179" s="307"/>
      <c r="V179" s="54"/>
    </row>
    <row r="180" spans="1:22" ht="16">
      <c r="A180" s="162"/>
      <c r="B180" s="132" t="s">
        <v>4681</v>
      </c>
      <c r="C180" s="53" t="s">
        <v>51</v>
      </c>
      <c r="D180" s="53" t="s">
        <v>89</v>
      </c>
      <c r="E180" s="53" t="s">
        <v>3742</v>
      </c>
      <c r="F180" s="53" t="s">
        <v>4682</v>
      </c>
      <c r="G180" s="131" t="s">
        <v>30</v>
      </c>
      <c r="H180" s="53">
        <v>6</v>
      </c>
      <c r="I180" s="188">
        <v>2100</v>
      </c>
      <c r="J180" s="54">
        <f t="shared" si="0"/>
        <v>12600</v>
      </c>
      <c r="K180" s="55" t="b">
        <v>1</v>
      </c>
      <c r="L180" s="56">
        <v>280420251121</v>
      </c>
      <c r="M180" s="57" t="b">
        <v>1</v>
      </c>
      <c r="N180" s="58" t="s">
        <v>529</v>
      </c>
      <c r="O180" s="226"/>
      <c r="P180" s="191" t="b">
        <v>1</v>
      </c>
      <c r="Q180" s="308" t="s">
        <v>3138</v>
      </c>
      <c r="R180" s="128"/>
      <c r="S180" s="47" t="b">
        <v>1</v>
      </c>
      <c r="T180" s="310" t="s">
        <v>4683</v>
      </c>
      <c r="U180" s="307"/>
      <c r="V180" s="54"/>
    </row>
    <row r="181" spans="1:22" ht="16">
      <c r="A181" s="162"/>
      <c r="B181" s="132" t="s">
        <v>4674</v>
      </c>
      <c r="C181" s="53" t="s">
        <v>397</v>
      </c>
      <c r="D181" s="53" t="s">
        <v>4684</v>
      </c>
      <c r="E181" s="53" t="s">
        <v>2260</v>
      </c>
      <c r="F181" s="53" t="s">
        <v>2206</v>
      </c>
      <c r="G181" s="131" t="s">
        <v>30</v>
      </c>
      <c r="H181" s="53">
        <v>20</v>
      </c>
      <c r="I181" s="188">
        <v>640</v>
      </c>
      <c r="J181" s="54">
        <f t="shared" si="0"/>
        <v>12800</v>
      </c>
      <c r="K181" s="55" t="b">
        <v>1</v>
      </c>
      <c r="L181" s="56">
        <v>280420251145</v>
      </c>
      <c r="M181" s="57" t="b">
        <v>1</v>
      </c>
      <c r="N181" s="58" t="s">
        <v>39</v>
      </c>
      <c r="O181" s="226">
        <v>45775</v>
      </c>
      <c r="P181" s="191" t="b">
        <v>1</v>
      </c>
      <c r="Q181" s="308" t="s">
        <v>3138</v>
      </c>
      <c r="R181" s="128"/>
      <c r="S181" s="47" t="b">
        <v>1</v>
      </c>
      <c r="T181" s="310" t="s">
        <v>4685</v>
      </c>
      <c r="U181" s="307"/>
      <c r="V181" s="54" t="s">
        <v>4013</v>
      </c>
    </row>
    <row r="182" spans="1:22" ht="16">
      <c r="A182" s="162"/>
      <c r="B182" s="132" t="s">
        <v>4674</v>
      </c>
      <c r="C182" s="53" t="s">
        <v>418</v>
      </c>
      <c r="D182" s="53" t="s">
        <v>3373</v>
      </c>
      <c r="E182" s="53" t="s">
        <v>3406</v>
      </c>
      <c r="F182" s="53" t="s">
        <v>4686</v>
      </c>
      <c r="G182" s="131" t="s">
        <v>30</v>
      </c>
      <c r="H182" s="53">
        <v>50</v>
      </c>
      <c r="I182" s="188">
        <v>270</v>
      </c>
      <c r="J182" s="54">
        <f t="shared" si="0"/>
        <v>13500</v>
      </c>
      <c r="K182" s="55" t="b">
        <v>1</v>
      </c>
      <c r="L182" s="56">
        <v>280420251445</v>
      </c>
      <c r="M182" s="57" t="b">
        <v>1</v>
      </c>
      <c r="N182" s="58" t="s">
        <v>529</v>
      </c>
      <c r="O182" s="215" t="s">
        <v>4687</v>
      </c>
      <c r="P182" s="191" t="b">
        <v>1</v>
      </c>
      <c r="Q182" s="308" t="s">
        <v>3138</v>
      </c>
      <c r="R182" s="173" t="s">
        <v>4688</v>
      </c>
      <c r="S182" s="47" t="b">
        <v>1</v>
      </c>
      <c r="T182" s="310" t="s">
        <v>4689</v>
      </c>
      <c r="U182" s="307"/>
      <c r="V182" s="54"/>
    </row>
    <row r="183" spans="1:22" ht="16">
      <c r="A183" s="162"/>
      <c r="B183" s="132" t="s">
        <v>4674</v>
      </c>
      <c r="C183" s="53" t="s">
        <v>418</v>
      </c>
      <c r="D183" s="53" t="s">
        <v>3373</v>
      </c>
      <c r="E183" s="53" t="s">
        <v>3406</v>
      </c>
      <c r="F183" s="53" t="s">
        <v>72</v>
      </c>
      <c r="G183" s="131" t="s">
        <v>30</v>
      </c>
      <c r="H183" s="53">
        <v>1</v>
      </c>
      <c r="I183" s="188">
        <v>750</v>
      </c>
      <c r="J183" s="54">
        <f t="shared" si="0"/>
        <v>750</v>
      </c>
      <c r="K183" s="55" t="b">
        <v>1</v>
      </c>
      <c r="L183" s="56">
        <v>280420251445</v>
      </c>
      <c r="M183" s="57" t="b">
        <v>1</v>
      </c>
      <c r="N183" s="58"/>
      <c r="O183" s="226"/>
      <c r="P183" s="191" t="b">
        <v>1</v>
      </c>
      <c r="Q183" s="308" t="s">
        <v>3138</v>
      </c>
      <c r="R183" s="173"/>
      <c r="S183" s="47" t="b">
        <v>1</v>
      </c>
      <c r="T183" s="310" t="s">
        <v>4690</v>
      </c>
      <c r="U183" s="307"/>
      <c r="V183" s="54"/>
    </row>
    <row r="184" spans="1:22" ht="16">
      <c r="A184" s="162"/>
      <c r="B184" s="132" t="s">
        <v>4674</v>
      </c>
      <c r="C184" s="53" t="s">
        <v>418</v>
      </c>
      <c r="D184" s="53" t="s">
        <v>4691</v>
      </c>
      <c r="E184" s="53" t="s">
        <v>4052</v>
      </c>
      <c r="F184" s="53" t="s">
        <v>4692</v>
      </c>
      <c r="G184" s="131" t="s">
        <v>30</v>
      </c>
      <c r="H184" s="53">
        <v>10</v>
      </c>
      <c r="I184" s="188">
        <v>125</v>
      </c>
      <c r="J184" s="54">
        <f t="shared" si="0"/>
        <v>1250</v>
      </c>
      <c r="K184" s="55" t="b">
        <v>1</v>
      </c>
      <c r="L184" s="56">
        <v>280420251445</v>
      </c>
      <c r="M184" s="57" t="b">
        <v>1</v>
      </c>
      <c r="N184" s="58" t="s">
        <v>2968</v>
      </c>
      <c r="O184" s="226">
        <v>45776</v>
      </c>
      <c r="P184" s="191" t="b">
        <v>1</v>
      </c>
      <c r="Q184" s="308" t="s">
        <v>3138</v>
      </c>
      <c r="R184" s="173" t="s">
        <v>4693</v>
      </c>
      <c r="S184" s="47" t="b">
        <v>1</v>
      </c>
      <c r="T184" s="310" t="s">
        <v>4694</v>
      </c>
      <c r="U184" s="307"/>
      <c r="V184" s="54"/>
    </row>
    <row r="185" spans="1:22" ht="16">
      <c r="A185" s="162"/>
      <c r="B185" s="132" t="s">
        <v>4674</v>
      </c>
      <c r="C185" s="53" t="s">
        <v>418</v>
      </c>
      <c r="D185" s="53" t="s">
        <v>4691</v>
      </c>
      <c r="E185" s="53" t="s">
        <v>4052</v>
      </c>
      <c r="F185" s="53" t="s">
        <v>4695</v>
      </c>
      <c r="G185" s="131" t="s">
        <v>30</v>
      </c>
      <c r="H185" s="53">
        <v>5</v>
      </c>
      <c r="I185" s="188">
        <v>145</v>
      </c>
      <c r="J185" s="54">
        <f t="shared" si="0"/>
        <v>725</v>
      </c>
      <c r="K185" s="55" t="b">
        <v>1</v>
      </c>
      <c r="L185" s="56">
        <v>280420251445</v>
      </c>
      <c r="M185" s="57" t="b">
        <v>1</v>
      </c>
      <c r="N185" s="58" t="s">
        <v>2968</v>
      </c>
      <c r="O185" s="226">
        <v>45776</v>
      </c>
      <c r="P185" s="191" t="b">
        <v>1</v>
      </c>
      <c r="Q185" s="308" t="s">
        <v>3138</v>
      </c>
      <c r="R185" s="173" t="s">
        <v>4693</v>
      </c>
      <c r="S185" s="47" t="b">
        <v>1</v>
      </c>
      <c r="T185" s="310" t="s">
        <v>4694</v>
      </c>
      <c r="U185" s="307"/>
      <c r="V185" s="54"/>
    </row>
    <row r="186" spans="1:22" ht="16">
      <c r="A186" s="162"/>
      <c r="B186" s="132" t="s">
        <v>4696</v>
      </c>
      <c r="C186" s="53" t="s">
        <v>55</v>
      </c>
      <c r="D186" s="53" t="s">
        <v>56</v>
      </c>
      <c r="E186" s="53" t="s">
        <v>57</v>
      </c>
      <c r="F186" s="53" t="s">
        <v>4380</v>
      </c>
      <c r="G186" s="131" t="s">
        <v>30</v>
      </c>
      <c r="H186" s="53">
        <v>6</v>
      </c>
      <c r="I186" s="188">
        <v>196</v>
      </c>
      <c r="J186" s="54">
        <f t="shared" si="0"/>
        <v>1176</v>
      </c>
      <c r="K186" s="55" t="b">
        <v>1</v>
      </c>
      <c r="L186" s="56">
        <v>290420250910</v>
      </c>
      <c r="M186" s="57" t="b">
        <v>1</v>
      </c>
      <c r="N186" s="58" t="s">
        <v>3300</v>
      </c>
      <c r="O186" s="226">
        <v>45776</v>
      </c>
      <c r="P186" s="191" t="b">
        <v>1</v>
      </c>
      <c r="Q186" s="308" t="s">
        <v>3138</v>
      </c>
      <c r="R186" s="173" t="s">
        <v>4697</v>
      </c>
      <c r="S186" s="47" t="b">
        <v>1</v>
      </c>
      <c r="T186" s="310" t="s">
        <v>4698</v>
      </c>
      <c r="U186" s="307"/>
      <c r="V186" s="54"/>
    </row>
    <row r="187" spans="1:22" ht="16">
      <c r="A187" s="162"/>
      <c r="B187" s="132" t="s">
        <v>4696</v>
      </c>
      <c r="C187" s="53" t="s">
        <v>149</v>
      </c>
      <c r="D187" s="53" t="s">
        <v>130</v>
      </c>
      <c r="E187" s="53" t="s">
        <v>150</v>
      </c>
      <c r="F187" s="53" t="s">
        <v>4583</v>
      </c>
      <c r="G187" s="131" t="s">
        <v>30</v>
      </c>
      <c r="H187" s="53">
        <v>300</v>
      </c>
      <c r="I187" s="188">
        <v>22.5</v>
      </c>
      <c r="J187" s="54">
        <f t="shared" si="0"/>
        <v>6750</v>
      </c>
      <c r="K187" s="55" t="b">
        <v>1</v>
      </c>
      <c r="L187" s="56">
        <v>290420251034</v>
      </c>
      <c r="M187" s="57" t="b">
        <v>1</v>
      </c>
      <c r="N187" s="58"/>
      <c r="O187" s="226"/>
      <c r="P187" s="191" t="b">
        <v>1</v>
      </c>
      <c r="Q187" s="308" t="s">
        <v>3138</v>
      </c>
      <c r="R187" s="173" t="s">
        <v>4699</v>
      </c>
      <c r="S187" s="47" t="b">
        <v>1</v>
      </c>
      <c r="T187" s="310" t="s">
        <v>4700</v>
      </c>
      <c r="U187" s="307"/>
      <c r="V187" s="54"/>
    </row>
    <row r="188" spans="1:22" ht="16">
      <c r="A188" s="162"/>
      <c r="B188" s="132" t="s">
        <v>4696</v>
      </c>
      <c r="C188" s="53" t="s">
        <v>104</v>
      </c>
      <c r="D188" s="53" t="s">
        <v>4701</v>
      </c>
      <c r="E188" s="53" t="s">
        <v>4702</v>
      </c>
      <c r="F188" s="53" t="s">
        <v>4583</v>
      </c>
      <c r="G188" s="131" t="s">
        <v>30</v>
      </c>
      <c r="H188" s="53">
        <v>300</v>
      </c>
      <c r="I188" s="188">
        <v>22.5</v>
      </c>
      <c r="J188" s="54">
        <f t="shared" si="0"/>
        <v>6750</v>
      </c>
      <c r="K188" s="55" t="b">
        <v>1</v>
      </c>
      <c r="L188" s="56">
        <v>290420251359</v>
      </c>
      <c r="M188" s="57" t="b">
        <v>1</v>
      </c>
      <c r="N188" s="58"/>
      <c r="O188" s="226"/>
      <c r="P188" s="191" t="b">
        <v>1</v>
      </c>
      <c r="Q188" s="308" t="s">
        <v>3138</v>
      </c>
      <c r="R188" s="173" t="s">
        <v>4703</v>
      </c>
      <c r="S188" s="47" t="b">
        <v>1</v>
      </c>
      <c r="T188" s="310" t="s">
        <v>4704</v>
      </c>
      <c r="U188" s="307"/>
      <c r="V188" s="54"/>
    </row>
    <row r="189" spans="1:22" ht="16">
      <c r="A189" s="162"/>
      <c r="B189" s="132" t="s">
        <v>4696</v>
      </c>
      <c r="C189" s="53" t="s">
        <v>55</v>
      </c>
      <c r="D189" s="53">
        <v>41</v>
      </c>
      <c r="E189" s="53" t="s">
        <v>1552</v>
      </c>
      <c r="F189" s="53" t="s">
        <v>58</v>
      </c>
      <c r="G189" s="131" t="s">
        <v>30</v>
      </c>
      <c r="H189" s="53">
        <v>84</v>
      </c>
      <c r="I189" s="188">
        <v>42.5</v>
      </c>
      <c r="J189" s="54">
        <f t="shared" si="0"/>
        <v>3570</v>
      </c>
      <c r="K189" s="55" t="b">
        <v>1</v>
      </c>
      <c r="L189" s="56">
        <v>290420251421</v>
      </c>
      <c r="M189" s="57" t="b">
        <v>1</v>
      </c>
      <c r="N189" s="58"/>
      <c r="O189" s="226"/>
      <c r="P189" s="191" t="b">
        <v>1</v>
      </c>
      <c r="Q189" s="308" t="s">
        <v>3138</v>
      </c>
      <c r="R189" s="173" t="s">
        <v>4705</v>
      </c>
      <c r="S189" s="47" t="b">
        <v>1</v>
      </c>
      <c r="T189" s="310" t="s">
        <v>4706</v>
      </c>
      <c r="U189" s="307"/>
      <c r="V189" s="54"/>
    </row>
    <row r="190" spans="1:22" ht="16">
      <c r="A190" s="162"/>
      <c r="B190" s="132" t="s">
        <v>4696</v>
      </c>
      <c r="C190" s="53" t="s">
        <v>51</v>
      </c>
      <c r="D190" s="53" t="s">
        <v>89</v>
      </c>
      <c r="E190" s="53" t="s">
        <v>2090</v>
      </c>
      <c r="F190" s="53" t="s">
        <v>442</v>
      </c>
      <c r="G190" s="131" t="s">
        <v>30</v>
      </c>
      <c r="H190" s="53">
        <v>120</v>
      </c>
      <c r="I190" s="188">
        <v>59.5</v>
      </c>
      <c r="J190" s="54">
        <f t="shared" si="0"/>
        <v>7140</v>
      </c>
      <c r="K190" s="55" t="b">
        <v>1</v>
      </c>
      <c r="L190" s="56">
        <v>290420251902</v>
      </c>
      <c r="M190" s="57" t="b">
        <v>1</v>
      </c>
      <c r="N190" s="58"/>
      <c r="O190" s="215" t="s">
        <v>4707</v>
      </c>
      <c r="P190" s="191" t="b">
        <v>1</v>
      </c>
      <c r="Q190" s="308" t="s">
        <v>3138</v>
      </c>
      <c r="R190" s="173" t="s">
        <v>4708</v>
      </c>
      <c r="S190" s="47" t="b">
        <v>1</v>
      </c>
      <c r="T190" s="310" t="s">
        <v>4709</v>
      </c>
      <c r="U190" s="307"/>
      <c r="V190" s="54"/>
    </row>
    <row r="191" spans="1:22" ht="16">
      <c r="A191" s="162"/>
      <c r="B191" s="132" t="s">
        <v>4710</v>
      </c>
      <c r="C191" s="53" t="s">
        <v>104</v>
      </c>
      <c r="D191" s="53" t="s">
        <v>342</v>
      </c>
      <c r="E191" s="53" t="s">
        <v>866</v>
      </c>
      <c r="F191" s="53" t="s">
        <v>4711</v>
      </c>
      <c r="G191" s="131" t="s">
        <v>30</v>
      </c>
      <c r="H191" s="53">
        <v>28</v>
      </c>
      <c r="I191" s="188">
        <v>140</v>
      </c>
      <c r="J191" s="54">
        <f t="shared" si="0"/>
        <v>3920</v>
      </c>
      <c r="K191" s="55" t="b">
        <v>1</v>
      </c>
      <c r="L191" s="56">
        <v>300420252006</v>
      </c>
      <c r="M191" s="57" t="b">
        <v>1</v>
      </c>
      <c r="N191" s="58" t="s">
        <v>2968</v>
      </c>
      <c r="O191" s="226">
        <v>45782</v>
      </c>
      <c r="P191" s="191" t="b">
        <v>1</v>
      </c>
      <c r="Q191" s="308" t="s">
        <v>3138</v>
      </c>
      <c r="R191" s="128"/>
      <c r="S191" s="47" t="b">
        <v>1</v>
      </c>
      <c r="T191" s="310" t="s">
        <v>4712</v>
      </c>
      <c r="U191" s="307"/>
      <c r="V191" s="54"/>
    </row>
    <row r="192" spans="1:22" ht="16">
      <c r="A192" s="162"/>
      <c r="B192" s="132" t="s">
        <v>4710</v>
      </c>
      <c r="C192" s="53" t="s">
        <v>51</v>
      </c>
      <c r="D192" s="53" t="s">
        <v>201</v>
      </c>
      <c r="E192" s="53" t="s">
        <v>202</v>
      </c>
      <c r="F192" s="53" t="s">
        <v>1966</v>
      </c>
      <c r="G192" s="131" t="s">
        <v>30</v>
      </c>
      <c r="H192" s="53">
        <v>10</v>
      </c>
      <c r="I192" s="188">
        <v>640</v>
      </c>
      <c r="J192" s="54">
        <f t="shared" si="0"/>
        <v>6400</v>
      </c>
      <c r="K192" s="55" t="b">
        <v>1</v>
      </c>
      <c r="L192" s="56">
        <v>300420252009</v>
      </c>
      <c r="M192" s="57" t="b">
        <v>1</v>
      </c>
      <c r="N192" s="58" t="s">
        <v>39</v>
      </c>
      <c r="O192" s="226">
        <v>45779</v>
      </c>
      <c r="P192" s="191" t="b">
        <v>1</v>
      </c>
      <c r="Q192" s="308" t="s">
        <v>3138</v>
      </c>
      <c r="R192" s="173"/>
      <c r="S192" s="47" t="b">
        <v>1</v>
      </c>
      <c r="T192" s="310" t="s">
        <v>4713</v>
      </c>
      <c r="U192" s="307"/>
      <c r="V192" s="54"/>
    </row>
    <row r="193" spans="1:22" ht="16">
      <c r="A193" s="162"/>
      <c r="B193" s="132" t="s">
        <v>4710</v>
      </c>
      <c r="C193" s="53" t="s">
        <v>51</v>
      </c>
      <c r="D193" s="53" t="s">
        <v>66</v>
      </c>
      <c r="E193" s="53" t="s">
        <v>67</v>
      </c>
      <c r="F193" s="53" t="s">
        <v>1952</v>
      </c>
      <c r="G193" s="131" t="s">
        <v>30</v>
      </c>
      <c r="H193" s="53">
        <v>10</v>
      </c>
      <c r="I193" s="188">
        <v>640</v>
      </c>
      <c r="J193" s="54">
        <f t="shared" si="0"/>
        <v>6400</v>
      </c>
      <c r="K193" s="55" t="b">
        <v>1</v>
      </c>
      <c r="L193" s="56">
        <v>300420252009</v>
      </c>
      <c r="M193" s="57" t="b">
        <v>1</v>
      </c>
      <c r="N193" s="58" t="s">
        <v>39</v>
      </c>
      <c r="O193" s="226">
        <v>45779</v>
      </c>
      <c r="P193" s="191" t="b">
        <v>1</v>
      </c>
      <c r="Q193" s="308" t="s">
        <v>3138</v>
      </c>
      <c r="R193" s="128"/>
      <c r="S193" s="47" t="b">
        <v>1</v>
      </c>
      <c r="T193" s="310" t="s">
        <v>4714</v>
      </c>
      <c r="U193" s="307"/>
      <c r="V193" s="54"/>
    </row>
    <row r="194" spans="1:22" ht="16">
      <c r="A194" s="162"/>
      <c r="B194" s="132"/>
      <c r="C194" s="53"/>
      <c r="D194" s="53"/>
      <c r="E194" s="53"/>
      <c r="F194" s="53"/>
      <c r="G194" s="131" t="s">
        <v>30</v>
      </c>
      <c r="H194" s="53"/>
      <c r="I194" s="188"/>
      <c r="J194" s="54">
        <f t="shared" si="0"/>
        <v>0</v>
      </c>
      <c r="K194" s="55" t="b">
        <v>0</v>
      </c>
      <c r="L194" s="56"/>
      <c r="M194" s="57" t="b">
        <v>0</v>
      </c>
      <c r="N194" s="58"/>
      <c r="O194" s="226"/>
      <c r="P194" s="191" t="b">
        <v>0</v>
      </c>
      <c r="Q194" s="398"/>
      <c r="R194" s="128"/>
      <c r="S194" s="47" t="b">
        <v>0</v>
      </c>
      <c r="T194" s="313"/>
      <c r="U194" s="307"/>
      <c r="V194" s="54"/>
    </row>
    <row r="195" spans="1:22" ht="16">
      <c r="A195" s="162"/>
      <c r="B195" s="132"/>
      <c r="C195" s="53"/>
      <c r="D195" s="53"/>
      <c r="E195" s="53"/>
      <c r="F195" s="53"/>
      <c r="G195" s="131" t="s">
        <v>30</v>
      </c>
      <c r="H195" s="53"/>
      <c r="I195" s="188"/>
      <c r="J195" s="54">
        <f t="shared" si="0"/>
        <v>0</v>
      </c>
      <c r="K195" s="55" t="b">
        <v>0</v>
      </c>
      <c r="L195" s="56"/>
      <c r="M195" s="57" t="b">
        <v>0</v>
      </c>
      <c r="N195" s="58"/>
      <c r="O195" s="226"/>
      <c r="P195" s="191" t="b">
        <v>0</v>
      </c>
      <c r="Q195" s="398"/>
      <c r="R195" s="128"/>
      <c r="S195" s="47" t="b">
        <v>0</v>
      </c>
      <c r="T195" s="313"/>
      <c r="U195" s="307"/>
      <c r="V195" s="54"/>
    </row>
    <row r="196" spans="1:22" ht="16">
      <c r="A196" s="162"/>
      <c r="B196" s="132"/>
      <c r="C196" s="53"/>
      <c r="D196" s="53"/>
      <c r="E196" s="53"/>
      <c r="F196" s="53"/>
      <c r="G196" s="131" t="s">
        <v>30</v>
      </c>
      <c r="H196" s="53"/>
      <c r="I196" s="188"/>
      <c r="J196" s="54">
        <f t="shared" si="0"/>
        <v>0</v>
      </c>
      <c r="K196" s="55" t="b">
        <v>0</v>
      </c>
      <c r="L196" s="56"/>
      <c r="M196" s="57" t="b">
        <v>0</v>
      </c>
      <c r="N196" s="58"/>
      <c r="O196" s="226"/>
      <c r="P196" s="191" t="b">
        <v>0</v>
      </c>
      <c r="Q196" s="398"/>
      <c r="R196" s="128"/>
      <c r="S196" s="47" t="b">
        <v>0</v>
      </c>
      <c r="T196" s="313"/>
      <c r="U196" s="307"/>
      <c r="V196" s="54"/>
    </row>
    <row r="197" spans="1:22" ht="16">
      <c r="A197" s="162"/>
      <c r="B197" s="132"/>
      <c r="C197" s="53"/>
      <c r="D197" s="53"/>
      <c r="E197" s="53"/>
      <c r="F197" s="53"/>
      <c r="G197" s="131" t="s">
        <v>30</v>
      </c>
      <c r="H197" s="53"/>
      <c r="I197" s="188"/>
      <c r="J197" s="54">
        <f t="shared" si="0"/>
        <v>0</v>
      </c>
      <c r="K197" s="55" t="b">
        <v>0</v>
      </c>
      <c r="L197" s="56"/>
      <c r="M197" s="57" t="b">
        <v>0</v>
      </c>
      <c r="N197" s="58"/>
      <c r="O197" s="226"/>
      <c r="P197" s="191" t="b">
        <v>0</v>
      </c>
      <c r="Q197" s="398"/>
      <c r="R197" s="128"/>
      <c r="S197" s="47" t="b">
        <v>0</v>
      </c>
      <c r="T197" s="313"/>
      <c r="U197" s="307"/>
      <c r="V197" s="58"/>
    </row>
    <row r="198" spans="1:22" ht="16">
      <c r="A198" s="162"/>
      <c r="B198" s="132"/>
      <c r="C198" s="53"/>
      <c r="D198" s="53"/>
      <c r="E198" s="53"/>
      <c r="F198" s="53"/>
      <c r="G198" s="131" t="s">
        <v>30</v>
      </c>
      <c r="H198" s="53"/>
      <c r="I198" s="188"/>
      <c r="J198" s="54">
        <f t="shared" si="0"/>
        <v>0</v>
      </c>
      <c r="K198" s="55" t="b">
        <v>0</v>
      </c>
      <c r="L198" s="56"/>
      <c r="M198" s="57" t="b">
        <v>0</v>
      </c>
      <c r="N198" s="58"/>
      <c r="O198" s="226"/>
      <c r="P198" s="191" t="b">
        <v>0</v>
      </c>
      <c r="Q198" s="398"/>
      <c r="R198" s="128"/>
      <c r="S198" s="47" t="b">
        <v>0</v>
      </c>
      <c r="T198" s="313"/>
      <c r="U198" s="307"/>
      <c r="V198" s="54"/>
    </row>
    <row r="199" spans="1:22" ht="16">
      <c r="A199" s="162"/>
      <c r="B199" s="132"/>
      <c r="C199" s="53"/>
      <c r="D199" s="53"/>
      <c r="E199" s="53"/>
      <c r="F199" s="53"/>
      <c r="G199" s="131" t="s">
        <v>30</v>
      </c>
      <c r="H199" s="53"/>
      <c r="I199" s="188"/>
      <c r="J199" s="54">
        <f t="shared" si="0"/>
        <v>0</v>
      </c>
      <c r="K199" s="55" t="b">
        <v>0</v>
      </c>
      <c r="L199" s="56"/>
      <c r="M199" s="57" t="b">
        <v>0</v>
      </c>
      <c r="N199" s="58"/>
      <c r="O199" s="226"/>
      <c r="P199" s="191" t="b">
        <v>0</v>
      </c>
      <c r="Q199" s="398"/>
      <c r="R199" s="128"/>
      <c r="S199" s="47" t="b">
        <v>0</v>
      </c>
      <c r="T199" s="313"/>
      <c r="U199" s="307"/>
      <c r="V199" s="54"/>
    </row>
    <row r="200" spans="1:22" ht="16">
      <c r="A200" s="162"/>
      <c r="B200" s="132"/>
      <c r="C200" s="53"/>
      <c r="D200" s="53"/>
      <c r="E200" s="53"/>
      <c r="F200" s="53"/>
      <c r="G200" s="131" t="s">
        <v>30</v>
      </c>
      <c r="H200" s="53"/>
      <c r="I200" s="188"/>
      <c r="J200" s="54">
        <f t="shared" si="0"/>
        <v>0</v>
      </c>
      <c r="K200" s="55" t="b">
        <v>0</v>
      </c>
      <c r="L200" s="56"/>
      <c r="M200" s="57" t="b">
        <v>0</v>
      </c>
      <c r="N200" s="58"/>
      <c r="O200" s="226"/>
      <c r="P200" s="191" t="b">
        <v>0</v>
      </c>
      <c r="Q200" s="398"/>
      <c r="R200" s="128"/>
      <c r="S200" s="47" t="b">
        <v>0</v>
      </c>
      <c r="T200" s="313"/>
      <c r="U200" s="307"/>
      <c r="V200" s="54"/>
    </row>
    <row r="201" spans="1:22" ht="16">
      <c r="A201" s="162"/>
      <c r="B201" s="132"/>
      <c r="C201" s="53"/>
      <c r="D201" s="53"/>
      <c r="E201" s="53"/>
      <c r="F201" s="53"/>
      <c r="G201" s="131" t="s">
        <v>30</v>
      </c>
      <c r="H201" s="53"/>
      <c r="I201" s="188"/>
      <c r="J201" s="54">
        <f t="shared" si="0"/>
        <v>0</v>
      </c>
      <c r="K201" s="55" t="b">
        <v>0</v>
      </c>
      <c r="L201" s="56"/>
      <c r="M201" s="57" t="b">
        <v>0</v>
      </c>
      <c r="N201" s="58"/>
      <c r="O201" s="226"/>
      <c r="P201" s="191" t="b">
        <v>0</v>
      </c>
      <c r="Q201" s="398"/>
      <c r="R201" s="128"/>
      <c r="S201" s="47" t="b">
        <v>0</v>
      </c>
      <c r="T201" s="313"/>
      <c r="U201" s="307"/>
      <c r="V201" s="54"/>
    </row>
    <row r="202" spans="1:22" ht="16">
      <c r="A202" s="162"/>
      <c r="B202" s="132"/>
      <c r="C202" s="53"/>
      <c r="D202" s="53"/>
      <c r="E202" s="53"/>
      <c r="F202" s="53"/>
      <c r="G202" s="131" t="s">
        <v>30</v>
      </c>
      <c r="H202" s="53"/>
      <c r="I202" s="188"/>
      <c r="J202" s="54">
        <f t="shared" si="0"/>
        <v>0</v>
      </c>
      <c r="K202" s="55" t="b">
        <v>0</v>
      </c>
      <c r="L202" s="56"/>
      <c r="M202" s="57" t="b">
        <v>0</v>
      </c>
      <c r="N202" s="58"/>
      <c r="O202" s="226"/>
      <c r="P202" s="191" t="b">
        <v>0</v>
      </c>
      <c r="Q202" s="398"/>
      <c r="R202" s="128"/>
      <c r="S202" s="47" t="b">
        <v>0</v>
      </c>
      <c r="T202" s="313"/>
      <c r="U202" s="307"/>
      <c r="V202" s="54"/>
    </row>
    <row r="203" spans="1:22" ht="16">
      <c r="A203" s="162"/>
      <c r="B203" s="132"/>
      <c r="C203" s="53"/>
      <c r="D203" s="53"/>
      <c r="E203" s="53"/>
      <c r="F203" s="53"/>
      <c r="G203" s="131" t="s">
        <v>30</v>
      </c>
      <c r="H203" s="53"/>
      <c r="I203" s="188"/>
      <c r="J203" s="54">
        <f t="shared" si="0"/>
        <v>0</v>
      </c>
      <c r="K203" s="55" t="b">
        <v>0</v>
      </c>
      <c r="L203" s="56"/>
      <c r="M203" s="57" t="b">
        <v>0</v>
      </c>
      <c r="N203" s="58"/>
      <c r="O203" s="226"/>
      <c r="P203" s="191" t="b">
        <v>0</v>
      </c>
      <c r="Q203" s="398"/>
      <c r="R203" s="128"/>
      <c r="S203" s="47" t="b">
        <v>0</v>
      </c>
      <c r="T203" s="313"/>
      <c r="U203" s="307"/>
      <c r="V203" s="54"/>
    </row>
    <row r="204" spans="1:22" ht="16">
      <c r="A204" s="162"/>
      <c r="B204" s="132"/>
      <c r="C204" s="53"/>
      <c r="D204" s="53"/>
      <c r="E204" s="53"/>
      <c r="F204" s="53"/>
      <c r="G204" s="131" t="s">
        <v>30</v>
      </c>
      <c r="H204" s="53"/>
      <c r="I204" s="188"/>
      <c r="J204" s="54">
        <f t="shared" si="0"/>
        <v>0</v>
      </c>
      <c r="K204" s="55" t="b">
        <v>0</v>
      </c>
      <c r="L204" s="56"/>
      <c r="M204" s="57" t="b">
        <v>0</v>
      </c>
      <c r="N204" s="58"/>
      <c r="O204" s="226"/>
      <c r="P204" s="191" t="b">
        <v>0</v>
      </c>
      <c r="Q204" s="398"/>
      <c r="R204" s="128"/>
      <c r="S204" s="47" t="b">
        <v>0</v>
      </c>
      <c r="T204" s="313"/>
      <c r="U204" s="307"/>
      <c r="V204" s="54"/>
    </row>
    <row r="205" spans="1:22" ht="16">
      <c r="A205" s="162"/>
      <c r="B205" s="132"/>
      <c r="C205" s="53"/>
      <c r="D205" s="53"/>
      <c r="E205" s="53"/>
      <c r="F205" s="53"/>
      <c r="G205" s="131" t="s">
        <v>30</v>
      </c>
      <c r="H205" s="53"/>
      <c r="I205" s="188"/>
      <c r="J205" s="54">
        <f t="shared" si="0"/>
        <v>0</v>
      </c>
      <c r="K205" s="55" t="b">
        <v>0</v>
      </c>
      <c r="L205" s="56"/>
      <c r="M205" s="57" t="b">
        <v>0</v>
      </c>
      <c r="N205" s="58"/>
      <c r="O205" s="226"/>
      <c r="P205" s="191" t="b">
        <v>0</v>
      </c>
      <c r="Q205" s="398"/>
      <c r="R205" s="128"/>
      <c r="S205" s="47" t="b">
        <v>0</v>
      </c>
      <c r="T205" s="313"/>
      <c r="U205" s="307"/>
      <c r="V205" s="54"/>
    </row>
    <row r="206" spans="1:22" ht="16">
      <c r="A206" s="162"/>
      <c r="B206" s="132"/>
      <c r="C206" s="53"/>
      <c r="D206" s="53"/>
      <c r="E206" s="53"/>
      <c r="F206" s="53"/>
      <c r="G206" s="131" t="s">
        <v>30</v>
      </c>
      <c r="H206" s="53"/>
      <c r="I206" s="188"/>
      <c r="J206" s="54">
        <f t="shared" si="0"/>
        <v>0</v>
      </c>
      <c r="K206" s="55" t="b">
        <v>0</v>
      </c>
      <c r="L206" s="56"/>
      <c r="M206" s="57" t="b">
        <v>0</v>
      </c>
      <c r="N206" s="58"/>
      <c r="O206" s="226"/>
      <c r="P206" s="191" t="b">
        <v>0</v>
      </c>
      <c r="Q206" s="398"/>
      <c r="R206" s="128"/>
      <c r="S206" s="47" t="b">
        <v>0</v>
      </c>
      <c r="T206" s="313"/>
      <c r="U206" s="307"/>
      <c r="V206" s="54"/>
    </row>
    <row r="207" spans="1:22" ht="16">
      <c r="A207" s="162"/>
      <c r="B207" s="132"/>
      <c r="C207" s="53"/>
      <c r="D207" s="53"/>
      <c r="E207" s="53"/>
      <c r="F207" s="53"/>
      <c r="G207" s="131" t="s">
        <v>30</v>
      </c>
      <c r="H207" s="53"/>
      <c r="I207" s="188"/>
      <c r="J207" s="54">
        <f t="shared" si="0"/>
        <v>0</v>
      </c>
      <c r="K207" s="55" t="b">
        <v>0</v>
      </c>
      <c r="L207" s="56"/>
      <c r="M207" s="57" t="b">
        <v>0</v>
      </c>
      <c r="N207" s="58"/>
      <c r="O207" s="226"/>
      <c r="P207" s="191" t="b">
        <v>0</v>
      </c>
      <c r="Q207" s="398"/>
      <c r="R207" s="128"/>
      <c r="S207" s="47" t="b">
        <v>0</v>
      </c>
      <c r="T207" s="313"/>
      <c r="U207" s="307"/>
      <c r="V207" s="54"/>
    </row>
    <row r="208" spans="1:22" ht="16">
      <c r="A208" s="162"/>
      <c r="B208" s="132"/>
      <c r="C208" s="53"/>
      <c r="D208" s="53"/>
      <c r="E208" s="53"/>
      <c r="F208" s="53"/>
      <c r="G208" s="131"/>
      <c r="H208" s="53"/>
      <c r="I208" s="188"/>
      <c r="J208" s="54"/>
      <c r="K208" s="55" t="b">
        <v>0</v>
      </c>
      <c r="L208" s="56"/>
      <c r="M208" s="57" t="b">
        <v>0</v>
      </c>
      <c r="N208" s="58"/>
      <c r="O208" s="226"/>
      <c r="P208" s="191" t="b">
        <v>0</v>
      </c>
      <c r="Q208" s="398"/>
      <c r="R208" s="128"/>
      <c r="S208" s="47" t="b">
        <v>0</v>
      </c>
      <c r="T208" s="313"/>
      <c r="U208" s="307"/>
      <c r="V208" s="54"/>
    </row>
    <row r="209" spans="1:22" ht="16">
      <c r="A209" s="162"/>
      <c r="B209" s="132"/>
      <c r="C209" s="53"/>
      <c r="D209" s="53"/>
      <c r="E209" s="53"/>
      <c r="F209" s="53"/>
      <c r="G209" s="131"/>
      <c r="H209" s="53"/>
      <c r="I209" s="188"/>
      <c r="J209" s="54"/>
      <c r="K209" s="55" t="b">
        <v>0</v>
      </c>
      <c r="L209" s="56"/>
      <c r="M209" s="57" t="b">
        <v>0</v>
      </c>
      <c r="N209" s="58"/>
      <c r="O209" s="226"/>
      <c r="P209" s="191" t="b">
        <v>0</v>
      </c>
      <c r="Q209" s="398"/>
      <c r="R209" s="128"/>
      <c r="S209" s="47" t="b">
        <v>0</v>
      </c>
      <c r="T209" s="313"/>
      <c r="U209" s="307"/>
      <c r="V209" s="54"/>
    </row>
    <row r="210" spans="1:22" ht="16">
      <c r="A210" s="162"/>
      <c r="B210" s="132"/>
      <c r="C210" s="53"/>
      <c r="D210" s="53"/>
      <c r="E210" s="53"/>
      <c r="F210" s="53"/>
      <c r="G210" s="131"/>
      <c r="H210" s="53"/>
      <c r="I210" s="188"/>
      <c r="J210" s="54"/>
      <c r="K210" s="55" t="b">
        <v>0</v>
      </c>
      <c r="L210" s="56"/>
      <c r="M210" s="57" t="b">
        <v>0</v>
      </c>
      <c r="N210" s="58"/>
      <c r="O210" s="226"/>
      <c r="P210" s="191" t="b">
        <v>0</v>
      </c>
      <c r="Q210" s="398"/>
      <c r="R210" s="128"/>
      <c r="S210" s="47" t="b">
        <v>0</v>
      </c>
      <c r="T210" s="313"/>
      <c r="U210" s="307"/>
      <c r="V210" s="54"/>
    </row>
    <row r="211" spans="1:22" ht="16">
      <c r="A211" s="162"/>
      <c r="B211" s="132"/>
      <c r="C211" s="53"/>
      <c r="D211" s="53"/>
      <c r="E211" s="53"/>
      <c r="F211" s="53"/>
      <c r="G211" s="131"/>
      <c r="H211" s="53"/>
      <c r="I211" s="188"/>
      <c r="J211" s="54"/>
      <c r="K211" s="55" t="b">
        <v>0</v>
      </c>
      <c r="L211" s="56"/>
      <c r="M211" s="57" t="b">
        <v>0</v>
      </c>
      <c r="N211" s="58"/>
      <c r="O211" s="226"/>
      <c r="P211" s="191" t="b">
        <v>0</v>
      </c>
      <c r="Q211" s="398"/>
      <c r="R211" s="128"/>
      <c r="S211" s="47" t="b">
        <v>0</v>
      </c>
      <c r="T211" s="313"/>
      <c r="U211" s="307"/>
      <c r="V211" s="54"/>
    </row>
    <row r="212" spans="1:22" ht="16">
      <c r="A212" s="162"/>
      <c r="B212" s="132"/>
      <c r="C212" s="53"/>
      <c r="D212" s="53"/>
      <c r="E212" s="53"/>
      <c r="F212" s="53"/>
      <c r="G212" s="131"/>
      <c r="H212" s="53"/>
      <c r="I212" s="188"/>
      <c r="J212" s="54"/>
      <c r="K212" s="55" t="b">
        <v>0</v>
      </c>
      <c r="L212" s="56"/>
      <c r="M212" s="57" t="b">
        <v>0</v>
      </c>
      <c r="N212" s="58"/>
      <c r="O212" s="226"/>
      <c r="P212" s="191" t="b">
        <v>0</v>
      </c>
      <c r="Q212" s="398"/>
      <c r="R212" s="128"/>
      <c r="S212" s="47" t="b">
        <v>0</v>
      </c>
      <c r="T212" s="313"/>
      <c r="U212" s="307"/>
      <c r="V212" s="54"/>
    </row>
    <row r="213" spans="1:22" ht="16">
      <c r="A213" s="162"/>
      <c r="B213" s="132"/>
      <c r="C213" s="53"/>
      <c r="D213" s="53"/>
      <c r="E213" s="53"/>
      <c r="F213" s="53"/>
      <c r="G213" s="131"/>
      <c r="H213" s="53"/>
      <c r="I213" s="188"/>
      <c r="J213" s="75"/>
      <c r="K213" s="55" t="b">
        <v>0</v>
      </c>
      <c r="L213" s="56"/>
      <c r="M213" s="57" t="b">
        <v>0</v>
      </c>
      <c r="N213" s="58"/>
      <c r="O213" s="226"/>
      <c r="P213" s="191" t="b">
        <v>0</v>
      </c>
      <c r="Q213" s="398"/>
      <c r="R213" s="128"/>
      <c r="S213" s="47" t="b">
        <v>0</v>
      </c>
      <c r="T213" s="313"/>
      <c r="U213" s="307"/>
      <c r="V213" s="54"/>
    </row>
    <row r="214" spans="1:22" ht="16">
      <c r="A214" s="162"/>
      <c r="B214" s="132"/>
      <c r="C214" s="53"/>
      <c r="D214" s="53"/>
      <c r="E214" s="53"/>
      <c r="F214" s="53"/>
      <c r="G214" s="131"/>
      <c r="H214" s="53"/>
      <c r="I214" s="188"/>
      <c r="J214" s="75"/>
      <c r="K214" s="55" t="b">
        <v>0</v>
      </c>
      <c r="L214" s="56"/>
      <c r="M214" s="57" t="b">
        <v>0</v>
      </c>
      <c r="N214" s="58"/>
      <c r="O214" s="226"/>
      <c r="P214" s="191" t="b">
        <v>0</v>
      </c>
      <c r="Q214" s="398"/>
      <c r="R214" s="128"/>
      <c r="S214" s="47" t="b">
        <v>0</v>
      </c>
      <c r="T214" s="313"/>
      <c r="U214" s="307"/>
      <c r="V214" s="54"/>
    </row>
    <row r="215" spans="1:22" ht="16">
      <c r="A215" s="162"/>
      <c r="B215" s="132"/>
      <c r="C215" s="53"/>
      <c r="D215" s="53"/>
      <c r="E215" s="53"/>
      <c r="F215" s="53"/>
      <c r="G215" s="131"/>
      <c r="H215" s="53"/>
      <c r="I215" s="188"/>
      <c r="J215" s="75"/>
      <c r="K215" s="55" t="b">
        <v>0</v>
      </c>
      <c r="L215" s="56"/>
      <c r="M215" s="57" t="b">
        <v>0</v>
      </c>
      <c r="N215" s="58"/>
      <c r="O215" s="226"/>
      <c r="P215" s="191" t="b">
        <v>0</v>
      </c>
      <c r="Q215" s="398"/>
      <c r="R215" s="128"/>
      <c r="S215" s="47" t="b">
        <v>0</v>
      </c>
      <c r="T215" s="313"/>
      <c r="U215" s="307"/>
      <c r="V215" s="54"/>
    </row>
    <row r="216" spans="1:22" ht="16">
      <c r="A216" s="162"/>
      <c r="B216" s="132"/>
      <c r="C216" s="53"/>
      <c r="D216" s="53"/>
      <c r="E216" s="53"/>
      <c r="F216" s="53"/>
      <c r="G216" s="131"/>
      <c r="H216" s="53"/>
      <c r="I216" s="188"/>
      <c r="J216" s="75"/>
      <c r="K216" s="55" t="b">
        <v>0</v>
      </c>
      <c r="L216" s="56"/>
      <c r="M216" s="57" t="b">
        <v>0</v>
      </c>
      <c r="N216" s="58"/>
      <c r="O216" s="226"/>
      <c r="P216" s="191" t="b">
        <v>0</v>
      </c>
      <c r="Q216" s="398"/>
      <c r="R216" s="128"/>
      <c r="S216" s="47" t="b">
        <v>0</v>
      </c>
      <c r="T216" s="313"/>
      <c r="U216" s="307"/>
      <c r="V216" s="54"/>
    </row>
    <row r="217" spans="1:22" ht="16">
      <c r="A217" s="162"/>
      <c r="B217" s="132"/>
      <c r="C217" s="53"/>
      <c r="D217" s="53"/>
      <c r="E217" s="53"/>
      <c r="F217" s="53"/>
      <c r="G217" s="131"/>
      <c r="H217" s="53"/>
      <c r="I217" s="188"/>
      <c r="J217" s="75"/>
      <c r="K217" s="55" t="b">
        <v>0</v>
      </c>
      <c r="L217" s="56"/>
      <c r="M217" s="57" t="b">
        <v>0</v>
      </c>
      <c r="N217" s="58"/>
      <c r="O217" s="226"/>
      <c r="P217" s="191" t="b">
        <v>0</v>
      </c>
      <c r="Q217" s="398"/>
      <c r="R217" s="128"/>
      <c r="S217" s="47" t="b">
        <v>0</v>
      </c>
      <c r="T217" s="313"/>
      <c r="U217" s="307"/>
      <c r="V217" s="54"/>
    </row>
    <row r="218" spans="1:22" ht="16">
      <c r="A218" s="162"/>
      <c r="B218" s="132"/>
      <c r="C218" s="53"/>
      <c r="D218" s="53"/>
      <c r="E218" s="53"/>
      <c r="F218" s="53"/>
      <c r="G218" s="131"/>
      <c r="H218" s="53"/>
      <c r="I218" s="188"/>
      <c r="J218" s="75"/>
      <c r="K218" s="55" t="b">
        <v>0</v>
      </c>
      <c r="L218" s="56"/>
      <c r="M218" s="57" t="b">
        <v>0</v>
      </c>
      <c r="N218" s="58"/>
      <c r="O218" s="226"/>
      <c r="P218" s="191" t="b">
        <v>0</v>
      </c>
      <c r="Q218" s="398"/>
      <c r="R218" s="128"/>
      <c r="S218" s="47" t="b">
        <v>0</v>
      </c>
      <c r="T218" s="313"/>
      <c r="U218" s="307"/>
      <c r="V218" s="54"/>
    </row>
    <row r="219" spans="1:22" ht="16">
      <c r="A219" s="162"/>
      <c r="B219" s="132"/>
      <c r="C219" s="53"/>
      <c r="D219" s="53"/>
      <c r="E219" s="53"/>
      <c r="F219" s="53"/>
      <c r="G219" s="131"/>
      <c r="H219" s="53"/>
      <c r="I219" s="188"/>
      <c r="J219" s="75"/>
      <c r="K219" s="55" t="b">
        <v>0</v>
      </c>
      <c r="L219" s="56"/>
      <c r="M219" s="57" t="b">
        <v>0</v>
      </c>
      <c r="N219" s="58"/>
      <c r="O219" s="226"/>
      <c r="P219" s="191" t="b">
        <v>0</v>
      </c>
      <c r="Q219" s="398"/>
      <c r="R219" s="128"/>
      <c r="S219" s="47" t="b">
        <v>0</v>
      </c>
      <c r="T219" s="313"/>
      <c r="U219" s="307"/>
      <c r="V219" s="54"/>
    </row>
    <row r="220" spans="1:22" ht="16">
      <c r="A220" s="162"/>
      <c r="B220" s="132"/>
      <c r="C220" s="53"/>
      <c r="D220" s="53"/>
      <c r="E220" s="53"/>
      <c r="F220" s="53"/>
      <c r="G220" s="131"/>
      <c r="H220" s="53"/>
      <c r="I220" s="188"/>
      <c r="J220" s="75"/>
      <c r="K220" s="55" t="b">
        <v>0</v>
      </c>
      <c r="L220" s="56"/>
      <c r="M220" s="57" t="b">
        <v>0</v>
      </c>
      <c r="N220" s="58"/>
      <c r="O220" s="226"/>
      <c r="P220" s="191" t="b">
        <v>0</v>
      </c>
      <c r="Q220" s="398"/>
      <c r="R220" s="128"/>
      <c r="S220" s="47" t="b">
        <v>0</v>
      </c>
      <c r="T220" s="313"/>
      <c r="U220" s="307"/>
      <c r="V220" s="54"/>
    </row>
    <row r="221" spans="1:22" ht="16">
      <c r="A221" s="162"/>
      <c r="B221" s="132"/>
      <c r="C221" s="53"/>
      <c r="D221" s="53"/>
      <c r="E221" s="53"/>
      <c r="F221" s="53"/>
      <c r="G221" s="131"/>
      <c r="H221" s="53"/>
      <c r="I221" s="188"/>
      <c r="J221" s="75"/>
      <c r="K221" s="55" t="b">
        <v>0</v>
      </c>
      <c r="L221" s="56"/>
      <c r="M221" s="57" t="b">
        <v>0</v>
      </c>
      <c r="N221" s="58"/>
      <c r="O221" s="226"/>
      <c r="P221" s="191" t="b">
        <v>0</v>
      </c>
      <c r="Q221" s="398"/>
      <c r="R221" s="128"/>
      <c r="S221" s="47" t="b">
        <v>0</v>
      </c>
      <c r="T221" s="313"/>
      <c r="U221" s="307"/>
      <c r="V221" s="54"/>
    </row>
    <row r="222" spans="1:22" ht="16">
      <c r="A222" s="162"/>
      <c r="B222" s="132"/>
      <c r="C222" s="53"/>
      <c r="D222" s="53"/>
      <c r="E222" s="53"/>
      <c r="F222" s="53"/>
      <c r="G222" s="131"/>
      <c r="H222" s="53"/>
      <c r="I222" s="188"/>
      <c r="J222" s="75"/>
      <c r="K222" s="55" t="b">
        <v>0</v>
      </c>
      <c r="L222" s="56"/>
      <c r="M222" s="57" t="b">
        <v>0</v>
      </c>
      <c r="N222" s="58"/>
      <c r="O222" s="226"/>
      <c r="P222" s="191" t="b">
        <v>0</v>
      </c>
      <c r="Q222" s="398"/>
      <c r="R222" s="128"/>
      <c r="S222" s="47" t="b">
        <v>0</v>
      </c>
      <c r="T222" s="313"/>
      <c r="U222" s="307"/>
      <c r="V222" s="54"/>
    </row>
    <row r="223" spans="1:22" ht="16">
      <c r="A223" s="162"/>
      <c r="B223" s="132"/>
      <c r="C223" s="53"/>
      <c r="D223" s="53"/>
      <c r="E223" s="53"/>
      <c r="F223" s="53"/>
      <c r="G223" s="131"/>
      <c r="H223" s="53"/>
      <c r="I223" s="188"/>
      <c r="J223" s="75"/>
      <c r="K223" s="55" t="b">
        <v>0</v>
      </c>
      <c r="L223" s="56"/>
      <c r="M223" s="57" t="b">
        <v>0</v>
      </c>
      <c r="N223" s="58"/>
      <c r="O223" s="226"/>
      <c r="P223" s="191" t="b">
        <v>0</v>
      </c>
      <c r="Q223" s="398"/>
      <c r="R223" s="128"/>
      <c r="S223" s="47" t="b">
        <v>0</v>
      </c>
      <c r="T223" s="313"/>
      <c r="U223" s="307"/>
      <c r="V223" s="54"/>
    </row>
    <row r="224" spans="1:22" ht="16">
      <c r="A224" s="162"/>
      <c r="B224" s="132"/>
      <c r="C224" s="53"/>
      <c r="D224" s="53"/>
      <c r="E224" s="53"/>
      <c r="F224" s="53"/>
      <c r="G224" s="131"/>
      <c r="H224" s="53"/>
      <c r="I224" s="188"/>
      <c r="J224" s="75"/>
      <c r="K224" s="55" t="b">
        <v>0</v>
      </c>
      <c r="L224" s="56"/>
      <c r="M224" s="57" t="b">
        <v>0</v>
      </c>
      <c r="N224" s="58"/>
      <c r="O224" s="226"/>
      <c r="P224" s="191" t="b">
        <v>0</v>
      </c>
      <c r="Q224" s="398"/>
      <c r="R224" s="128"/>
      <c r="S224" s="47" t="b">
        <v>0</v>
      </c>
      <c r="T224" s="313"/>
      <c r="U224" s="307"/>
      <c r="V224" s="54"/>
    </row>
    <row r="225" spans="1:22" ht="16">
      <c r="A225" s="162"/>
      <c r="B225" s="132"/>
      <c r="C225" s="53"/>
      <c r="D225" s="53"/>
      <c r="E225" s="53"/>
      <c r="F225" s="53"/>
      <c r="G225" s="131"/>
      <c r="H225" s="53"/>
      <c r="I225" s="188"/>
      <c r="J225" s="75"/>
      <c r="K225" s="55" t="b">
        <v>0</v>
      </c>
      <c r="L225" s="56"/>
      <c r="M225" s="57" t="b">
        <v>0</v>
      </c>
      <c r="N225" s="58"/>
      <c r="O225" s="226"/>
      <c r="P225" s="191" t="b">
        <v>0</v>
      </c>
      <c r="Q225" s="398"/>
      <c r="R225" s="128"/>
      <c r="S225" s="47" t="b">
        <v>0</v>
      </c>
      <c r="T225" s="313"/>
      <c r="U225" s="307"/>
      <c r="V225" s="54"/>
    </row>
    <row r="226" spans="1:22" ht="16">
      <c r="A226" s="162"/>
      <c r="B226" s="132"/>
      <c r="C226" s="53"/>
      <c r="D226" s="53"/>
      <c r="E226" s="53"/>
      <c r="F226" s="53"/>
      <c r="G226" s="131"/>
      <c r="H226" s="53"/>
      <c r="I226" s="188"/>
      <c r="J226" s="75"/>
      <c r="K226" s="55" t="b">
        <v>0</v>
      </c>
      <c r="L226" s="56"/>
      <c r="M226" s="57" t="b">
        <v>0</v>
      </c>
      <c r="N226" s="58"/>
      <c r="O226" s="226"/>
      <c r="P226" s="191" t="b">
        <v>0</v>
      </c>
      <c r="Q226" s="398"/>
      <c r="R226" s="128"/>
      <c r="S226" s="47" t="b">
        <v>0</v>
      </c>
      <c r="T226" s="313"/>
      <c r="U226" s="307"/>
      <c r="V226" s="54"/>
    </row>
    <row r="227" spans="1:22" ht="16">
      <c r="A227" s="162"/>
      <c r="B227" s="132"/>
      <c r="C227" s="53"/>
      <c r="D227" s="53"/>
      <c r="E227" s="53"/>
      <c r="F227" s="53"/>
      <c r="G227" s="131"/>
      <c r="H227" s="53"/>
      <c r="I227" s="188"/>
      <c r="J227" s="75"/>
      <c r="K227" s="55" t="b">
        <v>0</v>
      </c>
      <c r="L227" s="56"/>
      <c r="M227" s="57" t="b">
        <v>0</v>
      </c>
      <c r="N227" s="58"/>
      <c r="O227" s="226"/>
      <c r="P227" s="191" t="b">
        <v>0</v>
      </c>
      <c r="Q227" s="398"/>
      <c r="R227" s="128"/>
      <c r="S227" s="47" t="b">
        <v>0</v>
      </c>
      <c r="T227" s="313"/>
      <c r="U227" s="307"/>
      <c r="V227" s="54"/>
    </row>
    <row r="228" spans="1:22" ht="16">
      <c r="A228" s="162"/>
      <c r="B228" s="132"/>
      <c r="C228" s="53"/>
      <c r="D228" s="53"/>
      <c r="E228" s="53"/>
      <c r="F228" s="53"/>
      <c r="G228" s="131"/>
      <c r="H228" s="53"/>
      <c r="I228" s="188"/>
      <c r="J228" s="75"/>
      <c r="K228" s="55" t="b">
        <v>0</v>
      </c>
      <c r="L228" s="56"/>
      <c r="M228" s="57" t="b">
        <v>0</v>
      </c>
      <c r="N228" s="58"/>
      <c r="O228" s="226"/>
      <c r="P228" s="191" t="b">
        <v>0</v>
      </c>
      <c r="Q228" s="398"/>
      <c r="R228" s="128"/>
      <c r="S228" s="47" t="b">
        <v>0</v>
      </c>
      <c r="T228" s="313"/>
      <c r="U228" s="307"/>
      <c r="V228" s="54"/>
    </row>
    <row r="229" spans="1:22" ht="16">
      <c r="A229" s="162"/>
      <c r="B229" s="132"/>
      <c r="C229" s="53"/>
      <c r="D229" s="53"/>
      <c r="E229" s="53"/>
      <c r="F229" s="53"/>
      <c r="G229" s="131"/>
      <c r="H229" s="53"/>
      <c r="I229" s="188"/>
      <c r="J229" s="75"/>
      <c r="K229" s="55" t="b">
        <v>0</v>
      </c>
      <c r="L229" s="56"/>
      <c r="M229" s="57" t="b">
        <v>0</v>
      </c>
      <c r="N229" s="58"/>
      <c r="O229" s="226"/>
      <c r="P229" s="191" t="b">
        <v>0</v>
      </c>
      <c r="Q229" s="398"/>
      <c r="R229" s="128"/>
      <c r="S229" s="47" t="b">
        <v>0</v>
      </c>
      <c r="T229" s="313"/>
      <c r="U229" s="307"/>
      <c r="V229" s="54"/>
    </row>
    <row r="230" spans="1:22" ht="16">
      <c r="A230" s="162"/>
      <c r="B230" s="132"/>
      <c r="C230" s="53"/>
      <c r="D230" s="53"/>
      <c r="E230" s="53"/>
      <c r="F230" s="53"/>
      <c r="G230" s="131"/>
      <c r="H230" s="53"/>
      <c r="I230" s="188"/>
      <c r="J230" s="75"/>
      <c r="K230" s="55" t="b">
        <v>0</v>
      </c>
      <c r="L230" s="56"/>
      <c r="M230" s="57" t="b">
        <v>0</v>
      </c>
      <c r="N230" s="58"/>
      <c r="O230" s="226"/>
      <c r="P230" s="191" t="b">
        <v>0</v>
      </c>
      <c r="Q230" s="398"/>
      <c r="R230" s="128"/>
      <c r="S230" s="47" t="b">
        <v>0</v>
      </c>
      <c r="T230" s="313"/>
      <c r="U230" s="307"/>
      <c r="V230" s="54"/>
    </row>
    <row r="231" spans="1:22" ht="16">
      <c r="A231" s="162"/>
      <c r="B231" s="132"/>
      <c r="C231" s="53"/>
      <c r="D231" s="53"/>
      <c r="E231" s="53"/>
      <c r="F231" s="53"/>
      <c r="G231" s="131"/>
      <c r="H231" s="53"/>
      <c r="I231" s="188"/>
      <c r="J231" s="75"/>
      <c r="K231" s="55" t="b">
        <v>0</v>
      </c>
      <c r="L231" s="56"/>
      <c r="M231" s="57" t="b">
        <v>0</v>
      </c>
      <c r="N231" s="58"/>
      <c r="O231" s="226"/>
      <c r="P231" s="191" t="b">
        <v>0</v>
      </c>
      <c r="Q231" s="398"/>
      <c r="R231" s="128"/>
      <c r="S231" s="47" t="b">
        <v>0</v>
      </c>
      <c r="T231" s="313"/>
      <c r="U231" s="307"/>
      <c r="V231" s="54"/>
    </row>
    <row r="232" spans="1:22" ht="16">
      <c r="A232" s="162"/>
      <c r="B232" s="132"/>
      <c r="C232" s="53"/>
      <c r="D232" s="53"/>
      <c r="E232" s="53"/>
      <c r="F232" s="53"/>
      <c r="G232" s="131"/>
      <c r="H232" s="53"/>
      <c r="I232" s="188"/>
      <c r="J232" s="75"/>
      <c r="K232" s="55" t="b">
        <v>0</v>
      </c>
      <c r="L232" s="56"/>
      <c r="M232" s="57" t="b">
        <v>0</v>
      </c>
      <c r="N232" s="58"/>
      <c r="O232" s="226"/>
      <c r="P232" s="191" t="b">
        <v>0</v>
      </c>
      <c r="Q232" s="398"/>
      <c r="R232" s="128"/>
      <c r="S232" s="47" t="b">
        <v>0</v>
      </c>
      <c r="T232" s="313"/>
      <c r="U232" s="307"/>
      <c r="V232" s="54"/>
    </row>
    <row r="233" spans="1:22" ht="16">
      <c r="A233" s="162"/>
      <c r="B233" s="132"/>
      <c r="C233" s="53"/>
      <c r="D233" s="53"/>
      <c r="E233" s="53"/>
      <c r="F233" s="53"/>
      <c r="G233" s="131"/>
      <c r="H233" s="53"/>
      <c r="I233" s="188"/>
      <c r="J233" s="75"/>
      <c r="K233" s="55" t="b">
        <v>1</v>
      </c>
      <c r="L233" s="56"/>
      <c r="M233" s="57" t="b">
        <v>0</v>
      </c>
      <c r="N233" s="58"/>
      <c r="O233" s="226"/>
      <c r="P233" s="191" t="b">
        <v>0</v>
      </c>
      <c r="Q233" s="398"/>
      <c r="R233" s="128"/>
      <c r="S233" s="47" t="b">
        <v>0</v>
      </c>
      <c r="T233" s="313"/>
      <c r="U233" s="307"/>
      <c r="V233" s="54"/>
    </row>
    <row r="234" spans="1:22" ht="16">
      <c r="I234" s="314"/>
      <c r="L234" s="350"/>
      <c r="O234" s="225"/>
      <c r="T234" s="315"/>
      <c r="U234" s="315"/>
    </row>
    <row r="235" spans="1:22" ht="16">
      <c r="I235" s="314"/>
      <c r="L235" s="350"/>
      <c r="O235" s="225"/>
      <c r="T235" s="315"/>
      <c r="U235" s="315"/>
    </row>
    <row r="236" spans="1:22" ht="16">
      <c r="I236" s="314"/>
      <c r="L236" s="350"/>
      <c r="O236" s="225"/>
      <c r="T236" s="315"/>
      <c r="U236" s="315"/>
    </row>
    <row r="237" spans="1:22" ht="16">
      <c r="I237" s="314"/>
      <c r="L237" s="350"/>
      <c r="O237" s="225"/>
      <c r="T237" s="315"/>
      <c r="U237" s="315"/>
    </row>
    <row r="238" spans="1:22" ht="16">
      <c r="I238" s="314"/>
      <c r="L238" s="350"/>
      <c r="O238" s="225"/>
      <c r="T238" s="315"/>
      <c r="U238" s="315"/>
    </row>
    <row r="239" spans="1:22" ht="16">
      <c r="I239" s="314"/>
      <c r="L239" s="350"/>
      <c r="O239" s="225"/>
      <c r="T239" s="315"/>
      <c r="U239" s="315"/>
    </row>
    <row r="240" spans="1:22" ht="16">
      <c r="I240" s="314"/>
      <c r="L240" s="350"/>
      <c r="O240" s="225"/>
      <c r="T240" s="315"/>
      <c r="U240" s="315"/>
    </row>
    <row r="241" spans="9:21" ht="16">
      <c r="I241" s="314"/>
      <c r="L241" s="350"/>
      <c r="O241" s="225"/>
      <c r="T241" s="315"/>
      <c r="U241" s="315"/>
    </row>
    <row r="242" spans="9:21" ht="16">
      <c r="I242" s="314"/>
      <c r="L242" s="350"/>
      <c r="O242" s="225"/>
      <c r="T242" s="315"/>
      <c r="U242" s="315"/>
    </row>
    <row r="243" spans="9:21" ht="16">
      <c r="I243" s="314"/>
      <c r="L243" s="350"/>
      <c r="O243" s="225"/>
      <c r="T243" s="315"/>
      <c r="U243" s="315"/>
    </row>
    <row r="244" spans="9:21" ht="16">
      <c r="I244" s="314"/>
      <c r="L244" s="350"/>
      <c r="O244" s="225"/>
      <c r="T244" s="315"/>
      <c r="U244" s="315"/>
    </row>
    <row r="245" spans="9:21" ht="16">
      <c r="I245" s="314"/>
      <c r="L245" s="350"/>
      <c r="O245" s="225"/>
      <c r="T245" s="315"/>
      <c r="U245" s="315"/>
    </row>
    <row r="246" spans="9:21" ht="16">
      <c r="I246" s="314"/>
      <c r="L246" s="350"/>
      <c r="O246" s="225"/>
      <c r="T246" s="315"/>
      <c r="U246" s="315"/>
    </row>
    <row r="247" spans="9:21" ht="16">
      <c r="I247" s="314"/>
      <c r="L247" s="350"/>
      <c r="O247" s="225"/>
      <c r="T247" s="315"/>
      <c r="U247" s="315"/>
    </row>
    <row r="248" spans="9:21" ht="16">
      <c r="I248" s="314"/>
      <c r="L248" s="350"/>
      <c r="O248" s="225"/>
      <c r="T248" s="315"/>
      <c r="U248" s="315"/>
    </row>
    <row r="249" spans="9:21" ht="16">
      <c r="I249" s="314"/>
      <c r="L249" s="350"/>
      <c r="O249" s="225"/>
      <c r="T249" s="315"/>
      <c r="U249" s="315"/>
    </row>
    <row r="250" spans="9:21" ht="16">
      <c r="I250" s="314"/>
      <c r="L250" s="350"/>
      <c r="O250" s="225"/>
      <c r="T250" s="315"/>
      <c r="U250" s="315"/>
    </row>
    <row r="251" spans="9:21" ht="16">
      <c r="I251" s="314"/>
      <c r="L251" s="350"/>
      <c r="O251" s="225"/>
      <c r="T251" s="315"/>
      <c r="U251" s="315"/>
    </row>
    <row r="252" spans="9:21" ht="16">
      <c r="I252" s="314"/>
      <c r="L252" s="350"/>
      <c r="O252" s="225"/>
      <c r="T252" s="315"/>
      <c r="U252" s="315"/>
    </row>
    <row r="253" spans="9:21" ht="16">
      <c r="I253" s="314"/>
      <c r="L253" s="350"/>
      <c r="O253" s="225"/>
      <c r="T253" s="315"/>
      <c r="U253" s="315"/>
    </row>
    <row r="254" spans="9:21" ht="16">
      <c r="I254" s="314"/>
      <c r="L254" s="350"/>
      <c r="O254" s="225"/>
      <c r="T254" s="315"/>
      <c r="U254" s="315"/>
    </row>
    <row r="255" spans="9:21" ht="16">
      <c r="I255" s="314"/>
      <c r="L255" s="350"/>
      <c r="O255" s="225"/>
      <c r="T255" s="315"/>
      <c r="U255" s="315"/>
    </row>
    <row r="256" spans="9:21" ht="16">
      <c r="I256" s="314"/>
      <c r="L256" s="350"/>
      <c r="O256" s="225"/>
      <c r="T256" s="315"/>
      <c r="U256" s="315"/>
    </row>
    <row r="257" spans="9:21" ht="16">
      <c r="I257" s="314"/>
      <c r="L257" s="350"/>
      <c r="O257" s="225"/>
      <c r="T257" s="315"/>
      <c r="U257" s="315"/>
    </row>
    <row r="258" spans="9:21" ht="16">
      <c r="I258" s="314"/>
      <c r="L258" s="350"/>
      <c r="O258" s="225"/>
      <c r="T258" s="315"/>
      <c r="U258" s="315"/>
    </row>
    <row r="259" spans="9:21" ht="16">
      <c r="I259" s="314"/>
      <c r="L259" s="350"/>
      <c r="O259" s="225"/>
      <c r="T259" s="315"/>
      <c r="U259" s="315"/>
    </row>
    <row r="260" spans="9:21" ht="16">
      <c r="I260" s="314"/>
      <c r="L260" s="350"/>
      <c r="O260" s="225"/>
      <c r="T260" s="315"/>
      <c r="U260" s="315"/>
    </row>
    <row r="261" spans="9:21" ht="16">
      <c r="I261" s="314"/>
      <c r="L261" s="350"/>
      <c r="O261" s="225"/>
      <c r="T261" s="315"/>
      <c r="U261" s="315"/>
    </row>
    <row r="262" spans="9:21" ht="16">
      <c r="I262" s="314"/>
      <c r="L262" s="350"/>
      <c r="O262" s="225"/>
      <c r="T262" s="315"/>
      <c r="U262" s="315"/>
    </row>
    <row r="263" spans="9:21" ht="16">
      <c r="I263" s="314"/>
      <c r="L263" s="350"/>
      <c r="O263" s="225"/>
      <c r="T263" s="315"/>
      <c r="U263" s="315"/>
    </row>
    <row r="264" spans="9:21" ht="16">
      <c r="I264" s="314"/>
      <c r="L264" s="350"/>
      <c r="O264" s="225"/>
      <c r="T264" s="315"/>
      <c r="U264" s="315"/>
    </row>
    <row r="265" spans="9:21" ht="16">
      <c r="I265" s="314"/>
      <c r="L265" s="350"/>
      <c r="O265" s="225"/>
      <c r="T265" s="315"/>
      <c r="U265" s="315"/>
    </row>
    <row r="266" spans="9:21" ht="16">
      <c r="I266" s="314"/>
      <c r="L266" s="350"/>
      <c r="O266" s="225"/>
      <c r="T266" s="315"/>
      <c r="U266" s="315"/>
    </row>
    <row r="267" spans="9:21" ht="16">
      <c r="I267" s="314"/>
      <c r="L267" s="350"/>
      <c r="O267" s="225"/>
      <c r="T267" s="315"/>
      <c r="U267" s="315"/>
    </row>
    <row r="268" spans="9:21" ht="16">
      <c r="I268" s="314"/>
      <c r="L268" s="350"/>
      <c r="O268" s="225"/>
      <c r="T268" s="315"/>
      <c r="U268" s="315"/>
    </row>
    <row r="269" spans="9:21" ht="16">
      <c r="I269" s="314"/>
      <c r="L269" s="350"/>
      <c r="O269" s="225"/>
      <c r="T269" s="315"/>
      <c r="U269" s="315"/>
    </row>
    <row r="270" spans="9:21" ht="16">
      <c r="I270" s="314"/>
      <c r="L270" s="350"/>
      <c r="O270" s="225"/>
      <c r="T270" s="315"/>
      <c r="U270" s="315"/>
    </row>
    <row r="271" spans="9:21" ht="16">
      <c r="I271" s="314"/>
      <c r="L271" s="350"/>
      <c r="O271" s="225"/>
      <c r="T271" s="315"/>
      <c r="U271" s="315"/>
    </row>
    <row r="272" spans="9:21" ht="16">
      <c r="I272" s="314"/>
      <c r="L272" s="350"/>
      <c r="O272" s="225"/>
      <c r="T272" s="315"/>
      <c r="U272" s="315"/>
    </row>
    <row r="273" spans="9:21" ht="16">
      <c r="I273" s="314"/>
      <c r="L273" s="350"/>
      <c r="O273" s="225"/>
      <c r="T273" s="315"/>
      <c r="U273" s="315"/>
    </row>
    <row r="274" spans="9:21" ht="16">
      <c r="I274" s="314"/>
      <c r="L274" s="350"/>
      <c r="O274" s="225"/>
      <c r="T274" s="315"/>
      <c r="U274" s="315"/>
    </row>
    <row r="275" spans="9:21" ht="16">
      <c r="I275" s="314"/>
      <c r="L275" s="350"/>
      <c r="O275" s="225"/>
      <c r="T275" s="315"/>
      <c r="U275" s="315"/>
    </row>
    <row r="276" spans="9:21" ht="16">
      <c r="I276" s="314"/>
      <c r="L276" s="350"/>
      <c r="O276" s="225"/>
      <c r="T276" s="315"/>
      <c r="U276" s="315"/>
    </row>
    <row r="277" spans="9:21" ht="16">
      <c r="I277" s="314"/>
      <c r="L277" s="350"/>
      <c r="O277" s="225"/>
      <c r="T277" s="315"/>
      <c r="U277" s="315"/>
    </row>
    <row r="278" spans="9:21" ht="16">
      <c r="I278" s="314"/>
      <c r="L278" s="350"/>
      <c r="O278" s="225"/>
      <c r="T278" s="315"/>
      <c r="U278" s="315"/>
    </row>
    <row r="279" spans="9:21" ht="16">
      <c r="I279" s="314"/>
      <c r="L279" s="350"/>
      <c r="O279" s="225"/>
      <c r="T279" s="315"/>
      <c r="U279" s="315"/>
    </row>
    <row r="280" spans="9:21" ht="16">
      <c r="I280" s="314"/>
      <c r="L280" s="350"/>
      <c r="O280" s="225"/>
      <c r="T280" s="315"/>
      <c r="U280" s="315"/>
    </row>
    <row r="281" spans="9:21" ht="16">
      <c r="I281" s="314"/>
      <c r="L281" s="350"/>
      <c r="O281" s="225"/>
      <c r="T281" s="315"/>
      <c r="U281" s="315"/>
    </row>
    <row r="282" spans="9:21" ht="16">
      <c r="I282" s="314"/>
      <c r="L282" s="350"/>
      <c r="O282" s="225"/>
      <c r="T282" s="315"/>
      <c r="U282" s="315"/>
    </row>
    <row r="283" spans="9:21" ht="16">
      <c r="I283" s="314"/>
      <c r="L283" s="350"/>
      <c r="O283" s="225"/>
      <c r="T283" s="315"/>
      <c r="U283" s="315"/>
    </row>
    <row r="284" spans="9:21" ht="16">
      <c r="I284" s="314"/>
      <c r="L284" s="350"/>
      <c r="O284" s="225"/>
      <c r="T284" s="315"/>
      <c r="U284" s="315"/>
    </row>
    <row r="285" spans="9:21" ht="16">
      <c r="I285" s="314"/>
      <c r="L285" s="350"/>
      <c r="O285" s="225"/>
      <c r="T285" s="315"/>
      <c r="U285" s="315"/>
    </row>
    <row r="286" spans="9:21" ht="16">
      <c r="I286" s="314"/>
      <c r="L286" s="350"/>
      <c r="O286" s="225"/>
      <c r="T286" s="315"/>
      <c r="U286" s="315"/>
    </row>
    <row r="287" spans="9:21" ht="16">
      <c r="I287" s="314"/>
      <c r="L287" s="350"/>
      <c r="O287" s="225"/>
      <c r="T287" s="315"/>
      <c r="U287" s="315"/>
    </row>
    <row r="288" spans="9:21" ht="16">
      <c r="I288" s="314"/>
      <c r="L288" s="350"/>
      <c r="O288" s="225"/>
      <c r="T288" s="315"/>
      <c r="U288" s="315"/>
    </row>
    <row r="289" spans="9:21" ht="16">
      <c r="I289" s="314"/>
      <c r="L289" s="350"/>
      <c r="O289" s="225"/>
      <c r="T289" s="315"/>
      <c r="U289" s="315"/>
    </row>
    <row r="290" spans="9:21" ht="16">
      <c r="I290" s="314"/>
      <c r="L290" s="350"/>
      <c r="O290" s="225"/>
      <c r="T290" s="315"/>
      <c r="U290" s="315"/>
    </row>
    <row r="291" spans="9:21" ht="16">
      <c r="I291" s="314"/>
      <c r="L291" s="350"/>
      <c r="O291" s="225"/>
      <c r="T291" s="315"/>
      <c r="U291" s="315"/>
    </row>
    <row r="292" spans="9:21" ht="16">
      <c r="I292" s="314"/>
      <c r="L292" s="350"/>
      <c r="O292" s="225"/>
      <c r="T292" s="315"/>
      <c r="U292" s="315"/>
    </row>
    <row r="293" spans="9:21" ht="16">
      <c r="I293" s="314"/>
      <c r="L293" s="350"/>
      <c r="O293" s="225"/>
      <c r="T293" s="315"/>
      <c r="U293" s="315"/>
    </row>
    <row r="294" spans="9:21" ht="16">
      <c r="I294" s="314"/>
      <c r="L294" s="350"/>
      <c r="O294" s="225"/>
      <c r="T294" s="315"/>
      <c r="U294" s="315"/>
    </row>
    <row r="295" spans="9:21" ht="16">
      <c r="I295" s="314"/>
      <c r="L295" s="350"/>
      <c r="O295" s="225"/>
      <c r="T295" s="315"/>
      <c r="U295" s="315"/>
    </row>
    <row r="296" spans="9:21" ht="16">
      <c r="I296" s="314"/>
      <c r="L296" s="350"/>
      <c r="O296" s="225"/>
      <c r="T296" s="315"/>
      <c r="U296" s="315"/>
    </row>
    <row r="297" spans="9:21" ht="16">
      <c r="I297" s="314"/>
      <c r="L297" s="350"/>
      <c r="O297" s="225"/>
      <c r="T297" s="315"/>
      <c r="U297" s="315"/>
    </row>
    <row r="298" spans="9:21" ht="16">
      <c r="I298" s="314"/>
      <c r="L298" s="350"/>
      <c r="O298" s="225"/>
      <c r="T298" s="315"/>
      <c r="U298" s="315"/>
    </row>
    <row r="299" spans="9:21" ht="16">
      <c r="I299" s="314"/>
      <c r="L299" s="350"/>
      <c r="O299" s="225"/>
      <c r="T299" s="315"/>
      <c r="U299" s="315"/>
    </row>
    <row r="300" spans="9:21" ht="16">
      <c r="I300" s="314"/>
      <c r="L300" s="350"/>
      <c r="O300" s="225"/>
      <c r="T300" s="315"/>
      <c r="U300" s="315"/>
    </row>
    <row r="301" spans="9:21" ht="16">
      <c r="I301" s="314"/>
      <c r="L301" s="350"/>
      <c r="O301" s="225"/>
      <c r="T301" s="315"/>
      <c r="U301" s="315"/>
    </row>
    <row r="302" spans="9:21" ht="16">
      <c r="I302" s="314"/>
      <c r="L302" s="350"/>
      <c r="O302" s="225"/>
      <c r="T302" s="315"/>
      <c r="U302" s="315"/>
    </row>
    <row r="303" spans="9:21" ht="16">
      <c r="I303" s="314"/>
      <c r="L303" s="350"/>
      <c r="O303" s="225"/>
      <c r="T303" s="315"/>
      <c r="U303" s="315"/>
    </row>
    <row r="304" spans="9:21" ht="16">
      <c r="I304" s="314"/>
      <c r="L304" s="350"/>
      <c r="O304" s="225"/>
      <c r="T304" s="315"/>
      <c r="U304" s="315"/>
    </row>
    <row r="305" spans="9:21" ht="16">
      <c r="I305" s="314"/>
      <c r="L305" s="350"/>
      <c r="O305" s="225"/>
      <c r="T305" s="315"/>
      <c r="U305" s="315"/>
    </row>
    <row r="306" spans="9:21" ht="16">
      <c r="I306" s="314"/>
      <c r="L306" s="350"/>
      <c r="O306" s="225"/>
      <c r="T306" s="315"/>
      <c r="U306" s="315"/>
    </row>
    <row r="307" spans="9:21" ht="16">
      <c r="I307" s="314"/>
      <c r="L307" s="350"/>
      <c r="O307" s="225"/>
      <c r="T307" s="315"/>
      <c r="U307" s="315"/>
    </row>
    <row r="308" spans="9:21" ht="16">
      <c r="I308" s="314"/>
      <c r="L308" s="350"/>
      <c r="O308" s="225"/>
      <c r="T308" s="315"/>
      <c r="U308" s="315"/>
    </row>
    <row r="309" spans="9:21" ht="16">
      <c r="I309" s="314"/>
      <c r="L309" s="350"/>
      <c r="O309" s="225"/>
      <c r="T309" s="315"/>
      <c r="U309" s="315"/>
    </row>
    <row r="310" spans="9:21" ht="16">
      <c r="I310" s="314"/>
      <c r="L310" s="350"/>
      <c r="O310" s="225"/>
      <c r="T310" s="315"/>
      <c r="U310" s="315"/>
    </row>
    <row r="311" spans="9:21" ht="16">
      <c r="I311" s="314"/>
      <c r="L311" s="350"/>
      <c r="O311" s="225"/>
      <c r="T311" s="315"/>
      <c r="U311" s="315"/>
    </row>
    <row r="312" spans="9:21" ht="16">
      <c r="I312" s="314"/>
      <c r="L312" s="350"/>
      <c r="O312" s="225"/>
      <c r="T312" s="315"/>
      <c r="U312" s="315"/>
    </row>
    <row r="313" spans="9:21" ht="16">
      <c r="I313" s="314"/>
      <c r="L313" s="350"/>
      <c r="O313" s="225"/>
      <c r="T313" s="315"/>
      <c r="U313" s="315"/>
    </row>
    <row r="314" spans="9:21" ht="16">
      <c r="I314" s="314"/>
      <c r="L314" s="350"/>
      <c r="O314" s="225"/>
      <c r="T314" s="315"/>
      <c r="U314" s="315"/>
    </row>
    <row r="315" spans="9:21" ht="16">
      <c r="I315" s="314"/>
      <c r="L315" s="350"/>
      <c r="O315" s="225"/>
      <c r="T315" s="315"/>
      <c r="U315" s="315"/>
    </row>
    <row r="316" spans="9:21" ht="16">
      <c r="I316" s="314"/>
      <c r="L316" s="350"/>
      <c r="O316" s="225"/>
      <c r="T316" s="315"/>
      <c r="U316" s="315"/>
    </row>
    <row r="317" spans="9:21" ht="16">
      <c r="I317" s="314"/>
      <c r="L317" s="350"/>
      <c r="O317" s="225"/>
      <c r="T317" s="315"/>
      <c r="U317" s="315"/>
    </row>
    <row r="318" spans="9:21" ht="16">
      <c r="I318" s="314"/>
      <c r="L318" s="350"/>
      <c r="O318" s="225"/>
      <c r="T318" s="315"/>
      <c r="U318" s="315"/>
    </row>
    <row r="319" spans="9:21" ht="16">
      <c r="I319" s="314"/>
      <c r="L319" s="350"/>
      <c r="O319" s="225"/>
      <c r="T319" s="315"/>
      <c r="U319" s="315"/>
    </row>
    <row r="320" spans="9:21" ht="16">
      <c r="I320" s="314"/>
      <c r="L320" s="350"/>
      <c r="O320" s="225"/>
      <c r="T320" s="315"/>
      <c r="U320" s="315"/>
    </row>
    <row r="321" spans="9:21" ht="16">
      <c r="I321" s="314"/>
      <c r="L321" s="350"/>
      <c r="O321" s="225"/>
      <c r="T321" s="315"/>
      <c r="U321" s="315"/>
    </row>
    <row r="322" spans="9:21" ht="16">
      <c r="I322" s="314"/>
      <c r="L322" s="350"/>
      <c r="O322" s="225"/>
      <c r="T322" s="315"/>
      <c r="U322" s="315"/>
    </row>
    <row r="323" spans="9:21" ht="16">
      <c r="I323" s="314"/>
      <c r="L323" s="350"/>
      <c r="O323" s="225"/>
      <c r="T323" s="315"/>
      <c r="U323" s="315"/>
    </row>
    <row r="324" spans="9:21" ht="16">
      <c r="I324" s="314"/>
      <c r="L324" s="350"/>
      <c r="O324" s="225"/>
      <c r="T324" s="315"/>
      <c r="U324" s="315"/>
    </row>
    <row r="325" spans="9:21" ht="16">
      <c r="I325" s="314"/>
      <c r="L325" s="350"/>
      <c r="O325" s="225"/>
      <c r="T325" s="315"/>
      <c r="U325" s="315"/>
    </row>
    <row r="326" spans="9:21" ht="16">
      <c r="I326" s="314"/>
      <c r="L326" s="350"/>
      <c r="O326" s="225"/>
      <c r="T326" s="315"/>
      <c r="U326" s="315"/>
    </row>
    <row r="327" spans="9:21" ht="16">
      <c r="I327" s="314"/>
      <c r="L327" s="350"/>
      <c r="O327" s="225"/>
      <c r="T327" s="315"/>
      <c r="U327" s="315"/>
    </row>
    <row r="328" spans="9:21" ht="16">
      <c r="I328" s="314"/>
      <c r="L328" s="350"/>
      <c r="O328" s="225"/>
      <c r="T328" s="315"/>
      <c r="U328" s="315"/>
    </row>
    <row r="329" spans="9:21" ht="16">
      <c r="I329" s="314"/>
      <c r="L329" s="350"/>
      <c r="O329" s="225"/>
      <c r="T329" s="315"/>
      <c r="U329" s="315"/>
    </row>
    <row r="330" spans="9:21" ht="16">
      <c r="I330" s="314"/>
      <c r="L330" s="350"/>
      <c r="O330" s="225"/>
      <c r="T330" s="315"/>
      <c r="U330" s="315"/>
    </row>
    <row r="331" spans="9:21" ht="16">
      <c r="I331" s="314"/>
      <c r="L331" s="350"/>
      <c r="O331" s="225"/>
      <c r="T331" s="315"/>
      <c r="U331" s="315"/>
    </row>
    <row r="332" spans="9:21" ht="16">
      <c r="I332" s="314"/>
      <c r="L332" s="350"/>
      <c r="O332" s="225"/>
      <c r="T332" s="315"/>
      <c r="U332" s="315"/>
    </row>
    <row r="333" spans="9:21" ht="16">
      <c r="I333" s="314"/>
      <c r="L333" s="350"/>
      <c r="O333" s="225"/>
      <c r="T333" s="315"/>
      <c r="U333" s="315"/>
    </row>
    <row r="334" spans="9:21" ht="16">
      <c r="I334" s="314"/>
      <c r="L334" s="350"/>
      <c r="O334" s="225"/>
      <c r="T334" s="315"/>
      <c r="U334" s="315"/>
    </row>
    <row r="335" spans="9:21" ht="16">
      <c r="I335" s="314"/>
      <c r="L335" s="350"/>
      <c r="O335" s="225"/>
      <c r="T335" s="315"/>
      <c r="U335" s="315"/>
    </row>
    <row r="336" spans="9:21" ht="16">
      <c r="I336" s="314"/>
      <c r="L336" s="350"/>
      <c r="O336" s="225"/>
      <c r="T336" s="315"/>
      <c r="U336" s="315"/>
    </row>
    <row r="337" spans="9:21" ht="16">
      <c r="I337" s="314"/>
      <c r="L337" s="350"/>
      <c r="O337" s="225"/>
      <c r="T337" s="315"/>
      <c r="U337" s="315"/>
    </row>
    <row r="338" spans="9:21" ht="16">
      <c r="I338" s="314"/>
      <c r="L338" s="350"/>
      <c r="O338" s="225"/>
      <c r="T338" s="315"/>
      <c r="U338" s="315"/>
    </row>
    <row r="339" spans="9:21" ht="16">
      <c r="I339" s="314"/>
      <c r="L339" s="350"/>
      <c r="O339" s="225"/>
      <c r="T339" s="315"/>
      <c r="U339" s="315"/>
    </row>
    <row r="340" spans="9:21" ht="16">
      <c r="I340" s="314"/>
      <c r="L340" s="350"/>
      <c r="O340" s="225"/>
      <c r="T340" s="315"/>
      <c r="U340" s="315"/>
    </row>
    <row r="341" spans="9:21" ht="16">
      <c r="I341" s="314"/>
      <c r="L341" s="350"/>
      <c r="O341" s="225"/>
      <c r="T341" s="315"/>
      <c r="U341" s="315"/>
    </row>
    <row r="342" spans="9:21" ht="16">
      <c r="I342" s="314"/>
      <c r="L342" s="350"/>
      <c r="O342" s="225"/>
      <c r="T342" s="315"/>
      <c r="U342" s="315"/>
    </row>
    <row r="343" spans="9:21" ht="16">
      <c r="I343" s="314"/>
      <c r="L343" s="350"/>
      <c r="O343" s="225"/>
      <c r="T343" s="315"/>
      <c r="U343" s="315"/>
    </row>
    <row r="344" spans="9:21" ht="16">
      <c r="I344" s="314"/>
      <c r="L344" s="350"/>
      <c r="O344" s="225"/>
      <c r="T344" s="315"/>
      <c r="U344" s="315"/>
    </row>
    <row r="345" spans="9:21" ht="16">
      <c r="I345" s="314"/>
      <c r="L345" s="350"/>
      <c r="O345" s="225"/>
      <c r="T345" s="315"/>
      <c r="U345" s="315"/>
    </row>
    <row r="346" spans="9:21" ht="16">
      <c r="I346" s="314"/>
      <c r="L346" s="350"/>
      <c r="O346" s="225"/>
      <c r="T346" s="315"/>
      <c r="U346" s="315"/>
    </row>
    <row r="347" spans="9:21" ht="16">
      <c r="I347" s="314"/>
      <c r="L347" s="350"/>
      <c r="O347" s="225"/>
      <c r="T347" s="315"/>
      <c r="U347" s="315"/>
    </row>
    <row r="348" spans="9:21" ht="16">
      <c r="I348" s="314"/>
      <c r="L348" s="350"/>
      <c r="O348" s="225"/>
      <c r="T348" s="315"/>
      <c r="U348" s="315"/>
    </row>
    <row r="349" spans="9:21" ht="16">
      <c r="I349" s="314"/>
      <c r="L349" s="350"/>
      <c r="O349" s="225"/>
      <c r="T349" s="315"/>
      <c r="U349" s="315"/>
    </row>
    <row r="350" spans="9:21" ht="16">
      <c r="I350" s="314"/>
      <c r="L350" s="350"/>
      <c r="O350" s="225"/>
      <c r="T350" s="315"/>
      <c r="U350" s="315"/>
    </row>
    <row r="351" spans="9:21" ht="16">
      <c r="I351" s="314"/>
      <c r="L351" s="350"/>
      <c r="O351" s="225"/>
      <c r="T351" s="315"/>
      <c r="U351" s="315"/>
    </row>
    <row r="352" spans="9:21" ht="16">
      <c r="I352" s="314"/>
      <c r="L352" s="350"/>
      <c r="O352" s="225"/>
      <c r="T352" s="315"/>
      <c r="U352" s="315"/>
    </row>
    <row r="353" spans="9:21" ht="16">
      <c r="I353" s="314"/>
      <c r="L353" s="350"/>
      <c r="O353" s="225"/>
      <c r="T353" s="315"/>
      <c r="U353" s="315"/>
    </row>
    <row r="354" spans="9:21" ht="16">
      <c r="I354" s="314"/>
      <c r="L354" s="350"/>
      <c r="O354" s="225"/>
      <c r="T354" s="315"/>
      <c r="U354" s="315"/>
    </row>
    <row r="355" spans="9:21" ht="16">
      <c r="I355" s="314"/>
      <c r="L355" s="350"/>
      <c r="O355" s="225"/>
      <c r="T355" s="315"/>
      <c r="U355" s="315"/>
    </row>
    <row r="356" spans="9:21" ht="16">
      <c r="I356" s="314"/>
      <c r="L356" s="350"/>
      <c r="O356" s="225"/>
      <c r="T356" s="315"/>
      <c r="U356" s="315"/>
    </row>
    <row r="357" spans="9:21" ht="16">
      <c r="I357" s="314"/>
      <c r="L357" s="350"/>
      <c r="O357" s="225"/>
      <c r="T357" s="315"/>
      <c r="U357" s="315"/>
    </row>
    <row r="358" spans="9:21" ht="16">
      <c r="I358" s="314"/>
      <c r="L358" s="350"/>
      <c r="O358" s="225"/>
      <c r="T358" s="315"/>
      <c r="U358" s="315"/>
    </row>
    <row r="359" spans="9:21" ht="16">
      <c r="I359" s="314"/>
      <c r="L359" s="350"/>
      <c r="O359" s="225"/>
      <c r="T359" s="315"/>
      <c r="U359" s="315"/>
    </row>
    <row r="360" spans="9:21" ht="16">
      <c r="I360" s="314"/>
      <c r="L360" s="350"/>
      <c r="O360" s="225"/>
      <c r="T360" s="315"/>
      <c r="U360" s="315"/>
    </row>
    <row r="361" spans="9:21" ht="16">
      <c r="I361" s="314"/>
      <c r="L361" s="350"/>
      <c r="O361" s="225"/>
      <c r="T361" s="315"/>
      <c r="U361" s="315"/>
    </row>
    <row r="362" spans="9:21" ht="16">
      <c r="I362" s="314"/>
      <c r="L362" s="350"/>
      <c r="O362" s="225"/>
      <c r="T362" s="315"/>
      <c r="U362" s="315"/>
    </row>
    <row r="363" spans="9:21" ht="16">
      <c r="I363" s="314"/>
      <c r="L363" s="350"/>
      <c r="O363" s="225"/>
      <c r="T363" s="315"/>
      <c r="U363" s="315"/>
    </row>
    <row r="364" spans="9:21" ht="16">
      <c r="I364" s="314"/>
      <c r="L364" s="350"/>
      <c r="O364" s="225"/>
      <c r="T364" s="315"/>
      <c r="U364" s="315"/>
    </row>
    <row r="365" spans="9:21" ht="16">
      <c r="I365" s="314"/>
      <c r="L365" s="350"/>
      <c r="O365" s="225"/>
      <c r="T365" s="315"/>
      <c r="U365" s="315"/>
    </row>
    <row r="366" spans="9:21" ht="16">
      <c r="I366" s="314"/>
      <c r="L366" s="350"/>
      <c r="O366" s="225"/>
      <c r="T366" s="315"/>
      <c r="U366" s="315"/>
    </row>
    <row r="367" spans="9:21" ht="16">
      <c r="I367" s="314"/>
      <c r="L367" s="350"/>
      <c r="O367" s="225"/>
      <c r="T367" s="315"/>
      <c r="U367" s="315"/>
    </row>
    <row r="368" spans="9:21" ht="16">
      <c r="I368" s="314"/>
      <c r="L368" s="350"/>
      <c r="O368" s="225"/>
      <c r="T368" s="315"/>
      <c r="U368" s="315"/>
    </row>
    <row r="369" spans="9:21" ht="16">
      <c r="I369" s="314"/>
      <c r="L369" s="350"/>
      <c r="O369" s="225"/>
      <c r="T369" s="315"/>
      <c r="U369" s="315"/>
    </row>
    <row r="370" spans="9:21" ht="16">
      <c r="I370" s="314"/>
      <c r="L370" s="350"/>
      <c r="O370" s="225"/>
      <c r="T370" s="315"/>
      <c r="U370" s="315"/>
    </row>
    <row r="371" spans="9:21" ht="16">
      <c r="I371" s="314"/>
      <c r="L371" s="350"/>
      <c r="O371" s="225"/>
      <c r="T371" s="315"/>
      <c r="U371" s="315"/>
    </row>
    <row r="372" spans="9:21" ht="16">
      <c r="I372" s="314"/>
      <c r="L372" s="350"/>
      <c r="O372" s="225"/>
      <c r="T372" s="315"/>
      <c r="U372" s="315"/>
    </row>
    <row r="373" spans="9:21" ht="16">
      <c r="I373" s="314"/>
      <c r="L373" s="350"/>
      <c r="O373" s="225"/>
      <c r="T373" s="315"/>
      <c r="U373" s="315"/>
    </row>
    <row r="374" spans="9:21" ht="16">
      <c r="I374" s="314"/>
      <c r="L374" s="350"/>
      <c r="O374" s="225"/>
      <c r="T374" s="315"/>
      <c r="U374" s="315"/>
    </row>
    <row r="375" spans="9:21" ht="16">
      <c r="I375" s="314"/>
      <c r="L375" s="350"/>
      <c r="O375" s="225"/>
      <c r="T375" s="315"/>
      <c r="U375" s="315"/>
    </row>
    <row r="376" spans="9:21" ht="16">
      <c r="I376" s="314"/>
      <c r="L376" s="350"/>
      <c r="O376" s="225"/>
      <c r="T376" s="315"/>
      <c r="U376" s="315"/>
    </row>
    <row r="377" spans="9:21" ht="16">
      <c r="I377" s="314"/>
      <c r="L377" s="350"/>
      <c r="O377" s="225"/>
      <c r="T377" s="315"/>
      <c r="U377" s="315"/>
    </row>
    <row r="378" spans="9:21" ht="16">
      <c r="I378" s="314"/>
      <c r="L378" s="350"/>
      <c r="O378" s="225"/>
      <c r="T378" s="315"/>
      <c r="U378" s="315"/>
    </row>
    <row r="379" spans="9:21" ht="16">
      <c r="I379" s="314"/>
      <c r="L379" s="350"/>
      <c r="O379" s="225"/>
      <c r="T379" s="315"/>
      <c r="U379" s="315"/>
    </row>
    <row r="380" spans="9:21" ht="16">
      <c r="I380" s="314"/>
      <c r="L380" s="350"/>
      <c r="O380" s="225"/>
      <c r="T380" s="315"/>
      <c r="U380" s="315"/>
    </row>
    <row r="381" spans="9:21" ht="16">
      <c r="I381" s="314"/>
      <c r="L381" s="350"/>
      <c r="O381" s="225"/>
      <c r="T381" s="315"/>
      <c r="U381" s="315"/>
    </row>
    <row r="382" spans="9:21" ht="16">
      <c r="I382" s="314"/>
      <c r="L382" s="350"/>
      <c r="O382" s="225"/>
      <c r="T382" s="315"/>
      <c r="U382" s="315"/>
    </row>
    <row r="383" spans="9:21" ht="16">
      <c r="I383" s="314"/>
      <c r="L383" s="350"/>
      <c r="O383" s="225"/>
      <c r="T383" s="315"/>
      <c r="U383" s="315"/>
    </row>
    <row r="384" spans="9:21" ht="16">
      <c r="I384" s="314"/>
      <c r="L384" s="350"/>
      <c r="O384" s="225"/>
      <c r="T384" s="315"/>
      <c r="U384" s="315"/>
    </row>
    <row r="385" spans="9:21" ht="16">
      <c r="I385" s="314"/>
      <c r="L385" s="350"/>
      <c r="O385" s="225"/>
      <c r="T385" s="315"/>
      <c r="U385" s="315"/>
    </row>
    <row r="386" spans="9:21" ht="16">
      <c r="I386" s="314"/>
      <c r="L386" s="350"/>
      <c r="O386" s="225"/>
      <c r="T386" s="315"/>
      <c r="U386" s="315"/>
    </row>
    <row r="387" spans="9:21" ht="16">
      <c r="I387" s="314"/>
      <c r="L387" s="350"/>
      <c r="O387" s="225"/>
      <c r="T387" s="315"/>
      <c r="U387" s="315"/>
    </row>
    <row r="388" spans="9:21" ht="16">
      <c r="I388" s="314"/>
      <c r="L388" s="350"/>
      <c r="O388" s="225"/>
      <c r="T388" s="315"/>
      <c r="U388" s="315"/>
    </row>
    <row r="389" spans="9:21" ht="16">
      <c r="I389" s="314"/>
      <c r="L389" s="350"/>
      <c r="O389" s="225"/>
      <c r="T389" s="315"/>
      <c r="U389" s="315"/>
    </row>
    <row r="390" spans="9:21" ht="16">
      <c r="I390" s="314"/>
      <c r="L390" s="350"/>
      <c r="O390" s="225"/>
      <c r="T390" s="315"/>
      <c r="U390" s="315"/>
    </row>
    <row r="391" spans="9:21" ht="16">
      <c r="I391" s="314"/>
      <c r="L391" s="350"/>
      <c r="O391" s="225"/>
      <c r="T391" s="315"/>
      <c r="U391" s="315"/>
    </row>
    <row r="392" spans="9:21" ht="16">
      <c r="I392" s="314"/>
      <c r="L392" s="350"/>
      <c r="O392" s="225"/>
      <c r="T392" s="315"/>
      <c r="U392" s="315"/>
    </row>
    <row r="393" spans="9:21" ht="16">
      <c r="I393" s="314"/>
      <c r="L393" s="350"/>
      <c r="O393" s="225"/>
      <c r="T393" s="315"/>
      <c r="U393" s="315"/>
    </row>
    <row r="394" spans="9:21" ht="16">
      <c r="I394" s="314"/>
      <c r="L394" s="350"/>
      <c r="O394" s="225"/>
      <c r="T394" s="315"/>
      <c r="U394" s="315"/>
    </row>
    <row r="395" spans="9:21" ht="16">
      <c r="I395" s="314"/>
      <c r="L395" s="350"/>
      <c r="O395" s="225"/>
      <c r="T395" s="315"/>
      <c r="U395" s="315"/>
    </row>
    <row r="396" spans="9:21" ht="16">
      <c r="I396" s="314"/>
      <c r="L396" s="350"/>
      <c r="O396" s="225"/>
      <c r="T396" s="315"/>
      <c r="U396" s="315"/>
    </row>
    <row r="397" spans="9:21" ht="16">
      <c r="I397" s="314"/>
      <c r="L397" s="350"/>
      <c r="O397" s="225"/>
      <c r="T397" s="315"/>
      <c r="U397" s="315"/>
    </row>
    <row r="398" spans="9:21" ht="16">
      <c r="I398" s="314"/>
      <c r="L398" s="350"/>
      <c r="O398" s="225"/>
      <c r="T398" s="315"/>
      <c r="U398" s="315"/>
    </row>
    <row r="399" spans="9:21" ht="16">
      <c r="I399" s="314"/>
      <c r="L399" s="350"/>
      <c r="O399" s="225"/>
      <c r="T399" s="315"/>
      <c r="U399" s="315"/>
    </row>
    <row r="400" spans="9:21" ht="16">
      <c r="I400" s="314"/>
      <c r="L400" s="350"/>
      <c r="O400" s="225"/>
      <c r="T400" s="315"/>
      <c r="U400" s="315"/>
    </row>
    <row r="401" spans="9:21" ht="16">
      <c r="I401" s="314"/>
      <c r="L401" s="350"/>
      <c r="O401" s="225"/>
      <c r="T401" s="315"/>
      <c r="U401" s="315"/>
    </row>
    <row r="402" spans="9:21" ht="16">
      <c r="I402" s="314"/>
      <c r="L402" s="350"/>
      <c r="O402" s="225"/>
      <c r="T402" s="315"/>
      <c r="U402" s="315"/>
    </row>
    <row r="403" spans="9:21" ht="16">
      <c r="I403" s="314"/>
      <c r="L403" s="350"/>
      <c r="O403" s="225"/>
      <c r="T403" s="315"/>
      <c r="U403" s="315"/>
    </row>
    <row r="404" spans="9:21" ht="16">
      <c r="I404" s="314"/>
      <c r="L404" s="350"/>
      <c r="O404" s="225"/>
      <c r="T404" s="315"/>
      <c r="U404" s="315"/>
    </row>
    <row r="405" spans="9:21" ht="16">
      <c r="I405" s="314"/>
      <c r="L405" s="350"/>
      <c r="O405" s="225"/>
      <c r="T405" s="315"/>
      <c r="U405" s="315"/>
    </row>
    <row r="406" spans="9:21" ht="16">
      <c r="I406" s="314"/>
      <c r="L406" s="350"/>
      <c r="O406" s="225"/>
      <c r="T406" s="315"/>
      <c r="U406" s="315"/>
    </row>
    <row r="407" spans="9:21" ht="16">
      <c r="I407" s="314"/>
      <c r="L407" s="350"/>
      <c r="O407" s="225"/>
      <c r="T407" s="315"/>
      <c r="U407" s="315"/>
    </row>
    <row r="408" spans="9:21" ht="16">
      <c r="I408" s="314"/>
      <c r="L408" s="350"/>
      <c r="O408" s="225"/>
      <c r="T408" s="315"/>
      <c r="U408" s="315"/>
    </row>
    <row r="409" spans="9:21" ht="16">
      <c r="I409" s="314"/>
      <c r="L409" s="350"/>
      <c r="O409" s="225"/>
      <c r="T409" s="315"/>
      <c r="U409" s="315"/>
    </row>
    <row r="410" spans="9:21" ht="16">
      <c r="I410" s="314"/>
      <c r="L410" s="350"/>
      <c r="O410" s="225"/>
      <c r="T410" s="315"/>
      <c r="U410" s="315"/>
    </row>
    <row r="411" spans="9:21" ht="16">
      <c r="I411" s="314"/>
      <c r="L411" s="350"/>
      <c r="O411" s="225"/>
      <c r="T411" s="315"/>
      <c r="U411" s="315"/>
    </row>
    <row r="412" spans="9:21" ht="16">
      <c r="I412" s="314"/>
      <c r="L412" s="350"/>
      <c r="O412" s="225"/>
      <c r="T412" s="315"/>
      <c r="U412" s="315"/>
    </row>
    <row r="413" spans="9:21" ht="16">
      <c r="I413" s="314"/>
      <c r="L413" s="350"/>
      <c r="O413" s="225"/>
      <c r="T413" s="315"/>
      <c r="U413" s="315"/>
    </row>
    <row r="414" spans="9:21" ht="16">
      <c r="I414" s="314"/>
      <c r="L414" s="350"/>
      <c r="O414" s="225"/>
      <c r="T414" s="315"/>
      <c r="U414" s="315"/>
    </row>
    <row r="415" spans="9:21" ht="16">
      <c r="I415" s="314"/>
      <c r="L415" s="350"/>
      <c r="O415" s="225"/>
      <c r="T415" s="315"/>
      <c r="U415" s="315"/>
    </row>
    <row r="416" spans="9:21" ht="16">
      <c r="I416" s="314"/>
      <c r="L416" s="350"/>
      <c r="O416" s="225"/>
      <c r="T416" s="315"/>
      <c r="U416" s="315"/>
    </row>
    <row r="417" spans="9:21" ht="16">
      <c r="I417" s="314"/>
      <c r="L417" s="350"/>
      <c r="O417" s="225"/>
      <c r="T417" s="315"/>
      <c r="U417" s="315"/>
    </row>
    <row r="418" spans="9:21" ht="16">
      <c r="I418" s="314"/>
      <c r="L418" s="350"/>
      <c r="O418" s="225"/>
      <c r="T418" s="315"/>
      <c r="U418" s="315"/>
    </row>
    <row r="419" spans="9:21" ht="16">
      <c r="I419" s="314"/>
      <c r="L419" s="350"/>
      <c r="O419" s="225"/>
      <c r="T419" s="315"/>
      <c r="U419" s="315"/>
    </row>
    <row r="420" spans="9:21" ht="16">
      <c r="I420" s="314"/>
      <c r="L420" s="350"/>
      <c r="O420" s="225"/>
      <c r="T420" s="315"/>
      <c r="U420" s="315"/>
    </row>
    <row r="421" spans="9:21" ht="16">
      <c r="I421" s="314"/>
      <c r="L421" s="350"/>
      <c r="O421" s="225"/>
      <c r="T421" s="315"/>
      <c r="U421" s="315"/>
    </row>
    <row r="422" spans="9:21" ht="16">
      <c r="I422" s="314"/>
      <c r="L422" s="350"/>
      <c r="O422" s="225"/>
      <c r="T422" s="315"/>
      <c r="U422" s="315"/>
    </row>
    <row r="423" spans="9:21" ht="16">
      <c r="I423" s="314"/>
      <c r="L423" s="350"/>
      <c r="O423" s="225"/>
      <c r="T423" s="315"/>
      <c r="U423" s="315"/>
    </row>
    <row r="424" spans="9:21" ht="16">
      <c r="I424" s="314"/>
      <c r="L424" s="350"/>
      <c r="O424" s="225"/>
      <c r="T424" s="315"/>
      <c r="U424" s="315"/>
    </row>
    <row r="425" spans="9:21" ht="16">
      <c r="I425" s="314"/>
      <c r="L425" s="350"/>
      <c r="O425" s="225"/>
      <c r="T425" s="315"/>
      <c r="U425" s="315"/>
    </row>
    <row r="426" spans="9:21" ht="16">
      <c r="I426" s="314"/>
      <c r="L426" s="350"/>
      <c r="O426" s="225"/>
      <c r="T426" s="315"/>
      <c r="U426" s="315"/>
    </row>
    <row r="427" spans="9:21" ht="16">
      <c r="I427" s="314"/>
      <c r="L427" s="350"/>
      <c r="O427" s="225"/>
      <c r="T427" s="315"/>
      <c r="U427" s="315"/>
    </row>
    <row r="428" spans="9:21" ht="16">
      <c r="I428" s="314"/>
      <c r="L428" s="350"/>
      <c r="O428" s="225"/>
      <c r="T428" s="315"/>
      <c r="U428" s="315"/>
    </row>
    <row r="429" spans="9:21" ht="16">
      <c r="I429" s="314"/>
      <c r="L429" s="350"/>
      <c r="O429" s="225"/>
      <c r="T429" s="315"/>
      <c r="U429" s="315"/>
    </row>
    <row r="430" spans="9:21" ht="16">
      <c r="I430" s="314"/>
      <c r="L430" s="350"/>
      <c r="O430" s="225"/>
      <c r="T430" s="315"/>
      <c r="U430" s="315"/>
    </row>
    <row r="431" spans="9:21" ht="16">
      <c r="I431" s="314"/>
      <c r="L431" s="350"/>
      <c r="O431" s="225"/>
      <c r="T431" s="315"/>
      <c r="U431" s="315"/>
    </row>
    <row r="432" spans="9:21" ht="16">
      <c r="I432" s="314"/>
      <c r="L432" s="350"/>
      <c r="O432" s="225"/>
      <c r="T432" s="315"/>
      <c r="U432" s="315"/>
    </row>
    <row r="433" spans="9:21" ht="16">
      <c r="I433" s="314"/>
      <c r="L433" s="350"/>
      <c r="O433" s="225"/>
      <c r="T433" s="315"/>
      <c r="U433" s="315"/>
    </row>
    <row r="434" spans="9:21" ht="16">
      <c r="I434" s="314"/>
      <c r="L434" s="350"/>
      <c r="O434" s="225"/>
      <c r="T434" s="315"/>
      <c r="U434" s="315"/>
    </row>
    <row r="435" spans="9:21" ht="16">
      <c r="I435" s="314"/>
      <c r="L435" s="350"/>
      <c r="O435" s="225"/>
      <c r="T435" s="315"/>
      <c r="U435" s="315"/>
    </row>
    <row r="436" spans="9:21" ht="16">
      <c r="I436" s="314"/>
      <c r="L436" s="350"/>
      <c r="O436" s="225"/>
      <c r="T436" s="315"/>
      <c r="U436" s="315"/>
    </row>
    <row r="437" spans="9:21" ht="16">
      <c r="I437" s="314"/>
      <c r="L437" s="350"/>
      <c r="O437" s="225"/>
      <c r="T437" s="315"/>
      <c r="U437" s="315"/>
    </row>
    <row r="438" spans="9:21" ht="16">
      <c r="I438" s="314"/>
      <c r="L438" s="350"/>
      <c r="O438" s="225"/>
      <c r="T438" s="315"/>
      <c r="U438" s="315"/>
    </row>
    <row r="439" spans="9:21" ht="16">
      <c r="I439" s="314"/>
      <c r="L439" s="350"/>
      <c r="O439" s="225"/>
      <c r="T439" s="315"/>
      <c r="U439" s="315"/>
    </row>
    <row r="440" spans="9:21" ht="16">
      <c r="I440" s="314"/>
      <c r="L440" s="350"/>
      <c r="O440" s="225"/>
      <c r="T440" s="315"/>
      <c r="U440" s="315"/>
    </row>
    <row r="441" spans="9:21" ht="16">
      <c r="I441" s="314"/>
      <c r="L441" s="350"/>
      <c r="O441" s="225"/>
      <c r="T441" s="315"/>
      <c r="U441" s="315"/>
    </row>
    <row r="442" spans="9:21" ht="16">
      <c r="I442" s="314"/>
      <c r="L442" s="350"/>
      <c r="O442" s="225"/>
      <c r="T442" s="315"/>
      <c r="U442" s="315"/>
    </row>
    <row r="443" spans="9:21" ht="16">
      <c r="I443" s="314"/>
      <c r="L443" s="350"/>
      <c r="O443" s="225"/>
      <c r="T443" s="315"/>
      <c r="U443" s="315"/>
    </row>
    <row r="444" spans="9:21" ht="16">
      <c r="I444" s="314"/>
      <c r="L444" s="350"/>
      <c r="O444" s="225"/>
      <c r="T444" s="315"/>
      <c r="U444" s="315"/>
    </row>
    <row r="445" spans="9:21" ht="16">
      <c r="I445" s="314"/>
      <c r="L445" s="350"/>
      <c r="O445" s="225"/>
      <c r="T445" s="315"/>
      <c r="U445" s="315"/>
    </row>
    <row r="446" spans="9:21" ht="16">
      <c r="I446" s="314"/>
      <c r="L446" s="350"/>
      <c r="O446" s="225"/>
      <c r="T446" s="315"/>
      <c r="U446" s="315"/>
    </row>
    <row r="447" spans="9:21" ht="16">
      <c r="I447" s="314"/>
      <c r="L447" s="350"/>
      <c r="O447" s="225"/>
      <c r="T447" s="315"/>
      <c r="U447" s="315"/>
    </row>
    <row r="448" spans="9:21" ht="16">
      <c r="I448" s="314"/>
      <c r="L448" s="350"/>
      <c r="O448" s="225"/>
      <c r="T448" s="315"/>
      <c r="U448" s="315"/>
    </row>
    <row r="449" spans="9:21" ht="16">
      <c r="I449" s="314"/>
      <c r="L449" s="350"/>
      <c r="O449" s="225"/>
      <c r="T449" s="315"/>
      <c r="U449" s="315"/>
    </row>
    <row r="450" spans="9:21" ht="16">
      <c r="I450" s="314"/>
      <c r="L450" s="350"/>
      <c r="O450" s="225"/>
      <c r="T450" s="315"/>
      <c r="U450" s="315"/>
    </row>
    <row r="451" spans="9:21" ht="16">
      <c r="I451" s="314"/>
      <c r="L451" s="350"/>
      <c r="O451" s="225"/>
      <c r="T451" s="315"/>
      <c r="U451" s="315"/>
    </row>
    <row r="452" spans="9:21" ht="16">
      <c r="I452" s="314"/>
      <c r="L452" s="350"/>
      <c r="O452" s="225"/>
      <c r="T452" s="315"/>
      <c r="U452" s="315"/>
    </row>
    <row r="453" spans="9:21" ht="16">
      <c r="I453" s="314"/>
      <c r="L453" s="350"/>
      <c r="O453" s="225"/>
      <c r="T453" s="315"/>
      <c r="U453" s="315"/>
    </row>
    <row r="454" spans="9:21" ht="16">
      <c r="I454" s="314"/>
      <c r="L454" s="350"/>
      <c r="O454" s="225"/>
      <c r="T454" s="315"/>
      <c r="U454" s="315"/>
    </row>
    <row r="455" spans="9:21" ht="16">
      <c r="I455" s="314"/>
      <c r="L455" s="350"/>
      <c r="O455" s="225"/>
      <c r="T455" s="315"/>
      <c r="U455" s="315"/>
    </row>
    <row r="456" spans="9:21" ht="16">
      <c r="I456" s="314"/>
      <c r="L456" s="350"/>
      <c r="O456" s="225"/>
      <c r="T456" s="315"/>
      <c r="U456" s="315"/>
    </row>
    <row r="457" spans="9:21" ht="16">
      <c r="I457" s="314"/>
      <c r="L457" s="350"/>
      <c r="O457" s="225"/>
      <c r="T457" s="315"/>
      <c r="U457" s="315"/>
    </row>
    <row r="458" spans="9:21" ht="16">
      <c r="I458" s="314"/>
      <c r="L458" s="350"/>
      <c r="O458" s="225"/>
      <c r="T458" s="315"/>
      <c r="U458" s="315"/>
    </row>
    <row r="459" spans="9:21" ht="16">
      <c r="I459" s="314"/>
      <c r="L459" s="350"/>
      <c r="O459" s="225"/>
      <c r="T459" s="315"/>
      <c r="U459" s="315"/>
    </row>
    <row r="460" spans="9:21" ht="16">
      <c r="I460" s="314"/>
      <c r="L460" s="350"/>
      <c r="O460" s="225"/>
      <c r="T460" s="315"/>
      <c r="U460" s="315"/>
    </row>
    <row r="461" spans="9:21" ht="16">
      <c r="I461" s="314"/>
      <c r="L461" s="350"/>
      <c r="O461" s="225"/>
      <c r="T461" s="315"/>
      <c r="U461" s="315"/>
    </row>
    <row r="462" spans="9:21" ht="16">
      <c r="I462" s="314"/>
      <c r="L462" s="350"/>
      <c r="O462" s="225"/>
      <c r="T462" s="315"/>
      <c r="U462" s="315"/>
    </row>
    <row r="463" spans="9:21" ht="16">
      <c r="I463" s="314"/>
      <c r="L463" s="350"/>
      <c r="O463" s="225"/>
      <c r="T463" s="315"/>
      <c r="U463" s="315"/>
    </row>
    <row r="464" spans="9:21" ht="16">
      <c r="I464" s="314"/>
      <c r="L464" s="350"/>
      <c r="O464" s="225"/>
      <c r="T464" s="315"/>
      <c r="U464" s="315"/>
    </row>
    <row r="465" spans="9:21" ht="16">
      <c r="I465" s="314"/>
      <c r="L465" s="350"/>
      <c r="O465" s="225"/>
      <c r="T465" s="315"/>
      <c r="U465" s="315"/>
    </row>
    <row r="466" spans="9:21" ht="16">
      <c r="I466" s="314"/>
      <c r="L466" s="350"/>
      <c r="O466" s="225"/>
      <c r="T466" s="315"/>
      <c r="U466" s="315"/>
    </row>
    <row r="467" spans="9:21" ht="16">
      <c r="I467" s="314"/>
      <c r="L467" s="350"/>
      <c r="O467" s="225"/>
      <c r="T467" s="315"/>
      <c r="U467" s="315"/>
    </row>
    <row r="468" spans="9:21" ht="16">
      <c r="I468" s="314"/>
      <c r="L468" s="350"/>
      <c r="O468" s="225"/>
      <c r="T468" s="315"/>
      <c r="U468" s="315"/>
    </row>
    <row r="469" spans="9:21" ht="16">
      <c r="I469" s="314"/>
      <c r="L469" s="350"/>
      <c r="O469" s="225"/>
      <c r="T469" s="315"/>
      <c r="U469" s="315"/>
    </row>
    <row r="470" spans="9:21" ht="16">
      <c r="I470" s="314"/>
      <c r="L470" s="350"/>
      <c r="O470" s="225"/>
      <c r="T470" s="315"/>
      <c r="U470" s="315"/>
    </row>
    <row r="471" spans="9:21" ht="16">
      <c r="I471" s="314"/>
      <c r="L471" s="350"/>
      <c r="O471" s="225"/>
      <c r="T471" s="315"/>
      <c r="U471" s="315"/>
    </row>
    <row r="472" spans="9:21" ht="16">
      <c r="I472" s="314"/>
      <c r="L472" s="350"/>
      <c r="O472" s="225"/>
      <c r="T472" s="315"/>
      <c r="U472" s="315"/>
    </row>
    <row r="473" spans="9:21" ht="16">
      <c r="I473" s="314"/>
      <c r="L473" s="350"/>
      <c r="O473" s="225"/>
      <c r="T473" s="315"/>
      <c r="U473" s="315"/>
    </row>
    <row r="474" spans="9:21" ht="16">
      <c r="I474" s="314"/>
      <c r="L474" s="350"/>
      <c r="O474" s="225"/>
      <c r="T474" s="315"/>
      <c r="U474" s="315"/>
    </row>
    <row r="475" spans="9:21" ht="16">
      <c r="I475" s="314"/>
      <c r="L475" s="350"/>
      <c r="O475" s="225"/>
      <c r="T475" s="315"/>
      <c r="U475" s="315"/>
    </row>
    <row r="476" spans="9:21" ht="16">
      <c r="I476" s="314"/>
      <c r="L476" s="350"/>
      <c r="O476" s="225"/>
      <c r="T476" s="315"/>
      <c r="U476" s="315"/>
    </row>
    <row r="477" spans="9:21" ht="16">
      <c r="I477" s="314"/>
      <c r="L477" s="350"/>
      <c r="O477" s="225"/>
      <c r="T477" s="315"/>
      <c r="U477" s="315"/>
    </row>
    <row r="478" spans="9:21" ht="16">
      <c r="I478" s="314"/>
      <c r="L478" s="350"/>
      <c r="O478" s="225"/>
      <c r="T478" s="315"/>
      <c r="U478" s="315"/>
    </row>
    <row r="479" spans="9:21" ht="16">
      <c r="I479" s="314"/>
      <c r="L479" s="350"/>
      <c r="O479" s="225"/>
      <c r="T479" s="315"/>
      <c r="U479" s="315"/>
    </row>
    <row r="480" spans="9:21" ht="16">
      <c r="I480" s="314"/>
      <c r="L480" s="350"/>
      <c r="O480" s="225"/>
      <c r="T480" s="315"/>
      <c r="U480" s="315"/>
    </row>
    <row r="481" spans="9:21" ht="16">
      <c r="I481" s="314"/>
      <c r="L481" s="350"/>
      <c r="O481" s="225"/>
      <c r="T481" s="315"/>
      <c r="U481" s="315"/>
    </row>
    <row r="482" spans="9:21" ht="16">
      <c r="I482" s="314"/>
      <c r="L482" s="350"/>
      <c r="O482" s="225"/>
      <c r="T482" s="315"/>
      <c r="U482" s="315"/>
    </row>
    <row r="483" spans="9:21" ht="16">
      <c r="I483" s="314"/>
      <c r="L483" s="350"/>
      <c r="O483" s="225"/>
      <c r="T483" s="315"/>
      <c r="U483" s="315"/>
    </row>
    <row r="484" spans="9:21" ht="16">
      <c r="I484" s="314"/>
      <c r="L484" s="350"/>
      <c r="O484" s="225"/>
      <c r="T484" s="315"/>
      <c r="U484" s="315"/>
    </row>
    <row r="485" spans="9:21" ht="16">
      <c r="I485" s="314"/>
      <c r="L485" s="350"/>
      <c r="O485" s="225"/>
      <c r="T485" s="315"/>
      <c r="U485" s="315"/>
    </row>
    <row r="486" spans="9:21" ht="16">
      <c r="I486" s="314"/>
      <c r="L486" s="350"/>
      <c r="O486" s="225"/>
      <c r="T486" s="315"/>
      <c r="U486" s="315"/>
    </row>
    <row r="487" spans="9:21" ht="16">
      <c r="I487" s="314"/>
      <c r="L487" s="350"/>
      <c r="O487" s="225"/>
      <c r="T487" s="315"/>
      <c r="U487" s="315"/>
    </row>
    <row r="488" spans="9:21" ht="16">
      <c r="I488" s="314"/>
      <c r="L488" s="350"/>
      <c r="O488" s="225"/>
      <c r="T488" s="315"/>
      <c r="U488" s="315"/>
    </row>
    <row r="489" spans="9:21" ht="16">
      <c r="I489" s="314"/>
      <c r="L489" s="350"/>
      <c r="O489" s="225"/>
      <c r="T489" s="315"/>
      <c r="U489" s="315"/>
    </row>
    <row r="490" spans="9:21" ht="16">
      <c r="I490" s="314"/>
      <c r="L490" s="350"/>
      <c r="O490" s="225"/>
      <c r="T490" s="315"/>
      <c r="U490" s="315"/>
    </row>
    <row r="491" spans="9:21" ht="16">
      <c r="I491" s="314"/>
      <c r="L491" s="350"/>
      <c r="O491" s="225"/>
      <c r="T491" s="315"/>
      <c r="U491" s="315"/>
    </row>
    <row r="492" spans="9:21" ht="16">
      <c r="I492" s="314"/>
      <c r="L492" s="350"/>
      <c r="O492" s="225"/>
      <c r="T492" s="315"/>
      <c r="U492" s="315"/>
    </row>
    <row r="493" spans="9:21" ht="16">
      <c r="I493" s="314"/>
      <c r="L493" s="350"/>
      <c r="O493" s="225"/>
      <c r="T493" s="315"/>
      <c r="U493" s="315"/>
    </row>
    <row r="494" spans="9:21" ht="16">
      <c r="I494" s="314"/>
      <c r="L494" s="350"/>
      <c r="O494" s="225"/>
      <c r="T494" s="315"/>
      <c r="U494" s="315"/>
    </row>
    <row r="495" spans="9:21" ht="16">
      <c r="I495" s="314"/>
      <c r="L495" s="350"/>
      <c r="O495" s="225"/>
      <c r="T495" s="315"/>
      <c r="U495" s="315"/>
    </row>
    <row r="496" spans="9:21" ht="16">
      <c r="I496" s="314"/>
      <c r="L496" s="350"/>
      <c r="O496" s="225"/>
      <c r="T496" s="315"/>
      <c r="U496" s="315"/>
    </row>
    <row r="497" spans="9:21" ht="16">
      <c r="I497" s="314"/>
      <c r="L497" s="350"/>
      <c r="O497" s="225"/>
      <c r="T497" s="315"/>
      <c r="U497" s="315"/>
    </row>
    <row r="498" spans="9:21" ht="16">
      <c r="I498" s="314"/>
      <c r="L498" s="350"/>
      <c r="O498" s="225"/>
      <c r="T498" s="315"/>
      <c r="U498" s="315"/>
    </row>
    <row r="499" spans="9:21" ht="16">
      <c r="I499" s="314"/>
      <c r="L499" s="350"/>
      <c r="O499" s="225"/>
      <c r="T499" s="315"/>
      <c r="U499" s="315"/>
    </row>
    <row r="500" spans="9:21" ht="16">
      <c r="I500" s="314"/>
      <c r="L500" s="350"/>
      <c r="O500" s="225"/>
      <c r="T500" s="315"/>
      <c r="U500" s="315"/>
    </row>
    <row r="501" spans="9:21" ht="16">
      <c r="I501" s="314"/>
      <c r="L501" s="350"/>
      <c r="O501" s="225"/>
      <c r="T501" s="315"/>
      <c r="U501" s="315"/>
    </row>
    <row r="502" spans="9:21" ht="16">
      <c r="I502" s="314"/>
      <c r="L502" s="350"/>
      <c r="O502" s="225"/>
      <c r="T502" s="315"/>
      <c r="U502" s="315"/>
    </row>
    <row r="503" spans="9:21" ht="16">
      <c r="I503" s="314"/>
      <c r="L503" s="350"/>
      <c r="O503" s="225"/>
      <c r="T503" s="315"/>
      <c r="U503" s="315"/>
    </row>
    <row r="504" spans="9:21" ht="16">
      <c r="I504" s="314"/>
      <c r="L504" s="350"/>
      <c r="O504" s="225"/>
      <c r="T504" s="315"/>
      <c r="U504" s="315"/>
    </row>
    <row r="505" spans="9:21" ht="16">
      <c r="I505" s="314"/>
      <c r="L505" s="350"/>
      <c r="O505" s="225"/>
      <c r="T505" s="315"/>
      <c r="U505" s="315"/>
    </row>
    <row r="506" spans="9:21" ht="16">
      <c r="I506" s="314"/>
      <c r="L506" s="350"/>
      <c r="O506" s="225"/>
      <c r="T506" s="315"/>
      <c r="U506" s="315"/>
    </row>
    <row r="507" spans="9:21" ht="16">
      <c r="I507" s="314"/>
      <c r="L507" s="350"/>
      <c r="O507" s="225"/>
      <c r="T507" s="315"/>
      <c r="U507" s="315"/>
    </row>
    <row r="508" spans="9:21" ht="16">
      <c r="I508" s="314"/>
      <c r="L508" s="350"/>
      <c r="O508" s="225"/>
      <c r="T508" s="315"/>
      <c r="U508" s="315"/>
    </row>
    <row r="509" spans="9:21" ht="16">
      <c r="I509" s="314"/>
      <c r="L509" s="350"/>
      <c r="O509" s="225"/>
      <c r="T509" s="315"/>
      <c r="U509" s="315"/>
    </row>
    <row r="510" spans="9:21" ht="16">
      <c r="I510" s="314"/>
      <c r="L510" s="350"/>
      <c r="O510" s="225"/>
      <c r="T510" s="315"/>
      <c r="U510" s="315"/>
    </row>
    <row r="511" spans="9:21" ht="16">
      <c r="I511" s="314"/>
      <c r="L511" s="350"/>
      <c r="O511" s="225"/>
      <c r="T511" s="315"/>
      <c r="U511" s="315"/>
    </row>
    <row r="512" spans="9:21" ht="16">
      <c r="I512" s="314"/>
      <c r="L512" s="350"/>
      <c r="O512" s="225"/>
      <c r="T512" s="315"/>
      <c r="U512" s="315"/>
    </row>
    <row r="513" spans="9:21" ht="16">
      <c r="I513" s="314"/>
      <c r="L513" s="350"/>
      <c r="O513" s="225"/>
      <c r="T513" s="315"/>
      <c r="U513" s="315"/>
    </row>
    <row r="514" spans="9:21" ht="16">
      <c r="I514" s="314"/>
      <c r="L514" s="350"/>
      <c r="O514" s="225"/>
      <c r="T514" s="315"/>
      <c r="U514" s="315"/>
    </row>
    <row r="515" spans="9:21" ht="16">
      <c r="I515" s="314"/>
      <c r="L515" s="350"/>
      <c r="O515" s="225"/>
      <c r="T515" s="315"/>
      <c r="U515" s="315"/>
    </row>
    <row r="516" spans="9:21" ht="16">
      <c r="I516" s="314"/>
      <c r="L516" s="350"/>
      <c r="O516" s="225"/>
      <c r="T516" s="315"/>
      <c r="U516" s="315"/>
    </row>
    <row r="517" spans="9:21" ht="16">
      <c r="I517" s="314"/>
      <c r="L517" s="350"/>
      <c r="O517" s="225"/>
      <c r="T517" s="315"/>
      <c r="U517" s="315"/>
    </row>
    <row r="518" spans="9:21" ht="16">
      <c r="I518" s="314"/>
      <c r="L518" s="350"/>
      <c r="O518" s="225"/>
      <c r="T518" s="315"/>
      <c r="U518" s="315"/>
    </row>
    <row r="519" spans="9:21" ht="16">
      <c r="I519" s="314"/>
      <c r="L519" s="350"/>
      <c r="O519" s="225"/>
      <c r="T519" s="315"/>
      <c r="U519" s="315"/>
    </row>
    <row r="520" spans="9:21" ht="16">
      <c r="I520" s="314"/>
      <c r="L520" s="350"/>
      <c r="O520" s="225"/>
      <c r="T520" s="315"/>
      <c r="U520" s="315"/>
    </row>
    <row r="521" spans="9:21" ht="16">
      <c r="I521" s="314"/>
      <c r="L521" s="350"/>
      <c r="O521" s="225"/>
      <c r="T521" s="315"/>
      <c r="U521" s="315"/>
    </row>
    <row r="522" spans="9:21" ht="16">
      <c r="I522" s="314"/>
      <c r="L522" s="350"/>
      <c r="O522" s="225"/>
      <c r="T522" s="315"/>
      <c r="U522" s="315"/>
    </row>
    <row r="523" spans="9:21" ht="16">
      <c r="I523" s="314"/>
      <c r="L523" s="350"/>
      <c r="O523" s="225"/>
      <c r="T523" s="315"/>
      <c r="U523" s="315"/>
    </row>
    <row r="524" spans="9:21" ht="16">
      <c r="I524" s="314"/>
      <c r="L524" s="350"/>
      <c r="O524" s="225"/>
      <c r="T524" s="315"/>
      <c r="U524" s="315"/>
    </row>
    <row r="525" spans="9:21" ht="16">
      <c r="I525" s="314"/>
      <c r="L525" s="350"/>
      <c r="O525" s="225"/>
      <c r="T525" s="315"/>
      <c r="U525" s="315"/>
    </row>
    <row r="526" spans="9:21" ht="16">
      <c r="I526" s="314"/>
      <c r="L526" s="350"/>
      <c r="O526" s="225"/>
      <c r="T526" s="315"/>
      <c r="U526" s="315"/>
    </row>
    <row r="527" spans="9:21" ht="16">
      <c r="I527" s="314"/>
      <c r="L527" s="350"/>
      <c r="O527" s="225"/>
      <c r="T527" s="315"/>
      <c r="U527" s="315"/>
    </row>
    <row r="528" spans="9:21" ht="16">
      <c r="I528" s="314"/>
      <c r="L528" s="350"/>
      <c r="O528" s="225"/>
      <c r="T528" s="315"/>
      <c r="U528" s="315"/>
    </row>
    <row r="529" spans="9:21" ht="16">
      <c r="I529" s="314"/>
      <c r="L529" s="350"/>
      <c r="O529" s="225"/>
      <c r="T529" s="315"/>
      <c r="U529" s="315"/>
    </row>
    <row r="530" spans="9:21" ht="16">
      <c r="I530" s="314"/>
      <c r="L530" s="350"/>
      <c r="O530" s="225"/>
      <c r="T530" s="315"/>
      <c r="U530" s="315"/>
    </row>
    <row r="531" spans="9:21" ht="16">
      <c r="I531" s="314"/>
      <c r="L531" s="350"/>
      <c r="O531" s="225"/>
      <c r="T531" s="315"/>
      <c r="U531" s="315"/>
    </row>
    <row r="532" spans="9:21" ht="16">
      <c r="I532" s="314"/>
      <c r="L532" s="350"/>
      <c r="O532" s="225"/>
      <c r="T532" s="315"/>
      <c r="U532" s="315"/>
    </row>
    <row r="533" spans="9:21" ht="16">
      <c r="I533" s="314"/>
      <c r="L533" s="350"/>
      <c r="O533" s="225"/>
      <c r="T533" s="315"/>
      <c r="U533" s="315"/>
    </row>
    <row r="534" spans="9:21" ht="16">
      <c r="I534" s="314"/>
      <c r="L534" s="350"/>
      <c r="O534" s="225"/>
      <c r="T534" s="315"/>
      <c r="U534" s="315"/>
    </row>
    <row r="535" spans="9:21" ht="16">
      <c r="I535" s="314"/>
      <c r="L535" s="350"/>
      <c r="O535" s="225"/>
      <c r="T535" s="315"/>
      <c r="U535" s="315"/>
    </row>
    <row r="536" spans="9:21" ht="16">
      <c r="I536" s="314"/>
      <c r="L536" s="350"/>
      <c r="O536" s="225"/>
      <c r="T536" s="315"/>
      <c r="U536" s="315"/>
    </row>
    <row r="537" spans="9:21" ht="16">
      <c r="I537" s="314"/>
      <c r="L537" s="350"/>
      <c r="O537" s="225"/>
      <c r="T537" s="315"/>
      <c r="U537" s="315"/>
    </row>
    <row r="538" spans="9:21" ht="16">
      <c r="I538" s="314"/>
      <c r="L538" s="350"/>
      <c r="O538" s="225"/>
      <c r="T538" s="315"/>
      <c r="U538" s="315"/>
    </row>
    <row r="539" spans="9:21" ht="16">
      <c r="I539" s="314"/>
      <c r="L539" s="350"/>
      <c r="O539" s="225"/>
      <c r="T539" s="315"/>
      <c r="U539" s="315"/>
    </row>
    <row r="540" spans="9:21" ht="16">
      <c r="I540" s="314"/>
      <c r="L540" s="350"/>
      <c r="O540" s="225"/>
      <c r="T540" s="315"/>
      <c r="U540" s="315"/>
    </row>
    <row r="541" spans="9:21" ht="16">
      <c r="I541" s="314"/>
      <c r="L541" s="350"/>
      <c r="O541" s="225"/>
      <c r="T541" s="315"/>
      <c r="U541" s="315"/>
    </row>
    <row r="542" spans="9:21" ht="16">
      <c r="I542" s="314"/>
      <c r="L542" s="350"/>
      <c r="O542" s="225"/>
      <c r="T542" s="315"/>
      <c r="U542" s="315"/>
    </row>
    <row r="543" spans="9:21" ht="16">
      <c r="I543" s="314"/>
      <c r="L543" s="350"/>
      <c r="O543" s="225"/>
      <c r="T543" s="315"/>
      <c r="U543" s="315"/>
    </row>
    <row r="544" spans="9:21" ht="16">
      <c r="I544" s="314"/>
      <c r="L544" s="350"/>
      <c r="O544" s="225"/>
      <c r="T544" s="315"/>
      <c r="U544" s="315"/>
    </row>
    <row r="545" spans="9:21" ht="16">
      <c r="I545" s="314"/>
      <c r="L545" s="350"/>
      <c r="O545" s="225"/>
      <c r="T545" s="315"/>
      <c r="U545" s="315"/>
    </row>
    <row r="546" spans="9:21" ht="16">
      <c r="I546" s="314"/>
      <c r="L546" s="350"/>
      <c r="O546" s="225"/>
      <c r="T546" s="315"/>
      <c r="U546" s="315"/>
    </row>
    <row r="547" spans="9:21" ht="16">
      <c r="I547" s="314"/>
      <c r="L547" s="350"/>
      <c r="O547" s="225"/>
      <c r="T547" s="315"/>
      <c r="U547" s="315"/>
    </row>
    <row r="548" spans="9:21" ht="16">
      <c r="I548" s="314"/>
      <c r="L548" s="350"/>
      <c r="O548" s="225"/>
      <c r="T548" s="315"/>
      <c r="U548" s="315"/>
    </row>
    <row r="549" spans="9:21" ht="16">
      <c r="I549" s="314"/>
      <c r="L549" s="350"/>
      <c r="O549" s="225"/>
      <c r="T549" s="315"/>
      <c r="U549" s="315"/>
    </row>
    <row r="550" spans="9:21" ht="16">
      <c r="I550" s="314"/>
      <c r="L550" s="350"/>
      <c r="O550" s="225"/>
      <c r="T550" s="315"/>
      <c r="U550" s="315"/>
    </row>
    <row r="551" spans="9:21" ht="16">
      <c r="I551" s="314"/>
      <c r="L551" s="350"/>
      <c r="O551" s="225"/>
      <c r="T551" s="315"/>
      <c r="U551" s="315"/>
    </row>
    <row r="552" spans="9:21" ht="16">
      <c r="I552" s="314"/>
      <c r="L552" s="350"/>
      <c r="O552" s="225"/>
      <c r="T552" s="315"/>
      <c r="U552" s="315"/>
    </row>
    <row r="553" spans="9:21" ht="16">
      <c r="I553" s="314"/>
      <c r="L553" s="350"/>
      <c r="O553" s="225"/>
      <c r="T553" s="315"/>
      <c r="U553" s="315"/>
    </row>
    <row r="554" spans="9:21" ht="16">
      <c r="I554" s="314"/>
      <c r="L554" s="350"/>
      <c r="O554" s="225"/>
      <c r="T554" s="315"/>
      <c r="U554" s="315"/>
    </row>
    <row r="555" spans="9:21" ht="16">
      <c r="I555" s="314"/>
      <c r="L555" s="350"/>
      <c r="O555" s="225"/>
      <c r="T555" s="315"/>
      <c r="U555" s="315"/>
    </row>
    <row r="556" spans="9:21" ht="16">
      <c r="I556" s="314"/>
      <c r="L556" s="350"/>
      <c r="O556" s="225"/>
      <c r="T556" s="315"/>
      <c r="U556" s="315"/>
    </row>
    <row r="557" spans="9:21" ht="16">
      <c r="I557" s="314"/>
      <c r="L557" s="350"/>
      <c r="O557" s="225"/>
      <c r="T557" s="315"/>
      <c r="U557" s="315"/>
    </row>
    <row r="558" spans="9:21" ht="16">
      <c r="I558" s="314"/>
      <c r="L558" s="350"/>
      <c r="O558" s="225"/>
      <c r="T558" s="315"/>
      <c r="U558" s="315"/>
    </row>
    <row r="559" spans="9:21" ht="16">
      <c r="I559" s="314"/>
      <c r="L559" s="350"/>
      <c r="O559" s="225"/>
      <c r="T559" s="315"/>
      <c r="U559" s="315"/>
    </row>
    <row r="560" spans="9:21" ht="16">
      <c r="I560" s="314"/>
      <c r="L560" s="350"/>
      <c r="O560" s="225"/>
      <c r="T560" s="315"/>
      <c r="U560" s="315"/>
    </row>
    <row r="561" spans="9:21" ht="16">
      <c r="I561" s="314"/>
      <c r="L561" s="350"/>
      <c r="O561" s="225"/>
      <c r="T561" s="315"/>
      <c r="U561" s="315"/>
    </row>
    <row r="562" spans="9:21" ht="16">
      <c r="I562" s="314"/>
      <c r="L562" s="350"/>
      <c r="O562" s="225"/>
      <c r="T562" s="315"/>
      <c r="U562" s="315"/>
    </row>
    <row r="563" spans="9:21" ht="16">
      <c r="I563" s="314"/>
      <c r="L563" s="350"/>
      <c r="O563" s="225"/>
      <c r="T563" s="315"/>
      <c r="U563" s="315"/>
    </row>
    <row r="564" spans="9:21" ht="16">
      <c r="I564" s="314"/>
      <c r="L564" s="350"/>
      <c r="O564" s="225"/>
      <c r="T564" s="315"/>
      <c r="U564" s="315"/>
    </row>
    <row r="565" spans="9:21" ht="16">
      <c r="I565" s="314"/>
      <c r="L565" s="350"/>
      <c r="O565" s="225"/>
      <c r="T565" s="315"/>
      <c r="U565" s="315"/>
    </row>
    <row r="566" spans="9:21" ht="16">
      <c r="I566" s="314"/>
      <c r="L566" s="350"/>
      <c r="O566" s="225"/>
      <c r="T566" s="315"/>
      <c r="U566" s="315"/>
    </row>
    <row r="567" spans="9:21" ht="16">
      <c r="I567" s="314"/>
      <c r="L567" s="350"/>
      <c r="O567" s="225"/>
      <c r="T567" s="315"/>
      <c r="U567" s="315"/>
    </row>
    <row r="568" spans="9:21" ht="16">
      <c r="I568" s="314"/>
      <c r="L568" s="350"/>
      <c r="O568" s="225"/>
      <c r="T568" s="315"/>
      <c r="U568" s="315"/>
    </row>
    <row r="569" spans="9:21" ht="16">
      <c r="I569" s="314"/>
      <c r="L569" s="350"/>
      <c r="O569" s="225"/>
      <c r="T569" s="315"/>
      <c r="U569" s="315"/>
    </row>
    <row r="570" spans="9:21" ht="16">
      <c r="I570" s="314"/>
      <c r="L570" s="350"/>
      <c r="O570" s="225"/>
      <c r="T570" s="315"/>
      <c r="U570" s="315"/>
    </row>
    <row r="571" spans="9:21" ht="16">
      <c r="I571" s="314"/>
      <c r="L571" s="350"/>
      <c r="O571" s="225"/>
      <c r="T571" s="315"/>
      <c r="U571" s="315"/>
    </row>
    <row r="572" spans="9:21" ht="16">
      <c r="I572" s="314"/>
      <c r="L572" s="350"/>
      <c r="O572" s="225"/>
      <c r="T572" s="315"/>
      <c r="U572" s="315"/>
    </row>
    <row r="573" spans="9:21" ht="16">
      <c r="I573" s="314"/>
      <c r="L573" s="350"/>
      <c r="O573" s="225"/>
      <c r="T573" s="315"/>
      <c r="U573" s="315"/>
    </row>
    <row r="574" spans="9:21" ht="16">
      <c r="I574" s="314"/>
      <c r="L574" s="350"/>
      <c r="O574" s="225"/>
      <c r="T574" s="315"/>
      <c r="U574" s="315"/>
    </row>
    <row r="575" spans="9:21" ht="16">
      <c r="I575" s="314"/>
      <c r="L575" s="350"/>
      <c r="O575" s="225"/>
      <c r="T575" s="315"/>
      <c r="U575" s="315"/>
    </row>
    <row r="576" spans="9:21" ht="16">
      <c r="I576" s="314"/>
      <c r="L576" s="350"/>
      <c r="O576" s="225"/>
      <c r="T576" s="315"/>
      <c r="U576" s="315"/>
    </row>
    <row r="577" spans="9:21" ht="16">
      <c r="I577" s="314"/>
      <c r="L577" s="350"/>
      <c r="O577" s="225"/>
      <c r="T577" s="315"/>
      <c r="U577" s="315"/>
    </row>
    <row r="578" spans="9:21" ht="16">
      <c r="I578" s="314"/>
      <c r="L578" s="350"/>
      <c r="O578" s="225"/>
      <c r="T578" s="315"/>
      <c r="U578" s="315"/>
    </row>
    <row r="579" spans="9:21" ht="16">
      <c r="I579" s="314"/>
      <c r="L579" s="350"/>
      <c r="O579" s="225"/>
      <c r="T579" s="315"/>
      <c r="U579" s="315"/>
    </row>
    <row r="580" spans="9:21" ht="16">
      <c r="I580" s="314"/>
      <c r="L580" s="350"/>
      <c r="O580" s="225"/>
      <c r="T580" s="315"/>
      <c r="U580" s="315"/>
    </row>
    <row r="581" spans="9:21" ht="16">
      <c r="I581" s="314"/>
      <c r="L581" s="350"/>
      <c r="O581" s="225"/>
      <c r="T581" s="315"/>
      <c r="U581" s="315"/>
    </row>
    <row r="582" spans="9:21" ht="16">
      <c r="I582" s="314"/>
      <c r="L582" s="350"/>
      <c r="O582" s="225"/>
      <c r="T582" s="315"/>
      <c r="U582" s="315"/>
    </row>
    <row r="583" spans="9:21" ht="16">
      <c r="I583" s="314"/>
      <c r="L583" s="350"/>
      <c r="O583" s="225"/>
      <c r="T583" s="315"/>
      <c r="U583" s="315"/>
    </row>
    <row r="584" spans="9:21" ht="16">
      <c r="I584" s="314"/>
      <c r="L584" s="350"/>
      <c r="O584" s="225"/>
      <c r="T584" s="315"/>
      <c r="U584" s="315"/>
    </row>
    <row r="585" spans="9:21" ht="16">
      <c r="I585" s="314"/>
      <c r="L585" s="350"/>
      <c r="O585" s="225"/>
      <c r="T585" s="315"/>
      <c r="U585" s="315"/>
    </row>
    <row r="586" spans="9:21" ht="16">
      <c r="I586" s="314"/>
      <c r="L586" s="350"/>
      <c r="O586" s="225"/>
      <c r="T586" s="315"/>
      <c r="U586" s="315"/>
    </row>
    <row r="587" spans="9:21" ht="16">
      <c r="I587" s="314"/>
      <c r="L587" s="350"/>
      <c r="O587" s="225"/>
      <c r="T587" s="315"/>
      <c r="U587" s="315"/>
    </row>
    <row r="588" spans="9:21" ht="16">
      <c r="I588" s="314"/>
      <c r="L588" s="350"/>
      <c r="O588" s="225"/>
      <c r="T588" s="315"/>
      <c r="U588" s="315"/>
    </row>
    <row r="589" spans="9:21" ht="16">
      <c r="I589" s="314"/>
      <c r="L589" s="350"/>
      <c r="O589" s="225"/>
      <c r="T589" s="315"/>
      <c r="U589" s="315"/>
    </row>
    <row r="590" spans="9:21" ht="16">
      <c r="I590" s="314"/>
      <c r="L590" s="350"/>
      <c r="O590" s="225"/>
      <c r="T590" s="315"/>
      <c r="U590" s="315"/>
    </row>
    <row r="591" spans="9:21" ht="16">
      <c r="I591" s="314"/>
      <c r="L591" s="350"/>
      <c r="O591" s="225"/>
      <c r="T591" s="315"/>
      <c r="U591" s="315"/>
    </row>
    <row r="592" spans="9:21" ht="16">
      <c r="I592" s="314"/>
      <c r="L592" s="350"/>
      <c r="O592" s="225"/>
      <c r="T592" s="315"/>
      <c r="U592" s="315"/>
    </row>
    <row r="593" spans="9:21" ht="16">
      <c r="I593" s="314"/>
      <c r="L593" s="350"/>
      <c r="O593" s="225"/>
      <c r="T593" s="315"/>
      <c r="U593" s="315"/>
    </row>
    <row r="594" spans="9:21" ht="16">
      <c r="I594" s="314"/>
      <c r="L594" s="350"/>
      <c r="O594" s="225"/>
      <c r="T594" s="315"/>
      <c r="U594" s="315"/>
    </row>
    <row r="595" spans="9:21" ht="16">
      <c r="I595" s="314"/>
      <c r="L595" s="350"/>
      <c r="O595" s="225"/>
      <c r="T595" s="315"/>
      <c r="U595" s="315"/>
    </row>
    <row r="596" spans="9:21" ht="16">
      <c r="I596" s="314"/>
      <c r="L596" s="350"/>
      <c r="O596" s="225"/>
      <c r="T596" s="315"/>
      <c r="U596" s="315"/>
    </row>
    <row r="597" spans="9:21" ht="16">
      <c r="I597" s="314"/>
      <c r="L597" s="350"/>
      <c r="O597" s="225"/>
      <c r="T597" s="315"/>
      <c r="U597" s="315"/>
    </row>
    <row r="598" spans="9:21" ht="16">
      <c r="I598" s="314"/>
      <c r="L598" s="350"/>
      <c r="O598" s="225"/>
      <c r="T598" s="315"/>
      <c r="U598" s="315"/>
    </row>
    <row r="599" spans="9:21" ht="16">
      <c r="I599" s="314"/>
      <c r="L599" s="350"/>
      <c r="O599" s="225"/>
      <c r="T599" s="315"/>
      <c r="U599" s="315"/>
    </row>
    <row r="600" spans="9:21" ht="16">
      <c r="I600" s="314"/>
      <c r="L600" s="350"/>
      <c r="O600" s="225"/>
      <c r="T600" s="315"/>
      <c r="U600" s="315"/>
    </row>
    <row r="601" spans="9:21" ht="16">
      <c r="I601" s="314"/>
      <c r="L601" s="350"/>
      <c r="O601" s="225"/>
      <c r="T601" s="315"/>
      <c r="U601" s="315"/>
    </row>
    <row r="602" spans="9:21" ht="16">
      <c r="I602" s="314"/>
      <c r="L602" s="350"/>
      <c r="O602" s="225"/>
      <c r="T602" s="315"/>
      <c r="U602" s="315"/>
    </row>
    <row r="603" spans="9:21" ht="16">
      <c r="I603" s="314"/>
      <c r="L603" s="350"/>
      <c r="O603" s="225"/>
      <c r="T603" s="315"/>
      <c r="U603" s="315"/>
    </row>
    <row r="604" spans="9:21" ht="16">
      <c r="I604" s="314"/>
      <c r="L604" s="350"/>
      <c r="O604" s="225"/>
      <c r="T604" s="315"/>
      <c r="U604" s="315"/>
    </row>
    <row r="605" spans="9:21" ht="16">
      <c r="I605" s="314"/>
      <c r="L605" s="350"/>
      <c r="O605" s="225"/>
      <c r="T605" s="315"/>
      <c r="U605" s="315"/>
    </row>
    <row r="606" spans="9:21" ht="16">
      <c r="I606" s="314"/>
      <c r="L606" s="350"/>
      <c r="O606" s="225"/>
      <c r="T606" s="315"/>
      <c r="U606" s="315"/>
    </row>
    <row r="607" spans="9:21" ht="16">
      <c r="I607" s="314"/>
      <c r="L607" s="350"/>
      <c r="O607" s="225"/>
      <c r="T607" s="315"/>
      <c r="U607" s="315"/>
    </row>
    <row r="608" spans="9:21" ht="16">
      <c r="I608" s="314"/>
      <c r="L608" s="350"/>
      <c r="O608" s="225"/>
      <c r="T608" s="315"/>
      <c r="U608" s="315"/>
    </row>
    <row r="609" spans="9:21" ht="16">
      <c r="I609" s="314"/>
      <c r="L609" s="350"/>
      <c r="O609" s="225"/>
      <c r="T609" s="315"/>
      <c r="U609" s="315"/>
    </row>
    <row r="610" spans="9:21" ht="16">
      <c r="I610" s="314"/>
      <c r="L610" s="350"/>
      <c r="O610" s="225"/>
      <c r="T610" s="315"/>
      <c r="U610" s="315"/>
    </row>
    <row r="611" spans="9:21" ht="16">
      <c r="I611" s="314"/>
      <c r="L611" s="350"/>
      <c r="O611" s="225"/>
      <c r="T611" s="315"/>
      <c r="U611" s="315"/>
    </row>
    <row r="612" spans="9:21" ht="16">
      <c r="I612" s="314"/>
      <c r="L612" s="350"/>
      <c r="O612" s="225"/>
      <c r="T612" s="315"/>
      <c r="U612" s="315"/>
    </row>
    <row r="613" spans="9:21" ht="16">
      <c r="I613" s="314"/>
      <c r="L613" s="350"/>
      <c r="O613" s="225"/>
      <c r="T613" s="315"/>
      <c r="U613" s="315"/>
    </row>
    <row r="614" spans="9:21" ht="16">
      <c r="I614" s="314"/>
      <c r="L614" s="350"/>
      <c r="O614" s="225"/>
      <c r="T614" s="315"/>
      <c r="U614" s="315"/>
    </row>
    <row r="615" spans="9:21" ht="16">
      <c r="I615" s="314"/>
      <c r="L615" s="350"/>
      <c r="O615" s="225"/>
      <c r="T615" s="315"/>
      <c r="U615" s="315"/>
    </row>
    <row r="616" spans="9:21" ht="16">
      <c r="I616" s="314"/>
      <c r="L616" s="350"/>
      <c r="O616" s="225"/>
      <c r="T616" s="315"/>
      <c r="U616" s="315"/>
    </row>
    <row r="617" spans="9:21" ht="16">
      <c r="I617" s="314"/>
      <c r="L617" s="350"/>
      <c r="O617" s="225"/>
      <c r="T617" s="315"/>
      <c r="U617" s="315"/>
    </row>
    <row r="618" spans="9:21" ht="16">
      <c r="I618" s="314"/>
      <c r="L618" s="350"/>
      <c r="O618" s="225"/>
      <c r="T618" s="315"/>
      <c r="U618" s="315"/>
    </row>
    <row r="619" spans="9:21" ht="16">
      <c r="I619" s="314"/>
      <c r="L619" s="350"/>
      <c r="O619" s="225"/>
      <c r="T619" s="315"/>
      <c r="U619" s="315"/>
    </row>
    <row r="620" spans="9:21" ht="16">
      <c r="I620" s="314"/>
      <c r="L620" s="350"/>
      <c r="O620" s="225"/>
      <c r="T620" s="315"/>
      <c r="U620" s="315"/>
    </row>
    <row r="621" spans="9:21" ht="16">
      <c r="I621" s="314"/>
      <c r="L621" s="350"/>
      <c r="O621" s="225"/>
      <c r="T621" s="315"/>
      <c r="U621" s="315"/>
    </row>
    <row r="622" spans="9:21" ht="16">
      <c r="I622" s="314"/>
      <c r="L622" s="350"/>
      <c r="O622" s="225"/>
      <c r="T622" s="315"/>
      <c r="U622" s="315"/>
    </row>
    <row r="623" spans="9:21" ht="16">
      <c r="I623" s="314"/>
      <c r="L623" s="350"/>
      <c r="O623" s="225"/>
      <c r="T623" s="315"/>
      <c r="U623" s="315"/>
    </row>
    <row r="624" spans="9:21" ht="16">
      <c r="I624" s="314"/>
      <c r="L624" s="350"/>
      <c r="O624" s="225"/>
      <c r="T624" s="315"/>
      <c r="U624" s="315"/>
    </row>
    <row r="625" spans="9:21" ht="16">
      <c r="I625" s="314"/>
      <c r="L625" s="350"/>
      <c r="O625" s="225"/>
      <c r="T625" s="315"/>
      <c r="U625" s="315"/>
    </row>
    <row r="626" spans="9:21" ht="16">
      <c r="I626" s="314"/>
      <c r="L626" s="350"/>
      <c r="O626" s="225"/>
      <c r="T626" s="315"/>
      <c r="U626" s="315"/>
    </row>
    <row r="627" spans="9:21" ht="16">
      <c r="I627" s="314"/>
      <c r="L627" s="350"/>
      <c r="O627" s="225"/>
      <c r="T627" s="315"/>
      <c r="U627" s="315"/>
    </row>
    <row r="628" spans="9:21" ht="16">
      <c r="I628" s="314"/>
      <c r="L628" s="350"/>
      <c r="O628" s="225"/>
      <c r="T628" s="315"/>
      <c r="U628" s="315"/>
    </row>
    <row r="629" spans="9:21" ht="16">
      <c r="I629" s="314"/>
      <c r="L629" s="350"/>
      <c r="O629" s="225"/>
      <c r="T629" s="315"/>
      <c r="U629" s="315"/>
    </row>
    <row r="630" spans="9:21" ht="16">
      <c r="I630" s="314"/>
      <c r="L630" s="350"/>
      <c r="O630" s="225"/>
      <c r="T630" s="315"/>
      <c r="U630" s="315"/>
    </row>
    <row r="631" spans="9:21" ht="16">
      <c r="I631" s="314"/>
      <c r="L631" s="350"/>
      <c r="O631" s="225"/>
      <c r="T631" s="315"/>
      <c r="U631" s="315"/>
    </row>
    <row r="632" spans="9:21" ht="16">
      <c r="I632" s="314"/>
      <c r="L632" s="350"/>
      <c r="O632" s="225"/>
      <c r="T632" s="315"/>
      <c r="U632" s="315"/>
    </row>
    <row r="633" spans="9:21" ht="16">
      <c r="I633" s="314"/>
      <c r="L633" s="350"/>
      <c r="O633" s="225"/>
      <c r="T633" s="315"/>
      <c r="U633" s="315"/>
    </row>
    <row r="634" spans="9:21" ht="16">
      <c r="I634" s="314"/>
      <c r="L634" s="350"/>
      <c r="O634" s="225"/>
      <c r="T634" s="315"/>
      <c r="U634" s="315"/>
    </row>
    <row r="635" spans="9:21" ht="16">
      <c r="I635" s="314"/>
      <c r="L635" s="350"/>
      <c r="O635" s="225"/>
      <c r="T635" s="315"/>
      <c r="U635" s="315"/>
    </row>
    <row r="636" spans="9:21" ht="16">
      <c r="I636" s="314"/>
      <c r="L636" s="350"/>
      <c r="O636" s="225"/>
      <c r="T636" s="315"/>
      <c r="U636" s="315"/>
    </row>
    <row r="637" spans="9:21" ht="16">
      <c r="I637" s="314"/>
      <c r="L637" s="350"/>
      <c r="O637" s="225"/>
      <c r="T637" s="315"/>
      <c r="U637" s="315"/>
    </row>
    <row r="638" spans="9:21" ht="16">
      <c r="I638" s="314"/>
      <c r="L638" s="350"/>
      <c r="O638" s="225"/>
      <c r="T638" s="315"/>
      <c r="U638" s="315"/>
    </row>
    <row r="639" spans="9:21" ht="16">
      <c r="I639" s="314"/>
      <c r="L639" s="350"/>
      <c r="O639" s="225"/>
      <c r="T639" s="315"/>
      <c r="U639" s="315"/>
    </row>
    <row r="640" spans="9:21" ht="16">
      <c r="I640" s="314"/>
      <c r="L640" s="350"/>
      <c r="O640" s="225"/>
      <c r="T640" s="315"/>
      <c r="U640" s="315"/>
    </row>
    <row r="641" spans="9:21" ht="16">
      <c r="I641" s="314"/>
      <c r="L641" s="350"/>
      <c r="O641" s="225"/>
      <c r="T641" s="315"/>
      <c r="U641" s="315"/>
    </row>
    <row r="642" spans="9:21" ht="16">
      <c r="I642" s="314"/>
      <c r="L642" s="350"/>
      <c r="O642" s="225"/>
      <c r="T642" s="315"/>
      <c r="U642" s="315"/>
    </row>
    <row r="643" spans="9:21" ht="16">
      <c r="I643" s="314"/>
      <c r="L643" s="350"/>
      <c r="O643" s="225"/>
      <c r="T643" s="315"/>
      <c r="U643" s="315"/>
    </row>
    <row r="644" spans="9:21" ht="16">
      <c r="I644" s="314"/>
      <c r="L644" s="350"/>
      <c r="O644" s="225"/>
      <c r="T644" s="315"/>
      <c r="U644" s="315"/>
    </row>
    <row r="645" spans="9:21" ht="16">
      <c r="I645" s="314"/>
      <c r="L645" s="350"/>
      <c r="O645" s="225"/>
      <c r="T645" s="315"/>
      <c r="U645" s="315"/>
    </row>
    <row r="646" spans="9:21" ht="16">
      <c r="I646" s="314"/>
      <c r="L646" s="350"/>
      <c r="O646" s="225"/>
      <c r="T646" s="315"/>
      <c r="U646" s="315"/>
    </row>
    <row r="647" spans="9:21" ht="16">
      <c r="I647" s="314"/>
      <c r="L647" s="350"/>
      <c r="O647" s="225"/>
      <c r="T647" s="315"/>
      <c r="U647" s="315"/>
    </row>
    <row r="648" spans="9:21" ht="16">
      <c r="I648" s="314"/>
      <c r="L648" s="350"/>
      <c r="O648" s="225"/>
      <c r="T648" s="315"/>
      <c r="U648" s="315"/>
    </row>
    <row r="649" spans="9:21" ht="16">
      <c r="I649" s="314"/>
      <c r="L649" s="350"/>
      <c r="O649" s="225"/>
      <c r="T649" s="315"/>
      <c r="U649" s="315"/>
    </row>
    <row r="650" spans="9:21" ht="16">
      <c r="I650" s="314"/>
      <c r="L650" s="350"/>
      <c r="O650" s="225"/>
      <c r="T650" s="315"/>
      <c r="U650" s="315"/>
    </row>
    <row r="651" spans="9:21" ht="16">
      <c r="I651" s="314"/>
      <c r="L651" s="350"/>
      <c r="O651" s="225"/>
      <c r="T651" s="315"/>
      <c r="U651" s="315"/>
    </row>
    <row r="652" spans="9:21" ht="16">
      <c r="I652" s="314"/>
      <c r="L652" s="350"/>
      <c r="O652" s="225"/>
      <c r="T652" s="315"/>
      <c r="U652" s="315"/>
    </row>
    <row r="653" spans="9:21" ht="16">
      <c r="I653" s="314"/>
      <c r="L653" s="350"/>
      <c r="O653" s="225"/>
      <c r="T653" s="315"/>
      <c r="U653" s="315"/>
    </row>
    <row r="654" spans="9:21" ht="16">
      <c r="I654" s="314"/>
      <c r="L654" s="350"/>
      <c r="O654" s="225"/>
      <c r="T654" s="315"/>
      <c r="U654" s="315"/>
    </row>
    <row r="655" spans="9:21" ht="16">
      <c r="I655" s="314"/>
      <c r="L655" s="350"/>
      <c r="O655" s="225"/>
      <c r="T655" s="315"/>
      <c r="U655" s="315"/>
    </row>
    <row r="656" spans="9:21" ht="16">
      <c r="I656" s="314"/>
      <c r="L656" s="350"/>
      <c r="O656" s="225"/>
      <c r="T656" s="315"/>
      <c r="U656" s="315"/>
    </row>
    <row r="657" spans="9:21" ht="16">
      <c r="I657" s="314"/>
      <c r="L657" s="350"/>
      <c r="O657" s="225"/>
      <c r="T657" s="315"/>
      <c r="U657" s="315"/>
    </row>
    <row r="658" spans="9:21" ht="16">
      <c r="I658" s="314"/>
      <c r="L658" s="350"/>
      <c r="O658" s="225"/>
      <c r="T658" s="315"/>
      <c r="U658" s="315"/>
    </row>
    <row r="659" spans="9:21" ht="16">
      <c r="I659" s="314"/>
      <c r="L659" s="350"/>
      <c r="O659" s="225"/>
      <c r="T659" s="315"/>
      <c r="U659" s="315"/>
    </row>
    <row r="660" spans="9:21" ht="16">
      <c r="I660" s="314"/>
      <c r="L660" s="350"/>
      <c r="O660" s="225"/>
      <c r="T660" s="315"/>
      <c r="U660" s="315"/>
    </row>
    <row r="661" spans="9:21" ht="16">
      <c r="I661" s="314"/>
      <c r="L661" s="350"/>
      <c r="O661" s="225"/>
      <c r="T661" s="315"/>
      <c r="U661" s="315"/>
    </row>
    <row r="662" spans="9:21" ht="16">
      <c r="I662" s="314"/>
      <c r="L662" s="350"/>
      <c r="O662" s="225"/>
      <c r="T662" s="315"/>
      <c r="U662" s="315"/>
    </row>
    <row r="663" spans="9:21" ht="16">
      <c r="I663" s="314"/>
      <c r="L663" s="350"/>
      <c r="O663" s="225"/>
      <c r="T663" s="315"/>
      <c r="U663" s="315"/>
    </row>
    <row r="664" spans="9:21" ht="16">
      <c r="I664" s="314"/>
      <c r="L664" s="350"/>
      <c r="O664" s="225"/>
      <c r="T664" s="315"/>
      <c r="U664" s="315"/>
    </row>
    <row r="665" spans="9:21" ht="16">
      <c r="I665" s="314"/>
      <c r="L665" s="350"/>
      <c r="O665" s="225"/>
      <c r="T665" s="315"/>
      <c r="U665" s="315"/>
    </row>
    <row r="666" spans="9:21" ht="16">
      <c r="I666" s="314"/>
      <c r="L666" s="350"/>
      <c r="O666" s="225"/>
      <c r="T666" s="315"/>
      <c r="U666" s="315"/>
    </row>
    <row r="667" spans="9:21" ht="16">
      <c r="I667" s="314"/>
      <c r="L667" s="350"/>
      <c r="O667" s="225"/>
      <c r="T667" s="315"/>
      <c r="U667" s="315"/>
    </row>
    <row r="668" spans="9:21" ht="16">
      <c r="I668" s="314"/>
      <c r="L668" s="350"/>
      <c r="O668" s="225"/>
      <c r="T668" s="315"/>
      <c r="U668" s="315"/>
    </row>
    <row r="669" spans="9:21" ht="16">
      <c r="I669" s="314"/>
      <c r="L669" s="350"/>
      <c r="O669" s="225"/>
      <c r="T669" s="315"/>
      <c r="U669" s="315"/>
    </row>
    <row r="670" spans="9:21" ht="16">
      <c r="I670" s="314"/>
      <c r="L670" s="350"/>
      <c r="O670" s="225"/>
      <c r="T670" s="315"/>
      <c r="U670" s="315"/>
    </row>
    <row r="671" spans="9:21" ht="16">
      <c r="I671" s="314"/>
      <c r="L671" s="350"/>
      <c r="O671" s="225"/>
      <c r="T671" s="315"/>
      <c r="U671" s="315"/>
    </row>
    <row r="672" spans="9:21" ht="16">
      <c r="I672" s="314"/>
      <c r="L672" s="350"/>
      <c r="O672" s="225"/>
      <c r="T672" s="315"/>
      <c r="U672" s="315"/>
    </row>
    <row r="673" spans="9:21" ht="16">
      <c r="I673" s="314"/>
      <c r="L673" s="350"/>
      <c r="O673" s="225"/>
      <c r="T673" s="315"/>
      <c r="U673" s="315"/>
    </row>
    <row r="674" spans="9:21" ht="16">
      <c r="I674" s="314"/>
      <c r="L674" s="350"/>
      <c r="O674" s="225"/>
      <c r="T674" s="315"/>
      <c r="U674" s="315"/>
    </row>
    <row r="675" spans="9:21" ht="16">
      <c r="I675" s="314"/>
      <c r="L675" s="350"/>
      <c r="O675" s="225"/>
      <c r="T675" s="315"/>
      <c r="U675" s="315"/>
    </row>
    <row r="676" spans="9:21" ht="16">
      <c r="I676" s="314"/>
      <c r="L676" s="350"/>
      <c r="O676" s="225"/>
      <c r="T676" s="315"/>
      <c r="U676" s="315"/>
    </row>
    <row r="677" spans="9:21" ht="16">
      <c r="I677" s="314"/>
      <c r="L677" s="350"/>
      <c r="O677" s="225"/>
      <c r="T677" s="315"/>
      <c r="U677" s="315"/>
    </row>
    <row r="678" spans="9:21" ht="16">
      <c r="I678" s="314"/>
      <c r="L678" s="350"/>
      <c r="O678" s="225"/>
      <c r="T678" s="315"/>
      <c r="U678" s="315"/>
    </row>
    <row r="679" spans="9:21" ht="16">
      <c r="I679" s="314"/>
      <c r="L679" s="350"/>
      <c r="O679" s="225"/>
      <c r="T679" s="315"/>
      <c r="U679" s="315"/>
    </row>
    <row r="680" spans="9:21" ht="16">
      <c r="I680" s="314"/>
      <c r="L680" s="350"/>
      <c r="O680" s="225"/>
      <c r="T680" s="315"/>
      <c r="U680" s="315"/>
    </row>
    <row r="681" spans="9:21" ht="16">
      <c r="I681" s="314"/>
      <c r="L681" s="350"/>
      <c r="O681" s="225"/>
      <c r="T681" s="315"/>
      <c r="U681" s="315"/>
    </row>
    <row r="682" spans="9:21" ht="16">
      <c r="I682" s="314"/>
      <c r="L682" s="350"/>
      <c r="O682" s="225"/>
      <c r="T682" s="315"/>
      <c r="U682" s="315"/>
    </row>
    <row r="683" spans="9:21" ht="16">
      <c r="I683" s="314"/>
      <c r="L683" s="350"/>
      <c r="O683" s="225"/>
      <c r="T683" s="315"/>
      <c r="U683" s="315"/>
    </row>
    <row r="684" spans="9:21" ht="16">
      <c r="I684" s="314"/>
      <c r="L684" s="350"/>
      <c r="O684" s="225"/>
      <c r="T684" s="315"/>
      <c r="U684" s="315"/>
    </row>
    <row r="685" spans="9:21" ht="16">
      <c r="I685" s="314"/>
      <c r="L685" s="350"/>
      <c r="O685" s="225"/>
      <c r="T685" s="315"/>
      <c r="U685" s="315"/>
    </row>
    <row r="686" spans="9:21" ht="16">
      <c r="I686" s="314"/>
      <c r="L686" s="350"/>
      <c r="O686" s="225"/>
      <c r="T686" s="315"/>
      <c r="U686" s="315"/>
    </row>
    <row r="687" spans="9:21" ht="16">
      <c r="I687" s="314"/>
      <c r="L687" s="350"/>
      <c r="O687" s="225"/>
      <c r="T687" s="315"/>
      <c r="U687" s="315"/>
    </row>
    <row r="688" spans="9:21" ht="16">
      <c r="I688" s="314"/>
      <c r="L688" s="350"/>
      <c r="O688" s="225"/>
      <c r="T688" s="315"/>
      <c r="U688" s="315"/>
    </row>
    <row r="689" spans="9:21" ht="16">
      <c r="I689" s="314"/>
      <c r="L689" s="350"/>
      <c r="O689" s="225"/>
      <c r="T689" s="315"/>
      <c r="U689" s="315"/>
    </row>
    <row r="690" spans="9:21" ht="16">
      <c r="I690" s="314"/>
      <c r="L690" s="350"/>
      <c r="O690" s="225"/>
      <c r="T690" s="315"/>
      <c r="U690" s="315"/>
    </row>
    <row r="691" spans="9:21" ht="16">
      <c r="I691" s="314"/>
      <c r="L691" s="350"/>
      <c r="O691" s="225"/>
      <c r="T691" s="315"/>
      <c r="U691" s="315"/>
    </row>
    <row r="692" spans="9:21" ht="16">
      <c r="I692" s="314"/>
      <c r="L692" s="350"/>
      <c r="O692" s="225"/>
      <c r="T692" s="315"/>
      <c r="U692" s="315"/>
    </row>
    <row r="693" spans="9:21" ht="16">
      <c r="I693" s="314"/>
      <c r="L693" s="350"/>
      <c r="O693" s="225"/>
      <c r="T693" s="315"/>
      <c r="U693" s="315"/>
    </row>
    <row r="694" spans="9:21" ht="16">
      <c r="I694" s="314"/>
      <c r="L694" s="350"/>
      <c r="O694" s="225"/>
      <c r="T694" s="315"/>
      <c r="U694" s="315"/>
    </row>
    <row r="695" spans="9:21" ht="16">
      <c r="I695" s="314"/>
      <c r="L695" s="350"/>
      <c r="O695" s="225"/>
      <c r="T695" s="315"/>
      <c r="U695" s="315"/>
    </row>
    <row r="696" spans="9:21" ht="16">
      <c r="I696" s="314"/>
      <c r="L696" s="350"/>
      <c r="O696" s="225"/>
      <c r="T696" s="315"/>
      <c r="U696" s="315"/>
    </row>
    <row r="697" spans="9:21" ht="16">
      <c r="I697" s="314"/>
      <c r="L697" s="350"/>
      <c r="O697" s="225"/>
      <c r="T697" s="315"/>
      <c r="U697" s="315"/>
    </row>
    <row r="698" spans="9:21" ht="16">
      <c r="I698" s="314"/>
      <c r="L698" s="350"/>
      <c r="O698" s="225"/>
      <c r="T698" s="315"/>
      <c r="U698" s="315"/>
    </row>
    <row r="699" spans="9:21" ht="16">
      <c r="I699" s="314"/>
      <c r="L699" s="350"/>
      <c r="O699" s="225"/>
      <c r="T699" s="315"/>
      <c r="U699" s="315"/>
    </row>
    <row r="700" spans="9:21" ht="16">
      <c r="I700" s="314"/>
      <c r="L700" s="350"/>
      <c r="O700" s="225"/>
      <c r="T700" s="315"/>
      <c r="U700" s="315"/>
    </row>
    <row r="701" spans="9:21" ht="16">
      <c r="I701" s="314"/>
      <c r="L701" s="350"/>
      <c r="O701" s="225"/>
      <c r="T701" s="315"/>
      <c r="U701" s="315"/>
    </row>
    <row r="702" spans="9:21" ht="16">
      <c r="I702" s="314"/>
      <c r="L702" s="350"/>
      <c r="O702" s="225"/>
      <c r="T702" s="315"/>
      <c r="U702" s="315"/>
    </row>
    <row r="703" spans="9:21" ht="16">
      <c r="I703" s="314"/>
      <c r="L703" s="350"/>
      <c r="O703" s="225"/>
      <c r="T703" s="315"/>
      <c r="U703" s="315"/>
    </row>
    <row r="704" spans="9:21" ht="16">
      <c r="I704" s="314"/>
      <c r="L704" s="350"/>
      <c r="O704" s="225"/>
      <c r="T704" s="315"/>
      <c r="U704" s="315"/>
    </row>
    <row r="705" spans="9:21" ht="16">
      <c r="I705" s="314"/>
      <c r="L705" s="350"/>
      <c r="O705" s="225"/>
      <c r="T705" s="315"/>
      <c r="U705" s="315"/>
    </row>
    <row r="706" spans="9:21" ht="16">
      <c r="I706" s="314"/>
      <c r="L706" s="350"/>
      <c r="O706" s="225"/>
      <c r="T706" s="315"/>
      <c r="U706" s="315"/>
    </row>
    <row r="707" spans="9:21" ht="16">
      <c r="I707" s="314"/>
      <c r="L707" s="350"/>
      <c r="O707" s="225"/>
      <c r="T707" s="315"/>
      <c r="U707" s="315"/>
    </row>
    <row r="708" spans="9:21" ht="16">
      <c r="I708" s="314"/>
      <c r="L708" s="350"/>
      <c r="O708" s="225"/>
      <c r="T708" s="315"/>
      <c r="U708" s="315"/>
    </row>
    <row r="709" spans="9:21" ht="16">
      <c r="I709" s="314"/>
      <c r="L709" s="350"/>
      <c r="O709" s="225"/>
      <c r="T709" s="315"/>
      <c r="U709" s="315"/>
    </row>
    <row r="710" spans="9:21" ht="16">
      <c r="I710" s="314"/>
      <c r="L710" s="350"/>
      <c r="O710" s="225"/>
      <c r="T710" s="315"/>
      <c r="U710" s="315"/>
    </row>
    <row r="711" spans="9:21" ht="16">
      <c r="I711" s="314"/>
      <c r="L711" s="350"/>
      <c r="O711" s="225"/>
      <c r="T711" s="315"/>
      <c r="U711" s="315"/>
    </row>
    <row r="712" spans="9:21" ht="16">
      <c r="I712" s="314"/>
      <c r="L712" s="350"/>
      <c r="O712" s="225"/>
      <c r="T712" s="315"/>
      <c r="U712" s="315"/>
    </row>
    <row r="713" spans="9:21" ht="16">
      <c r="I713" s="314"/>
      <c r="L713" s="350"/>
      <c r="O713" s="225"/>
      <c r="T713" s="315"/>
      <c r="U713" s="315"/>
    </row>
    <row r="714" spans="9:21" ht="16">
      <c r="I714" s="314"/>
      <c r="L714" s="350"/>
      <c r="O714" s="225"/>
      <c r="T714" s="315"/>
      <c r="U714" s="315"/>
    </row>
    <row r="715" spans="9:21" ht="16">
      <c r="I715" s="314"/>
      <c r="L715" s="350"/>
      <c r="O715" s="225"/>
      <c r="T715" s="315"/>
      <c r="U715" s="315"/>
    </row>
    <row r="716" spans="9:21" ht="16">
      <c r="I716" s="314"/>
      <c r="L716" s="350"/>
      <c r="O716" s="225"/>
      <c r="T716" s="315"/>
      <c r="U716" s="315"/>
    </row>
    <row r="717" spans="9:21" ht="16">
      <c r="I717" s="314"/>
      <c r="L717" s="350"/>
      <c r="O717" s="225"/>
      <c r="T717" s="315"/>
      <c r="U717" s="315"/>
    </row>
    <row r="718" spans="9:21" ht="16">
      <c r="I718" s="314"/>
      <c r="L718" s="350"/>
      <c r="O718" s="225"/>
      <c r="T718" s="315"/>
      <c r="U718" s="315"/>
    </row>
    <row r="719" spans="9:21" ht="16">
      <c r="I719" s="314"/>
      <c r="L719" s="350"/>
      <c r="O719" s="225"/>
      <c r="T719" s="315"/>
      <c r="U719" s="315"/>
    </row>
    <row r="720" spans="9:21" ht="16">
      <c r="I720" s="314"/>
      <c r="L720" s="350"/>
      <c r="O720" s="225"/>
      <c r="T720" s="315"/>
      <c r="U720" s="315"/>
    </row>
    <row r="721" spans="9:21" ht="16">
      <c r="I721" s="314"/>
      <c r="L721" s="350"/>
      <c r="O721" s="225"/>
      <c r="T721" s="315"/>
      <c r="U721" s="315"/>
    </row>
    <row r="722" spans="9:21" ht="16">
      <c r="I722" s="314"/>
      <c r="L722" s="350"/>
      <c r="O722" s="225"/>
      <c r="T722" s="315"/>
      <c r="U722" s="315"/>
    </row>
    <row r="723" spans="9:21" ht="16">
      <c r="I723" s="314"/>
      <c r="L723" s="350"/>
      <c r="O723" s="225"/>
      <c r="T723" s="315"/>
      <c r="U723" s="315"/>
    </row>
    <row r="724" spans="9:21" ht="16">
      <c r="I724" s="314"/>
      <c r="L724" s="350"/>
      <c r="O724" s="225"/>
      <c r="T724" s="315"/>
      <c r="U724" s="315"/>
    </row>
    <row r="725" spans="9:21" ht="16">
      <c r="I725" s="314"/>
      <c r="L725" s="350"/>
      <c r="O725" s="225"/>
      <c r="T725" s="315"/>
      <c r="U725" s="315"/>
    </row>
    <row r="726" spans="9:21" ht="16">
      <c r="I726" s="314"/>
      <c r="L726" s="350"/>
      <c r="O726" s="225"/>
      <c r="T726" s="315"/>
      <c r="U726" s="315"/>
    </row>
    <row r="727" spans="9:21" ht="16">
      <c r="I727" s="314"/>
      <c r="L727" s="350"/>
      <c r="O727" s="225"/>
      <c r="T727" s="315"/>
      <c r="U727" s="315"/>
    </row>
    <row r="728" spans="9:21" ht="16">
      <c r="I728" s="314"/>
      <c r="L728" s="350"/>
      <c r="O728" s="225"/>
      <c r="T728" s="315"/>
      <c r="U728" s="315"/>
    </row>
    <row r="729" spans="9:21" ht="16">
      <c r="I729" s="314"/>
      <c r="L729" s="350"/>
      <c r="O729" s="225"/>
      <c r="T729" s="315"/>
      <c r="U729" s="315"/>
    </row>
    <row r="730" spans="9:21" ht="16">
      <c r="I730" s="314"/>
      <c r="L730" s="350"/>
      <c r="O730" s="225"/>
      <c r="T730" s="315"/>
      <c r="U730" s="315"/>
    </row>
    <row r="731" spans="9:21" ht="16">
      <c r="I731" s="314"/>
      <c r="L731" s="350"/>
      <c r="O731" s="225"/>
      <c r="T731" s="315"/>
      <c r="U731" s="315"/>
    </row>
    <row r="732" spans="9:21" ht="16">
      <c r="I732" s="314"/>
      <c r="L732" s="350"/>
      <c r="O732" s="225"/>
      <c r="T732" s="315"/>
      <c r="U732" s="315"/>
    </row>
    <row r="733" spans="9:21" ht="16">
      <c r="I733" s="314"/>
      <c r="L733" s="350"/>
      <c r="O733" s="225"/>
      <c r="T733" s="315"/>
      <c r="U733" s="315"/>
    </row>
    <row r="734" spans="9:21" ht="16">
      <c r="I734" s="314"/>
      <c r="L734" s="350"/>
      <c r="O734" s="225"/>
      <c r="T734" s="315"/>
      <c r="U734" s="315"/>
    </row>
    <row r="735" spans="9:21" ht="16">
      <c r="I735" s="314"/>
      <c r="L735" s="350"/>
      <c r="O735" s="225"/>
      <c r="T735" s="315"/>
      <c r="U735" s="315"/>
    </row>
    <row r="736" spans="9:21" ht="16">
      <c r="I736" s="314"/>
      <c r="L736" s="350"/>
      <c r="O736" s="225"/>
      <c r="T736" s="315"/>
      <c r="U736" s="315"/>
    </row>
    <row r="737" spans="9:21" ht="16">
      <c r="I737" s="314"/>
      <c r="L737" s="350"/>
      <c r="O737" s="225"/>
      <c r="T737" s="315"/>
      <c r="U737" s="315"/>
    </row>
    <row r="738" spans="9:21" ht="16">
      <c r="I738" s="314"/>
      <c r="L738" s="350"/>
      <c r="O738" s="225"/>
      <c r="T738" s="315"/>
      <c r="U738" s="315"/>
    </row>
    <row r="739" spans="9:21" ht="16">
      <c r="I739" s="314"/>
      <c r="L739" s="350"/>
      <c r="O739" s="225"/>
      <c r="T739" s="315"/>
      <c r="U739" s="315"/>
    </row>
    <row r="740" spans="9:21" ht="16">
      <c r="I740" s="314"/>
      <c r="L740" s="350"/>
      <c r="O740" s="225"/>
      <c r="T740" s="315"/>
      <c r="U740" s="315"/>
    </row>
    <row r="741" spans="9:21" ht="16">
      <c r="I741" s="314"/>
      <c r="L741" s="350"/>
      <c r="O741" s="225"/>
      <c r="T741" s="315"/>
      <c r="U741" s="315"/>
    </row>
    <row r="742" spans="9:21" ht="16">
      <c r="I742" s="314"/>
      <c r="L742" s="350"/>
      <c r="O742" s="225"/>
      <c r="T742" s="315"/>
      <c r="U742" s="315"/>
    </row>
    <row r="743" spans="9:21" ht="16">
      <c r="I743" s="314"/>
      <c r="L743" s="350"/>
      <c r="O743" s="225"/>
      <c r="T743" s="315"/>
      <c r="U743" s="315"/>
    </row>
    <row r="744" spans="9:21" ht="16">
      <c r="I744" s="314"/>
      <c r="L744" s="350"/>
      <c r="O744" s="225"/>
      <c r="T744" s="315"/>
      <c r="U744" s="315"/>
    </row>
    <row r="745" spans="9:21" ht="16">
      <c r="I745" s="314"/>
      <c r="L745" s="350"/>
      <c r="O745" s="225"/>
      <c r="T745" s="315"/>
      <c r="U745" s="315"/>
    </row>
    <row r="746" spans="9:21" ht="16">
      <c r="I746" s="314"/>
      <c r="L746" s="350"/>
      <c r="O746" s="225"/>
      <c r="T746" s="315"/>
      <c r="U746" s="315"/>
    </row>
    <row r="747" spans="9:21" ht="16">
      <c r="I747" s="314"/>
      <c r="L747" s="350"/>
      <c r="O747" s="225"/>
      <c r="T747" s="315"/>
      <c r="U747" s="315"/>
    </row>
    <row r="748" spans="9:21" ht="16">
      <c r="I748" s="314"/>
      <c r="L748" s="350"/>
      <c r="O748" s="225"/>
      <c r="T748" s="315"/>
      <c r="U748" s="315"/>
    </row>
    <row r="749" spans="9:21" ht="16">
      <c r="I749" s="314"/>
      <c r="L749" s="350"/>
      <c r="O749" s="225"/>
      <c r="T749" s="315"/>
      <c r="U749" s="315"/>
    </row>
    <row r="750" spans="9:21" ht="16">
      <c r="I750" s="314"/>
      <c r="L750" s="350"/>
      <c r="O750" s="225"/>
      <c r="T750" s="315"/>
      <c r="U750" s="315"/>
    </row>
    <row r="751" spans="9:21" ht="16">
      <c r="I751" s="314"/>
      <c r="L751" s="350"/>
      <c r="O751" s="225"/>
      <c r="T751" s="315"/>
      <c r="U751" s="315"/>
    </row>
    <row r="752" spans="9:21" ht="16">
      <c r="I752" s="314"/>
      <c r="L752" s="350"/>
      <c r="O752" s="225"/>
      <c r="T752" s="315"/>
      <c r="U752" s="315"/>
    </row>
    <row r="753" spans="9:21" ht="16">
      <c r="I753" s="314"/>
      <c r="L753" s="350"/>
      <c r="O753" s="225"/>
      <c r="T753" s="315"/>
      <c r="U753" s="315"/>
    </row>
    <row r="754" spans="9:21" ht="16">
      <c r="I754" s="314"/>
      <c r="L754" s="350"/>
      <c r="O754" s="225"/>
      <c r="T754" s="315"/>
      <c r="U754" s="315"/>
    </row>
    <row r="755" spans="9:21" ht="16">
      <c r="I755" s="314"/>
      <c r="L755" s="350"/>
      <c r="O755" s="225"/>
      <c r="T755" s="315"/>
      <c r="U755" s="315"/>
    </row>
    <row r="756" spans="9:21" ht="16">
      <c r="I756" s="314"/>
      <c r="L756" s="350"/>
      <c r="O756" s="225"/>
      <c r="T756" s="315"/>
      <c r="U756" s="315"/>
    </row>
    <row r="757" spans="9:21" ht="16">
      <c r="I757" s="314"/>
      <c r="L757" s="350"/>
      <c r="O757" s="225"/>
      <c r="T757" s="315"/>
      <c r="U757" s="315"/>
    </row>
    <row r="758" spans="9:21" ht="16">
      <c r="I758" s="314"/>
      <c r="L758" s="350"/>
      <c r="O758" s="225"/>
      <c r="T758" s="315"/>
      <c r="U758" s="315"/>
    </row>
    <row r="759" spans="9:21" ht="16">
      <c r="I759" s="314"/>
      <c r="L759" s="350"/>
      <c r="O759" s="225"/>
      <c r="T759" s="315"/>
      <c r="U759" s="315"/>
    </row>
    <row r="760" spans="9:21" ht="16">
      <c r="I760" s="314"/>
      <c r="L760" s="350"/>
      <c r="O760" s="225"/>
      <c r="T760" s="315"/>
      <c r="U760" s="315"/>
    </row>
    <row r="761" spans="9:21" ht="16">
      <c r="I761" s="314"/>
      <c r="L761" s="350"/>
      <c r="O761" s="225"/>
      <c r="T761" s="315"/>
      <c r="U761" s="315"/>
    </row>
    <row r="762" spans="9:21" ht="16">
      <c r="I762" s="314"/>
      <c r="L762" s="350"/>
      <c r="O762" s="225"/>
      <c r="T762" s="315"/>
      <c r="U762" s="315"/>
    </row>
    <row r="763" spans="9:21" ht="16">
      <c r="I763" s="314"/>
      <c r="L763" s="350"/>
      <c r="O763" s="225"/>
      <c r="T763" s="315"/>
      <c r="U763" s="315"/>
    </row>
    <row r="764" spans="9:21" ht="16">
      <c r="I764" s="314"/>
      <c r="L764" s="350"/>
      <c r="O764" s="225"/>
      <c r="T764" s="315"/>
      <c r="U764" s="315"/>
    </row>
    <row r="765" spans="9:21" ht="16">
      <c r="I765" s="314"/>
      <c r="L765" s="350"/>
      <c r="O765" s="225"/>
      <c r="T765" s="315"/>
      <c r="U765" s="315"/>
    </row>
    <row r="766" spans="9:21" ht="16">
      <c r="I766" s="314"/>
      <c r="L766" s="350"/>
      <c r="O766" s="225"/>
      <c r="T766" s="315"/>
      <c r="U766" s="315"/>
    </row>
    <row r="767" spans="9:21" ht="16">
      <c r="I767" s="314"/>
      <c r="L767" s="350"/>
      <c r="O767" s="225"/>
      <c r="T767" s="315"/>
      <c r="U767" s="315"/>
    </row>
    <row r="768" spans="9:21" ht="16">
      <c r="I768" s="314"/>
      <c r="L768" s="350"/>
      <c r="O768" s="225"/>
      <c r="T768" s="315"/>
      <c r="U768" s="315"/>
    </row>
    <row r="769" spans="9:21" ht="16">
      <c r="I769" s="314"/>
      <c r="L769" s="350"/>
      <c r="O769" s="225"/>
      <c r="T769" s="315"/>
      <c r="U769" s="315"/>
    </row>
    <row r="770" spans="9:21" ht="16">
      <c r="I770" s="314"/>
      <c r="L770" s="350"/>
      <c r="O770" s="225"/>
      <c r="T770" s="315"/>
      <c r="U770" s="315"/>
    </row>
    <row r="771" spans="9:21" ht="16">
      <c r="I771" s="314"/>
      <c r="L771" s="350"/>
      <c r="O771" s="225"/>
      <c r="T771" s="315"/>
      <c r="U771" s="315"/>
    </row>
    <row r="772" spans="9:21" ht="16">
      <c r="I772" s="314"/>
      <c r="L772" s="350"/>
      <c r="O772" s="225"/>
      <c r="T772" s="315"/>
      <c r="U772" s="315"/>
    </row>
    <row r="773" spans="9:21" ht="16">
      <c r="I773" s="314"/>
      <c r="L773" s="350"/>
      <c r="O773" s="225"/>
      <c r="T773" s="315"/>
      <c r="U773" s="315"/>
    </row>
    <row r="774" spans="9:21" ht="16">
      <c r="I774" s="314"/>
      <c r="L774" s="350"/>
      <c r="O774" s="225"/>
      <c r="T774" s="315"/>
      <c r="U774" s="315"/>
    </row>
    <row r="775" spans="9:21" ht="16">
      <c r="I775" s="314"/>
      <c r="L775" s="350"/>
      <c r="O775" s="225"/>
      <c r="T775" s="315"/>
      <c r="U775" s="315"/>
    </row>
    <row r="776" spans="9:21" ht="16">
      <c r="I776" s="314"/>
      <c r="L776" s="350"/>
      <c r="O776" s="225"/>
      <c r="T776" s="315"/>
      <c r="U776" s="315"/>
    </row>
    <row r="777" spans="9:21" ht="16">
      <c r="I777" s="314"/>
      <c r="L777" s="350"/>
      <c r="O777" s="225"/>
      <c r="T777" s="315"/>
      <c r="U777" s="315"/>
    </row>
    <row r="778" spans="9:21" ht="16">
      <c r="I778" s="314"/>
      <c r="L778" s="350"/>
      <c r="O778" s="225"/>
      <c r="T778" s="315"/>
      <c r="U778" s="315"/>
    </row>
    <row r="779" spans="9:21" ht="16">
      <c r="I779" s="314"/>
      <c r="L779" s="350"/>
      <c r="O779" s="225"/>
      <c r="T779" s="315"/>
      <c r="U779" s="315"/>
    </row>
    <row r="780" spans="9:21" ht="16">
      <c r="I780" s="314"/>
      <c r="L780" s="350"/>
      <c r="O780" s="225"/>
      <c r="T780" s="315"/>
      <c r="U780" s="315"/>
    </row>
    <row r="781" spans="9:21" ht="16">
      <c r="I781" s="314"/>
      <c r="L781" s="350"/>
      <c r="O781" s="225"/>
      <c r="T781" s="315"/>
      <c r="U781" s="315"/>
    </row>
    <row r="782" spans="9:21" ht="16">
      <c r="I782" s="314"/>
      <c r="L782" s="350"/>
      <c r="O782" s="225"/>
      <c r="T782" s="315"/>
      <c r="U782" s="315"/>
    </row>
    <row r="783" spans="9:21" ht="16">
      <c r="I783" s="314"/>
      <c r="L783" s="350"/>
      <c r="O783" s="225"/>
      <c r="T783" s="315"/>
      <c r="U783" s="315"/>
    </row>
    <row r="784" spans="9:21" ht="16">
      <c r="I784" s="314"/>
      <c r="L784" s="350"/>
      <c r="O784" s="225"/>
      <c r="T784" s="315"/>
      <c r="U784" s="315"/>
    </row>
    <row r="785" spans="9:21" ht="16">
      <c r="I785" s="314"/>
      <c r="L785" s="350"/>
      <c r="O785" s="225"/>
      <c r="T785" s="315"/>
      <c r="U785" s="315"/>
    </row>
    <row r="786" spans="9:21" ht="16">
      <c r="I786" s="314"/>
      <c r="L786" s="350"/>
      <c r="O786" s="225"/>
      <c r="T786" s="315"/>
      <c r="U786" s="315"/>
    </row>
    <row r="787" spans="9:21" ht="16">
      <c r="I787" s="314"/>
      <c r="L787" s="350"/>
      <c r="O787" s="225"/>
      <c r="T787" s="315"/>
      <c r="U787" s="315"/>
    </row>
    <row r="788" spans="9:21" ht="16">
      <c r="I788" s="314"/>
      <c r="L788" s="350"/>
      <c r="O788" s="225"/>
      <c r="T788" s="315"/>
      <c r="U788" s="315"/>
    </row>
    <row r="789" spans="9:21" ht="16">
      <c r="I789" s="314"/>
      <c r="L789" s="350"/>
      <c r="O789" s="225"/>
      <c r="T789" s="315"/>
      <c r="U789" s="315"/>
    </row>
    <row r="790" spans="9:21" ht="16">
      <c r="I790" s="314"/>
      <c r="L790" s="350"/>
      <c r="O790" s="225"/>
      <c r="T790" s="315"/>
      <c r="U790" s="315"/>
    </row>
    <row r="791" spans="9:21" ht="16">
      <c r="I791" s="314"/>
      <c r="L791" s="350"/>
      <c r="O791" s="225"/>
      <c r="T791" s="315"/>
      <c r="U791" s="315"/>
    </row>
    <row r="792" spans="9:21" ht="16">
      <c r="I792" s="314"/>
      <c r="L792" s="350"/>
      <c r="O792" s="225"/>
      <c r="T792" s="315"/>
      <c r="U792" s="315"/>
    </row>
    <row r="793" spans="9:21" ht="16">
      <c r="I793" s="314"/>
      <c r="L793" s="350"/>
      <c r="O793" s="225"/>
      <c r="T793" s="315"/>
      <c r="U793" s="315"/>
    </row>
    <row r="794" spans="9:21" ht="16">
      <c r="I794" s="314"/>
      <c r="L794" s="350"/>
      <c r="O794" s="225"/>
      <c r="T794" s="315"/>
      <c r="U794" s="315"/>
    </row>
    <row r="795" spans="9:21" ht="16">
      <c r="I795" s="314"/>
      <c r="L795" s="350"/>
      <c r="O795" s="225"/>
      <c r="T795" s="315"/>
      <c r="U795" s="315"/>
    </row>
    <row r="796" spans="9:21" ht="16">
      <c r="I796" s="314"/>
      <c r="L796" s="350"/>
      <c r="O796" s="225"/>
      <c r="T796" s="315"/>
      <c r="U796" s="315"/>
    </row>
    <row r="797" spans="9:21" ht="16">
      <c r="I797" s="314"/>
      <c r="L797" s="350"/>
      <c r="O797" s="225"/>
      <c r="T797" s="315"/>
      <c r="U797" s="315"/>
    </row>
    <row r="798" spans="9:21" ht="16">
      <c r="I798" s="314"/>
      <c r="L798" s="350"/>
      <c r="O798" s="225"/>
      <c r="T798" s="315"/>
      <c r="U798" s="315"/>
    </row>
    <row r="799" spans="9:21" ht="16">
      <c r="I799" s="314"/>
      <c r="L799" s="350"/>
      <c r="O799" s="225"/>
      <c r="T799" s="315"/>
      <c r="U799" s="315"/>
    </row>
    <row r="800" spans="9:21" ht="16">
      <c r="I800" s="314"/>
      <c r="L800" s="350"/>
      <c r="O800" s="225"/>
      <c r="T800" s="315"/>
      <c r="U800" s="315"/>
    </row>
    <row r="801" spans="9:21" ht="16">
      <c r="I801" s="314"/>
      <c r="L801" s="350"/>
      <c r="O801" s="225"/>
      <c r="T801" s="315"/>
      <c r="U801" s="315"/>
    </row>
    <row r="802" spans="9:21" ht="16">
      <c r="I802" s="314"/>
      <c r="L802" s="350"/>
      <c r="O802" s="225"/>
      <c r="T802" s="315"/>
      <c r="U802" s="315"/>
    </row>
    <row r="803" spans="9:21" ht="16">
      <c r="I803" s="314"/>
      <c r="L803" s="350"/>
      <c r="O803" s="225"/>
      <c r="T803" s="315"/>
      <c r="U803" s="315"/>
    </row>
    <row r="804" spans="9:21" ht="16">
      <c r="I804" s="314"/>
      <c r="L804" s="350"/>
      <c r="O804" s="225"/>
      <c r="T804" s="315"/>
      <c r="U804" s="315"/>
    </row>
    <row r="805" spans="9:21" ht="16">
      <c r="I805" s="314"/>
      <c r="L805" s="350"/>
      <c r="O805" s="225"/>
      <c r="T805" s="315"/>
      <c r="U805" s="315"/>
    </row>
    <row r="806" spans="9:21" ht="16">
      <c r="I806" s="314"/>
      <c r="L806" s="350"/>
      <c r="O806" s="225"/>
      <c r="T806" s="315"/>
      <c r="U806" s="315"/>
    </row>
    <row r="807" spans="9:21" ht="16">
      <c r="I807" s="314"/>
      <c r="L807" s="350"/>
      <c r="O807" s="225"/>
      <c r="T807" s="315"/>
      <c r="U807" s="315"/>
    </row>
    <row r="808" spans="9:21" ht="16">
      <c r="I808" s="314"/>
      <c r="L808" s="350"/>
      <c r="O808" s="225"/>
      <c r="T808" s="315"/>
      <c r="U808" s="315"/>
    </row>
    <row r="809" spans="9:21" ht="16">
      <c r="I809" s="314"/>
      <c r="L809" s="350"/>
      <c r="O809" s="225"/>
      <c r="T809" s="315"/>
      <c r="U809" s="315"/>
    </row>
    <row r="810" spans="9:21" ht="16">
      <c r="I810" s="314"/>
      <c r="L810" s="350"/>
      <c r="O810" s="225"/>
      <c r="T810" s="315"/>
      <c r="U810" s="315"/>
    </row>
    <row r="811" spans="9:21" ht="16">
      <c r="I811" s="314"/>
      <c r="L811" s="350"/>
      <c r="O811" s="225"/>
      <c r="T811" s="315"/>
      <c r="U811" s="315"/>
    </row>
    <row r="812" spans="9:21" ht="16">
      <c r="I812" s="314"/>
      <c r="L812" s="350"/>
      <c r="O812" s="225"/>
      <c r="T812" s="315"/>
      <c r="U812" s="315"/>
    </row>
    <row r="813" spans="9:21" ht="16">
      <c r="I813" s="314"/>
      <c r="L813" s="350"/>
      <c r="O813" s="225"/>
      <c r="T813" s="315"/>
      <c r="U813" s="315"/>
    </row>
    <row r="814" spans="9:21" ht="16">
      <c r="I814" s="314"/>
      <c r="L814" s="350"/>
      <c r="O814" s="225"/>
      <c r="T814" s="315"/>
      <c r="U814" s="315"/>
    </row>
    <row r="815" spans="9:21" ht="16">
      <c r="I815" s="314"/>
      <c r="L815" s="350"/>
      <c r="O815" s="225"/>
      <c r="T815" s="315"/>
      <c r="U815" s="315"/>
    </row>
    <row r="816" spans="9:21" ht="16">
      <c r="I816" s="314"/>
      <c r="L816" s="350"/>
      <c r="O816" s="225"/>
      <c r="T816" s="315"/>
      <c r="U816" s="315"/>
    </row>
    <row r="817" spans="9:21" ht="16">
      <c r="I817" s="314"/>
      <c r="L817" s="350"/>
      <c r="O817" s="225"/>
      <c r="T817" s="315"/>
      <c r="U817" s="315"/>
    </row>
    <row r="818" spans="9:21" ht="16">
      <c r="I818" s="314"/>
      <c r="L818" s="350"/>
      <c r="O818" s="225"/>
      <c r="T818" s="315"/>
      <c r="U818" s="315"/>
    </row>
    <row r="819" spans="9:21" ht="16">
      <c r="I819" s="314"/>
      <c r="L819" s="350"/>
      <c r="O819" s="225"/>
      <c r="T819" s="315"/>
      <c r="U819" s="315"/>
    </row>
    <row r="820" spans="9:21" ht="16">
      <c r="I820" s="314"/>
      <c r="L820" s="350"/>
      <c r="O820" s="225"/>
      <c r="T820" s="315"/>
      <c r="U820" s="315"/>
    </row>
    <row r="821" spans="9:21" ht="16">
      <c r="I821" s="314"/>
      <c r="L821" s="350"/>
      <c r="O821" s="225"/>
      <c r="T821" s="315"/>
      <c r="U821" s="315"/>
    </row>
    <row r="822" spans="9:21" ht="16">
      <c r="I822" s="314"/>
      <c r="L822" s="350"/>
      <c r="O822" s="225"/>
      <c r="T822" s="315"/>
      <c r="U822" s="315"/>
    </row>
    <row r="823" spans="9:21" ht="16">
      <c r="I823" s="314"/>
      <c r="L823" s="350"/>
      <c r="O823" s="225"/>
      <c r="T823" s="315"/>
      <c r="U823" s="315"/>
    </row>
    <row r="824" spans="9:21" ht="16">
      <c r="I824" s="314"/>
      <c r="L824" s="350"/>
      <c r="O824" s="225"/>
      <c r="T824" s="315"/>
      <c r="U824" s="315"/>
    </row>
    <row r="825" spans="9:21" ht="16">
      <c r="I825" s="314"/>
      <c r="L825" s="350"/>
      <c r="O825" s="225"/>
      <c r="T825" s="315"/>
      <c r="U825" s="315"/>
    </row>
    <row r="826" spans="9:21" ht="16">
      <c r="I826" s="314"/>
      <c r="L826" s="350"/>
      <c r="O826" s="225"/>
      <c r="T826" s="315"/>
      <c r="U826" s="315"/>
    </row>
    <row r="827" spans="9:21" ht="16">
      <c r="I827" s="314"/>
      <c r="L827" s="350"/>
      <c r="O827" s="225"/>
      <c r="T827" s="315"/>
      <c r="U827" s="315"/>
    </row>
    <row r="828" spans="9:21" ht="16">
      <c r="I828" s="314"/>
      <c r="L828" s="350"/>
      <c r="O828" s="225"/>
      <c r="T828" s="315"/>
      <c r="U828" s="315"/>
    </row>
    <row r="829" spans="9:21" ht="16">
      <c r="I829" s="314"/>
      <c r="L829" s="350"/>
      <c r="O829" s="225"/>
      <c r="T829" s="315"/>
      <c r="U829" s="315"/>
    </row>
    <row r="830" spans="9:21" ht="16">
      <c r="I830" s="314"/>
      <c r="L830" s="350"/>
      <c r="O830" s="225"/>
      <c r="T830" s="315"/>
      <c r="U830" s="315"/>
    </row>
    <row r="831" spans="9:21" ht="16">
      <c r="I831" s="314"/>
      <c r="L831" s="350"/>
      <c r="O831" s="225"/>
      <c r="T831" s="315"/>
      <c r="U831" s="315"/>
    </row>
    <row r="832" spans="9:21" ht="16">
      <c r="I832" s="314"/>
      <c r="L832" s="350"/>
      <c r="O832" s="225"/>
      <c r="T832" s="315"/>
      <c r="U832" s="315"/>
    </row>
    <row r="833" spans="9:21" ht="16">
      <c r="I833" s="314"/>
      <c r="L833" s="350"/>
      <c r="O833" s="225"/>
      <c r="T833" s="315"/>
      <c r="U833" s="315"/>
    </row>
    <row r="834" spans="9:21" ht="16">
      <c r="I834" s="314"/>
      <c r="L834" s="350"/>
      <c r="O834" s="225"/>
      <c r="T834" s="315"/>
      <c r="U834" s="315"/>
    </row>
    <row r="835" spans="9:21" ht="16">
      <c r="I835" s="314"/>
      <c r="L835" s="350"/>
      <c r="O835" s="225"/>
      <c r="T835" s="315"/>
      <c r="U835" s="315"/>
    </row>
    <row r="836" spans="9:21" ht="16">
      <c r="I836" s="314"/>
      <c r="L836" s="350"/>
      <c r="O836" s="225"/>
      <c r="T836" s="315"/>
      <c r="U836" s="315"/>
    </row>
    <row r="837" spans="9:21" ht="16">
      <c r="I837" s="314"/>
      <c r="L837" s="350"/>
      <c r="O837" s="225"/>
      <c r="T837" s="315"/>
      <c r="U837" s="315"/>
    </row>
    <row r="838" spans="9:21" ht="16">
      <c r="I838" s="314"/>
      <c r="L838" s="350"/>
      <c r="O838" s="225"/>
      <c r="T838" s="315"/>
      <c r="U838" s="315"/>
    </row>
    <row r="839" spans="9:21" ht="16">
      <c r="I839" s="314"/>
      <c r="L839" s="350"/>
      <c r="O839" s="225"/>
      <c r="T839" s="315"/>
      <c r="U839" s="315"/>
    </row>
    <row r="840" spans="9:21" ht="16">
      <c r="I840" s="314"/>
      <c r="L840" s="350"/>
      <c r="O840" s="225"/>
      <c r="T840" s="315"/>
      <c r="U840" s="315"/>
    </row>
    <row r="841" spans="9:21" ht="16">
      <c r="I841" s="314"/>
      <c r="L841" s="350"/>
      <c r="O841" s="225"/>
      <c r="T841" s="315"/>
      <c r="U841" s="315"/>
    </row>
    <row r="842" spans="9:21" ht="16">
      <c r="I842" s="314"/>
      <c r="L842" s="350"/>
      <c r="O842" s="225"/>
      <c r="T842" s="315"/>
      <c r="U842" s="315"/>
    </row>
    <row r="843" spans="9:21" ht="16">
      <c r="I843" s="314"/>
      <c r="L843" s="350"/>
      <c r="O843" s="225"/>
      <c r="T843" s="315"/>
      <c r="U843" s="315"/>
    </row>
    <row r="844" spans="9:21" ht="16">
      <c r="I844" s="314"/>
      <c r="L844" s="350"/>
      <c r="O844" s="225"/>
      <c r="T844" s="315"/>
      <c r="U844" s="315"/>
    </row>
    <row r="845" spans="9:21" ht="16">
      <c r="I845" s="314"/>
      <c r="L845" s="350"/>
      <c r="O845" s="225"/>
      <c r="T845" s="315"/>
      <c r="U845" s="315"/>
    </row>
    <row r="846" spans="9:21" ht="16">
      <c r="I846" s="314"/>
      <c r="L846" s="350"/>
      <c r="O846" s="225"/>
      <c r="T846" s="315"/>
      <c r="U846" s="315"/>
    </row>
    <row r="847" spans="9:21" ht="16">
      <c r="I847" s="314"/>
      <c r="L847" s="350"/>
      <c r="O847" s="225"/>
      <c r="T847" s="315"/>
      <c r="U847" s="315"/>
    </row>
    <row r="848" spans="9:21" ht="16">
      <c r="I848" s="314"/>
      <c r="L848" s="350"/>
      <c r="O848" s="225"/>
      <c r="T848" s="315"/>
      <c r="U848" s="315"/>
    </row>
    <row r="849" spans="9:21" ht="16">
      <c r="I849" s="314"/>
      <c r="L849" s="350"/>
      <c r="O849" s="225"/>
      <c r="T849" s="315"/>
      <c r="U849" s="315"/>
    </row>
    <row r="850" spans="9:21" ht="16">
      <c r="I850" s="314"/>
      <c r="L850" s="350"/>
      <c r="O850" s="225"/>
      <c r="T850" s="315"/>
      <c r="U850" s="315"/>
    </row>
    <row r="851" spans="9:21" ht="16">
      <c r="I851" s="314"/>
      <c r="L851" s="350"/>
      <c r="O851" s="225"/>
      <c r="T851" s="315"/>
      <c r="U851" s="315"/>
    </row>
    <row r="852" spans="9:21" ht="16">
      <c r="I852" s="314"/>
      <c r="L852" s="350"/>
      <c r="O852" s="225"/>
      <c r="T852" s="315"/>
      <c r="U852" s="315"/>
    </row>
    <row r="853" spans="9:21" ht="16">
      <c r="I853" s="314"/>
      <c r="L853" s="350"/>
      <c r="O853" s="225"/>
      <c r="T853" s="315"/>
      <c r="U853" s="315"/>
    </row>
    <row r="854" spans="9:21" ht="16">
      <c r="I854" s="314"/>
      <c r="L854" s="350"/>
      <c r="O854" s="225"/>
      <c r="T854" s="315"/>
      <c r="U854" s="315"/>
    </row>
    <row r="855" spans="9:21" ht="16">
      <c r="I855" s="314"/>
      <c r="L855" s="350"/>
      <c r="O855" s="225"/>
      <c r="T855" s="315"/>
      <c r="U855" s="315"/>
    </row>
    <row r="856" spans="9:21" ht="16">
      <c r="I856" s="314"/>
      <c r="L856" s="350"/>
      <c r="O856" s="225"/>
      <c r="T856" s="315"/>
      <c r="U856" s="315"/>
    </row>
    <row r="857" spans="9:21" ht="16">
      <c r="I857" s="314"/>
      <c r="L857" s="350"/>
      <c r="O857" s="225"/>
      <c r="T857" s="315"/>
      <c r="U857" s="315"/>
    </row>
    <row r="858" spans="9:21" ht="16">
      <c r="I858" s="314"/>
      <c r="L858" s="350"/>
      <c r="O858" s="225"/>
      <c r="T858" s="315"/>
      <c r="U858" s="315"/>
    </row>
    <row r="859" spans="9:21" ht="16">
      <c r="I859" s="314"/>
      <c r="L859" s="350"/>
      <c r="O859" s="225"/>
      <c r="T859" s="315"/>
      <c r="U859" s="315"/>
    </row>
    <row r="860" spans="9:21" ht="16">
      <c r="I860" s="314"/>
      <c r="L860" s="350"/>
      <c r="O860" s="225"/>
      <c r="T860" s="315"/>
      <c r="U860" s="315"/>
    </row>
    <row r="861" spans="9:21" ht="16">
      <c r="I861" s="314"/>
      <c r="L861" s="350"/>
      <c r="O861" s="225"/>
      <c r="T861" s="315"/>
      <c r="U861" s="315"/>
    </row>
    <row r="862" spans="9:21" ht="16">
      <c r="I862" s="314"/>
      <c r="L862" s="350"/>
      <c r="O862" s="225"/>
      <c r="T862" s="315"/>
      <c r="U862" s="315"/>
    </row>
    <row r="863" spans="9:21" ht="16">
      <c r="I863" s="314"/>
      <c r="L863" s="350"/>
      <c r="O863" s="225"/>
      <c r="T863" s="315"/>
      <c r="U863" s="315"/>
    </row>
    <row r="864" spans="9:21" ht="16">
      <c r="I864" s="314"/>
      <c r="L864" s="350"/>
      <c r="O864" s="225"/>
      <c r="T864" s="315"/>
      <c r="U864" s="315"/>
    </row>
    <row r="865" spans="9:21" ht="16">
      <c r="I865" s="314"/>
      <c r="L865" s="350"/>
      <c r="O865" s="225"/>
      <c r="T865" s="315"/>
      <c r="U865" s="315"/>
    </row>
    <row r="866" spans="9:21" ht="16">
      <c r="I866" s="314"/>
      <c r="L866" s="350"/>
      <c r="O866" s="225"/>
      <c r="T866" s="315"/>
      <c r="U866" s="315"/>
    </row>
    <row r="867" spans="9:21" ht="16">
      <c r="I867" s="314"/>
      <c r="L867" s="350"/>
      <c r="O867" s="225"/>
      <c r="T867" s="315"/>
      <c r="U867" s="315"/>
    </row>
    <row r="868" spans="9:21" ht="16">
      <c r="I868" s="314"/>
      <c r="L868" s="350"/>
      <c r="O868" s="225"/>
      <c r="T868" s="315"/>
      <c r="U868" s="315"/>
    </row>
    <row r="869" spans="9:21" ht="16">
      <c r="I869" s="314"/>
      <c r="L869" s="350"/>
      <c r="O869" s="225"/>
      <c r="T869" s="315"/>
      <c r="U869" s="315"/>
    </row>
    <row r="870" spans="9:21" ht="16">
      <c r="I870" s="314"/>
      <c r="L870" s="350"/>
      <c r="O870" s="225"/>
      <c r="T870" s="315"/>
      <c r="U870" s="315"/>
    </row>
    <row r="871" spans="9:21" ht="16">
      <c r="I871" s="314"/>
      <c r="L871" s="350"/>
      <c r="O871" s="225"/>
      <c r="T871" s="315"/>
      <c r="U871" s="315"/>
    </row>
    <row r="872" spans="9:21" ht="16">
      <c r="I872" s="314"/>
      <c r="L872" s="350"/>
      <c r="O872" s="225"/>
      <c r="T872" s="315"/>
      <c r="U872" s="315"/>
    </row>
    <row r="873" spans="9:21" ht="16">
      <c r="I873" s="314"/>
      <c r="L873" s="350"/>
      <c r="O873" s="225"/>
      <c r="T873" s="315"/>
      <c r="U873" s="315"/>
    </row>
    <row r="874" spans="9:21" ht="16">
      <c r="I874" s="314"/>
      <c r="L874" s="350"/>
      <c r="O874" s="225"/>
      <c r="T874" s="315"/>
      <c r="U874" s="315"/>
    </row>
    <row r="875" spans="9:21" ht="16">
      <c r="I875" s="314"/>
      <c r="L875" s="350"/>
      <c r="O875" s="225"/>
      <c r="T875" s="315"/>
      <c r="U875" s="315"/>
    </row>
    <row r="876" spans="9:21" ht="16">
      <c r="I876" s="314"/>
      <c r="L876" s="350"/>
      <c r="O876" s="225"/>
      <c r="T876" s="315"/>
      <c r="U876" s="315"/>
    </row>
    <row r="877" spans="9:21" ht="16">
      <c r="I877" s="314"/>
      <c r="L877" s="350"/>
      <c r="O877" s="225"/>
      <c r="T877" s="315"/>
      <c r="U877" s="315"/>
    </row>
    <row r="878" spans="9:21" ht="16">
      <c r="I878" s="314"/>
      <c r="L878" s="350"/>
      <c r="O878" s="225"/>
      <c r="T878" s="315"/>
      <c r="U878" s="315"/>
    </row>
    <row r="879" spans="9:21" ht="16">
      <c r="I879" s="314"/>
      <c r="L879" s="350"/>
      <c r="O879" s="225"/>
      <c r="T879" s="315"/>
      <c r="U879" s="315"/>
    </row>
    <row r="880" spans="9:21" ht="16">
      <c r="I880" s="314"/>
      <c r="L880" s="350"/>
      <c r="O880" s="225"/>
      <c r="T880" s="315"/>
      <c r="U880" s="315"/>
    </row>
    <row r="881" spans="9:21" ht="16">
      <c r="I881" s="314"/>
      <c r="L881" s="350"/>
      <c r="O881" s="225"/>
      <c r="T881" s="315"/>
      <c r="U881" s="315"/>
    </row>
    <row r="882" spans="9:21" ht="16">
      <c r="I882" s="314"/>
      <c r="L882" s="350"/>
      <c r="O882" s="225"/>
      <c r="T882" s="315"/>
      <c r="U882" s="315"/>
    </row>
    <row r="883" spans="9:21" ht="16">
      <c r="I883" s="314"/>
      <c r="L883" s="350"/>
      <c r="O883" s="225"/>
      <c r="T883" s="315"/>
      <c r="U883" s="315"/>
    </row>
    <row r="884" spans="9:21" ht="16">
      <c r="I884" s="314"/>
      <c r="L884" s="350"/>
      <c r="O884" s="225"/>
      <c r="T884" s="315"/>
      <c r="U884" s="315"/>
    </row>
    <row r="885" spans="9:21" ht="16">
      <c r="I885" s="314"/>
      <c r="L885" s="350"/>
      <c r="O885" s="225"/>
      <c r="T885" s="315"/>
      <c r="U885" s="315"/>
    </row>
    <row r="886" spans="9:21" ht="16">
      <c r="I886" s="314"/>
      <c r="L886" s="350"/>
      <c r="O886" s="225"/>
      <c r="T886" s="315"/>
      <c r="U886" s="315"/>
    </row>
    <row r="887" spans="9:21" ht="16">
      <c r="I887" s="314"/>
      <c r="L887" s="350"/>
      <c r="O887" s="225"/>
      <c r="T887" s="315"/>
      <c r="U887" s="315"/>
    </row>
    <row r="888" spans="9:21" ht="16">
      <c r="I888" s="314"/>
      <c r="L888" s="350"/>
      <c r="O888" s="225"/>
      <c r="T888" s="315"/>
      <c r="U888" s="315"/>
    </row>
    <row r="889" spans="9:21" ht="16">
      <c r="I889" s="314"/>
      <c r="L889" s="350"/>
      <c r="O889" s="225"/>
      <c r="T889" s="315"/>
      <c r="U889" s="315"/>
    </row>
    <row r="890" spans="9:21" ht="16">
      <c r="I890" s="314"/>
      <c r="L890" s="350"/>
      <c r="O890" s="225"/>
      <c r="T890" s="315"/>
      <c r="U890" s="315"/>
    </row>
    <row r="891" spans="9:21" ht="16">
      <c r="I891" s="314"/>
      <c r="L891" s="350"/>
      <c r="O891" s="225"/>
      <c r="T891" s="315"/>
      <c r="U891" s="315"/>
    </row>
    <row r="892" spans="9:21" ht="16">
      <c r="I892" s="314"/>
      <c r="L892" s="350"/>
      <c r="O892" s="225"/>
      <c r="T892" s="315"/>
      <c r="U892" s="315"/>
    </row>
    <row r="893" spans="9:21" ht="16">
      <c r="I893" s="314"/>
      <c r="L893" s="350"/>
      <c r="O893" s="225"/>
      <c r="T893" s="315"/>
      <c r="U893" s="315"/>
    </row>
    <row r="894" spans="9:21" ht="16">
      <c r="I894" s="314"/>
      <c r="L894" s="350"/>
      <c r="O894" s="225"/>
      <c r="T894" s="315"/>
      <c r="U894" s="315"/>
    </row>
    <row r="895" spans="9:21" ht="16">
      <c r="I895" s="314"/>
      <c r="L895" s="350"/>
      <c r="O895" s="225"/>
      <c r="T895" s="315"/>
      <c r="U895" s="315"/>
    </row>
    <row r="896" spans="9:21" ht="16">
      <c r="I896" s="314"/>
      <c r="L896" s="350"/>
      <c r="O896" s="225"/>
      <c r="T896" s="315"/>
      <c r="U896" s="315"/>
    </row>
    <row r="897" spans="9:21" ht="16">
      <c r="I897" s="314"/>
      <c r="L897" s="350"/>
      <c r="O897" s="225"/>
      <c r="T897" s="315"/>
      <c r="U897" s="315"/>
    </row>
    <row r="898" spans="9:21" ht="16">
      <c r="I898" s="314"/>
      <c r="L898" s="350"/>
      <c r="O898" s="225"/>
      <c r="T898" s="315"/>
      <c r="U898" s="315"/>
    </row>
    <row r="899" spans="9:21" ht="16">
      <c r="I899" s="314"/>
      <c r="L899" s="350"/>
      <c r="O899" s="225"/>
      <c r="T899" s="315"/>
      <c r="U899" s="315"/>
    </row>
    <row r="900" spans="9:21" ht="16">
      <c r="I900" s="314"/>
      <c r="L900" s="350"/>
      <c r="O900" s="225"/>
      <c r="T900" s="315"/>
      <c r="U900" s="315"/>
    </row>
    <row r="901" spans="9:21" ht="16">
      <c r="I901" s="314"/>
      <c r="L901" s="350"/>
      <c r="O901" s="225"/>
      <c r="T901" s="315"/>
      <c r="U901" s="315"/>
    </row>
    <row r="902" spans="9:21" ht="16">
      <c r="I902" s="314"/>
      <c r="L902" s="350"/>
      <c r="O902" s="225"/>
      <c r="T902" s="315"/>
      <c r="U902" s="315"/>
    </row>
    <row r="903" spans="9:21" ht="16">
      <c r="I903" s="314"/>
      <c r="L903" s="350"/>
      <c r="O903" s="225"/>
      <c r="T903" s="315"/>
      <c r="U903" s="315"/>
    </row>
    <row r="904" spans="9:21" ht="16">
      <c r="I904" s="314"/>
      <c r="L904" s="350"/>
      <c r="O904" s="225"/>
      <c r="T904" s="315"/>
      <c r="U904" s="315"/>
    </row>
    <row r="905" spans="9:21" ht="16">
      <c r="I905" s="314"/>
      <c r="L905" s="350"/>
      <c r="O905" s="225"/>
      <c r="T905" s="315"/>
      <c r="U905" s="315"/>
    </row>
    <row r="906" spans="9:21" ht="16">
      <c r="I906" s="314"/>
      <c r="L906" s="350"/>
      <c r="O906" s="225"/>
      <c r="T906" s="315"/>
      <c r="U906" s="315"/>
    </row>
    <row r="907" spans="9:21" ht="16">
      <c r="I907" s="314"/>
      <c r="L907" s="350"/>
      <c r="O907" s="225"/>
      <c r="T907" s="315"/>
      <c r="U907" s="315"/>
    </row>
    <row r="908" spans="9:21" ht="16">
      <c r="I908" s="314"/>
      <c r="L908" s="350"/>
      <c r="O908" s="225"/>
      <c r="T908" s="315"/>
      <c r="U908" s="315"/>
    </row>
    <row r="909" spans="9:21" ht="16">
      <c r="I909" s="314"/>
      <c r="L909" s="350"/>
      <c r="O909" s="225"/>
      <c r="T909" s="315"/>
      <c r="U909" s="315"/>
    </row>
    <row r="910" spans="9:21" ht="16">
      <c r="I910" s="314"/>
      <c r="L910" s="350"/>
      <c r="O910" s="225"/>
      <c r="T910" s="315"/>
      <c r="U910" s="315"/>
    </row>
    <row r="911" spans="9:21" ht="16">
      <c r="I911" s="314"/>
      <c r="L911" s="350"/>
      <c r="O911" s="225"/>
      <c r="T911" s="315"/>
      <c r="U911" s="315"/>
    </row>
    <row r="912" spans="9:21" ht="16">
      <c r="I912" s="314"/>
      <c r="L912" s="350"/>
      <c r="O912" s="225"/>
      <c r="T912" s="315"/>
      <c r="U912" s="315"/>
    </row>
    <row r="913" spans="9:21" ht="16">
      <c r="I913" s="314"/>
      <c r="L913" s="350"/>
      <c r="O913" s="225"/>
      <c r="T913" s="315"/>
      <c r="U913" s="315"/>
    </row>
    <row r="914" spans="9:21" ht="16">
      <c r="I914" s="314"/>
      <c r="L914" s="350"/>
      <c r="O914" s="225"/>
      <c r="T914" s="315"/>
      <c r="U914" s="315"/>
    </row>
    <row r="915" spans="9:21" ht="16">
      <c r="I915" s="314"/>
      <c r="L915" s="350"/>
      <c r="O915" s="225"/>
      <c r="T915" s="315"/>
      <c r="U915" s="315"/>
    </row>
    <row r="916" spans="9:21" ht="16">
      <c r="I916" s="314"/>
      <c r="L916" s="350"/>
      <c r="O916" s="225"/>
      <c r="T916" s="315"/>
      <c r="U916" s="315"/>
    </row>
    <row r="917" spans="9:21" ht="16">
      <c r="I917" s="314"/>
      <c r="L917" s="350"/>
      <c r="O917" s="225"/>
      <c r="T917" s="315"/>
      <c r="U917" s="315"/>
    </row>
    <row r="918" spans="9:21" ht="16">
      <c r="I918" s="314"/>
      <c r="L918" s="350"/>
      <c r="O918" s="225"/>
      <c r="T918" s="315"/>
      <c r="U918" s="315"/>
    </row>
    <row r="919" spans="9:21" ht="16">
      <c r="I919" s="314"/>
      <c r="L919" s="350"/>
      <c r="O919" s="225"/>
      <c r="T919" s="315"/>
      <c r="U919" s="315"/>
    </row>
    <row r="920" spans="9:21" ht="16">
      <c r="I920" s="314"/>
      <c r="L920" s="350"/>
      <c r="O920" s="225"/>
      <c r="T920" s="315"/>
      <c r="U920" s="315"/>
    </row>
    <row r="921" spans="9:21" ht="16">
      <c r="I921" s="314"/>
      <c r="L921" s="350"/>
      <c r="O921" s="225"/>
      <c r="T921" s="315"/>
      <c r="U921" s="315"/>
    </row>
    <row r="922" spans="9:21" ht="16">
      <c r="I922" s="314"/>
      <c r="L922" s="350"/>
      <c r="O922" s="225"/>
      <c r="T922" s="315"/>
      <c r="U922" s="315"/>
    </row>
    <row r="923" spans="9:21" ht="16">
      <c r="I923" s="314"/>
      <c r="L923" s="350"/>
      <c r="O923" s="225"/>
      <c r="T923" s="315"/>
      <c r="U923" s="315"/>
    </row>
    <row r="924" spans="9:21" ht="16">
      <c r="I924" s="314"/>
      <c r="L924" s="350"/>
      <c r="O924" s="225"/>
      <c r="T924" s="315"/>
      <c r="U924" s="315"/>
    </row>
    <row r="925" spans="9:21" ht="16">
      <c r="I925" s="314"/>
      <c r="L925" s="350"/>
      <c r="O925" s="225"/>
      <c r="T925" s="315"/>
      <c r="U925" s="315"/>
    </row>
    <row r="926" spans="9:21" ht="16">
      <c r="I926" s="314"/>
      <c r="L926" s="350"/>
      <c r="O926" s="225"/>
      <c r="T926" s="315"/>
      <c r="U926" s="315"/>
    </row>
    <row r="927" spans="9:21" ht="16">
      <c r="I927" s="314"/>
      <c r="L927" s="350"/>
      <c r="O927" s="225"/>
      <c r="T927" s="315"/>
      <c r="U927" s="315"/>
    </row>
    <row r="928" spans="9:21" ht="16">
      <c r="I928" s="314"/>
      <c r="L928" s="350"/>
      <c r="O928" s="225"/>
      <c r="T928" s="315"/>
      <c r="U928" s="315"/>
    </row>
    <row r="929" spans="9:21" ht="16">
      <c r="I929" s="314"/>
      <c r="L929" s="350"/>
      <c r="O929" s="225"/>
      <c r="T929" s="315"/>
      <c r="U929" s="315"/>
    </row>
    <row r="930" spans="9:21" ht="16">
      <c r="I930" s="314"/>
      <c r="L930" s="350"/>
      <c r="O930" s="225"/>
      <c r="T930" s="315"/>
      <c r="U930" s="315"/>
    </row>
    <row r="931" spans="9:21" ht="16">
      <c r="I931" s="314"/>
      <c r="L931" s="350"/>
      <c r="O931" s="225"/>
      <c r="T931" s="315"/>
      <c r="U931" s="315"/>
    </row>
    <row r="932" spans="9:21" ht="16">
      <c r="I932" s="314"/>
      <c r="L932" s="350"/>
      <c r="O932" s="225"/>
      <c r="T932" s="315"/>
      <c r="U932" s="315"/>
    </row>
    <row r="933" spans="9:21" ht="16">
      <c r="I933" s="314"/>
      <c r="L933" s="350"/>
      <c r="O933" s="225"/>
      <c r="T933" s="315"/>
      <c r="U933" s="315"/>
    </row>
    <row r="934" spans="9:21" ht="16">
      <c r="I934" s="314"/>
      <c r="L934" s="350"/>
      <c r="O934" s="225"/>
      <c r="T934" s="315"/>
      <c r="U934" s="315"/>
    </row>
    <row r="935" spans="9:21" ht="16">
      <c r="I935" s="314"/>
      <c r="L935" s="350"/>
      <c r="O935" s="225"/>
      <c r="T935" s="315"/>
      <c r="U935" s="315"/>
    </row>
    <row r="936" spans="9:21" ht="16">
      <c r="I936" s="314"/>
      <c r="L936" s="350"/>
      <c r="O936" s="225"/>
      <c r="T936" s="315"/>
      <c r="U936" s="315"/>
    </row>
    <row r="937" spans="9:21" ht="16">
      <c r="I937" s="314"/>
      <c r="L937" s="350"/>
      <c r="O937" s="225"/>
      <c r="T937" s="315"/>
      <c r="U937" s="315"/>
    </row>
    <row r="938" spans="9:21" ht="16">
      <c r="I938" s="314"/>
      <c r="L938" s="350"/>
      <c r="O938" s="225"/>
      <c r="T938" s="315"/>
      <c r="U938" s="315"/>
    </row>
    <row r="939" spans="9:21" ht="16">
      <c r="I939" s="314"/>
      <c r="L939" s="350"/>
      <c r="O939" s="225"/>
      <c r="T939" s="315"/>
      <c r="U939" s="315"/>
    </row>
    <row r="940" spans="9:21" ht="16">
      <c r="I940" s="314"/>
      <c r="L940" s="350"/>
      <c r="O940" s="225"/>
      <c r="T940" s="315"/>
      <c r="U940" s="315"/>
    </row>
    <row r="941" spans="9:21" ht="16">
      <c r="I941" s="314"/>
      <c r="L941" s="350"/>
      <c r="O941" s="225"/>
      <c r="T941" s="315"/>
      <c r="U941" s="315"/>
    </row>
    <row r="942" spans="9:21" ht="16">
      <c r="I942" s="314"/>
      <c r="L942" s="350"/>
      <c r="O942" s="225"/>
      <c r="T942" s="315"/>
      <c r="U942" s="315"/>
    </row>
    <row r="943" spans="9:21" ht="16">
      <c r="I943" s="314"/>
      <c r="L943" s="350"/>
      <c r="O943" s="225"/>
      <c r="T943" s="315"/>
      <c r="U943" s="315"/>
    </row>
    <row r="944" spans="9:21" ht="16">
      <c r="I944" s="314"/>
      <c r="L944" s="350"/>
      <c r="O944" s="225"/>
      <c r="T944" s="315"/>
      <c r="U944" s="315"/>
    </row>
    <row r="945" spans="9:21" ht="16">
      <c r="I945" s="314"/>
      <c r="L945" s="350"/>
      <c r="O945" s="225"/>
      <c r="T945" s="315"/>
      <c r="U945" s="315"/>
    </row>
    <row r="946" spans="9:21" ht="16">
      <c r="I946" s="314"/>
      <c r="L946" s="350"/>
      <c r="O946" s="225"/>
      <c r="T946" s="315"/>
      <c r="U946" s="315"/>
    </row>
    <row r="947" spans="9:21" ht="16">
      <c r="I947" s="314"/>
      <c r="L947" s="350"/>
      <c r="O947" s="225"/>
      <c r="T947" s="315"/>
      <c r="U947" s="315"/>
    </row>
    <row r="948" spans="9:21" ht="16">
      <c r="I948" s="314"/>
      <c r="L948" s="350"/>
      <c r="O948" s="225"/>
      <c r="T948" s="315"/>
      <c r="U948" s="315"/>
    </row>
    <row r="949" spans="9:21" ht="16">
      <c r="I949" s="314"/>
      <c r="L949" s="350"/>
      <c r="O949" s="225"/>
      <c r="T949" s="315"/>
      <c r="U949" s="315"/>
    </row>
    <row r="950" spans="9:21" ht="16">
      <c r="I950" s="314"/>
      <c r="L950" s="350"/>
      <c r="O950" s="225"/>
      <c r="T950" s="315"/>
      <c r="U950" s="315"/>
    </row>
    <row r="951" spans="9:21" ht="16">
      <c r="I951" s="314"/>
      <c r="L951" s="350"/>
      <c r="O951" s="225"/>
      <c r="T951" s="315"/>
      <c r="U951" s="315"/>
    </row>
    <row r="952" spans="9:21" ht="16">
      <c r="I952" s="314"/>
      <c r="L952" s="350"/>
      <c r="O952" s="225"/>
      <c r="T952" s="315"/>
      <c r="U952" s="315"/>
    </row>
    <row r="953" spans="9:21" ht="16">
      <c r="I953" s="314"/>
      <c r="L953" s="350"/>
      <c r="O953" s="225"/>
      <c r="T953" s="315"/>
      <c r="U953" s="315"/>
    </row>
    <row r="954" spans="9:21" ht="16">
      <c r="I954" s="314"/>
      <c r="L954" s="350"/>
      <c r="O954" s="225"/>
      <c r="T954" s="315"/>
      <c r="U954" s="315"/>
    </row>
    <row r="955" spans="9:21" ht="16">
      <c r="I955" s="314"/>
      <c r="L955" s="350"/>
      <c r="O955" s="225"/>
      <c r="T955" s="315"/>
      <c r="U955" s="315"/>
    </row>
    <row r="956" spans="9:21" ht="16">
      <c r="I956" s="314"/>
      <c r="L956" s="350"/>
      <c r="O956" s="225"/>
      <c r="T956" s="315"/>
      <c r="U956" s="315"/>
    </row>
    <row r="957" spans="9:21" ht="16">
      <c r="I957" s="314"/>
      <c r="L957" s="350"/>
      <c r="O957" s="225"/>
      <c r="T957" s="315"/>
      <c r="U957" s="315"/>
    </row>
    <row r="958" spans="9:21" ht="16">
      <c r="I958" s="314"/>
      <c r="L958" s="350"/>
      <c r="O958" s="225"/>
      <c r="T958" s="315"/>
      <c r="U958" s="315"/>
    </row>
    <row r="959" spans="9:21" ht="16">
      <c r="I959" s="314"/>
      <c r="L959" s="350"/>
      <c r="O959" s="225"/>
      <c r="T959" s="315"/>
      <c r="U959" s="315"/>
    </row>
    <row r="960" spans="9:21" ht="16">
      <c r="I960" s="314"/>
      <c r="L960" s="350"/>
      <c r="O960" s="225"/>
      <c r="T960" s="315"/>
      <c r="U960" s="315"/>
    </row>
    <row r="961" spans="9:21" ht="16">
      <c r="I961" s="314"/>
      <c r="L961" s="350"/>
      <c r="O961" s="225"/>
      <c r="T961" s="315"/>
      <c r="U961" s="315"/>
    </row>
    <row r="962" spans="9:21" ht="16">
      <c r="I962" s="314"/>
      <c r="L962" s="350"/>
      <c r="O962" s="225"/>
      <c r="T962" s="315"/>
      <c r="U962" s="315"/>
    </row>
    <row r="963" spans="9:21" ht="16">
      <c r="I963" s="314"/>
      <c r="L963" s="350"/>
      <c r="O963" s="225"/>
      <c r="T963" s="315"/>
      <c r="U963" s="315"/>
    </row>
    <row r="964" spans="9:21" ht="16">
      <c r="I964" s="314"/>
      <c r="L964" s="350"/>
      <c r="O964" s="225"/>
      <c r="T964" s="315"/>
      <c r="U964" s="315"/>
    </row>
    <row r="965" spans="9:21" ht="16">
      <c r="I965" s="314"/>
      <c r="L965" s="350"/>
      <c r="O965" s="225"/>
      <c r="T965" s="315"/>
      <c r="U965" s="315"/>
    </row>
    <row r="966" spans="9:21" ht="16">
      <c r="I966" s="314"/>
      <c r="L966" s="350"/>
      <c r="O966" s="225"/>
      <c r="T966" s="315"/>
      <c r="U966" s="315"/>
    </row>
    <row r="967" spans="9:21" ht="16">
      <c r="I967" s="314"/>
      <c r="L967" s="350"/>
      <c r="O967" s="225"/>
      <c r="T967" s="315"/>
      <c r="U967" s="315"/>
    </row>
    <row r="968" spans="9:21" ht="16">
      <c r="I968" s="314"/>
      <c r="L968" s="350"/>
      <c r="O968" s="225"/>
      <c r="T968" s="315"/>
      <c r="U968" s="315"/>
    </row>
    <row r="969" spans="9:21" ht="16">
      <c r="I969" s="314"/>
      <c r="L969" s="350"/>
      <c r="O969" s="225"/>
      <c r="T969" s="315"/>
      <c r="U969" s="315"/>
    </row>
    <row r="970" spans="9:21" ht="16">
      <c r="I970" s="314"/>
      <c r="L970" s="350"/>
      <c r="O970" s="225"/>
      <c r="T970" s="315"/>
      <c r="U970" s="315"/>
    </row>
    <row r="971" spans="9:21" ht="16">
      <c r="I971" s="314"/>
      <c r="L971" s="350"/>
      <c r="O971" s="225"/>
      <c r="T971" s="315"/>
      <c r="U971" s="315"/>
    </row>
    <row r="972" spans="9:21" ht="16">
      <c r="I972" s="314"/>
      <c r="L972" s="350"/>
      <c r="O972" s="225"/>
      <c r="T972" s="315"/>
      <c r="U972" s="315"/>
    </row>
    <row r="973" spans="9:21" ht="16">
      <c r="I973" s="314"/>
      <c r="L973" s="350"/>
      <c r="O973" s="225"/>
      <c r="T973" s="315"/>
      <c r="U973" s="315"/>
    </row>
    <row r="974" spans="9:21" ht="16">
      <c r="I974" s="314"/>
      <c r="L974" s="350"/>
      <c r="O974" s="225"/>
      <c r="T974" s="315"/>
      <c r="U974" s="315"/>
    </row>
    <row r="975" spans="9:21" ht="16">
      <c r="I975" s="314"/>
      <c r="L975" s="350"/>
      <c r="O975" s="225"/>
      <c r="T975" s="315"/>
      <c r="U975" s="315"/>
    </row>
    <row r="976" spans="9:21" ht="16">
      <c r="I976" s="314"/>
      <c r="L976" s="350"/>
      <c r="O976" s="225"/>
      <c r="T976" s="315"/>
      <c r="U976" s="315"/>
    </row>
    <row r="977" spans="9:21" ht="16">
      <c r="I977" s="314"/>
      <c r="L977" s="350"/>
      <c r="O977" s="225"/>
      <c r="T977" s="315"/>
      <c r="U977" s="315"/>
    </row>
    <row r="978" spans="9:21" ht="16">
      <c r="I978" s="314"/>
      <c r="L978" s="350"/>
      <c r="O978" s="225"/>
      <c r="T978" s="315"/>
      <c r="U978" s="315"/>
    </row>
    <row r="979" spans="9:21" ht="16">
      <c r="I979" s="314"/>
      <c r="L979" s="350"/>
      <c r="O979" s="225"/>
      <c r="T979" s="315"/>
      <c r="U979" s="315"/>
    </row>
    <row r="980" spans="9:21" ht="16">
      <c r="I980" s="314"/>
      <c r="L980" s="350"/>
      <c r="O980" s="225"/>
      <c r="T980" s="315"/>
      <c r="U980" s="315"/>
    </row>
    <row r="981" spans="9:21" ht="16">
      <c r="I981" s="314"/>
      <c r="L981" s="350"/>
      <c r="O981" s="225"/>
      <c r="T981" s="315"/>
      <c r="U981" s="315"/>
    </row>
    <row r="982" spans="9:21" ht="16">
      <c r="I982" s="314"/>
      <c r="L982" s="350"/>
      <c r="O982" s="225"/>
      <c r="T982" s="315"/>
      <c r="U982" s="315"/>
    </row>
    <row r="983" spans="9:21" ht="16">
      <c r="I983" s="314"/>
      <c r="L983" s="350"/>
      <c r="O983" s="225"/>
      <c r="T983" s="315"/>
      <c r="U983" s="315"/>
    </row>
    <row r="984" spans="9:21" ht="16">
      <c r="I984" s="314"/>
      <c r="L984" s="350"/>
      <c r="O984" s="225"/>
      <c r="T984" s="315"/>
      <c r="U984" s="315"/>
    </row>
    <row r="985" spans="9:21" ht="16">
      <c r="I985" s="314"/>
      <c r="L985" s="350"/>
      <c r="O985" s="225"/>
      <c r="T985" s="315"/>
      <c r="U985" s="315"/>
    </row>
    <row r="986" spans="9:21" ht="16">
      <c r="I986" s="314"/>
      <c r="L986" s="350"/>
      <c r="O986" s="225"/>
      <c r="T986" s="315"/>
      <c r="U986" s="315"/>
    </row>
    <row r="987" spans="9:21" ht="16">
      <c r="I987" s="314"/>
      <c r="L987" s="350"/>
      <c r="O987" s="225"/>
      <c r="T987" s="315"/>
      <c r="U987" s="315"/>
    </row>
    <row r="988" spans="9:21" ht="16">
      <c r="I988" s="314"/>
      <c r="L988" s="350"/>
      <c r="O988" s="225"/>
      <c r="T988" s="315"/>
      <c r="U988" s="315"/>
    </row>
    <row r="989" spans="9:21" ht="16">
      <c r="I989" s="314"/>
      <c r="L989" s="350"/>
      <c r="O989" s="225"/>
      <c r="T989" s="315"/>
      <c r="U989" s="315"/>
    </row>
    <row r="990" spans="9:21" ht="16">
      <c r="I990" s="314"/>
      <c r="L990" s="350"/>
      <c r="O990" s="225"/>
      <c r="T990" s="315"/>
      <c r="U990" s="315"/>
    </row>
    <row r="991" spans="9:21" ht="16">
      <c r="I991" s="314"/>
      <c r="L991" s="350"/>
      <c r="O991" s="225"/>
      <c r="T991" s="315"/>
      <c r="U991" s="315"/>
    </row>
    <row r="992" spans="9:21" ht="16">
      <c r="I992" s="314"/>
      <c r="L992" s="350"/>
      <c r="O992" s="225"/>
      <c r="T992" s="315"/>
      <c r="U992" s="315"/>
    </row>
    <row r="993" spans="9:21" ht="16">
      <c r="I993" s="314"/>
      <c r="L993" s="350"/>
      <c r="O993" s="225"/>
      <c r="T993" s="315"/>
      <c r="U993" s="315"/>
    </row>
    <row r="994" spans="9:21" ht="16">
      <c r="I994" s="314"/>
      <c r="L994" s="350"/>
      <c r="O994" s="225"/>
      <c r="T994" s="315"/>
      <c r="U994" s="315"/>
    </row>
    <row r="995" spans="9:21" ht="16">
      <c r="I995" s="314"/>
      <c r="L995" s="350"/>
      <c r="O995" s="225"/>
      <c r="T995" s="315"/>
      <c r="U995" s="315"/>
    </row>
    <row r="996" spans="9:21" ht="16">
      <c r="I996" s="314"/>
      <c r="L996" s="350"/>
      <c r="O996" s="225"/>
      <c r="T996" s="315"/>
      <c r="U996" s="315"/>
    </row>
    <row r="997" spans="9:21" ht="16">
      <c r="I997" s="314"/>
      <c r="L997" s="350"/>
      <c r="O997" s="225"/>
      <c r="T997" s="315"/>
      <c r="U997" s="315"/>
    </row>
    <row r="998" spans="9:21" ht="16">
      <c r="I998" s="314"/>
      <c r="L998" s="350"/>
      <c r="O998" s="225"/>
      <c r="T998" s="315"/>
      <c r="U998" s="315"/>
    </row>
    <row r="999" spans="9:21" ht="16">
      <c r="I999" s="314"/>
      <c r="L999" s="350"/>
      <c r="O999" s="225"/>
      <c r="T999" s="315"/>
      <c r="U999" s="315"/>
    </row>
    <row r="1000" spans="9:21" ht="16">
      <c r="I1000" s="314"/>
      <c r="L1000" s="350"/>
      <c r="O1000" s="225"/>
      <c r="T1000" s="315"/>
      <c r="U1000" s="315"/>
    </row>
    <row r="1001" spans="9:21" ht="16">
      <c r="I1001" s="314"/>
      <c r="L1001" s="350"/>
      <c r="O1001" s="225"/>
      <c r="T1001" s="315"/>
      <c r="U1001" s="315"/>
    </row>
    <row r="1002" spans="9:21" ht="16">
      <c r="I1002" s="314"/>
      <c r="L1002" s="350"/>
      <c r="O1002" s="225"/>
      <c r="T1002" s="315"/>
      <c r="U1002" s="315"/>
    </row>
    <row r="1003" spans="9:21" ht="16">
      <c r="I1003" s="314"/>
      <c r="L1003" s="350"/>
      <c r="O1003" s="225"/>
      <c r="T1003" s="315"/>
      <c r="U1003" s="315"/>
    </row>
    <row r="1004" spans="9:21" ht="16">
      <c r="I1004" s="314"/>
      <c r="L1004" s="350"/>
      <c r="O1004" s="225"/>
      <c r="T1004" s="315"/>
      <c r="U1004" s="315"/>
    </row>
    <row r="1005" spans="9:21" ht="16">
      <c r="I1005" s="314"/>
      <c r="L1005" s="350"/>
      <c r="O1005" s="225"/>
      <c r="T1005" s="315"/>
      <c r="U1005" s="315"/>
    </row>
    <row r="1006" spans="9:21" ht="16">
      <c r="I1006" s="314"/>
      <c r="L1006" s="350"/>
      <c r="T1006" s="316"/>
      <c r="U1006" s="316"/>
    </row>
    <row r="1007" spans="9:21" ht="16">
      <c r="I1007" s="314"/>
      <c r="L1007" s="350"/>
      <c r="T1007" s="316"/>
      <c r="U1007" s="316"/>
    </row>
    <row r="1008" spans="9:21" ht="16">
      <c r="I1008" s="314"/>
      <c r="L1008" s="350"/>
      <c r="T1008" s="316"/>
      <c r="U1008" s="316"/>
    </row>
    <row r="1009" spans="9:21" ht="16">
      <c r="I1009" s="314"/>
      <c r="L1009" s="350"/>
      <c r="T1009" s="316"/>
      <c r="U1009" s="316"/>
    </row>
  </sheetData>
  <mergeCells count="3">
    <mergeCell ref="A1:U1"/>
    <mergeCell ref="B6:E6"/>
    <mergeCell ref="G7:H7"/>
  </mergeCells>
  <conditionalFormatting sqref="D2">
    <cfRule type="notContainsBlanks" dxfId="7" priority="1">
      <formula>LEN(TRIM(D2))&gt;0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X1011"/>
  <sheetViews>
    <sheetView workbookViewId="0">
      <pane ySplit="7" topLeftCell="A68" activePane="bottomLeft" state="frozen"/>
      <selection pane="bottomLeft" activeCell="M83" sqref="M83"/>
    </sheetView>
  </sheetViews>
  <sheetFormatPr baseColWidth="10" defaultColWidth="14.5" defaultRowHeight="15" customHeight="1"/>
  <cols>
    <col min="1" max="1" width="2" customWidth="1"/>
    <col min="2" max="2" width="13.6640625" customWidth="1"/>
    <col min="3" max="4" width="12.33203125" customWidth="1"/>
    <col min="5" max="5" width="15" customWidth="1"/>
    <col min="6" max="6" width="16.83203125" customWidth="1"/>
    <col min="7" max="7" width="66.5" customWidth="1"/>
    <col min="8" max="8" width="6.83203125" customWidth="1"/>
    <col min="9" max="9" width="5.5" customWidth="1"/>
    <col min="10" max="10" width="12.5" customWidth="1"/>
    <col min="11" max="11" width="10.6640625" customWidth="1"/>
    <col min="12" max="12" width="4.5" customWidth="1"/>
    <col min="13" max="13" width="12.33203125" customWidth="1"/>
    <col min="14" max="14" width="5.5" customWidth="1"/>
    <col min="15" max="15" width="4.5" customWidth="1"/>
    <col min="16" max="16" width="12.5" customWidth="1"/>
    <col min="17" max="17" width="4.83203125" customWidth="1"/>
    <col min="18" max="19" width="17.6640625" customWidth="1"/>
    <col min="20" max="20" width="20.1640625" customWidth="1"/>
    <col min="21" max="21" width="6.1640625" customWidth="1"/>
    <col min="22" max="23" width="23.33203125" customWidth="1"/>
  </cols>
  <sheetData>
    <row r="1" spans="1:24" ht="50.25" customHeight="1">
      <c r="A1" s="539"/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28"/>
      <c r="X1" s="1"/>
    </row>
    <row r="2" spans="1:24" ht="16">
      <c r="A2" s="1"/>
      <c r="B2" s="351" t="s">
        <v>1</v>
      </c>
      <c r="C2" s="352">
        <v>925000</v>
      </c>
      <c r="D2" s="352"/>
      <c r="E2" s="6">
        <f>C3/C2</f>
        <v>0.9869416756756757</v>
      </c>
      <c r="F2" s="298">
        <f ca="1">MONTH(TODAY())</f>
        <v>1</v>
      </c>
      <c r="G2" s="399">
        <v>66</v>
      </c>
      <c r="H2" s="90"/>
      <c r="I2" s="90"/>
      <c r="J2" s="90"/>
      <c r="K2" s="90"/>
      <c r="L2" s="90"/>
      <c r="M2" s="321"/>
      <c r="N2" s="90"/>
      <c r="O2" s="90"/>
      <c r="P2" s="90"/>
      <c r="Q2" s="90"/>
      <c r="R2" s="90"/>
      <c r="S2" s="90"/>
      <c r="T2" s="90"/>
      <c r="U2" s="90"/>
      <c r="V2" s="90"/>
      <c r="W2" s="90"/>
      <c r="X2" s="1"/>
    </row>
    <row r="3" spans="1:24" ht="16">
      <c r="A3" s="1"/>
      <c r="B3" s="353" t="s">
        <v>2</v>
      </c>
      <c r="C3" s="352">
        <f>SUM(K8:K251)</f>
        <v>912921.05</v>
      </c>
      <c r="D3" s="352"/>
      <c r="E3" s="14" t="s">
        <v>3</v>
      </c>
      <c r="F3" s="14" t="s">
        <v>3</v>
      </c>
      <c r="G3" s="14"/>
      <c r="H3" s="299"/>
      <c r="I3" s="299"/>
      <c r="J3" s="299"/>
      <c r="K3" s="299"/>
      <c r="L3" s="299"/>
      <c r="M3" s="325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1"/>
    </row>
    <row r="4" spans="1:24">
      <c r="A4" s="1"/>
      <c r="B4" s="354" t="s">
        <v>2218</v>
      </c>
      <c r="C4" s="354">
        <f ca="1">(E5-TODAY())</f>
        <v>-218</v>
      </c>
      <c r="D4" s="354"/>
      <c r="E4" s="178"/>
      <c r="F4" s="90"/>
      <c r="G4" s="90"/>
      <c r="H4" s="90"/>
      <c r="I4" s="90"/>
      <c r="J4" s="90"/>
      <c r="K4" s="90"/>
      <c r="L4" s="90"/>
      <c r="M4" s="321"/>
      <c r="N4" s="90"/>
      <c r="O4" s="90"/>
      <c r="P4" s="90"/>
      <c r="Q4" s="90"/>
      <c r="R4" s="90"/>
      <c r="S4" s="90"/>
      <c r="T4" s="90"/>
      <c r="U4" s="90"/>
      <c r="V4" s="90"/>
      <c r="W4" s="90"/>
      <c r="X4" s="1"/>
    </row>
    <row r="5" spans="1:24" ht="16">
      <c r="A5" s="1"/>
      <c r="B5" s="355" t="s">
        <v>6</v>
      </c>
      <c r="C5" s="356">
        <f ca="1">TODAY()</f>
        <v>46026</v>
      </c>
      <c r="D5" s="355"/>
      <c r="E5" s="210">
        <v>45808</v>
      </c>
      <c r="F5" s="90"/>
      <c r="G5" s="299"/>
      <c r="H5" s="90"/>
      <c r="I5" s="90"/>
      <c r="J5" s="300"/>
      <c r="K5" s="300"/>
      <c r="L5" s="90"/>
      <c r="M5" s="321"/>
      <c r="N5" s="301"/>
      <c r="O5" s="302"/>
      <c r="P5" s="303"/>
      <c r="Q5" s="90"/>
      <c r="R5" s="304"/>
      <c r="S5" s="304"/>
      <c r="T5" s="304"/>
      <c r="U5" s="90"/>
      <c r="V5" s="305"/>
      <c r="W5" s="305"/>
      <c r="X5" s="1"/>
    </row>
    <row r="6" spans="1:24" ht="22">
      <c r="A6" s="1"/>
      <c r="B6" s="549" t="s">
        <v>2734</v>
      </c>
      <c r="C6" s="537"/>
      <c r="D6" s="537"/>
      <c r="E6" s="537"/>
      <c r="F6" s="537"/>
      <c r="G6" s="26"/>
      <c r="H6" s="23"/>
      <c r="I6" s="23"/>
      <c r="J6" s="23"/>
      <c r="K6" s="23"/>
      <c r="L6" s="23"/>
      <c r="M6" s="331"/>
      <c r="N6" s="23"/>
      <c r="O6" s="24"/>
      <c r="P6" s="211"/>
      <c r="Q6" s="23"/>
      <c r="R6" s="332"/>
      <c r="S6" s="332"/>
      <c r="T6" s="127"/>
      <c r="U6" s="26"/>
      <c r="V6" s="306"/>
      <c r="W6" s="306"/>
      <c r="X6" s="1"/>
    </row>
    <row r="7" spans="1:24" ht="14.25" customHeight="1">
      <c r="A7" s="98"/>
      <c r="B7" s="38" t="s">
        <v>18</v>
      </c>
      <c r="C7" s="38" t="s">
        <v>19</v>
      </c>
      <c r="D7" s="38" t="s">
        <v>4715</v>
      </c>
      <c r="E7" s="38" t="s">
        <v>20</v>
      </c>
      <c r="F7" s="38" t="s">
        <v>21</v>
      </c>
      <c r="G7" s="38" t="s">
        <v>2018</v>
      </c>
      <c r="H7" s="538" t="s">
        <v>22</v>
      </c>
      <c r="I7" s="528"/>
      <c r="J7" s="40"/>
      <c r="K7" s="41" t="s">
        <v>23</v>
      </c>
      <c r="L7" s="42"/>
      <c r="M7" s="333"/>
      <c r="N7" s="43"/>
      <c r="O7" s="44"/>
      <c r="P7" s="213"/>
      <c r="Q7" s="45"/>
      <c r="R7" s="128"/>
      <c r="S7" s="128"/>
      <c r="T7" s="307" t="s">
        <v>3443</v>
      </c>
      <c r="U7" s="47"/>
      <c r="V7" s="307"/>
      <c r="W7" s="307"/>
      <c r="X7" s="100" t="s">
        <v>24</v>
      </c>
    </row>
    <row r="8" spans="1:24" ht="16.5" customHeight="1">
      <c r="A8" s="1"/>
      <c r="B8" s="71" t="s">
        <v>4716</v>
      </c>
      <c r="C8" s="53" t="s">
        <v>51</v>
      </c>
      <c r="D8" s="53" t="s">
        <v>4717</v>
      </c>
      <c r="E8" s="53" t="s">
        <v>475</v>
      </c>
      <c r="F8" s="53" t="s">
        <v>2105</v>
      </c>
      <c r="G8" s="131" t="s">
        <v>4718</v>
      </c>
      <c r="H8" s="131" t="s">
        <v>30</v>
      </c>
      <c r="I8" s="69">
        <v>40</v>
      </c>
      <c r="J8" s="70">
        <v>270</v>
      </c>
      <c r="K8" s="54">
        <f t="shared" ref="K8:K52" si="0">I8*J8</f>
        <v>10800</v>
      </c>
      <c r="L8" s="55" t="b">
        <v>1</v>
      </c>
      <c r="M8" s="56">
        <v>10520252047</v>
      </c>
      <c r="N8" s="57" t="b">
        <v>1</v>
      </c>
      <c r="O8" s="58" t="s">
        <v>529</v>
      </c>
      <c r="P8" s="215"/>
      <c r="Q8" s="191" t="b">
        <v>1</v>
      </c>
      <c r="R8" s="389" t="s">
        <v>4528</v>
      </c>
      <c r="S8" s="389"/>
      <c r="T8" s="337"/>
      <c r="U8" s="57" t="b">
        <v>1</v>
      </c>
      <c r="V8" s="310" t="s">
        <v>4719</v>
      </c>
      <c r="W8" s="307"/>
      <c r="X8" s="54"/>
    </row>
    <row r="9" spans="1:24" ht="16.5" customHeight="1">
      <c r="A9" s="18"/>
      <c r="B9" s="71" t="s">
        <v>4716</v>
      </c>
      <c r="C9" s="53" t="s">
        <v>2152</v>
      </c>
      <c r="D9" s="53" t="s">
        <v>3663</v>
      </c>
      <c r="E9" s="53" t="s">
        <v>137</v>
      </c>
      <c r="F9" s="53" t="s">
        <v>3077</v>
      </c>
      <c r="G9" s="131" t="s">
        <v>4720</v>
      </c>
      <c r="H9" s="131" t="s">
        <v>30</v>
      </c>
      <c r="I9" s="131">
        <v>6</v>
      </c>
      <c r="J9" s="188">
        <v>285</v>
      </c>
      <c r="K9" s="54">
        <f t="shared" si="0"/>
        <v>1710</v>
      </c>
      <c r="L9" s="55" t="b">
        <v>1</v>
      </c>
      <c r="M9" s="56">
        <v>10520252047</v>
      </c>
      <c r="N9" s="57" t="b">
        <v>1</v>
      </c>
      <c r="O9" s="58" t="s">
        <v>3300</v>
      </c>
      <c r="P9" s="226">
        <v>45783</v>
      </c>
      <c r="Q9" s="191" t="b">
        <v>1</v>
      </c>
      <c r="R9" s="389" t="s">
        <v>4528</v>
      </c>
      <c r="S9" s="389"/>
      <c r="T9" s="337"/>
      <c r="U9" s="57" t="b">
        <v>1</v>
      </c>
      <c r="V9" s="310" t="s">
        <v>4721</v>
      </c>
      <c r="W9" s="307"/>
      <c r="X9" s="54"/>
    </row>
    <row r="10" spans="1:24" ht="16.5" customHeight="1">
      <c r="A10" s="18"/>
      <c r="B10" s="71" t="s">
        <v>4716</v>
      </c>
      <c r="C10" s="53" t="s">
        <v>2152</v>
      </c>
      <c r="D10" s="53" t="s">
        <v>3663</v>
      </c>
      <c r="E10" s="53" t="s">
        <v>137</v>
      </c>
      <c r="F10" s="53" t="s">
        <v>3077</v>
      </c>
      <c r="G10" s="80" t="s">
        <v>4722</v>
      </c>
      <c r="H10" s="131" t="s">
        <v>30</v>
      </c>
      <c r="I10" s="53">
        <v>5</v>
      </c>
      <c r="J10" s="54">
        <v>165</v>
      </c>
      <c r="K10" s="54">
        <f t="shared" si="0"/>
        <v>825</v>
      </c>
      <c r="L10" s="55" t="b">
        <v>1</v>
      </c>
      <c r="M10" s="56">
        <v>10520252047</v>
      </c>
      <c r="N10" s="57" t="b">
        <v>1</v>
      </c>
      <c r="O10" s="58"/>
      <c r="P10" s="215"/>
      <c r="Q10" s="191" t="b">
        <v>1</v>
      </c>
      <c r="R10" s="389" t="s">
        <v>4528</v>
      </c>
      <c r="S10" s="400"/>
      <c r="T10" s="173" t="s">
        <v>4723</v>
      </c>
      <c r="U10" s="57" t="b">
        <v>1</v>
      </c>
      <c r="V10" s="310" t="s">
        <v>4724</v>
      </c>
      <c r="W10" s="307"/>
      <c r="X10" s="54"/>
    </row>
    <row r="11" spans="1:24" ht="16">
      <c r="A11" s="162"/>
      <c r="B11" s="71" t="s">
        <v>4725</v>
      </c>
      <c r="C11" s="53" t="s">
        <v>438</v>
      </c>
      <c r="D11" s="53" t="s">
        <v>3568</v>
      </c>
      <c r="E11" s="53" t="s">
        <v>883</v>
      </c>
      <c r="F11" s="53" t="s">
        <v>944</v>
      </c>
      <c r="G11" s="53" t="s">
        <v>4726</v>
      </c>
      <c r="H11" s="131" t="s">
        <v>30</v>
      </c>
      <c r="I11" s="53">
        <v>5</v>
      </c>
      <c r="J11" s="188">
        <v>145</v>
      </c>
      <c r="K11" s="54">
        <f t="shared" si="0"/>
        <v>725</v>
      </c>
      <c r="L11" s="55" t="b">
        <v>1</v>
      </c>
      <c r="M11" s="56" t="s">
        <v>4727</v>
      </c>
      <c r="N11" s="57" t="b">
        <v>1</v>
      </c>
      <c r="O11" s="58" t="s">
        <v>2968</v>
      </c>
      <c r="P11" s="226">
        <v>45782</v>
      </c>
      <c r="Q11" s="191" t="b">
        <v>1</v>
      </c>
      <c r="R11" s="308" t="s">
        <v>3138</v>
      </c>
      <c r="S11" s="308"/>
      <c r="T11" s="337"/>
      <c r="U11" s="57" t="b">
        <v>1</v>
      </c>
      <c r="V11" s="310" t="s">
        <v>4728</v>
      </c>
      <c r="W11" s="307"/>
      <c r="X11" s="54"/>
    </row>
    <row r="12" spans="1:24" ht="16">
      <c r="A12" s="162"/>
      <c r="B12" s="71" t="s">
        <v>4725</v>
      </c>
      <c r="C12" s="53" t="s">
        <v>438</v>
      </c>
      <c r="D12" s="53" t="s">
        <v>3568</v>
      </c>
      <c r="E12" s="53" t="s">
        <v>883</v>
      </c>
      <c r="F12" s="53" t="s">
        <v>944</v>
      </c>
      <c r="G12" s="53" t="s">
        <v>2719</v>
      </c>
      <c r="H12" s="131" t="s">
        <v>30</v>
      </c>
      <c r="I12" s="53">
        <v>10</v>
      </c>
      <c r="J12" s="188">
        <v>125</v>
      </c>
      <c r="K12" s="54">
        <f t="shared" si="0"/>
        <v>1250</v>
      </c>
      <c r="L12" s="55" t="b">
        <v>1</v>
      </c>
      <c r="M12" s="56" t="s">
        <v>4729</v>
      </c>
      <c r="N12" s="57" t="b">
        <v>1</v>
      </c>
      <c r="O12" s="58" t="s">
        <v>2968</v>
      </c>
      <c r="P12" s="226">
        <v>45782</v>
      </c>
      <c r="Q12" s="191" t="b">
        <v>1</v>
      </c>
      <c r="R12" s="308" t="s">
        <v>3138</v>
      </c>
      <c r="S12" s="308"/>
      <c r="T12" s="337"/>
      <c r="U12" s="57" t="b">
        <v>1</v>
      </c>
      <c r="V12" s="310" t="s">
        <v>4730</v>
      </c>
      <c r="W12" s="307"/>
      <c r="X12" s="54"/>
    </row>
    <row r="13" spans="1:24" ht="16">
      <c r="A13" s="162"/>
      <c r="B13" s="71" t="s">
        <v>4725</v>
      </c>
      <c r="C13" s="53" t="s">
        <v>262</v>
      </c>
      <c r="D13" s="53" t="s">
        <v>3445</v>
      </c>
      <c r="E13" s="53" t="s">
        <v>3446</v>
      </c>
      <c r="F13" s="53" t="s">
        <v>3447</v>
      </c>
      <c r="G13" s="53" t="s">
        <v>4731</v>
      </c>
      <c r="H13" s="131" t="s">
        <v>30</v>
      </c>
      <c r="I13" s="53">
        <v>2</v>
      </c>
      <c r="J13" s="188">
        <v>650</v>
      </c>
      <c r="K13" s="54">
        <f t="shared" si="0"/>
        <v>1300</v>
      </c>
      <c r="L13" s="55" t="b">
        <v>1</v>
      </c>
      <c r="M13" s="56" t="s">
        <v>4729</v>
      </c>
      <c r="N13" s="57" t="b">
        <v>1</v>
      </c>
      <c r="O13" s="58" t="s">
        <v>2968</v>
      </c>
      <c r="P13" s="215"/>
      <c r="Q13" s="191" t="b">
        <v>1</v>
      </c>
      <c r="R13" s="389" t="s">
        <v>3138</v>
      </c>
      <c r="S13" s="400"/>
      <c r="T13" s="173" t="s">
        <v>4732</v>
      </c>
      <c r="U13" s="57" t="b">
        <v>1</v>
      </c>
      <c r="V13" s="310" t="s">
        <v>4733</v>
      </c>
      <c r="W13" s="307"/>
      <c r="X13" s="54"/>
    </row>
    <row r="14" spans="1:24" ht="16">
      <c r="A14" s="162"/>
      <c r="B14" s="71" t="s">
        <v>4725</v>
      </c>
      <c r="C14" s="53" t="s">
        <v>262</v>
      </c>
      <c r="D14" s="53" t="s">
        <v>3445</v>
      </c>
      <c r="E14" s="53" t="s">
        <v>3446</v>
      </c>
      <c r="F14" s="53" t="s">
        <v>3447</v>
      </c>
      <c r="G14" s="53" t="s">
        <v>4734</v>
      </c>
      <c r="H14" s="131" t="s">
        <v>30</v>
      </c>
      <c r="I14" s="53">
        <v>2</v>
      </c>
      <c r="J14" s="188">
        <v>550</v>
      </c>
      <c r="K14" s="54">
        <f t="shared" si="0"/>
        <v>1100</v>
      </c>
      <c r="L14" s="55" t="b">
        <v>1</v>
      </c>
      <c r="M14" s="56" t="s">
        <v>4735</v>
      </c>
      <c r="N14" s="57" t="b">
        <v>1</v>
      </c>
      <c r="O14" s="58" t="s">
        <v>2968</v>
      </c>
      <c r="P14" s="215"/>
      <c r="Q14" s="191" t="b">
        <v>1</v>
      </c>
      <c r="R14" s="389" t="s">
        <v>3138</v>
      </c>
      <c r="S14" s="400"/>
      <c r="T14" s="173" t="s">
        <v>4732</v>
      </c>
      <c r="U14" s="57" t="b">
        <v>1</v>
      </c>
      <c r="V14" s="310" t="s">
        <v>4733</v>
      </c>
      <c r="W14" s="307"/>
      <c r="X14" s="54"/>
    </row>
    <row r="15" spans="1:24" ht="14.25" customHeight="1">
      <c r="A15" s="162"/>
      <c r="B15" s="71" t="s">
        <v>4736</v>
      </c>
      <c r="C15" s="53" t="s">
        <v>262</v>
      </c>
      <c r="D15" s="53" t="s">
        <v>3445</v>
      </c>
      <c r="E15" s="53" t="s">
        <v>3446</v>
      </c>
      <c r="F15" s="53" t="s">
        <v>3447</v>
      </c>
      <c r="G15" s="53" t="s">
        <v>1966</v>
      </c>
      <c r="H15" s="131" t="s">
        <v>30</v>
      </c>
      <c r="I15" s="53">
        <v>10</v>
      </c>
      <c r="J15" s="188">
        <v>650</v>
      </c>
      <c r="K15" s="54">
        <f t="shared" si="0"/>
        <v>6500</v>
      </c>
      <c r="L15" s="55" t="b">
        <v>1</v>
      </c>
      <c r="M15" s="56">
        <v>30520251003</v>
      </c>
      <c r="N15" s="57" t="b">
        <v>1</v>
      </c>
      <c r="O15" s="58" t="s">
        <v>39</v>
      </c>
      <c r="P15" s="226">
        <v>45780</v>
      </c>
      <c r="Q15" s="191" t="b">
        <v>1</v>
      </c>
      <c r="R15" s="308" t="s">
        <v>3138</v>
      </c>
      <c r="S15" s="400"/>
      <c r="T15" s="173" t="s">
        <v>4737</v>
      </c>
      <c r="U15" s="57" t="b">
        <v>1</v>
      </c>
      <c r="V15" s="310" t="s">
        <v>4738</v>
      </c>
      <c r="W15" s="307"/>
      <c r="X15" s="54"/>
    </row>
    <row r="16" spans="1:24" ht="16">
      <c r="A16" s="162"/>
      <c r="B16" s="71" t="s">
        <v>4736</v>
      </c>
      <c r="C16" s="53" t="s">
        <v>569</v>
      </c>
      <c r="D16" s="53" t="s">
        <v>4076</v>
      </c>
      <c r="E16" s="53" t="s">
        <v>130</v>
      </c>
      <c r="F16" s="53" t="s">
        <v>4078</v>
      </c>
      <c r="G16" s="53" t="s">
        <v>4718</v>
      </c>
      <c r="H16" s="131" t="s">
        <v>30</v>
      </c>
      <c r="I16" s="53">
        <v>50</v>
      </c>
      <c r="J16" s="188">
        <v>270</v>
      </c>
      <c r="K16" s="54">
        <f t="shared" si="0"/>
        <v>13500</v>
      </c>
      <c r="L16" s="55" t="b">
        <v>1</v>
      </c>
      <c r="M16" s="56">
        <v>30520251003</v>
      </c>
      <c r="N16" s="57" t="b">
        <v>1</v>
      </c>
      <c r="O16" s="58" t="s">
        <v>529</v>
      </c>
      <c r="P16" s="215" t="s">
        <v>4739</v>
      </c>
      <c r="Q16" s="191" t="b">
        <v>1</v>
      </c>
      <c r="R16" s="308" t="s">
        <v>3138</v>
      </c>
      <c r="S16" s="400"/>
      <c r="T16" s="173" t="s">
        <v>4740</v>
      </c>
      <c r="U16" s="57" t="b">
        <v>1</v>
      </c>
      <c r="V16" s="310" t="s">
        <v>4741</v>
      </c>
      <c r="W16" s="307"/>
      <c r="X16" s="54"/>
    </row>
    <row r="17" spans="1:24" ht="16">
      <c r="A17" s="162"/>
      <c r="B17" s="71" t="s">
        <v>4736</v>
      </c>
      <c r="C17" s="53" t="s">
        <v>569</v>
      </c>
      <c r="D17" s="53" t="s">
        <v>4076</v>
      </c>
      <c r="E17" s="53" t="s">
        <v>130</v>
      </c>
      <c r="F17" s="53" t="s">
        <v>4078</v>
      </c>
      <c r="G17" s="53" t="s">
        <v>72</v>
      </c>
      <c r="H17" s="131" t="s">
        <v>30</v>
      </c>
      <c r="I17" s="53">
        <v>1</v>
      </c>
      <c r="J17" s="188">
        <v>750</v>
      </c>
      <c r="K17" s="54">
        <f t="shared" si="0"/>
        <v>750</v>
      </c>
      <c r="L17" s="55" t="b">
        <v>1</v>
      </c>
      <c r="M17" s="56">
        <v>30520251003</v>
      </c>
      <c r="N17" s="57" t="b">
        <v>1</v>
      </c>
      <c r="O17" s="58"/>
      <c r="P17" s="215"/>
      <c r="Q17" s="191" t="b">
        <v>1</v>
      </c>
      <c r="R17" s="308" t="s">
        <v>3138</v>
      </c>
      <c r="S17" s="400"/>
      <c r="T17" s="173"/>
      <c r="U17" s="57" t="b">
        <v>1</v>
      </c>
      <c r="V17" s="310" t="s">
        <v>4690</v>
      </c>
      <c r="W17" s="307"/>
      <c r="X17" s="54"/>
    </row>
    <row r="18" spans="1:24" ht="16">
      <c r="A18" s="162"/>
      <c r="B18" s="71" t="s">
        <v>4736</v>
      </c>
      <c r="C18" s="53" t="s">
        <v>2153</v>
      </c>
      <c r="D18" s="53" t="s">
        <v>4742</v>
      </c>
      <c r="E18" s="53" t="s">
        <v>2153</v>
      </c>
      <c r="F18" s="53" t="s">
        <v>4743</v>
      </c>
      <c r="G18" s="53" t="s">
        <v>4583</v>
      </c>
      <c r="H18" s="131" t="s">
        <v>30</v>
      </c>
      <c r="I18" s="53">
        <v>150</v>
      </c>
      <c r="J18" s="188">
        <v>22.5</v>
      </c>
      <c r="K18" s="54">
        <f t="shared" si="0"/>
        <v>3375</v>
      </c>
      <c r="L18" s="55" t="b">
        <v>1</v>
      </c>
      <c r="M18" s="56">
        <v>30520251443</v>
      </c>
      <c r="N18" s="57" t="b">
        <v>1</v>
      </c>
      <c r="O18" s="58"/>
      <c r="P18" s="215"/>
      <c r="Q18" s="191" t="b">
        <v>1</v>
      </c>
      <c r="R18" s="308" t="s">
        <v>3138</v>
      </c>
      <c r="S18" s="400"/>
      <c r="T18" s="173" t="s">
        <v>4744</v>
      </c>
      <c r="U18" s="57" t="b">
        <v>1</v>
      </c>
      <c r="V18" s="310" t="s">
        <v>4745</v>
      </c>
      <c r="W18" s="307"/>
      <c r="X18" s="54"/>
    </row>
    <row r="19" spans="1:24" ht="16">
      <c r="A19" s="162"/>
      <c r="B19" s="71" t="s">
        <v>4736</v>
      </c>
      <c r="C19" s="53" t="s">
        <v>51</v>
      </c>
      <c r="D19" s="53" t="s">
        <v>3487</v>
      </c>
      <c r="E19" s="53" t="s">
        <v>89</v>
      </c>
      <c r="F19" s="53" t="s">
        <v>2090</v>
      </c>
      <c r="G19" s="66" t="s">
        <v>4746</v>
      </c>
      <c r="H19" s="131" t="s">
        <v>30</v>
      </c>
      <c r="I19" s="66">
        <v>10</v>
      </c>
      <c r="J19" s="70">
        <v>150</v>
      </c>
      <c r="K19" s="54">
        <f t="shared" si="0"/>
        <v>1500</v>
      </c>
      <c r="L19" s="55" t="b">
        <v>1</v>
      </c>
      <c r="M19" s="56">
        <v>30520251443</v>
      </c>
      <c r="N19" s="57" t="b">
        <v>1</v>
      </c>
      <c r="O19" s="58"/>
      <c r="P19" s="215"/>
      <c r="Q19" s="191" t="b">
        <v>1</v>
      </c>
      <c r="R19" s="308" t="s">
        <v>3138</v>
      </c>
      <c r="S19" s="400"/>
      <c r="T19" s="173" t="s">
        <v>4747</v>
      </c>
      <c r="U19" s="57" t="b">
        <v>1</v>
      </c>
      <c r="V19" s="310" t="s">
        <v>4748</v>
      </c>
      <c r="W19" s="307"/>
      <c r="X19" s="54"/>
    </row>
    <row r="20" spans="1:24" ht="16">
      <c r="A20" s="162"/>
      <c r="B20" s="132" t="s">
        <v>4736</v>
      </c>
      <c r="C20" s="66" t="s">
        <v>108</v>
      </c>
      <c r="D20" s="66" t="s">
        <v>4281</v>
      </c>
      <c r="E20" s="66" t="s">
        <v>109</v>
      </c>
      <c r="F20" s="53" t="s">
        <v>110</v>
      </c>
      <c r="G20" s="66" t="s">
        <v>1966</v>
      </c>
      <c r="H20" s="131" t="s">
        <v>30</v>
      </c>
      <c r="I20" s="66">
        <v>20</v>
      </c>
      <c r="J20" s="70">
        <v>650</v>
      </c>
      <c r="K20" s="54">
        <f t="shared" si="0"/>
        <v>13000</v>
      </c>
      <c r="L20" s="55" t="b">
        <v>1</v>
      </c>
      <c r="M20" s="56">
        <v>30520251449</v>
      </c>
      <c r="N20" s="57" t="b">
        <v>1</v>
      </c>
      <c r="O20" s="58" t="s">
        <v>39</v>
      </c>
      <c r="P20" s="226">
        <v>45782</v>
      </c>
      <c r="Q20" s="191" t="b">
        <v>1</v>
      </c>
      <c r="R20" s="308" t="s">
        <v>3138</v>
      </c>
      <c r="S20" s="308"/>
      <c r="T20" s="337"/>
      <c r="U20" s="57" t="b">
        <v>1</v>
      </c>
      <c r="V20" s="310" t="s">
        <v>4749</v>
      </c>
      <c r="W20" s="307"/>
      <c r="X20" s="54"/>
    </row>
    <row r="21" spans="1:24" ht="16">
      <c r="A21" s="162"/>
      <c r="B21" s="132" t="s">
        <v>4736</v>
      </c>
      <c r="C21" s="66" t="s">
        <v>418</v>
      </c>
      <c r="D21" s="66" t="s">
        <v>4750</v>
      </c>
      <c r="E21" s="66" t="s">
        <v>4751</v>
      </c>
      <c r="F21" s="53" t="s">
        <v>1990</v>
      </c>
      <c r="G21" s="66" t="s">
        <v>4752</v>
      </c>
      <c r="H21" s="131" t="s">
        <v>30</v>
      </c>
      <c r="I21" s="66">
        <v>12</v>
      </c>
      <c r="J21" s="70">
        <v>1950</v>
      </c>
      <c r="K21" s="54">
        <f t="shared" si="0"/>
        <v>23400</v>
      </c>
      <c r="L21" s="55" t="b">
        <v>1</v>
      </c>
      <c r="M21" s="56">
        <v>30520251534</v>
      </c>
      <c r="N21" s="57" t="b">
        <v>1</v>
      </c>
      <c r="O21" s="58" t="s">
        <v>529</v>
      </c>
      <c r="P21" s="226">
        <v>45782</v>
      </c>
      <c r="Q21" s="191" t="b">
        <v>1</v>
      </c>
      <c r="R21" s="308" t="s">
        <v>3138</v>
      </c>
      <c r="S21" s="308"/>
      <c r="T21" s="337"/>
      <c r="U21" s="57" t="b">
        <v>1</v>
      </c>
      <c r="V21" s="310" t="s">
        <v>4753</v>
      </c>
      <c r="W21" s="307"/>
      <c r="X21" s="54"/>
    </row>
    <row r="22" spans="1:24" ht="16">
      <c r="A22" s="162"/>
      <c r="B22" s="132" t="s">
        <v>4736</v>
      </c>
      <c r="C22" s="66" t="s">
        <v>418</v>
      </c>
      <c r="D22" s="66" t="s">
        <v>4750</v>
      </c>
      <c r="E22" s="66" t="s">
        <v>230</v>
      </c>
      <c r="F22" s="53" t="s">
        <v>1990</v>
      </c>
      <c r="G22" s="53" t="s">
        <v>96</v>
      </c>
      <c r="H22" s="131" t="s">
        <v>30</v>
      </c>
      <c r="I22" s="66">
        <v>10</v>
      </c>
      <c r="J22" s="70">
        <v>2250</v>
      </c>
      <c r="K22" s="54">
        <f t="shared" si="0"/>
        <v>22500</v>
      </c>
      <c r="L22" s="55" t="b">
        <v>1</v>
      </c>
      <c r="M22" s="56">
        <v>30520251534</v>
      </c>
      <c r="N22" s="57" t="b">
        <v>1</v>
      </c>
      <c r="O22" s="58" t="s">
        <v>529</v>
      </c>
      <c r="P22" s="226">
        <v>45782</v>
      </c>
      <c r="Q22" s="191" t="b">
        <v>1</v>
      </c>
      <c r="R22" s="308" t="s">
        <v>3138</v>
      </c>
      <c r="S22" s="308"/>
      <c r="T22" s="337"/>
      <c r="U22" s="57" t="b">
        <v>1</v>
      </c>
      <c r="V22" s="310" t="s">
        <v>4753</v>
      </c>
      <c r="W22" s="307"/>
      <c r="X22" s="54"/>
    </row>
    <row r="23" spans="1:24" ht="16">
      <c r="A23" s="162"/>
      <c r="B23" s="132" t="s">
        <v>4736</v>
      </c>
      <c r="C23" s="66" t="s">
        <v>418</v>
      </c>
      <c r="D23" s="66" t="s">
        <v>4750</v>
      </c>
      <c r="E23" s="66" t="s">
        <v>230</v>
      </c>
      <c r="F23" s="53" t="s">
        <v>4754</v>
      </c>
      <c r="G23" s="53" t="s">
        <v>4755</v>
      </c>
      <c r="H23" s="131" t="s">
        <v>30</v>
      </c>
      <c r="I23" s="53">
        <v>24</v>
      </c>
      <c r="J23" s="188">
        <v>325</v>
      </c>
      <c r="K23" s="54">
        <f t="shared" si="0"/>
        <v>7800</v>
      </c>
      <c r="L23" s="55" t="b">
        <v>1</v>
      </c>
      <c r="M23" s="56">
        <v>50520251358</v>
      </c>
      <c r="N23" s="57" t="b">
        <v>1</v>
      </c>
      <c r="O23" s="58"/>
      <c r="P23" s="215"/>
      <c r="Q23" s="191" t="b">
        <v>1</v>
      </c>
      <c r="R23" s="308" t="s">
        <v>3138</v>
      </c>
      <c r="S23" s="308"/>
      <c r="T23" s="337"/>
      <c r="U23" s="57" t="b">
        <v>1</v>
      </c>
      <c r="V23" s="310" t="s">
        <v>4756</v>
      </c>
      <c r="W23" s="307"/>
      <c r="X23" s="54"/>
    </row>
    <row r="24" spans="1:24" ht="16">
      <c r="A24" s="162"/>
      <c r="B24" s="71" t="s">
        <v>4757</v>
      </c>
      <c r="C24" s="66" t="s">
        <v>51</v>
      </c>
      <c r="D24" s="66" t="s">
        <v>4717</v>
      </c>
      <c r="E24" s="53" t="s">
        <v>475</v>
      </c>
      <c r="F24" s="53" t="s">
        <v>3234</v>
      </c>
      <c r="G24" s="53" t="s">
        <v>1024</v>
      </c>
      <c r="H24" s="131" t="s">
        <v>30</v>
      </c>
      <c r="I24" s="53">
        <v>10</v>
      </c>
      <c r="J24" s="188">
        <v>165</v>
      </c>
      <c r="K24" s="54">
        <f t="shared" si="0"/>
        <v>1650</v>
      </c>
      <c r="L24" s="55" t="b">
        <v>1</v>
      </c>
      <c r="M24" s="56">
        <v>50520251358</v>
      </c>
      <c r="N24" s="57" t="b">
        <v>1</v>
      </c>
      <c r="O24" s="58"/>
      <c r="P24" s="215"/>
      <c r="Q24" s="191" t="b">
        <v>1</v>
      </c>
      <c r="R24" s="308" t="s">
        <v>3138</v>
      </c>
      <c r="S24" s="400"/>
      <c r="T24" s="173" t="s">
        <v>4758</v>
      </c>
      <c r="U24" s="57" t="b">
        <v>1</v>
      </c>
      <c r="V24" s="310" t="s">
        <v>4759</v>
      </c>
      <c r="W24" s="307"/>
      <c r="X24" s="54"/>
    </row>
    <row r="25" spans="1:24" ht="16">
      <c r="A25" s="162"/>
      <c r="B25" s="71" t="s">
        <v>4757</v>
      </c>
      <c r="C25" s="53" t="s">
        <v>51</v>
      </c>
      <c r="D25" s="53" t="s">
        <v>3487</v>
      </c>
      <c r="E25" s="53" t="s">
        <v>89</v>
      </c>
      <c r="F25" s="53" t="s">
        <v>2090</v>
      </c>
      <c r="G25" s="53" t="s">
        <v>4760</v>
      </c>
      <c r="H25" s="131" t="s">
        <v>30</v>
      </c>
      <c r="I25" s="53">
        <v>24</v>
      </c>
      <c r="J25" s="188">
        <v>59</v>
      </c>
      <c r="K25" s="54">
        <f t="shared" si="0"/>
        <v>1416</v>
      </c>
      <c r="L25" s="55" t="b">
        <v>1</v>
      </c>
      <c r="M25" s="56">
        <v>50520251358</v>
      </c>
      <c r="N25" s="57" t="b">
        <v>1</v>
      </c>
      <c r="O25" s="58"/>
      <c r="P25" s="215"/>
      <c r="Q25" s="191" t="b">
        <v>1</v>
      </c>
      <c r="R25" s="308" t="s">
        <v>3138</v>
      </c>
      <c r="S25" s="400"/>
      <c r="T25" s="173" t="s">
        <v>4747</v>
      </c>
      <c r="U25" s="57" t="b">
        <v>1</v>
      </c>
      <c r="V25" s="310" t="s">
        <v>4748</v>
      </c>
      <c r="W25" s="307"/>
      <c r="X25" s="54"/>
    </row>
    <row r="26" spans="1:24" ht="16">
      <c r="A26" s="162"/>
      <c r="B26" s="71" t="s">
        <v>4757</v>
      </c>
      <c r="C26" s="53" t="s">
        <v>26</v>
      </c>
      <c r="D26" s="53" t="s">
        <v>4761</v>
      </c>
      <c r="E26" s="53" t="s">
        <v>386</v>
      </c>
      <c r="F26" s="53" t="s">
        <v>2935</v>
      </c>
      <c r="G26" s="53" t="s">
        <v>677</v>
      </c>
      <c r="H26" s="131" t="s">
        <v>30</v>
      </c>
      <c r="I26" s="53">
        <v>15</v>
      </c>
      <c r="J26" s="188">
        <v>145</v>
      </c>
      <c r="K26" s="54">
        <f t="shared" si="0"/>
        <v>2175</v>
      </c>
      <c r="L26" s="55" t="b">
        <v>1</v>
      </c>
      <c r="M26" s="56">
        <v>50520251358</v>
      </c>
      <c r="N26" s="57" t="b">
        <v>1</v>
      </c>
      <c r="O26" s="58"/>
      <c r="P26" s="215"/>
      <c r="Q26" s="191" t="b">
        <v>1</v>
      </c>
      <c r="R26" s="308" t="s">
        <v>3138</v>
      </c>
      <c r="S26" s="400"/>
      <c r="T26" s="173" t="s">
        <v>4762</v>
      </c>
      <c r="U26" s="57" t="b">
        <v>1</v>
      </c>
      <c r="V26" s="310" t="s">
        <v>4763</v>
      </c>
      <c r="W26" s="307"/>
      <c r="X26" s="54"/>
    </row>
    <row r="27" spans="1:24" ht="13.5" customHeight="1">
      <c r="A27" s="162"/>
      <c r="B27" s="71" t="s">
        <v>4757</v>
      </c>
      <c r="C27" s="53" t="s">
        <v>51</v>
      </c>
      <c r="D27" s="53" t="s">
        <v>3541</v>
      </c>
      <c r="E27" s="53" t="s">
        <v>372</v>
      </c>
      <c r="F27" s="53" t="s">
        <v>373</v>
      </c>
      <c r="G27" s="53" t="s">
        <v>4764</v>
      </c>
      <c r="H27" s="131" t="s">
        <v>30</v>
      </c>
      <c r="I27" s="53">
        <v>2</v>
      </c>
      <c r="J27" s="188">
        <v>750</v>
      </c>
      <c r="K27" s="54">
        <f t="shared" si="0"/>
        <v>1500</v>
      </c>
      <c r="L27" s="55" t="b">
        <v>1</v>
      </c>
      <c r="M27" s="56">
        <v>50520251358</v>
      </c>
      <c r="N27" s="57" t="b">
        <v>1</v>
      </c>
      <c r="O27" s="58"/>
      <c r="P27" s="215"/>
      <c r="Q27" s="191" t="b">
        <v>1</v>
      </c>
      <c r="R27" s="308" t="s">
        <v>3138</v>
      </c>
      <c r="S27" s="400"/>
      <c r="T27" s="173" t="s">
        <v>4765</v>
      </c>
      <c r="U27" s="57" t="b">
        <v>1</v>
      </c>
      <c r="V27" s="310" t="s">
        <v>4766</v>
      </c>
      <c r="W27" s="307"/>
      <c r="X27" s="54"/>
    </row>
    <row r="28" spans="1:24" ht="16">
      <c r="A28" s="162"/>
      <c r="B28" s="71" t="s">
        <v>4757</v>
      </c>
      <c r="C28" s="53" t="s">
        <v>3242</v>
      </c>
      <c r="D28" s="53" t="s">
        <v>4325</v>
      </c>
      <c r="E28" s="53" t="s">
        <v>2296</v>
      </c>
      <c r="F28" s="53" t="s">
        <v>4767</v>
      </c>
      <c r="G28" s="53" t="s">
        <v>4718</v>
      </c>
      <c r="H28" s="131" t="s">
        <v>30</v>
      </c>
      <c r="I28" s="53">
        <v>40</v>
      </c>
      <c r="J28" s="188">
        <v>270</v>
      </c>
      <c r="K28" s="54">
        <f t="shared" si="0"/>
        <v>10800</v>
      </c>
      <c r="L28" s="55" t="b">
        <v>1</v>
      </c>
      <c r="M28" s="56">
        <v>50520251358</v>
      </c>
      <c r="N28" s="57" t="b">
        <v>1</v>
      </c>
      <c r="O28" s="58"/>
      <c r="P28" s="215"/>
      <c r="Q28" s="191" t="b">
        <v>1</v>
      </c>
      <c r="R28" s="389" t="s">
        <v>4528</v>
      </c>
      <c r="S28" s="400"/>
      <c r="T28" s="173" t="s">
        <v>4768</v>
      </c>
      <c r="U28" s="57" t="b">
        <v>1</v>
      </c>
      <c r="V28" s="310" t="s">
        <v>4769</v>
      </c>
      <c r="W28" s="307"/>
      <c r="X28" s="54"/>
    </row>
    <row r="29" spans="1:24" ht="16">
      <c r="A29" s="162"/>
      <c r="B29" s="71" t="s">
        <v>4757</v>
      </c>
      <c r="C29" s="53" t="s">
        <v>418</v>
      </c>
      <c r="D29" s="53" t="s">
        <v>3472</v>
      </c>
      <c r="E29" s="53" t="s">
        <v>84</v>
      </c>
      <c r="F29" s="53" t="s">
        <v>3069</v>
      </c>
      <c r="G29" s="401" t="s">
        <v>877</v>
      </c>
      <c r="H29" s="131" t="s">
        <v>30</v>
      </c>
      <c r="I29" s="66">
        <v>5</v>
      </c>
      <c r="J29" s="188">
        <v>900</v>
      </c>
      <c r="K29" s="54">
        <f t="shared" si="0"/>
        <v>4500</v>
      </c>
      <c r="L29" s="55" t="b">
        <v>1</v>
      </c>
      <c r="M29" s="56">
        <v>50520251358</v>
      </c>
      <c r="N29" s="57" t="b">
        <v>1</v>
      </c>
      <c r="O29" s="58"/>
      <c r="P29" s="215"/>
      <c r="Q29" s="191" t="b">
        <v>1</v>
      </c>
      <c r="R29" s="389" t="s">
        <v>4528</v>
      </c>
      <c r="S29" s="389"/>
      <c r="T29" s="337"/>
      <c r="U29" s="57" t="b">
        <v>1</v>
      </c>
      <c r="V29" s="310" t="s">
        <v>4770</v>
      </c>
      <c r="W29" s="307"/>
      <c r="X29" s="54"/>
    </row>
    <row r="30" spans="1:24" ht="16">
      <c r="A30" s="162"/>
      <c r="B30" s="71" t="s">
        <v>4757</v>
      </c>
      <c r="C30" s="53" t="s">
        <v>104</v>
      </c>
      <c r="D30" s="53" t="s">
        <v>3632</v>
      </c>
      <c r="E30" s="53" t="s">
        <v>486</v>
      </c>
      <c r="F30" s="53" t="s">
        <v>241</v>
      </c>
      <c r="G30" s="66" t="s">
        <v>4771</v>
      </c>
      <c r="H30" s="131" t="s">
        <v>30</v>
      </c>
      <c r="I30" s="66">
        <v>2</v>
      </c>
      <c r="J30" s="70">
        <v>2350</v>
      </c>
      <c r="K30" s="54">
        <f t="shared" si="0"/>
        <v>4700</v>
      </c>
      <c r="L30" s="55" t="b">
        <v>1</v>
      </c>
      <c r="M30" s="56">
        <v>50520251358</v>
      </c>
      <c r="N30" s="57" t="b">
        <v>1</v>
      </c>
      <c r="O30" s="58"/>
      <c r="P30" s="215"/>
      <c r="Q30" s="191" t="b">
        <v>1</v>
      </c>
      <c r="R30" s="308" t="s">
        <v>3138</v>
      </c>
      <c r="S30" s="400"/>
      <c r="T30" s="173" t="s">
        <v>4772</v>
      </c>
      <c r="U30" s="57" t="b">
        <v>1</v>
      </c>
      <c r="V30" s="310" t="s">
        <v>4773</v>
      </c>
      <c r="W30" s="307"/>
      <c r="X30" s="54"/>
    </row>
    <row r="31" spans="1:24" ht="15.75" customHeight="1">
      <c r="A31" s="162"/>
      <c r="B31" s="132" t="s">
        <v>4757</v>
      </c>
      <c r="C31" s="66" t="s">
        <v>104</v>
      </c>
      <c r="D31" s="66" t="s">
        <v>3632</v>
      </c>
      <c r="E31" s="66" t="s">
        <v>486</v>
      </c>
      <c r="F31" s="53" t="s">
        <v>241</v>
      </c>
      <c r="G31" s="53" t="s">
        <v>4391</v>
      </c>
      <c r="H31" s="131" t="s">
        <v>30</v>
      </c>
      <c r="I31" s="53">
        <v>10</v>
      </c>
      <c r="J31" s="402">
        <v>650</v>
      </c>
      <c r="K31" s="54">
        <f t="shared" si="0"/>
        <v>6500</v>
      </c>
      <c r="L31" s="55" t="b">
        <v>1</v>
      </c>
      <c r="M31" s="56">
        <v>50520251358</v>
      </c>
      <c r="N31" s="57" t="b">
        <v>1</v>
      </c>
      <c r="O31" s="58" t="s">
        <v>39</v>
      </c>
      <c r="P31" s="215"/>
      <c r="Q31" s="191" t="b">
        <v>1</v>
      </c>
      <c r="R31" s="308" t="s">
        <v>3138</v>
      </c>
      <c r="S31" s="400"/>
      <c r="T31" s="173" t="s">
        <v>4774</v>
      </c>
      <c r="U31" s="57" t="b">
        <v>1</v>
      </c>
      <c r="V31" s="310" t="s">
        <v>4775</v>
      </c>
      <c r="W31" s="307"/>
      <c r="X31" s="54"/>
    </row>
    <row r="32" spans="1:24" ht="15.75" customHeight="1">
      <c r="A32" s="162"/>
      <c r="B32" s="132" t="s">
        <v>4776</v>
      </c>
      <c r="C32" s="53" t="s">
        <v>51</v>
      </c>
      <c r="D32" s="53" t="s">
        <v>3487</v>
      </c>
      <c r="E32" s="53" t="s">
        <v>89</v>
      </c>
      <c r="F32" s="53" t="s">
        <v>3742</v>
      </c>
      <c r="G32" s="53" t="s">
        <v>4682</v>
      </c>
      <c r="H32" s="131" t="s">
        <v>30</v>
      </c>
      <c r="I32" s="53">
        <v>2</v>
      </c>
      <c r="J32" s="188">
        <v>4300</v>
      </c>
      <c r="K32" s="54">
        <f t="shared" si="0"/>
        <v>8600</v>
      </c>
      <c r="L32" s="55" t="b">
        <v>1</v>
      </c>
      <c r="M32" s="56" t="s">
        <v>529</v>
      </c>
      <c r="N32" s="57" t="b">
        <v>1</v>
      </c>
      <c r="O32" s="58"/>
      <c r="P32" s="215"/>
      <c r="Q32" s="191" t="b">
        <v>1</v>
      </c>
      <c r="R32" s="308" t="s">
        <v>3138</v>
      </c>
      <c r="S32" s="128"/>
      <c r="T32" s="337"/>
      <c r="U32" s="57" t="b">
        <v>1</v>
      </c>
      <c r="V32" s="310" t="s">
        <v>4777</v>
      </c>
      <c r="W32" s="307"/>
      <c r="X32" s="54"/>
    </row>
    <row r="33" spans="1:24" ht="15.75" customHeight="1">
      <c r="A33" s="162"/>
      <c r="B33" s="132" t="s">
        <v>4757</v>
      </c>
      <c r="C33" s="66" t="s">
        <v>51</v>
      </c>
      <c r="D33" s="66" t="s">
        <v>3458</v>
      </c>
      <c r="E33" s="66" t="s">
        <v>201</v>
      </c>
      <c r="F33" s="66" t="s">
        <v>607</v>
      </c>
      <c r="G33" s="53" t="s">
        <v>4583</v>
      </c>
      <c r="H33" s="131" t="s">
        <v>30</v>
      </c>
      <c r="I33" s="53">
        <v>750</v>
      </c>
      <c r="J33" s="188">
        <v>22.5</v>
      </c>
      <c r="K33" s="54">
        <f t="shared" si="0"/>
        <v>16875</v>
      </c>
      <c r="L33" s="55" t="b">
        <v>1</v>
      </c>
      <c r="M33" s="56">
        <v>50520251358</v>
      </c>
      <c r="N33" s="57" t="b">
        <v>1</v>
      </c>
      <c r="O33" s="58"/>
      <c r="P33" s="215"/>
      <c r="Q33" s="191" t="b">
        <v>1</v>
      </c>
      <c r="R33" s="308" t="s">
        <v>3138</v>
      </c>
      <c r="S33" s="400"/>
      <c r="T33" s="173" t="s">
        <v>4778</v>
      </c>
      <c r="U33" s="57" t="b">
        <v>1</v>
      </c>
      <c r="V33" s="310" t="s">
        <v>4779</v>
      </c>
      <c r="W33" s="307"/>
      <c r="X33" s="54"/>
    </row>
    <row r="34" spans="1:24" ht="15.75" customHeight="1">
      <c r="A34" s="162"/>
      <c r="B34" s="71" t="s">
        <v>4757</v>
      </c>
      <c r="C34" s="53" t="s">
        <v>51</v>
      </c>
      <c r="D34" s="53" t="s">
        <v>3527</v>
      </c>
      <c r="E34" s="53" t="s">
        <v>338</v>
      </c>
      <c r="F34" s="53" t="s">
        <v>4780</v>
      </c>
      <c r="G34" s="53" t="s">
        <v>4583</v>
      </c>
      <c r="H34" s="131" t="s">
        <v>30</v>
      </c>
      <c r="I34" s="53">
        <v>100</v>
      </c>
      <c r="J34" s="188">
        <v>22.5</v>
      </c>
      <c r="K34" s="54">
        <f t="shared" si="0"/>
        <v>2250</v>
      </c>
      <c r="L34" s="55" t="b">
        <v>1</v>
      </c>
      <c r="M34" s="56">
        <v>50520251358</v>
      </c>
      <c r="N34" s="57" t="b">
        <v>1</v>
      </c>
      <c r="O34" s="58"/>
      <c r="P34" s="215"/>
      <c r="Q34" s="191" t="b">
        <v>1</v>
      </c>
      <c r="R34" s="389" t="s">
        <v>4528</v>
      </c>
      <c r="S34" s="389"/>
      <c r="T34" s="337"/>
      <c r="U34" s="57" t="b">
        <v>1</v>
      </c>
      <c r="V34" s="310" t="s">
        <v>4781</v>
      </c>
      <c r="W34" s="307"/>
      <c r="X34" s="54"/>
    </row>
    <row r="35" spans="1:24" ht="15.75" customHeight="1">
      <c r="A35" s="162"/>
      <c r="B35" s="71" t="s">
        <v>4757</v>
      </c>
      <c r="C35" s="53" t="s">
        <v>418</v>
      </c>
      <c r="D35" s="53" t="s">
        <v>3472</v>
      </c>
      <c r="E35" s="53" t="s">
        <v>84</v>
      </c>
      <c r="F35" s="53" t="s">
        <v>3069</v>
      </c>
      <c r="G35" s="53" t="s">
        <v>1024</v>
      </c>
      <c r="H35" s="131" t="s">
        <v>30</v>
      </c>
      <c r="I35" s="53">
        <v>15</v>
      </c>
      <c r="J35" s="188">
        <v>165</v>
      </c>
      <c r="K35" s="54">
        <f t="shared" si="0"/>
        <v>2475</v>
      </c>
      <c r="L35" s="55" t="b">
        <v>1</v>
      </c>
      <c r="M35" s="56">
        <v>50520251432</v>
      </c>
      <c r="N35" s="57" t="b">
        <v>1</v>
      </c>
      <c r="O35" s="58" t="s">
        <v>3300</v>
      </c>
      <c r="P35" s="215"/>
      <c r="Q35" s="191" t="b">
        <v>1</v>
      </c>
      <c r="R35" s="389" t="s">
        <v>4528</v>
      </c>
      <c r="S35" s="389"/>
      <c r="T35" s="337"/>
      <c r="U35" s="57" t="b">
        <v>1</v>
      </c>
      <c r="V35" s="310" t="s">
        <v>4782</v>
      </c>
      <c r="W35" s="307"/>
      <c r="X35" s="54"/>
    </row>
    <row r="36" spans="1:24" ht="15.75" customHeight="1">
      <c r="A36" s="162"/>
      <c r="B36" s="71" t="s">
        <v>4757</v>
      </c>
      <c r="C36" s="53" t="s">
        <v>418</v>
      </c>
      <c r="D36" s="53" t="s">
        <v>3472</v>
      </c>
      <c r="E36" s="53" t="s">
        <v>84</v>
      </c>
      <c r="F36" s="53" t="s">
        <v>3069</v>
      </c>
      <c r="G36" s="53" t="s">
        <v>1966</v>
      </c>
      <c r="H36" s="131" t="s">
        <v>30</v>
      </c>
      <c r="I36" s="53">
        <v>10</v>
      </c>
      <c r="J36" s="188">
        <v>650</v>
      </c>
      <c r="K36" s="54">
        <f t="shared" si="0"/>
        <v>6500</v>
      </c>
      <c r="L36" s="55" t="b">
        <v>1</v>
      </c>
      <c r="M36" s="56">
        <v>50520251645</v>
      </c>
      <c r="N36" s="57" t="b">
        <v>1</v>
      </c>
      <c r="O36" s="58" t="s">
        <v>39</v>
      </c>
      <c r="P36" s="226">
        <v>45783</v>
      </c>
      <c r="Q36" s="191" t="b">
        <v>1</v>
      </c>
      <c r="R36" s="389" t="s">
        <v>4528</v>
      </c>
      <c r="S36" s="389"/>
      <c r="T36" s="337"/>
      <c r="U36" s="57" t="b">
        <v>1</v>
      </c>
      <c r="V36" s="310" t="s">
        <v>4783</v>
      </c>
      <c r="W36" s="307"/>
      <c r="X36" s="54"/>
    </row>
    <row r="37" spans="1:24" ht="15.75" customHeight="1">
      <c r="A37" s="162"/>
      <c r="B37" s="71" t="s">
        <v>4757</v>
      </c>
      <c r="C37" s="53" t="s">
        <v>418</v>
      </c>
      <c r="D37" s="53" t="s">
        <v>3472</v>
      </c>
      <c r="E37" s="53" t="s">
        <v>84</v>
      </c>
      <c r="F37" s="53" t="s">
        <v>3069</v>
      </c>
      <c r="G37" s="53" t="s">
        <v>58</v>
      </c>
      <c r="H37" s="131" t="s">
        <v>30</v>
      </c>
      <c r="I37" s="53">
        <v>168</v>
      </c>
      <c r="J37" s="188">
        <v>43</v>
      </c>
      <c r="K37" s="54">
        <f t="shared" si="0"/>
        <v>7224</v>
      </c>
      <c r="L37" s="55" t="b">
        <v>1</v>
      </c>
      <c r="M37" s="56">
        <v>50520251645</v>
      </c>
      <c r="N37" s="57" t="b">
        <v>1</v>
      </c>
      <c r="O37" s="58"/>
      <c r="P37" s="215"/>
      <c r="Q37" s="191" t="b">
        <v>1</v>
      </c>
      <c r="R37" s="389" t="s">
        <v>4528</v>
      </c>
      <c r="S37" s="400"/>
      <c r="T37" s="173" t="s">
        <v>4784</v>
      </c>
      <c r="U37" s="57" t="b">
        <v>1</v>
      </c>
      <c r="V37" s="310" t="s">
        <v>4785</v>
      </c>
      <c r="W37" s="307"/>
      <c r="X37" s="54"/>
    </row>
    <row r="38" spans="1:24" ht="16">
      <c r="A38" s="162"/>
      <c r="B38" s="71" t="s">
        <v>4757</v>
      </c>
      <c r="C38" s="53" t="s">
        <v>418</v>
      </c>
      <c r="D38" s="53" t="s">
        <v>3472</v>
      </c>
      <c r="E38" s="53" t="s">
        <v>84</v>
      </c>
      <c r="F38" s="53" t="s">
        <v>3069</v>
      </c>
      <c r="G38" s="53" t="s">
        <v>4786</v>
      </c>
      <c r="H38" s="131" t="s">
        <v>30</v>
      </c>
      <c r="I38" s="53">
        <v>84</v>
      </c>
      <c r="J38" s="188">
        <v>38</v>
      </c>
      <c r="K38" s="54">
        <f t="shared" si="0"/>
        <v>3192</v>
      </c>
      <c r="L38" s="55" t="b">
        <v>1</v>
      </c>
      <c r="M38" s="56">
        <v>50520251645</v>
      </c>
      <c r="N38" s="57" t="b">
        <v>1</v>
      </c>
      <c r="O38" s="58" t="s">
        <v>3300</v>
      </c>
      <c r="P38" s="226">
        <v>45783</v>
      </c>
      <c r="Q38" s="191" t="b">
        <v>1</v>
      </c>
      <c r="R38" s="389" t="s">
        <v>4528</v>
      </c>
      <c r="S38" s="389"/>
      <c r="T38" s="337"/>
      <c r="U38" s="57" t="b">
        <v>1</v>
      </c>
      <c r="V38" s="310" t="s">
        <v>4782</v>
      </c>
      <c r="W38" s="307"/>
      <c r="X38" s="54"/>
    </row>
    <row r="39" spans="1:24" ht="16">
      <c r="A39" s="162"/>
      <c r="B39" s="71" t="s">
        <v>4757</v>
      </c>
      <c r="C39" s="66" t="s">
        <v>51</v>
      </c>
      <c r="D39" s="66" t="s">
        <v>3458</v>
      </c>
      <c r="E39" s="66" t="s">
        <v>201</v>
      </c>
      <c r="F39" s="53" t="s">
        <v>1208</v>
      </c>
      <c r="G39" s="66" t="s">
        <v>4787</v>
      </c>
      <c r="H39" s="69" t="s">
        <v>30</v>
      </c>
      <c r="I39" s="66">
        <v>1</v>
      </c>
      <c r="J39" s="70">
        <v>3400</v>
      </c>
      <c r="K39" s="54">
        <f t="shared" si="0"/>
        <v>3400</v>
      </c>
      <c r="L39" s="55" t="b">
        <v>1</v>
      </c>
      <c r="M39" s="56" t="s">
        <v>529</v>
      </c>
      <c r="N39" s="57" t="b">
        <v>1</v>
      </c>
      <c r="O39" s="58"/>
      <c r="P39" s="215"/>
      <c r="Q39" s="191" t="b">
        <v>1</v>
      </c>
      <c r="R39" s="389" t="s">
        <v>4528</v>
      </c>
      <c r="S39" s="389"/>
      <c r="T39" s="337"/>
      <c r="U39" s="57" t="b">
        <v>1</v>
      </c>
      <c r="V39" s="310" t="s">
        <v>4788</v>
      </c>
      <c r="W39" s="307"/>
      <c r="X39" s="54"/>
    </row>
    <row r="40" spans="1:24" ht="16">
      <c r="A40" s="162"/>
      <c r="B40" s="71" t="s">
        <v>4757</v>
      </c>
      <c r="C40" s="66" t="s">
        <v>51</v>
      </c>
      <c r="D40" s="66" t="s">
        <v>3458</v>
      </c>
      <c r="E40" s="66" t="s">
        <v>201</v>
      </c>
      <c r="F40" s="53" t="s">
        <v>1208</v>
      </c>
      <c r="G40" s="69" t="s">
        <v>4789</v>
      </c>
      <c r="H40" s="69" t="s">
        <v>30</v>
      </c>
      <c r="I40" s="66">
        <v>1</v>
      </c>
      <c r="J40" s="70">
        <v>2750</v>
      </c>
      <c r="K40" s="54">
        <f t="shared" si="0"/>
        <v>2750</v>
      </c>
      <c r="L40" s="55" t="b">
        <v>1</v>
      </c>
      <c r="M40" s="56" t="s">
        <v>529</v>
      </c>
      <c r="N40" s="57" t="b">
        <v>1</v>
      </c>
      <c r="O40" s="58"/>
      <c r="P40" s="215"/>
      <c r="Q40" s="191" t="b">
        <v>1</v>
      </c>
      <c r="R40" s="389" t="s">
        <v>4528</v>
      </c>
      <c r="S40" s="389"/>
      <c r="T40" s="337"/>
      <c r="U40" s="57" t="b">
        <v>1</v>
      </c>
      <c r="V40" s="310" t="s">
        <v>4788</v>
      </c>
      <c r="W40" s="307"/>
      <c r="X40" s="54"/>
    </row>
    <row r="41" spans="1:24" ht="16">
      <c r="A41" s="162"/>
      <c r="B41" s="71" t="s">
        <v>4757</v>
      </c>
      <c r="C41" s="66" t="s">
        <v>51</v>
      </c>
      <c r="D41" s="66" t="s">
        <v>3458</v>
      </c>
      <c r="E41" s="66" t="s">
        <v>201</v>
      </c>
      <c r="F41" s="53" t="s">
        <v>1208</v>
      </c>
      <c r="G41" s="53" t="s">
        <v>4790</v>
      </c>
      <c r="H41" s="69" t="s">
        <v>30</v>
      </c>
      <c r="I41" s="53">
        <v>2</v>
      </c>
      <c r="J41" s="188">
        <v>1200</v>
      </c>
      <c r="K41" s="54">
        <f t="shared" si="0"/>
        <v>2400</v>
      </c>
      <c r="L41" s="55" t="b">
        <v>1</v>
      </c>
      <c r="M41" s="56" t="s">
        <v>529</v>
      </c>
      <c r="N41" s="57" t="b">
        <v>1</v>
      </c>
      <c r="O41" s="58"/>
      <c r="P41" s="215"/>
      <c r="Q41" s="191" t="b">
        <v>1</v>
      </c>
      <c r="R41" s="389" t="s">
        <v>4528</v>
      </c>
      <c r="S41" s="389"/>
      <c r="T41" s="337"/>
      <c r="U41" s="57" t="b">
        <v>1</v>
      </c>
      <c r="V41" s="310" t="s">
        <v>4788</v>
      </c>
      <c r="W41" s="307"/>
      <c r="X41" s="54"/>
    </row>
    <row r="42" spans="1:24" ht="16">
      <c r="A42" s="162"/>
      <c r="B42" s="71" t="s">
        <v>4791</v>
      </c>
      <c r="C42" s="53" t="s">
        <v>104</v>
      </c>
      <c r="D42" s="53" t="s">
        <v>3495</v>
      </c>
      <c r="E42" s="53" t="s">
        <v>4792</v>
      </c>
      <c r="F42" s="53" t="s">
        <v>4793</v>
      </c>
      <c r="G42" s="53" t="s">
        <v>4583</v>
      </c>
      <c r="H42" s="131" t="s">
        <v>30</v>
      </c>
      <c r="I42" s="53">
        <v>450</v>
      </c>
      <c r="J42" s="188">
        <v>22.5</v>
      </c>
      <c r="K42" s="54">
        <f t="shared" si="0"/>
        <v>10125</v>
      </c>
      <c r="L42" s="55" t="b">
        <v>1</v>
      </c>
      <c r="M42" s="56">
        <v>60520251027</v>
      </c>
      <c r="N42" s="57" t="b">
        <v>1</v>
      </c>
      <c r="O42" s="58"/>
      <c r="P42" s="215"/>
      <c r="Q42" s="191" t="b">
        <v>1</v>
      </c>
      <c r="R42" s="308" t="s">
        <v>3138</v>
      </c>
      <c r="S42" s="400"/>
      <c r="T42" s="173" t="s">
        <v>4794</v>
      </c>
      <c r="U42" s="57" t="b">
        <v>1</v>
      </c>
      <c r="V42" s="310" t="s">
        <v>4795</v>
      </c>
      <c r="W42" s="307"/>
      <c r="X42" s="54"/>
    </row>
    <row r="43" spans="1:24" ht="16">
      <c r="A43" s="162"/>
      <c r="B43" s="53" t="s">
        <v>4791</v>
      </c>
      <c r="C43" s="53" t="s">
        <v>104</v>
      </c>
      <c r="D43" s="53" t="s">
        <v>3632</v>
      </c>
      <c r="E43" s="53" t="s">
        <v>486</v>
      </c>
      <c r="F43" s="53" t="s">
        <v>241</v>
      </c>
      <c r="G43" s="53" t="s">
        <v>4796</v>
      </c>
      <c r="H43" s="53" t="s">
        <v>30</v>
      </c>
      <c r="I43" s="53">
        <v>10</v>
      </c>
      <c r="J43" s="53">
        <v>325</v>
      </c>
      <c r="K43" s="54">
        <f t="shared" si="0"/>
        <v>3250</v>
      </c>
      <c r="L43" s="55" t="b">
        <v>1</v>
      </c>
      <c r="M43" s="56">
        <v>60520251114</v>
      </c>
      <c r="N43" s="57" t="b">
        <v>1</v>
      </c>
      <c r="O43" s="58" t="s">
        <v>351</v>
      </c>
      <c r="P43" s="226">
        <v>45783</v>
      </c>
      <c r="Q43" s="191" t="b">
        <v>1</v>
      </c>
      <c r="R43" s="308" t="s">
        <v>3138</v>
      </c>
      <c r="S43" s="400"/>
      <c r="T43" s="173" t="s">
        <v>4797</v>
      </c>
      <c r="U43" s="57" t="b">
        <v>1</v>
      </c>
      <c r="V43" s="310" t="s">
        <v>4798</v>
      </c>
      <c r="W43" s="307"/>
      <c r="X43" s="54"/>
    </row>
    <row r="44" spans="1:24" ht="16">
      <c r="A44" s="162"/>
      <c r="B44" s="53" t="s">
        <v>4791</v>
      </c>
      <c r="C44" s="53" t="s">
        <v>104</v>
      </c>
      <c r="D44" s="53" t="s">
        <v>3632</v>
      </c>
      <c r="E44" s="53" t="s">
        <v>486</v>
      </c>
      <c r="F44" s="53" t="s">
        <v>241</v>
      </c>
      <c r="G44" s="53" t="s">
        <v>4799</v>
      </c>
      <c r="H44" s="53" t="s">
        <v>30</v>
      </c>
      <c r="I44" s="53">
        <v>1</v>
      </c>
      <c r="J44" s="53">
        <v>350</v>
      </c>
      <c r="K44" s="54">
        <f t="shared" si="0"/>
        <v>350</v>
      </c>
      <c r="L44" s="55" t="b">
        <v>1</v>
      </c>
      <c r="M44" s="56">
        <v>60520251114</v>
      </c>
      <c r="N44" s="57" t="b">
        <v>1</v>
      </c>
      <c r="O44" s="58" t="s">
        <v>351</v>
      </c>
      <c r="P44" s="226">
        <v>45783</v>
      </c>
      <c r="Q44" s="191" t="b">
        <v>1</v>
      </c>
      <c r="R44" s="308" t="s">
        <v>3138</v>
      </c>
      <c r="S44" s="400"/>
      <c r="T44" s="173" t="s">
        <v>4797</v>
      </c>
      <c r="U44" s="57" t="b">
        <v>1</v>
      </c>
      <c r="V44" s="310" t="s">
        <v>4798</v>
      </c>
      <c r="W44" s="307"/>
      <c r="X44" s="54"/>
    </row>
    <row r="45" spans="1:24" ht="16">
      <c r="A45" s="162"/>
      <c r="B45" s="71" t="s">
        <v>4791</v>
      </c>
      <c r="C45" s="53" t="s">
        <v>433</v>
      </c>
      <c r="D45" s="53" t="s">
        <v>4800</v>
      </c>
      <c r="E45" s="53" t="s">
        <v>706</v>
      </c>
      <c r="F45" s="53" t="s">
        <v>707</v>
      </c>
      <c r="G45" s="53" t="s">
        <v>4801</v>
      </c>
      <c r="H45" s="131" t="s">
        <v>30</v>
      </c>
      <c r="I45" s="53">
        <v>1</v>
      </c>
      <c r="J45" s="188">
        <v>300</v>
      </c>
      <c r="K45" s="54">
        <f t="shared" si="0"/>
        <v>300</v>
      </c>
      <c r="L45" s="55" t="b">
        <v>1</v>
      </c>
      <c r="M45" s="56">
        <v>60520251138</v>
      </c>
      <c r="N45" s="57" t="b">
        <v>1</v>
      </c>
      <c r="O45" s="58" t="s">
        <v>2968</v>
      </c>
      <c r="P45" s="226">
        <v>45783</v>
      </c>
      <c r="Q45" s="191" t="b">
        <v>1</v>
      </c>
      <c r="R45" s="308" t="s">
        <v>3138</v>
      </c>
      <c r="S45" s="400"/>
      <c r="T45" s="173" t="s">
        <v>4802</v>
      </c>
      <c r="U45" s="57" t="b">
        <v>1</v>
      </c>
      <c r="V45" s="310" t="s">
        <v>4803</v>
      </c>
      <c r="W45" s="307"/>
      <c r="X45" s="54"/>
    </row>
    <row r="46" spans="1:24" ht="16">
      <c r="A46" s="162"/>
      <c r="B46" s="71" t="s">
        <v>4791</v>
      </c>
      <c r="C46" s="53" t="s">
        <v>418</v>
      </c>
      <c r="D46" s="53" t="s">
        <v>3534</v>
      </c>
      <c r="E46" s="53" t="s">
        <v>1037</v>
      </c>
      <c r="F46" s="53" t="s">
        <v>420</v>
      </c>
      <c r="G46" s="53" t="s">
        <v>58</v>
      </c>
      <c r="H46" s="131" t="s">
        <v>30</v>
      </c>
      <c r="I46" s="53">
        <v>84</v>
      </c>
      <c r="J46" s="188">
        <v>43</v>
      </c>
      <c r="K46" s="54">
        <f t="shared" si="0"/>
        <v>3612</v>
      </c>
      <c r="L46" s="55" t="b">
        <v>1</v>
      </c>
      <c r="M46" s="56">
        <v>60520251844</v>
      </c>
      <c r="N46" s="57" t="b">
        <v>1</v>
      </c>
      <c r="O46" s="58"/>
      <c r="P46" s="215"/>
      <c r="Q46" s="191" t="b">
        <v>1</v>
      </c>
      <c r="R46" s="308" t="s">
        <v>3138</v>
      </c>
      <c r="S46" s="400"/>
      <c r="T46" s="173" t="s">
        <v>4804</v>
      </c>
      <c r="U46" s="57" t="b">
        <v>1</v>
      </c>
      <c r="V46" s="310" t="s">
        <v>4805</v>
      </c>
      <c r="W46" s="307"/>
      <c r="X46" s="54"/>
    </row>
    <row r="47" spans="1:24" ht="16">
      <c r="A47" s="162"/>
      <c r="B47" s="71" t="s">
        <v>4791</v>
      </c>
      <c r="C47" s="53" t="s">
        <v>418</v>
      </c>
      <c r="D47" s="53" t="s">
        <v>3534</v>
      </c>
      <c r="E47" s="53" t="s">
        <v>1037</v>
      </c>
      <c r="F47" s="53" t="s">
        <v>420</v>
      </c>
      <c r="G47" s="53" t="s">
        <v>4583</v>
      </c>
      <c r="H47" s="131" t="s">
        <v>30</v>
      </c>
      <c r="I47" s="53">
        <v>150</v>
      </c>
      <c r="J47" s="188">
        <v>22.5</v>
      </c>
      <c r="K47" s="54">
        <f t="shared" si="0"/>
        <v>3375</v>
      </c>
      <c r="L47" s="55" t="b">
        <v>1</v>
      </c>
      <c r="M47" s="56">
        <v>60520251844</v>
      </c>
      <c r="N47" s="57" t="b">
        <v>1</v>
      </c>
      <c r="O47" s="58"/>
      <c r="P47" s="215"/>
      <c r="Q47" s="191" t="b">
        <v>1</v>
      </c>
      <c r="R47" s="308" t="s">
        <v>3138</v>
      </c>
      <c r="S47" s="400"/>
      <c r="T47" s="173" t="s">
        <v>4804</v>
      </c>
      <c r="U47" s="57" t="b">
        <v>1</v>
      </c>
      <c r="V47" s="310" t="s">
        <v>4805</v>
      </c>
      <c r="W47" s="307"/>
      <c r="X47" s="54"/>
    </row>
    <row r="48" spans="1:24" ht="16">
      <c r="A48" s="162"/>
      <c r="B48" s="71" t="s">
        <v>4791</v>
      </c>
      <c r="C48" s="53" t="s">
        <v>418</v>
      </c>
      <c r="D48" s="53" t="s">
        <v>3534</v>
      </c>
      <c r="E48" s="53" t="s">
        <v>1037</v>
      </c>
      <c r="F48" s="53" t="s">
        <v>420</v>
      </c>
      <c r="G48" s="53" t="s">
        <v>4806</v>
      </c>
      <c r="H48" s="131" t="s">
        <v>30</v>
      </c>
      <c r="I48" s="53">
        <v>10</v>
      </c>
      <c r="J48" s="188">
        <v>300</v>
      </c>
      <c r="K48" s="54">
        <f t="shared" si="0"/>
        <v>3000</v>
      </c>
      <c r="L48" s="55" t="b">
        <v>1</v>
      </c>
      <c r="M48" s="56">
        <v>60520251844</v>
      </c>
      <c r="N48" s="57" t="b">
        <v>1</v>
      </c>
      <c r="O48" s="58"/>
      <c r="P48" s="215"/>
      <c r="Q48" s="191" t="b">
        <v>1</v>
      </c>
      <c r="R48" s="308" t="s">
        <v>3138</v>
      </c>
      <c r="S48" s="400"/>
      <c r="T48" s="173" t="s">
        <v>4804</v>
      </c>
      <c r="U48" s="57" t="b">
        <v>1</v>
      </c>
      <c r="V48" s="310" t="s">
        <v>4805</v>
      </c>
      <c r="W48" s="307"/>
      <c r="X48" s="54"/>
    </row>
    <row r="49" spans="1:24" ht="16">
      <c r="A49" s="162"/>
      <c r="B49" s="71" t="s">
        <v>4791</v>
      </c>
      <c r="C49" s="53" t="s">
        <v>418</v>
      </c>
      <c r="D49" s="53" t="s">
        <v>3534</v>
      </c>
      <c r="E49" s="53" t="s">
        <v>1037</v>
      </c>
      <c r="F49" s="53" t="s">
        <v>420</v>
      </c>
      <c r="G49" s="53" t="s">
        <v>4746</v>
      </c>
      <c r="H49" s="131" t="s">
        <v>30</v>
      </c>
      <c r="I49" s="53">
        <v>15</v>
      </c>
      <c r="J49" s="188">
        <v>150</v>
      </c>
      <c r="K49" s="54">
        <f t="shared" si="0"/>
        <v>2250</v>
      </c>
      <c r="L49" s="55" t="b">
        <v>1</v>
      </c>
      <c r="M49" s="56">
        <v>60520251844</v>
      </c>
      <c r="N49" s="57" t="b">
        <v>1</v>
      </c>
      <c r="O49" s="58"/>
      <c r="P49" s="215"/>
      <c r="Q49" s="191" t="b">
        <v>1</v>
      </c>
      <c r="R49" s="308" t="s">
        <v>3138</v>
      </c>
      <c r="S49" s="400"/>
      <c r="T49" s="173" t="s">
        <v>4804</v>
      </c>
      <c r="U49" s="57" t="b">
        <v>1</v>
      </c>
      <c r="V49" s="310" t="s">
        <v>4805</v>
      </c>
      <c r="W49" s="307"/>
      <c r="X49" s="54"/>
    </row>
    <row r="50" spans="1:24" ht="16">
      <c r="A50" s="162"/>
      <c r="B50" s="71" t="s">
        <v>4791</v>
      </c>
      <c r="C50" s="53" t="s">
        <v>418</v>
      </c>
      <c r="D50" s="53" t="s">
        <v>3534</v>
      </c>
      <c r="E50" s="53" t="s">
        <v>1037</v>
      </c>
      <c r="F50" s="53" t="s">
        <v>420</v>
      </c>
      <c r="G50" s="53" t="s">
        <v>4807</v>
      </c>
      <c r="H50" s="131" t="s">
        <v>30</v>
      </c>
      <c r="I50" s="53">
        <v>1</v>
      </c>
      <c r="J50" s="188">
        <v>300</v>
      </c>
      <c r="K50" s="54">
        <f t="shared" si="0"/>
        <v>300</v>
      </c>
      <c r="L50" s="55" t="b">
        <v>1</v>
      </c>
      <c r="M50" s="56">
        <v>60520251844</v>
      </c>
      <c r="N50" s="57" t="b">
        <v>1</v>
      </c>
      <c r="O50" s="58"/>
      <c r="P50" s="215"/>
      <c r="Q50" s="191" t="b">
        <v>1</v>
      </c>
      <c r="R50" s="308" t="s">
        <v>3138</v>
      </c>
      <c r="S50" s="400"/>
      <c r="T50" s="173" t="s">
        <v>4804</v>
      </c>
      <c r="U50" s="57" t="b">
        <v>1</v>
      </c>
      <c r="V50" s="310" t="s">
        <v>4805</v>
      </c>
      <c r="W50" s="307"/>
      <c r="X50" s="54"/>
    </row>
    <row r="51" spans="1:24" ht="16">
      <c r="A51" s="162"/>
      <c r="B51" s="71" t="s">
        <v>4791</v>
      </c>
      <c r="C51" s="53" t="s">
        <v>418</v>
      </c>
      <c r="D51" s="53" t="s">
        <v>3706</v>
      </c>
      <c r="E51" s="53" t="s">
        <v>3373</v>
      </c>
      <c r="F51" s="53" t="s">
        <v>4618</v>
      </c>
      <c r="G51" s="53" t="s">
        <v>4583</v>
      </c>
      <c r="H51" s="131" t="s">
        <v>30</v>
      </c>
      <c r="I51" s="53">
        <v>500</v>
      </c>
      <c r="J51" s="188">
        <v>21</v>
      </c>
      <c r="K51" s="54">
        <f t="shared" si="0"/>
        <v>10500</v>
      </c>
      <c r="L51" s="55" t="b">
        <v>1</v>
      </c>
      <c r="M51" s="56">
        <v>60520251844</v>
      </c>
      <c r="N51" s="57" t="b">
        <v>1</v>
      </c>
      <c r="O51" s="58"/>
      <c r="P51" s="215"/>
      <c r="Q51" s="191" t="b">
        <v>1</v>
      </c>
      <c r="R51" s="308" t="s">
        <v>3138</v>
      </c>
      <c r="S51" s="400"/>
      <c r="T51" s="173" t="s">
        <v>4808</v>
      </c>
      <c r="U51" s="57" t="b">
        <v>1</v>
      </c>
      <c r="V51" s="310" t="s">
        <v>4809</v>
      </c>
      <c r="W51" s="307"/>
      <c r="X51" s="54"/>
    </row>
    <row r="52" spans="1:24" ht="16">
      <c r="A52" s="162"/>
      <c r="B52" s="71" t="s">
        <v>4791</v>
      </c>
      <c r="C52" s="66" t="s">
        <v>523</v>
      </c>
      <c r="D52" s="66" t="s">
        <v>3601</v>
      </c>
      <c r="E52" s="66" t="s">
        <v>523</v>
      </c>
      <c r="F52" s="66" t="s">
        <v>525</v>
      </c>
      <c r="G52" s="66" t="s">
        <v>68</v>
      </c>
      <c r="H52" s="131" t="s">
        <v>30</v>
      </c>
      <c r="I52" s="69">
        <v>1</v>
      </c>
      <c r="J52" s="188">
        <v>2350</v>
      </c>
      <c r="K52" s="54">
        <f t="shared" si="0"/>
        <v>2350</v>
      </c>
      <c r="L52" s="55" t="b">
        <v>1</v>
      </c>
      <c r="M52" s="56">
        <v>60520251848</v>
      </c>
      <c r="N52" s="57" t="b">
        <v>1</v>
      </c>
      <c r="O52" s="58"/>
      <c r="P52" s="215"/>
      <c r="Q52" s="191" t="b">
        <v>1</v>
      </c>
      <c r="R52" s="308" t="s">
        <v>3138</v>
      </c>
      <c r="S52" s="400"/>
      <c r="T52" s="173" t="s">
        <v>4810</v>
      </c>
      <c r="U52" s="57" t="b">
        <v>1</v>
      </c>
      <c r="V52" s="310" t="s">
        <v>4811</v>
      </c>
      <c r="W52" s="307"/>
      <c r="X52" s="54"/>
    </row>
    <row r="53" spans="1:24" ht="16">
      <c r="A53" s="162"/>
      <c r="B53" s="71" t="s">
        <v>4791</v>
      </c>
      <c r="C53" s="66" t="s">
        <v>51</v>
      </c>
      <c r="D53" s="66" t="s">
        <v>4717</v>
      </c>
      <c r="E53" s="66" t="s">
        <v>475</v>
      </c>
      <c r="F53" s="66" t="s">
        <v>2105</v>
      </c>
      <c r="G53" s="66" t="s">
        <v>4812</v>
      </c>
      <c r="H53" s="69" t="s">
        <v>30</v>
      </c>
      <c r="I53" s="66">
        <v>1</v>
      </c>
      <c r="J53" s="70">
        <v>24500</v>
      </c>
      <c r="K53" s="54">
        <v>24500</v>
      </c>
      <c r="L53" s="55" t="b">
        <v>1</v>
      </c>
      <c r="M53" s="56">
        <v>60520251848</v>
      </c>
      <c r="N53" s="57" t="b">
        <v>1</v>
      </c>
      <c r="O53" s="58"/>
      <c r="P53" s="215"/>
      <c r="Q53" s="191" t="b">
        <v>1</v>
      </c>
      <c r="R53" s="308" t="s">
        <v>3138</v>
      </c>
      <c r="S53" s="308"/>
      <c r="T53" s="337"/>
      <c r="U53" s="57" t="b">
        <v>1</v>
      </c>
      <c r="V53" s="310" t="s">
        <v>4813</v>
      </c>
      <c r="W53" s="307"/>
      <c r="X53" s="54"/>
    </row>
    <row r="54" spans="1:24" ht="16">
      <c r="A54" s="162"/>
      <c r="B54" s="71" t="s">
        <v>4814</v>
      </c>
      <c r="C54" s="66" t="s">
        <v>418</v>
      </c>
      <c r="D54" s="66" t="s">
        <v>4750</v>
      </c>
      <c r="E54" s="66" t="s">
        <v>230</v>
      </c>
      <c r="F54" s="66" t="s">
        <v>1990</v>
      </c>
      <c r="G54" s="53" t="s">
        <v>4583</v>
      </c>
      <c r="H54" s="131" t="s">
        <v>30</v>
      </c>
      <c r="I54" s="53">
        <v>600</v>
      </c>
      <c r="J54" s="188">
        <v>22.5</v>
      </c>
      <c r="K54" s="54">
        <f t="shared" ref="K54:K164" si="1">I54*J54</f>
        <v>13500</v>
      </c>
      <c r="L54" s="55" t="b">
        <v>1</v>
      </c>
      <c r="M54" s="56">
        <v>70520250933</v>
      </c>
      <c r="N54" s="57" t="b">
        <v>1</v>
      </c>
      <c r="O54" s="58"/>
      <c r="P54" s="215"/>
      <c r="Q54" s="191" t="b">
        <v>1</v>
      </c>
      <c r="R54" s="308" t="s">
        <v>3138</v>
      </c>
      <c r="S54" s="400"/>
      <c r="T54" s="173" t="s">
        <v>4815</v>
      </c>
      <c r="U54" s="57" t="b">
        <v>1</v>
      </c>
      <c r="V54" s="310" t="s">
        <v>4816</v>
      </c>
      <c r="W54" s="307"/>
      <c r="X54" s="54"/>
    </row>
    <row r="55" spans="1:24" ht="16">
      <c r="A55" s="162"/>
      <c r="B55" s="71" t="s">
        <v>4814</v>
      </c>
      <c r="C55" s="53" t="s">
        <v>51</v>
      </c>
      <c r="D55" s="53" t="s">
        <v>3487</v>
      </c>
      <c r="E55" s="53" t="s">
        <v>89</v>
      </c>
      <c r="F55" s="53" t="s">
        <v>2090</v>
      </c>
      <c r="G55" s="131" t="s">
        <v>4583</v>
      </c>
      <c r="H55" s="131" t="s">
        <v>30</v>
      </c>
      <c r="I55" s="53">
        <v>150</v>
      </c>
      <c r="J55" s="188">
        <v>22.5</v>
      </c>
      <c r="K55" s="54">
        <f t="shared" si="1"/>
        <v>3375</v>
      </c>
      <c r="L55" s="55" t="b">
        <v>1</v>
      </c>
      <c r="M55" s="56">
        <v>70520250935</v>
      </c>
      <c r="N55" s="57" t="b">
        <v>1</v>
      </c>
      <c r="O55" s="58"/>
      <c r="P55" s="215"/>
      <c r="Q55" s="191" t="b">
        <v>1</v>
      </c>
      <c r="R55" s="308" t="s">
        <v>3138</v>
      </c>
      <c r="S55" s="400"/>
      <c r="T55" s="173" t="s">
        <v>4817</v>
      </c>
      <c r="U55" s="57" t="b">
        <v>1</v>
      </c>
      <c r="V55" s="310" t="s">
        <v>4818</v>
      </c>
      <c r="W55" s="307"/>
      <c r="X55" s="54"/>
    </row>
    <row r="56" spans="1:24" ht="16">
      <c r="A56" s="162"/>
      <c r="B56" s="71" t="s">
        <v>4814</v>
      </c>
      <c r="C56" s="53" t="s">
        <v>51</v>
      </c>
      <c r="D56" s="53" t="s">
        <v>3458</v>
      </c>
      <c r="E56" s="53" t="s">
        <v>201</v>
      </c>
      <c r="F56" s="53" t="s">
        <v>202</v>
      </c>
      <c r="G56" s="53" t="s">
        <v>4718</v>
      </c>
      <c r="H56" s="131" t="s">
        <v>30</v>
      </c>
      <c r="I56" s="53">
        <v>100</v>
      </c>
      <c r="J56" s="188">
        <v>270</v>
      </c>
      <c r="K56" s="54">
        <f t="shared" si="1"/>
        <v>27000</v>
      </c>
      <c r="L56" s="55" t="b">
        <v>1</v>
      </c>
      <c r="M56" s="56">
        <v>70520251255</v>
      </c>
      <c r="N56" s="57" t="b">
        <v>1</v>
      </c>
      <c r="O56" s="58"/>
      <c r="P56" s="215"/>
      <c r="Q56" s="191" t="b">
        <v>1</v>
      </c>
      <c r="R56" s="308" t="s">
        <v>3138</v>
      </c>
      <c r="S56" s="308"/>
      <c r="T56" s="337"/>
      <c r="U56" s="57" t="b">
        <v>1</v>
      </c>
      <c r="V56" s="310" t="s">
        <v>4819</v>
      </c>
      <c r="W56" s="307"/>
      <c r="X56" s="54"/>
    </row>
    <row r="57" spans="1:24" ht="16">
      <c r="A57" s="162"/>
      <c r="B57" s="71" t="s">
        <v>4814</v>
      </c>
      <c r="C57" s="53" t="s">
        <v>397</v>
      </c>
      <c r="D57" s="53" t="s">
        <v>4820</v>
      </c>
      <c r="E57" s="53" t="s">
        <v>646</v>
      </c>
      <c r="F57" s="53" t="s">
        <v>2260</v>
      </c>
      <c r="G57" s="53" t="s">
        <v>4821</v>
      </c>
      <c r="H57" s="131" t="s">
        <v>30</v>
      </c>
      <c r="I57" s="53">
        <v>10</v>
      </c>
      <c r="J57" s="188">
        <v>375</v>
      </c>
      <c r="K57" s="54">
        <f t="shared" si="1"/>
        <v>3750</v>
      </c>
      <c r="L57" s="55" t="b">
        <v>1</v>
      </c>
      <c r="M57" s="56">
        <v>70520251255</v>
      </c>
      <c r="N57" s="57" t="b">
        <v>1</v>
      </c>
      <c r="O57" s="58"/>
      <c r="P57" s="215"/>
      <c r="Q57" s="191" t="b">
        <v>1</v>
      </c>
      <c r="R57" s="308" t="s">
        <v>3138</v>
      </c>
      <c r="S57" s="400"/>
      <c r="T57" s="173" t="s">
        <v>4822</v>
      </c>
      <c r="U57" s="57" t="b">
        <v>1</v>
      </c>
      <c r="V57" s="310" t="s">
        <v>4823</v>
      </c>
      <c r="W57" s="307"/>
      <c r="X57" s="54"/>
    </row>
    <row r="58" spans="1:24" ht="16">
      <c r="A58" s="162"/>
      <c r="B58" s="71" t="s">
        <v>4814</v>
      </c>
      <c r="C58" s="53" t="s">
        <v>51</v>
      </c>
      <c r="D58" s="53" t="s">
        <v>4099</v>
      </c>
      <c r="E58" s="53" t="s">
        <v>594</v>
      </c>
      <c r="F58" s="53" t="s">
        <v>595</v>
      </c>
      <c r="G58" s="53" t="s">
        <v>4824</v>
      </c>
      <c r="H58" s="131" t="s">
        <v>30</v>
      </c>
      <c r="I58" s="53">
        <v>5</v>
      </c>
      <c r="J58" s="188">
        <v>425</v>
      </c>
      <c r="K58" s="54">
        <f t="shared" si="1"/>
        <v>2125</v>
      </c>
      <c r="L58" s="55" t="b">
        <v>1</v>
      </c>
      <c r="M58" s="56">
        <v>70520251255</v>
      </c>
      <c r="N58" s="57" t="b">
        <v>1</v>
      </c>
      <c r="O58" s="58"/>
      <c r="P58" s="215"/>
      <c r="Q58" s="191" t="b">
        <v>1</v>
      </c>
      <c r="R58" s="308" t="s">
        <v>3138</v>
      </c>
      <c r="S58" s="308"/>
      <c r="T58" s="337"/>
      <c r="U58" s="57" t="b">
        <v>1</v>
      </c>
      <c r="V58" s="310" t="s">
        <v>4825</v>
      </c>
      <c r="W58" s="307"/>
      <c r="X58" s="54"/>
    </row>
    <row r="59" spans="1:24" ht="16">
      <c r="A59" s="162"/>
      <c r="B59" s="71" t="s">
        <v>4814</v>
      </c>
      <c r="C59" s="53" t="s">
        <v>51</v>
      </c>
      <c r="D59" s="53" t="s">
        <v>4099</v>
      </c>
      <c r="E59" s="53" t="s">
        <v>594</v>
      </c>
      <c r="F59" s="53" t="s">
        <v>595</v>
      </c>
      <c r="G59" s="66" t="s">
        <v>4826</v>
      </c>
      <c r="H59" s="131" t="s">
        <v>30</v>
      </c>
      <c r="I59" s="66">
        <v>1</v>
      </c>
      <c r="J59" s="70">
        <v>1400</v>
      </c>
      <c r="K59" s="54">
        <f t="shared" si="1"/>
        <v>1400</v>
      </c>
      <c r="L59" s="55" t="b">
        <v>1</v>
      </c>
      <c r="M59" s="56">
        <v>70520251255</v>
      </c>
      <c r="N59" s="57" t="b">
        <v>1</v>
      </c>
      <c r="O59" s="58"/>
      <c r="P59" s="215"/>
      <c r="Q59" s="191" t="b">
        <v>1</v>
      </c>
      <c r="R59" s="308" t="s">
        <v>3138</v>
      </c>
      <c r="S59" s="308"/>
      <c r="T59" s="337"/>
      <c r="U59" s="57" t="b">
        <v>1</v>
      </c>
      <c r="V59" s="310" t="s">
        <v>4825</v>
      </c>
      <c r="W59" s="307"/>
      <c r="X59" s="54"/>
    </row>
    <row r="60" spans="1:24" ht="16">
      <c r="A60" s="101"/>
      <c r="B60" s="71" t="s">
        <v>4814</v>
      </c>
      <c r="C60" s="53" t="s">
        <v>51</v>
      </c>
      <c r="D60" s="53" t="s">
        <v>4099</v>
      </c>
      <c r="E60" s="53" t="s">
        <v>594</v>
      </c>
      <c r="F60" s="53" t="s">
        <v>595</v>
      </c>
      <c r="G60" s="53" t="s">
        <v>4827</v>
      </c>
      <c r="H60" s="131" t="s">
        <v>30</v>
      </c>
      <c r="I60" s="53">
        <v>2</v>
      </c>
      <c r="J60" s="188">
        <v>375</v>
      </c>
      <c r="K60" s="54">
        <f t="shared" si="1"/>
        <v>750</v>
      </c>
      <c r="L60" s="55" t="b">
        <v>1</v>
      </c>
      <c r="M60" s="56">
        <v>70520251255</v>
      </c>
      <c r="N60" s="57" t="b">
        <v>1</v>
      </c>
      <c r="O60" s="58"/>
      <c r="P60" s="215"/>
      <c r="Q60" s="191" t="b">
        <v>1</v>
      </c>
      <c r="R60" s="308" t="s">
        <v>3138</v>
      </c>
      <c r="S60" s="308"/>
      <c r="T60" s="337"/>
      <c r="U60" s="57" t="b">
        <v>1</v>
      </c>
      <c r="V60" s="310" t="s">
        <v>4825</v>
      </c>
      <c r="W60" s="307"/>
      <c r="X60" s="54"/>
    </row>
    <row r="61" spans="1:24" ht="16">
      <c r="A61" s="101"/>
      <c r="B61" s="71" t="s">
        <v>4814</v>
      </c>
      <c r="C61" s="53" t="s">
        <v>51</v>
      </c>
      <c r="D61" s="53" t="s">
        <v>3532</v>
      </c>
      <c r="E61" s="53" t="s">
        <v>52</v>
      </c>
      <c r="F61" s="53" t="s">
        <v>1936</v>
      </c>
      <c r="G61" s="53" t="s">
        <v>4718</v>
      </c>
      <c r="H61" s="131" t="s">
        <v>30</v>
      </c>
      <c r="I61" s="53">
        <v>100</v>
      </c>
      <c r="J61" s="188">
        <v>270</v>
      </c>
      <c r="K61" s="54">
        <f t="shared" si="1"/>
        <v>27000</v>
      </c>
      <c r="L61" s="55" t="b">
        <v>1</v>
      </c>
      <c r="M61" s="56">
        <v>70520251255</v>
      </c>
      <c r="N61" s="57" t="b">
        <v>1</v>
      </c>
      <c r="O61" s="58"/>
      <c r="P61" s="215" t="s">
        <v>4828</v>
      </c>
      <c r="Q61" s="191" t="b">
        <v>1</v>
      </c>
      <c r="R61" s="308" t="s">
        <v>3138</v>
      </c>
      <c r="S61" s="400"/>
      <c r="T61" s="173" t="s">
        <v>4829</v>
      </c>
      <c r="U61" s="57" t="b">
        <v>1</v>
      </c>
      <c r="V61" s="310" t="s">
        <v>4830</v>
      </c>
      <c r="W61" s="307"/>
      <c r="X61" s="54"/>
    </row>
    <row r="62" spans="1:24" ht="16">
      <c r="A62" s="162"/>
      <c r="B62" s="71" t="s">
        <v>4814</v>
      </c>
      <c r="C62" s="53" t="s">
        <v>1733</v>
      </c>
      <c r="D62" s="53" t="s">
        <v>4831</v>
      </c>
      <c r="E62" s="53" t="s">
        <v>1733</v>
      </c>
      <c r="F62" s="53" t="s">
        <v>1734</v>
      </c>
      <c r="G62" s="53" t="s">
        <v>4718</v>
      </c>
      <c r="H62" s="131" t="s">
        <v>30</v>
      </c>
      <c r="I62" s="53">
        <v>50</v>
      </c>
      <c r="J62" s="188">
        <v>270</v>
      </c>
      <c r="K62" s="54">
        <f t="shared" si="1"/>
        <v>13500</v>
      </c>
      <c r="L62" s="55" t="b">
        <v>1</v>
      </c>
      <c r="M62" s="56">
        <v>70520251255</v>
      </c>
      <c r="N62" s="57" t="b">
        <v>1</v>
      </c>
      <c r="O62" s="58"/>
      <c r="P62" s="215"/>
      <c r="Q62" s="191" t="b">
        <v>1</v>
      </c>
      <c r="R62" s="308" t="s">
        <v>3138</v>
      </c>
      <c r="S62" s="400"/>
      <c r="T62" s="173" t="s">
        <v>4832</v>
      </c>
      <c r="U62" s="57" t="b">
        <v>1</v>
      </c>
      <c r="V62" s="310" t="s">
        <v>4833</v>
      </c>
      <c r="W62" s="307"/>
      <c r="X62" s="54"/>
    </row>
    <row r="63" spans="1:24" ht="16">
      <c r="A63" s="162"/>
      <c r="B63" s="71" t="s">
        <v>4814</v>
      </c>
      <c r="C63" s="53" t="s">
        <v>1733</v>
      </c>
      <c r="D63" s="53" t="s">
        <v>4831</v>
      </c>
      <c r="E63" s="53" t="s">
        <v>1733</v>
      </c>
      <c r="F63" s="53" t="s">
        <v>1734</v>
      </c>
      <c r="G63" s="53" t="s">
        <v>72</v>
      </c>
      <c r="H63" s="131" t="s">
        <v>30</v>
      </c>
      <c r="I63" s="53">
        <v>1</v>
      </c>
      <c r="J63" s="188">
        <v>750</v>
      </c>
      <c r="K63" s="54">
        <f t="shared" si="1"/>
        <v>750</v>
      </c>
      <c r="L63" s="55" t="b">
        <v>1</v>
      </c>
      <c r="M63" s="56">
        <v>70520251255</v>
      </c>
      <c r="N63" s="57" t="b">
        <v>1</v>
      </c>
      <c r="O63" s="58"/>
      <c r="P63" s="215"/>
      <c r="Q63" s="191" t="b">
        <v>1</v>
      </c>
      <c r="R63" s="308" t="s">
        <v>3138</v>
      </c>
      <c r="S63" s="400"/>
      <c r="T63" s="173"/>
      <c r="U63" s="57" t="b">
        <v>1</v>
      </c>
      <c r="V63" s="310" t="s">
        <v>4834</v>
      </c>
      <c r="W63" s="307"/>
      <c r="X63" s="54"/>
    </row>
    <row r="64" spans="1:24" ht="16">
      <c r="A64" s="162"/>
      <c r="B64" s="71" t="s">
        <v>4814</v>
      </c>
      <c r="C64" s="53" t="s">
        <v>104</v>
      </c>
      <c r="D64" s="53" t="s">
        <v>4835</v>
      </c>
      <c r="E64" s="53" t="s">
        <v>974</v>
      </c>
      <c r="F64" s="53" t="s">
        <v>975</v>
      </c>
      <c r="G64" s="53" t="s">
        <v>4583</v>
      </c>
      <c r="H64" s="131" t="s">
        <v>30</v>
      </c>
      <c r="I64" s="53">
        <v>150</v>
      </c>
      <c r="J64" s="188">
        <v>22.5</v>
      </c>
      <c r="K64" s="54">
        <f t="shared" si="1"/>
        <v>3375</v>
      </c>
      <c r="L64" s="55" t="b">
        <v>1</v>
      </c>
      <c r="M64" s="56">
        <v>70520251526</v>
      </c>
      <c r="N64" s="57" t="b">
        <v>1</v>
      </c>
      <c r="O64" s="58"/>
      <c r="P64" s="215"/>
      <c r="Q64" s="191" t="b">
        <v>1</v>
      </c>
      <c r="R64" s="308" t="s">
        <v>3138</v>
      </c>
      <c r="S64" s="400"/>
      <c r="T64" s="173" t="s">
        <v>4836</v>
      </c>
      <c r="U64" s="57" t="b">
        <v>1</v>
      </c>
      <c r="V64" s="310" t="s">
        <v>4837</v>
      </c>
      <c r="W64" s="307"/>
      <c r="X64" s="54"/>
    </row>
    <row r="65" spans="1:24" ht="16">
      <c r="A65" s="162"/>
      <c r="B65" s="71" t="s">
        <v>4814</v>
      </c>
      <c r="C65" s="53" t="s">
        <v>51</v>
      </c>
      <c r="D65" s="53" t="s">
        <v>3641</v>
      </c>
      <c r="E65" s="66" t="s">
        <v>335</v>
      </c>
      <c r="F65" s="53" t="s">
        <v>457</v>
      </c>
      <c r="G65" s="53" t="s">
        <v>4583</v>
      </c>
      <c r="H65" s="131" t="s">
        <v>30</v>
      </c>
      <c r="I65" s="66">
        <v>250</v>
      </c>
      <c r="J65" s="70">
        <v>21</v>
      </c>
      <c r="K65" s="54">
        <f t="shared" si="1"/>
        <v>5250</v>
      </c>
      <c r="L65" s="55" t="b">
        <v>1</v>
      </c>
      <c r="M65" s="56">
        <v>70520251526</v>
      </c>
      <c r="N65" s="57" t="b">
        <v>1</v>
      </c>
      <c r="O65" s="58"/>
      <c r="P65" s="215"/>
      <c r="Q65" s="191" t="b">
        <v>1</v>
      </c>
      <c r="R65" s="308" t="s">
        <v>3138</v>
      </c>
      <c r="S65" s="400"/>
      <c r="T65" s="173" t="s">
        <v>4838</v>
      </c>
      <c r="U65" s="57" t="b">
        <v>1</v>
      </c>
      <c r="V65" s="310" t="s">
        <v>4839</v>
      </c>
      <c r="W65" s="307"/>
      <c r="X65" s="54"/>
    </row>
    <row r="66" spans="1:24" ht="16">
      <c r="A66" s="162"/>
      <c r="B66" s="71" t="s">
        <v>4814</v>
      </c>
      <c r="C66" s="53" t="s">
        <v>51</v>
      </c>
      <c r="D66" s="53" t="s">
        <v>3641</v>
      </c>
      <c r="E66" s="66" t="s">
        <v>335</v>
      </c>
      <c r="F66" s="53" t="s">
        <v>457</v>
      </c>
      <c r="G66" s="53" t="s">
        <v>4790</v>
      </c>
      <c r="H66" s="131" t="s">
        <v>30</v>
      </c>
      <c r="I66" s="53">
        <v>2</v>
      </c>
      <c r="J66" s="188">
        <v>1250</v>
      </c>
      <c r="K66" s="54">
        <f t="shared" si="1"/>
        <v>2500</v>
      </c>
      <c r="L66" s="55" t="b">
        <v>1</v>
      </c>
      <c r="M66" s="56">
        <v>70520251526</v>
      </c>
      <c r="N66" s="57" t="b">
        <v>1</v>
      </c>
      <c r="O66" s="58"/>
      <c r="P66" s="215"/>
      <c r="Q66" s="191" t="b">
        <v>1</v>
      </c>
      <c r="R66" s="308" t="s">
        <v>3138</v>
      </c>
      <c r="S66" s="400"/>
      <c r="T66" s="173" t="s">
        <v>4840</v>
      </c>
      <c r="U66" s="57" t="b">
        <v>1</v>
      </c>
      <c r="V66" s="310" t="s">
        <v>4841</v>
      </c>
      <c r="W66" s="307"/>
      <c r="X66" s="54"/>
    </row>
    <row r="67" spans="1:24" ht="16">
      <c r="A67" s="162"/>
      <c r="B67" s="71" t="s">
        <v>4814</v>
      </c>
      <c r="C67" s="53" t="s">
        <v>345</v>
      </c>
      <c r="D67" s="53" t="s">
        <v>4095</v>
      </c>
      <c r="E67" s="66" t="s">
        <v>342</v>
      </c>
      <c r="F67" s="66" t="s">
        <v>4842</v>
      </c>
      <c r="G67" s="53" t="s">
        <v>4843</v>
      </c>
      <c r="H67" s="131" t="s">
        <v>30</v>
      </c>
      <c r="I67" s="53">
        <v>4</v>
      </c>
      <c r="J67" s="188">
        <v>0.01</v>
      </c>
      <c r="K67" s="54">
        <f t="shared" si="1"/>
        <v>0.04</v>
      </c>
      <c r="L67" s="55" t="b">
        <v>1</v>
      </c>
      <c r="M67" s="56">
        <v>70520251526</v>
      </c>
      <c r="N67" s="57" t="b">
        <v>1</v>
      </c>
      <c r="O67" s="58"/>
      <c r="P67" s="215"/>
      <c r="Q67" s="191" t="b">
        <v>1</v>
      </c>
      <c r="R67" s="308" t="s">
        <v>3138</v>
      </c>
      <c r="S67" s="400"/>
      <c r="T67" s="173" t="s">
        <v>4844</v>
      </c>
      <c r="U67" s="57" t="b">
        <v>1</v>
      </c>
      <c r="V67" s="403" t="s">
        <v>4845</v>
      </c>
      <c r="W67" s="307"/>
      <c r="X67" s="54"/>
    </row>
    <row r="68" spans="1:24" ht="15.75" customHeight="1">
      <c r="A68" s="162"/>
      <c r="B68" s="71" t="s">
        <v>4846</v>
      </c>
      <c r="C68" s="53" t="s">
        <v>51</v>
      </c>
      <c r="D68" s="53" t="s">
        <v>3552</v>
      </c>
      <c r="E68" s="66" t="s">
        <v>66</v>
      </c>
      <c r="F68" s="66" t="s">
        <v>67</v>
      </c>
      <c r="G68" s="53" t="s">
        <v>4847</v>
      </c>
      <c r="H68" s="131" t="s">
        <v>30</v>
      </c>
      <c r="I68" s="53">
        <v>5</v>
      </c>
      <c r="J68" s="188">
        <v>595</v>
      </c>
      <c r="K68" s="54">
        <f t="shared" si="1"/>
        <v>2975</v>
      </c>
      <c r="L68" s="55" t="b">
        <v>1</v>
      </c>
      <c r="M68" s="56">
        <v>80520250921</v>
      </c>
      <c r="N68" s="57" t="b">
        <v>1</v>
      </c>
      <c r="O68" s="58"/>
      <c r="P68" s="215"/>
      <c r="Q68" s="191" t="b">
        <v>1</v>
      </c>
      <c r="R68" s="308" t="s">
        <v>3138</v>
      </c>
      <c r="S68" s="400"/>
      <c r="T68" s="173" t="s">
        <v>4848</v>
      </c>
      <c r="U68" s="57" t="b">
        <v>1</v>
      </c>
      <c r="V68" s="310" t="s">
        <v>4849</v>
      </c>
      <c r="W68" s="307"/>
      <c r="X68" s="54"/>
    </row>
    <row r="69" spans="1:24" ht="16">
      <c r="A69" s="162"/>
      <c r="B69" s="71" t="s">
        <v>4846</v>
      </c>
      <c r="C69" s="53" t="s">
        <v>3242</v>
      </c>
      <c r="D69" s="53" t="s">
        <v>4325</v>
      </c>
      <c r="E69" s="53" t="s">
        <v>2296</v>
      </c>
      <c r="F69" s="53" t="s">
        <v>4850</v>
      </c>
      <c r="G69" s="53" t="s">
        <v>4851</v>
      </c>
      <c r="H69" s="131" t="s">
        <v>30</v>
      </c>
      <c r="I69" s="66">
        <v>5</v>
      </c>
      <c r="J69" s="70">
        <v>325</v>
      </c>
      <c r="K69" s="54">
        <f t="shared" si="1"/>
        <v>1625</v>
      </c>
      <c r="L69" s="55" t="b">
        <v>1</v>
      </c>
      <c r="M69" s="56">
        <v>80520250945</v>
      </c>
      <c r="N69" s="57" t="b">
        <v>1</v>
      </c>
      <c r="O69" s="58" t="s">
        <v>529</v>
      </c>
      <c r="P69" s="215"/>
      <c r="Q69" s="191" t="b">
        <v>1</v>
      </c>
      <c r="R69" s="308" t="s">
        <v>3138</v>
      </c>
      <c r="S69" s="128"/>
      <c r="T69" s="337"/>
      <c r="U69" s="57" t="b">
        <v>1</v>
      </c>
      <c r="V69" s="310" t="s">
        <v>4852</v>
      </c>
      <c r="W69" s="307"/>
      <c r="X69" s="54"/>
    </row>
    <row r="70" spans="1:24" ht="14.25" customHeight="1">
      <c r="A70" s="162"/>
      <c r="B70" s="71" t="s">
        <v>4846</v>
      </c>
      <c r="C70" s="53" t="s">
        <v>51</v>
      </c>
      <c r="D70" s="53" t="s">
        <v>3532</v>
      </c>
      <c r="E70" s="53" t="s">
        <v>52</v>
      </c>
      <c r="F70" s="53" t="s">
        <v>1710</v>
      </c>
      <c r="G70" s="53" t="s">
        <v>1966</v>
      </c>
      <c r="H70" s="131" t="s">
        <v>30</v>
      </c>
      <c r="I70" s="53">
        <v>10</v>
      </c>
      <c r="J70" s="188">
        <v>650</v>
      </c>
      <c r="K70" s="54">
        <f t="shared" si="1"/>
        <v>6500</v>
      </c>
      <c r="L70" s="55" t="b">
        <v>1</v>
      </c>
      <c r="M70" s="56">
        <v>80520251226</v>
      </c>
      <c r="N70" s="57" t="b">
        <v>1</v>
      </c>
      <c r="O70" s="58" t="s">
        <v>39</v>
      </c>
      <c r="P70" s="226">
        <v>45785</v>
      </c>
      <c r="Q70" s="191" t="b">
        <v>1</v>
      </c>
      <c r="R70" s="308" t="s">
        <v>3138</v>
      </c>
      <c r="S70" s="400"/>
      <c r="T70" s="297" t="s">
        <v>4853</v>
      </c>
      <c r="U70" s="57" t="b">
        <v>1</v>
      </c>
      <c r="V70" s="310" t="s">
        <v>4854</v>
      </c>
      <c r="W70" s="307"/>
      <c r="X70" s="359"/>
    </row>
    <row r="71" spans="1:24" ht="16">
      <c r="A71" s="162"/>
      <c r="B71" s="71" t="s">
        <v>4846</v>
      </c>
      <c r="C71" s="53" t="s">
        <v>51</v>
      </c>
      <c r="D71" s="53" t="s">
        <v>3532</v>
      </c>
      <c r="E71" s="53" t="s">
        <v>52</v>
      </c>
      <c r="F71" s="53" t="s">
        <v>1710</v>
      </c>
      <c r="G71" s="53" t="s">
        <v>4653</v>
      </c>
      <c r="H71" s="131" t="s">
        <v>30</v>
      </c>
      <c r="I71" s="53">
        <v>200</v>
      </c>
      <c r="J71" s="188">
        <v>3.75</v>
      </c>
      <c r="K71" s="54">
        <f t="shared" si="1"/>
        <v>750</v>
      </c>
      <c r="L71" s="55" t="b">
        <v>1</v>
      </c>
      <c r="M71" s="56">
        <v>80520251226</v>
      </c>
      <c r="N71" s="57" t="b">
        <v>1</v>
      </c>
      <c r="O71" s="58" t="s">
        <v>1581</v>
      </c>
      <c r="P71" s="215"/>
      <c r="Q71" s="191" t="b">
        <v>1</v>
      </c>
      <c r="R71" s="308" t="s">
        <v>3138</v>
      </c>
      <c r="S71" s="400"/>
      <c r="T71" s="173" t="s">
        <v>4855</v>
      </c>
      <c r="U71" s="57" t="b">
        <v>1</v>
      </c>
      <c r="V71" s="310" t="s">
        <v>4856</v>
      </c>
      <c r="W71" s="307"/>
      <c r="X71" s="54"/>
    </row>
    <row r="72" spans="1:24" ht="16">
      <c r="A72" s="162"/>
      <c r="B72" s="71" t="s">
        <v>4857</v>
      </c>
      <c r="C72" s="53" t="s">
        <v>51</v>
      </c>
      <c r="D72" s="53" t="s">
        <v>3532</v>
      </c>
      <c r="E72" s="53" t="s">
        <v>201</v>
      </c>
      <c r="F72" s="53" t="s">
        <v>202</v>
      </c>
      <c r="G72" s="53" t="s">
        <v>4858</v>
      </c>
      <c r="H72" s="131" t="s">
        <v>30</v>
      </c>
      <c r="I72" s="53">
        <v>1</v>
      </c>
      <c r="J72" s="188">
        <v>1750</v>
      </c>
      <c r="K72" s="54">
        <f t="shared" si="1"/>
        <v>1750</v>
      </c>
      <c r="L72" s="55" t="b">
        <v>1</v>
      </c>
      <c r="M72" s="56">
        <v>90520250927</v>
      </c>
      <c r="N72" s="57" t="b">
        <v>1</v>
      </c>
      <c r="O72" s="58"/>
      <c r="P72" s="215"/>
      <c r="Q72" s="191" t="b">
        <v>1</v>
      </c>
      <c r="R72" s="308" t="s">
        <v>3138</v>
      </c>
      <c r="S72" s="308"/>
      <c r="T72" s="337"/>
      <c r="U72" s="57" t="b">
        <v>1</v>
      </c>
      <c r="V72" s="310" t="s">
        <v>4859</v>
      </c>
      <c r="X72" s="54"/>
    </row>
    <row r="73" spans="1:24" ht="16">
      <c r="A73" s="162"/>
      <c r="B73" s="71" t="s">
        <v>4857</v>
      </c>
      <c r="C73" s="53" t="s">
        <v>51</v>
      </c>
      <c r="D73" s="53" t="s">
        <v>3532</v>
      </c>
      <c r="E73" s="53" t="s">
        <v>52</v>
      </c>
      <c r="F73" s="53" t="s">
        <v>1710</v>
      </c>
      <c r="G73" s="53" t="s">
        <v>4860</v>
      </c>
      <c r="H73" s="131" t="s">
        <v>30</v>
      </c>
      <c r="I73" s="53">
        <v>5</v>
      </c>
      <c r="J73" s="188">
        <v>2250</v>
      </c>
      <c r="K73" s="54">
        <f t="shared" si="1"/>
        <v>11250</v>
      </c>
      <c r="L73" s="55" t="b">
        <v>1</v>
      </c>
      <c r="M73" s="56">
        <v>90520250927</v>
      </c>
      <c r="N73" s="57" t="b">
        <v>1</v>
      </c>
      <c r="O73" s="58"/>
      <c r="P73" s="215" t="s">
        <v>529</v>
      </c>
      <c r="Q73" s="191" t="b">
        <v>1</v>
      </c>
      <c r="R73" s="308" t="s">
        <v>3138</v>
      </c>
      <c r="S73" s="400"/>
      <c r="T73" s="173" t="s">
        <v>4861</v>
      </c>
      <c r="U73" s="57" t="b">
        <v>1</v>
      </c>
      <c r="V73" s="310" t="s">
        <v>4862</v>
      </c>
      <c r="W73" s="307"/>
      <c r="X73" s="54"/>
    </row>
    <row r="74" spans="1:24" ht="16">
      <c r="A74" s="162"/>
      <c r="B74" s="71" t="s">
        <v>4857</v>
      </c>
      <c r="C74" s="53" t="s">
        <v>51</v>
      </c>
      <c r="D74" s="53" t="s">
        <v>3532</v>
      </c>
      <c r="E74" s="53" t="s">
        <v>52</v>
      </c>
      <c r="F74" s="53" t="s">
        <v>1710</v>
      </c>
      <c r="G74" s="53" t="s">
        <v>4752</v>
      </c>
      <c r="H74" s="131" t="s">
        <v>30</v>
      </c>
      <c r="I74" s="53">
        <v>3</v>
      </c>
      <c r="J74" s="188">
        <v>1950</v>
      </c>
      <c r="K74" s="54">
        <f t="shared" si="1"/>
        <v>5850</v>
      </c>
      <c r="L74" s="55" t="b">
        <v>1</v>
      </c>
      <c r="M74" s="56">
        <v>90520250927</v>
      </c>
      <c r="N74" s="57" t="b">
        <v>1</v>
      </c>
      <c r="O74" s="58"/>
      <c r="P74" s="215" t="s">
        <v>529</v>
      </c>
      <c r="Q74" s="191" t="b">
        <v>1</v>
      </c>
      <c r="R74" s="308" t="s">
        <v>3138</v>
      </c>
      <c r="S74" s="400"/>
      <c r="T74" s="173" t="s">
        <v>4861</v>
      </c>
      <c r="U74" s="57" t="b">
        <v>1</v>
      </c>
      <c r="V74" s="310" t="s">
        <v>4862</v>
      </c>
      <c r="W74" s="307"/>
      <c r="X74" s="54"/>
    </row>
    <row r="75" spans="1:24" ht="16">
      <c r="A75" s="162"/>
      <c r="B75" s="71" t="s">
        <v>4857</v>
      </c>
      <c r="C75" s="53" t="s">
        <v>51</v>
      </c>
      <c r="D75" s="53" t="s">
        <v>3532</v>
      </c>
      <c r="E75" s="53" t="s">
        <v>52</v>
      </c>
      <c r="F75" s="53" t="s">
        <v>1710</v>
      </c>
      <c r="G75" s="80" t="s">
        <v>4722</v>
      </c>
      <c r="H75" s="131" t="s">
        <v>30</v>
      </c>
      <c r="I75" s="53">
        <v>5</v>
      </c>
      <c r="J75" s="188">
        <v>165</v>
      </c>
      <c r="K75" s="54">
        <f t="shared" si="1"/>
        <v>825</v>
      </c>
      <c r="L75" s="55" t="b">
        <v>1</v>
      </c>
      <c r="M75" s="56">
        <v>90520250927</v>
      </c>
      <c r="N75" s="57" t="b">
        <v>1</v>
      </c>
      <c r="O75" s="58" t="s">
        <v>3300</v>
      </c>
      <c r="P75" s="226">
        <v>45790</v>
      </c>
      <c r="Q75" s="191" t="b">
        <v>1</v>
      </c>
      <c r="R75" s="308" t="s">
        <v>3138</v>
      </c>
      <c r="S75" s="400"/>
      <c r="T75" s="173" t="s">
        <v>4863</v>
      </c>
      <c r="U75" s="57" t="b">
        <v>1</v>
      </c>
      <c r="V75" s="310" t="s">
        <v>4864</v>
      </c>
      <c r="W75" s="307"/>
      <c r="X75" s="54"/>
    </row>
    <row r="76" spans="1:24" ht="16">
      <c r="A76" s="162"/>
      <c r="B76" s="132" t="s">
        <v>4857</v>
      </c>
      <c r="C76" s="66" t="s">
        <v>2152</v>
      </c>
      <c r="D76" s="66" t="s">
        <v>3663</v>
      </c>
      <c r="E76" s="66" t="s">
        <v>2152</v>
      </c>
      <c r="F76" s="66" t="s">
        <v>3077</v>
      </c>
      <c r="G76" s="53" t="s">
        <v>677</v>
      </c>
      <c r="H76" s="131" t="s">
        <v>30</v>
      </c>
      <c r="I76" s="53">
        <v>30</v>
      </c>
      <c r="J76" s="188">
        <v>145</v>
      </c>
      <c r="K76" s="54">
        <f t="shared" si="1"/>
        <v>4350</v>
      </c>
      <c r="L76" s="55" t="b">
        <v>1</v>
      </c>
      <c r="M76" s="56">
        <v>90520251620</v>
      </c>
      <c r="N76" s="57" t="b">
        <v>1</v>
      </c>
      <c r="O76" s="58"/>
      <c r="P76" s="215"/>
      <c r="Q76" s="191" t="b">
        <v>1</v>
      </c>
      <c r="R76" s="308" t="s">
        <v>3138</v>
      </c>
      <c r="S76" s="400"/>
      <c r="T76" s="173" t="s">
        <v>4865</v>
      </c>
      <c r="U76" s="57" t="b">
        <v>1</v>
      </c>
      <c r="V76" s="310" t="s">
        <v>4866</v>
      </c>
      <c r="W76" s="307"/>
      <c r="X76" s="54"/>
    </row>
    <row r="77" spans="1:24" ht="16">
      <c r="A77" s="162"/>
      <c r="B77" s="132" t="s">
        <v>4867</v>
      </c>
      <c r="C77" s="53" t="s">
        <v>144</v>
      </c>
      <c r="D77" s="53" t="s">
        <v>3521</v>
      </c>
      <c r="E77" s="53" t="s">
        <v>285</v>
      </c>
      <c r="F77" s="53" t="s">
        <v>4868</v>
      </c>
      <c r="G77" s="53" t="s">
        <v>1966</v>
      </c>
      <c r="H77" s="131" t="s">
        <v>30</v>
      </c>
      <c r="I77" s="53">
        <v>20</v>
      </c>
      <c r="J77" s="188">
        <v>650</v>
      </c>
      <c r="K77" s="54">
        <f t="shared" si="1"/>
        <v>13000</v>
      </c>
      <c r="L77" s="55" t="b">
        <v>1</v>
      </c>
      <c r="M77" s="56">
        <v>120520250922</v>
      </c>
      <c r="N77" s="57" t="b">
        <v>1</v>
      </c>
      <c r="O77" s="58" t="s">
        <v>39</v>
      </c>
      <c r="P77" s="226">
        <v>45789</v>
      </c>
      <c r="Q77" s="191" t="b">
        <v>1</v>
      </c>
      <c r="R77" s="308" t="s">
        <v>3138</v>
      </c>
      <c r="S77" s="400"/>
      <c r="T77" s="173" t="s">
        <v>4869</v>
      </c>
      <c r="U77" s="57" t="b">
        <v>1</v>
      </c>
      <c r="V77" s="310" t="s">
        <v>4870</v>
      </c>
      <c r="W77" s="307"/>
      <c r="X77" s="54"/>
    </row>
    <row r="78" spans="1:24" ht="16">
      <c r="A78" s="162"/>
      <c r="B78" s="132" t="s">
        <v>4867</v>
      </c>
      <c r="C78" s="53" t="s">
        <v>46</v>
      </c>
      <c r="D78" s="53" t="s">
        <v>3577</v>
      </c>
      <c r="E78" s="53" t="s">
        <v>47</v>
      </c>
      <c r="F78" s="53" t="s">
        <v>48</v>
      </c>
      <c r="G78" s="53" t="s">
        <v>1966</v>
      </c>
      <c r="H78" s="131" t="s">
        <v>30</v>
      </c>
      <c r="I78" s="53">
        <v>10</v>
      </c>
      <c r="J78" s="188">
        <v>650</v>
      </c>
      <c r="K78" s="54">
        <f t="shared" si="1"/>
        <v>6500</v>
      </c>
      <c r="L78" s="55" t="b">
        <v>1</v>
      </c>
      <c r="M78" s="56">
        <v>120520250922</v>
      </c>
      <c r="N78" s="57" t="b">
        <v>1</v>
      </c>
      <c r="O78" s="58" t="s">
        <v>39</v>
      </c>
      <c r="P78" s="226">
        <v>45789</v>
      </c>
      <c r="Q78" s="191" t="b">
        <v>1</v>
      </c>
      <c r="R78" s="308" t="s">
        <v>3138</v>
      </c>
      <c r="S78" s="400"/>
      <c r="T78" s="173" t="s">
        <v>4871</v>
      </c>
      <c r="U78" s="57" t="b">
        <v>1</v>
      </c>
      <c r="V78" s="310" t="s">
        <v>4872</v>
      </c>
      <c r="W78" s="307"/>
      <c r="X78" s="54"/>
    </row>
    <row r="79" spans="1:24" ht="16">
      <c r="A79" s="162"/>
      <c r="B79" s="132" t="s">
        <v>4867</v>
      </c>
      <c r="C79" s="53" t="s">
        <v>149</v>
      </c>
      <c r="D79" s="53" t="s">
        <v>4173</v>
      </c>
      <c r="E79" s="53" t="s">
        <v>130</v>
      </c>
      <c r="F79" s="53" t="s">
        <v>150</v>
      </c>
      <c r="G79" s="53" t="s">
        <v>1966</v>
      </c>
      <c r="H79" s="131" t="s">
        <v>30</v>
      </c>
      <c r="I79" s="53">
        <v>10</v>
      </c>
      <c r="J79" s="188">
        <v>650</v>
      </c>
      <c r="K79" s="54">
        <f t="shared" si="1"/>
        <v>6500</v>
      </c>
      <c r="L79" s="55" t="b">
        <v>1</v>
      </c>
      <c r="M79" s="56">
        <v>120520251712</v>
      </c>
      <c r="N79" s="57" t="b">
        <v>1</v>
      </c>
      <c r="O79" s="58" t="s">
        <v>39</v>
      </c>
      <c r="P79" s="226">
        <v>45789</v>
      </c>
      <c r="Q79" s="191" t="b">
        <v>1</v>
      </c>
      <c r="R79" s="308" t="s">
        <v>3138</v>
      </c>
      <c r="S79" s="400"/>
      <c r="T79" s="173" t="s">
        <v>4873</v>
      </c>
      <c r="U79" s="57" t="b">
        <v>1</v>
      </c>
      <c r="V79" s="310" t="s">
        <v>4874</v>
      </c>
      <c r="W79" s="307"/>
      <c r="X79" s="54"/>
    </row>
    <row r="80" spans="1:24" ht="16">
      <c r="A80" s="162"/>
      <c r="B80" s="132" t="s">
        <v>4867</v>
      </c>
      <c r="C80" s="66" t="s">
        <v>418</v>
      </c>
      <c r="D80" s="66" t="s">
        <v>4750</v>
      </c>
      <c r="E80" s="66" t="s">
        <v>230</v>
      </c>
      <c r="F80" s="53" t="s">
        <v>4754</v>
      </c>
      <c r="G80" s="53" t="s">
        <v>4755</v>
      </c>
      <c r="H80" s="131" t="s">
        <v>30</v>
      </c>
      <c r="I80" s="53">
        <v>12</v>
      </c>
      <c r="J80" s="188">
        <v>325</v>
      </c>
      <c r="K80" s="54">
        <f t="shared" si="1"/>
        <v>3900</v>
      </c>
      <c r="L80" s="55" t="b">
        <v>1</v>
      </c>
      <c r="M80" s="56">
        <v>120520251712</v>
      </c>
      <c r="N80" s="57" t="b">
        <v>1</v>
      </c>
      <c r="O80" s="58" t="s">
        <v>529</v>
      </c>
      <c r="P80" s="226">
        <v>45789</v>
      </c>
      <c r="Q80" s="191" t="b">
        <v>1</v>
      </c>
      <c r="R80" s="308" t="s">
        <v>3138</v>
      </c>
      <c r="S80" s="128"/>
      <c r="T80" s="337"/>
      <c r="U80" s="57" t="b">
        <v>1</v>
      </c>
      <c r="V80" s="310" t="s">
        <v>4875</v>
      </c>
      <c r="W80" s="307"/>
      <c r="X80" s="54"/>
    </row>
    <row r="81" spans="1:24" ht="16">
      <c r="A81" s="162"/>
      <c r="B81" s="132" t="s">
        <v>4867</v>
      </c>
      <c r="C81" s="53" t="s">
        <v>51</v>
      </c>
      <c r="D81" s="53" t="s">
        <v>3552</v>
      </c>
      <c r="E81" s="53" t="s">
        <v>66</v>
      </c>
      <c r="F81" s="53" t="s">
        <v>67</v>
      </c>
      <c r="G81" s="69" t="s">
        <v>4876</v>
      </c>
      <c r="H81" s="131" t="s">
        <v>30</v>
      </c>
      <c r="I81" s="53">
        <v>88</v>
      </c>
      <c r="J81" s="188">
        <v>130</v>
      </c>
      <c r="K81" s="54">
        <f t="shared" si="1"/>
        <v>11440</v>
      </c>
      <c r="L81" s="55" t="b">
        <v>1</v>
      </c>
      <c r="M81" s="56">
        <v>120520251712</v>
      </c>
      <c r="N81" s="57" t="b">
        <v>1</v>
      </c>
      <c r="O81" s="58" t="s">
        <v>2968</v>
      </c>
      <c r="P81" s="215"/>
      <c r="Q81" s="191" t="b">
        <v>1</v>
      </c>
      <c r="R81" s="308" t="s">
        <v>3138</v>
      </c>
      <c r="S81" s="400"/>
      <c r="T81" s="173" t="s">
        <v>4877</v>
      </c>
      <c r="U81" s="57" t="b">
        <v>1</v>
      </c>
      <c r="V81" s="310" t="s">
        <v>4878</v>
      </c>
      <c r="W81" s="307"/>
      <c r="X81" s="54"/>
    </row>
    <row r="82" spans="1:24" ht="16">
      <c r="A82" s="162"/>
      <c r="B82" s="132" t="s">
        <v>4879</v>
      </c>
      <c r="C82" s="53" t="s">
        <v>104</v>
      </c>
      <c r="D82" s="53" t="s">
        <v>4165</v>
      </c>
      <c r="E82" s="53" t="s">
        <v>2273</v>
      </c>
      <c r="F82" s="53" t="s">
        <v>1314</v>
      </c>
      <c r="G82" s="53" t="s">
        <v>4583</v>
      </c>
      <c r="H82" s="131" t="s">
        <v>30</v>
      </c>
      <c r="I82" s="53">
        <v>150</v>
      </c>
      <c r="J82" s="188">
        <v>22.5</v>
      </c>
      <c r="K82" s="54">
        <f t="shared" si="1"/>
        <v>3375</v>
      </c>
      <c r="L82" s="55" t="b">
        <v>1</v>
      </c>
      <c r="M82" s="56">
        <v>130520251733</v>
      </c>
      <c r="N82" s="57" t="b">
        <v>1</v>
      </c>
      <c r="O82" s="58" t="s">
        <v>1581</v>
      </c>
      <c r="P82" s="215"/>
      <c r="Q82" s="191" t="b">
        <v>1</v>
      </c>
      <c r="R82" s="308" t="s">
        <v>3138</v>
      </c>
      <c r="S82" s="400"/>
      <c r="T82" s="173" t="s">
        <v>4880</v>
      </c>
      <c r="U82" s="57" t="b">
        <v>1</v>
      </c>
      <c r="V82" s="310" t="s">
        <v>4881</v>
      </c>
      <c r="W82" s="307"/>
      <c r="X82" s="54"/>
    </row>
    <row r="83" spans="1:24" ht="16">
      <c r="A83" s="162"/>
      <c r="B83" s="132" t="s">
        <v>4879</v>
      </c>
      <c r="C83" s="53" t="s">
        <v>2153</v>
      </c>
      <c r="D83" s="53" t="s">
        <v>4742</v>
      </c>
      <c r="E83" s="53" t="s">
        <v>2153</v>
      </c>
      <c r="F83" s="53" t="s">
        <v>4882</v>
      </c>
      <c r="G83" s="53" t="s">
        <v>4883</v>
      </c>
      <c r="H83" s="131" t="s">
        <v>30</v>
      </c>
      <c r="I83" s="53">
        <v>4</v>
      </c>
      <c r="J83" s="188">
        <v>9250</v>
      </c>
      <c r="K83" s="54">
        <f t="shared" si="1"/>
        <v>37000</v>
      </c>
      <c r="L83" s="55" t="b">
        <v>1</v>
      </c>
      <c r="M83" s="56">
        <v>130520252044</v>
      </c>
      <c r="N83" s="57" t="b">
        <v>1</v>
      </c>
      <c r="O83" s="58" t="s">
        <v>529</v>
      </c>
      <c r="P83" s="215"/>
      <c r="Q83" s="191" t="b">
        <v>1</v>
      </c>
      <c r="R83" s="308" t="s">
        <v>3138</v>
      </c>
      <c r="S83" s="128"/>
      <c r="T83" s="337"/>
      <c r="U83" s="57" t="b">
        <v>1</v>
      </c>
      <c r="V83" s="310" t="s">
        <v>4884</v>
      </c>
      <c r="W83" s="307"/>
      <c r="X83" s="54"/>
    </row>
    <row r="84" spans="1:24" ht="16">
      <c r="A84" s="162"/>
      <c r="B84" s="132" t="s">
        <v>4879</v>
      </c>
      <c r="C84" s="53" t="s">
        <v>2153</v>
      </c>
      <c r="D84" s="53" t="s">
        <v>4742</v>
      </c>
      <c r="E84" s="53" t="s">
        <v>2153</v>
      </c>
      <c r="F84" s="53" t="s">
        <v>4882</v>
      </c>
      <c r="G84" s="53" t="s">
        <v>72</v>
      </c>
      <c r="H84" s="131" t="s">
        <v>30</v>
      </c>
      <c r="I84" s="53">
        <v>1</v>
      </c>
      <c r="J84" s="188">
        <v>5750</v>
      </c>
      <c r="K84" s="54">
        <f t="shared" si="1"/>
        <v>5750</v>
      </c>
      <c r="L84" s="55" t="b">
        <v>1</v>
      </c>
      <c r="M84" s="56">
        <v>130520252044</v>
      </c>
      <c r="N84" s="57" t="b">
        <v>1</v>
      </c>
      <c r="O84" s="58" t="s">
        <v>529</v>
      </c>
      <c r="P84" s="226"/>
      <c r="Q84" s="191" t="b">
        <v>1</v>
      </c>
      <c r="R84" s="308" t="s">
        <v>3138</v>
      </c>
      <c r="S84" s="128"/>
      <c r="T84" s="337"/>
      <c r="U84" s="57" t="b">
        <v>1</v>
      </c>
      <c r="V84" s="310" t="s">
        <v>4885</v>
      </c>
      <c r="W84" s="307"/>
      <c r="X84" s="54"/>
    </row>
    <row r="85" spans="1:24" ht="16">
      <c r="A85" s="162"/>
      <c r="B85" s="132" t="s">
        <v>4879</v>
      </c>
      <c r="C85" s="53" t="s">
        <v>2153</v>
      </c>
      <c r="D85" s="53" t="s">
        <v>4742</v>
      </c>
      <c r="E85" s="53" t="s">
        <v>2153</v>
      </c>
      <c r="F85" s="53" t="s">
        <v>4882</v>
      </c>
      <c r="G85" s="53" t="s">
        <v>4755</v>
      </c>
      <c r="H85" s="131" t="s">
        <v>30</v>
      </c>
      <c r="I85" s="53">
        <v>16</v>
      </c>
      <c r="J85" s="188">
        <v>625</v>
      </c>
      <c r="K85" s="54">
        <f t="shared" si="1"/>
        <v>10000</v>
      </c>
      <c r="L85" s="55" t="b">
        <v>1</v>
      </c>
      <c r="M85" s="56">
        <v>130520252044</v>
      </c>
      <c r="N85" s="57" t="b">
        <v>1</v>
      </c>
      <c r="O85" s="58" t="s">
        <v>529</v>
      </c>
      <c r="P85" s="226">
        <v>45798</v>
      </c>
      <c r="Q85" s="191" t="b">
        <v>1</v>
      </c>
      <c r="R85" s="308" t="s">
        <v>3138</v>
      </c>
      <c r="S85" s="128"/>
      <c r="T85" s="337"/>
      <c r="U85" s="57" t="b">
        <v>1</v>
      </c>
      <c r="V85" s="310" t="s">
        <v>4885</v>
      </c>
      <c r="W85" s="307"/>
      <c r="X85" s="54"/>
    </row>
    <row r="86" spans="1:24" ht="16">
      <c r="A86" s="162"/>
      <c r="B86" s="132" t="s">
        <v>4879</v>
      </c>
      <c r="C86" s="53" t="s">
        <v>51</v>
      </c>
      <c r="D86" s="53" t="s">
        <v>3458</v>
      </c>
      <c r="E86" s="53" t="s">
        <v>201</v>
      </c>
      <c r="F86" s="53" t="s">
        <v>202</v>
      </c>
      <c r="G86" s="53" t="s">
        <v>58</v>
      </c>
      <c r="H86" s="131" t="s">
        <v>30</v>
      </c>
      <c r="I86" s="53">
        <v>252</v>
      </c>
      <c r="J86" s="188">
        <v>42</v>
      </c>
      <c r="K86" s="54">
        <f t="shared" si="1"/>
        <v>10584</v>
      </c>
      <c r="L86" s="55" t="b">
        <v>1</v>
      </c>
      <c r="M86" s="56">
        <v>130520252044</v>
      </c>
      <c r="N86" s="57" t="b">
        <v>1</v>
      </c>
      <c r="O86" s="58" t="s">
        <v>529</v>
      </c>
      <c r="P86" s="226">
        <v>45791</v>
      </c>
      <c r="Q86" s="191" t="b">
        <v>1</v>
      </c>
      <c r="R86" s="308" t="s">
        <v>3138</v>
      </c>
      <c r="S86" s="308"/>
      <c r="T86" s="337" t="s">
        <v>4886</v>
      </c>
      <c r="U86" s="57" t="b">
        <v>1</v>
      </c>
      <c r="V86" s="310" t="s">
        <v>4887</v>
      </c>
      <c r="W86" s="307"/>
      <c r="X86" s="54"/>
    </row>
    <row r="87" spans="1:24" ht="16">
      <c r="A87" s="162"/>
      <c r="B87" s="132" t="s">
        <v>4879</v>
      </c>
      <c r="C87" s="53" t="s">
        <v>26</v>
      </c>
      <c r="D87" s="53" t="s">
        <v>4135</v>
      </c>
      <c r="E87" s="53" t="s">
        <v>27</v>
      </c>
      <c r="F87" s="53" t="s">
        <v>28</v>
      </c>
      <c r="G87" s="53" t="s">
        <v>4583</v>
      </c>
      <c r="H87" s="131" t="s">
        <v>30</v>
      </c>
      <c r="I87" s="53">
        <v>300</v>
      </c>
      <c r="J87" s="188">
        <v>22.5</v>
      </c>
      <c r="K87" s="54">
        <f t="shared" si="1"/>
        <v>6750</v>
      </c>
      <c r="L87" s="55" t="b">
        <v>1</v>
      </c>
      <c r="M87" s="56">
        <v>130520252044</v>
      </c>
      <c r="N87" s="57" t="b">
        <v>1</v>
      </c>
      <c r="O87" s="58" t="s">
        <v>1581</v>
      </c>
      <c r="P87" s="215"/>
      <c r="Q87" s="191" t="b">
        <v>1</v>
      </c>
      <c r="R87" s="308" t="s">
        <v>3138</v>
      </c>
      <c r="S87" s="308"/>
      <c r="T87" s="337" t="s">
        <v>4888</v>
      </c>
      <c r="U87" s="57" t="b">
        <v>1</v>
      </c>
      <c r="V87" s="310" t="s">
        <v>4889</v>
      </c>
      <c r="W87" s="307"/>
      <c r="X87" s="54"/>
    </row>
    <row r="88" spans="1:24" ht="16">
      <c r="A88" s="162"/>
      <c r="B88" s="132" t="s">
        <v>4890</v>
      </c>
      <c r="C88" s="53" t="s">
        <v>212</v>
      </c>
      <c r="D88" s="53" t="s">
        <v>4330</v>
      </c>
      <c r="E88" s="53" t="s">
        <v>213</v>
      </c>
      <c r="F88" s="53" t="s">
        <v>2839</v>
      </c>
      <c r="G88" s="53" t="s">
        <v>1966</v>
      </c>
      <c r="H88" s="131" t="s">
        <v>30</v>
      </c>
      <c r="I88" s="53">
        <v>10</v>
      </c>
      <c r="J88" s="188">
        <v>650</v>
      </c>
      <c r="K88" s="54">
        <f t="shared" si="1"/>
        <v>6500</v>
      </c>
      <c r="L88" s="55" t="b">
        <v>1</v>
      </c>
      <c r="M88" s="56">
        <v>140520251301</v>
      </c>
      <c r="N88" s="57" t="b">
        <v>1</v>
      </c>
      <c r="O88" s="58" t="s">
        <v>39</v>
      </c>
      <c r="P88" s="215"/>
      <c r="Q88" s="191" t="b">
        <v>1</v>
      </c>
      <c r="R88" s="308" t="s">
        <v>3138</v>
      </c>
      <c r="S88" s="308"/>
      <c r="T88" s="337"/>
      <c r="U88" s="57" t="b">
        <v>1</v>
      </c>
      <c r="V88" s="310" t="s">
        <v>4891</v>
      </c>
      <c r="W88" s="307"/>
      <c r="X88" s="54"/>
    </row>
    <row r="89" spans="1:24" ht="16">
      <c r="A89" s="162"/>
      <c r="B89" s="71" t="s">
        <v>4890</v>
      </c>
      <c r="C89" s="53" t="s">
        <v>262</v>
      </c>
      <c r="D89" s="53" t="s">
        <v>3445</v>
      </c>
      <c r="E89" s="53" t="s">
        <v>3446</v>
      </c>
      <c r="F89" s="53" t="s">
        <v>3447</v>
      </c>
      <c r="G89" s="53" t="s">
        <v>4892</v>
      </c>
      <c r="H89" s="131" t="s">
        <v>30</v>
      </c>
      <c r="I89" s="53">
        <v>10</v>
      </c>
      <c r="J89" s="188">
        <v>500</v>
      </c>
      <c r="K89" s="54">
        <f t="shared" si="1"/>
        <v>5000</v>
      </c>
      <c r="L89" s="55" t="b">
        <v>1</v>
      </c>
      <c r="M89" s="56">
        <v>140520251319</v>
      </c>
      <c r="N89" s="57" t="b">
        <v>1</v>
      </c>
      <c r="O89" s="58"/>
      <c r="P89" s="215"/>
      <c r="Q89" s="191" t="b">
        <v>1</v>
      </c>
      <c r="R89" s="308" t="s">
        <v>3138</v>
      </c>
      <c r="S89" s="404"/>
      <c r="T89" s="173" t="s">
        <v>4893</v>
      </c>
      <c r="U89" s="57" t="b">
        <v>1</v>
      </c>
      <c r="V89" s="310" t="s">
        <v>4894</v>
      </c>
      <c r="W89" s="307"/>
      <c r="X89" s="54"/>
    </row>
    <row r="90" spans="1:24" ht="16">
      <c r="A90" s="162"/>
      <c r="B90" s="71" t="s">
        <v>4890</v>
      </c>
      <c r="C90" s="53" t="s">
        <v>262</v>
      </c>
      <c r="D90" s="53" t="s">
        <v>3445</v>
      </c>
      <c r="E90" s="53" t="s">
        <v>3446</v>
      </c>
      <c r="F90" s="53" t="s">
        <v>3447</v>
      </c>
      <c r="G90" s="53" t="s">
        <v>4895</v>
      </c>
      <c r="H90" s="131" t="s">
        <v>30</v>
      </c>
      <c r="I90" s="53">
        <v>10</v>
      </c>
      <c r="J90" s="188">
        <v>550</v>
      </c>
      <c r="K90" s="54">
        <f t="shared" si="1"/>
        <v>5500</v>
      </c>
      <c r="L90" s="55" t="b">
        <v>1</v>
      </c>
      <c r="M90" s="56">
        <v>140520251319</v>
      </c>
      <c r="N90" s="57" t="b">
        <v>1</v>
      </c>
      <c r="O90" s="58"/>
      <c r="P90" s="215"/>
      <c r="Q90" s="191" t="b">
        <v>1</v>
      </c>
      <c r="R90" s="308" t="s">
        <v>3138</v>
      </c>
      <c r="S90" s="404"/>
      <c r="T90" s="173" t="s">
        <v>4893</v>
      </c>
      <c r="U90" s="57" t="b">
        <v>1</v>
      </c>
      <c r="V90" s="310" t="s">
        <v>4894</v>
      </c>
      <c r="W90" s="307"/>
      <c r="X90" s="54"/>
    </row>
    <row r="91" spans="1:24" ht="16">
      <c r="A91" s="162"/>
      <c r="B91" s="71" t="s">
        <v>4890</v>
      </c>
      <c r="C91" s="53" t="s">
        <v>262</v>
      </c>
      <c r="D91" s="53" t="s">
        <v>3445</v>
      </c>
      <c r="E91" s="53" t="s">
        <v>3446</v>
      </c>
      <c r="F91" s="53" t="s">
        <v>3447</v>
      </c>
      <c r="G91" s="53" t="s">
        <v>4896</v>
      </c>
      <c r="H91" s="131" t="s">
        <v>30</v>
      </c>
      <c r="I91" s="53">
        <v>2</v>
      </c>
      <c r="J91" s="188">
        <v>300</v>
      </c>
      <c r="K91" s="54">
        <f t="shared" si="1"/>
        <v>600</v>
      </c>
      <c r="L91" s="55" t="b">
        <v>1</v>
      </c>
      <c r="M91" s="56">
        <v>140520251319</v>
      </c>
      <c r="N91" s="57" t="b">
        <v>1</v>
      </c>
      <c r="O91" s="58"/>
      <c r="P91" s="226">
        <v>45791</v>
      </c>
      <c r="Q91" s="191" t="b">
        <v>1</v>
      </c>
      <c r="R91" s="308" t="s">
        <v>3138</v>
      </c>
      <c r="S91" s="400"/>
      <c r="T91" s="173" t="s">
        <v>4897</v>
      </c>
      <c r="U91" s="57" t="b">
        <v>1</v>
      </c>
      <c r="V91" s="310" t="s">
        <v>4898</v>
      </c>
      <c r="W91" s="307"/>
      <c r="X91" s="54"/>
    </row>
    <row r="92" spans="1:24" ht="16">
      <c r="A92" s="162"/>
      <c r="B92" s="71" t="s">
        <v>4890</v>
      </c>
      <c r="C92" s="53" t="s">
        <v>3242</v>
      </c>
      <c r="D92" s="53" t="s">
        <v>4292</v>
      </c>
      <c r="E92" s="53" t="s">
        <v>99</v>
      </c>
      <c r="F92" s="53" t="s">
        <v>2768</v>
      </c>
      <c r="G92" s="53" t="s">
        <v>4786</v>
      </c>
      <c r="H92" s="131" t="s">
        <v>30</v>
      </c>
      <c r="I92" s="53">
        <v>84</v>
      </c>
      <c r="J92" s="188">
        <v>40</v>
      </c>
      <c r="K92" s="54">
        <f t="shared" si="1"/>
        <v>3360</v>
      </c>
      <c r="L92" s="55" t="b">
        <v>1</v>
      </c>
      <c r="M92" s="56">
        <v>140520251337</v>
      </c>
      <c r="N92" s="57" t="b">
        <v>1</v>
      </c>
      <c r="O92" s="58" t="s">
        <v>3300</v>
      </c>
      <c r="P92" s="226">
        <v>45797</v>
      </c>
      <c r="Q92" s="191" t="b">
        <v>1</v>
      </c>
      <c r="R92" s="308" t="s">
        <v>3138</v>
      </c>
      <c r="S92" s="400"/>
      <c r="T92" s="173" t="s">
        <v>4899</v>
      </c>
      <c r="U92" s="57" t="b">
        <v>1</v>
      </c>
      <c r="V92" s="310" t="s">
        <v>4900</v>
      </c>
      <c r="W92" s="307" t="s">
        <v>4901</v>
      </c>
      <c r="X92" s="54"/>
    </row>
    <row r="93" spans="1:24" ht="13.5" customHeight="1">
      <c r="A93" s="162"/>
      <c r="B93" s="71" t="s">
        <v>4890</v>
      </c>
      <c r="C93" s="53" t="s">
        <v>51</v>
      </c>
      <c r="D93" s="53" t="s">
        <v>4099</v>
      </c>
      <c r="E93" s="53" t="s">
        <v>594</v>
      </c>
      <c r="F93" s="53" t="s">
        <v>4902</v>
      </c>
      <c r="G93" s="53" t="s">
        <v>1966</v>
      </c>
      <c r="H93" s="131" t="s">
        <v>30</v>
      </c>
      <c r="I93" s="53">
        <v>20</v>
      </c>
      <c r="J93" s="188">
        <v>650</v>
      </c>
      <c r="K93" s="54">
        <f t="shared" si="1"/>
        <v>13000</v>
      </c>
      <c r="L93" s="55" t="b">
        <v>1</v>
      </c>
      <c r="M93" s="56">
        <v>140520251909</v>
      </c>
      <c r="N93" s="57" t="b">
        <v>1</v>
      </c>
      <c r="O93" s="58" t="s">
        <v>39</v>
      </c>
      <c r="P93" s="226">
        <v>45792</v>
      </c>
      <c r="Q93" s="191" t="b">
        <v>1</v>
      </c>
      <c r="R93" s="308" t="s">
        <v>3138</v>
      </c>
      <c r="S93" s="400"/>
      <c r="T93" s="173" t="s">
        <v>4903</v>
      </c>
      <c r="U93" s="57" t="b">
        <v>1</v>
      </c>
      <c r="V93" s="310" t="s">
        <v>4904</v>
      </c>
      <c r="W93" s="307"/>
      <c r="X93" s="54"/>
    </row>
    <row r="94" spans="1:24" ht="16">
      <c r="A94" s="162"/>
      <c r="B94" s="71" t="s">
        <v>4905</v>
      </c>
      <c r="C94" s="53" t="s">
        <v>51</v>
      </c>
      <c r="D94" s="53" t="s">
        <v>4099</v>
      </c>
      <c r="E94" s="53" t="s">
        <v>594</v>
      </c>
      <c r="F94" s="53" t="s">
        <v>4902</v>
      </c>
      <c r="G94" s="69" t="s">
        <v>877</v>
      </c>
      <c r="H94" s="131" t="s">
        <v>30</v>
      </c>
      <c r="I94" s="53">
        <v>1</v>
      </c>
      <c r="J94" s="188">
        <v>875</v>
      </c>
      <c r="K94" s="54">
        <f t="shared" si="1"/>
        <v>875</v>
      </c>
      <c r="L94" s="55" t="b">
        <v>1</v>
      </c>
      <c r="M94" s="56">
        <v>150520251039</v>
      </c>
      <c r="N94" s="57" t="b">
        <v>1</v>
      </c>
      <c r="O94" s="58"/>
      <c r="P94" s="215"/>
      <c r="Q94" s="191" t="b">
        <v>1</v>
      </c>
      <c r="R94" s="308" t="s">
        <v>3138</v>
      </c>
      <c r="S94" s="308"/>
      <c r="T94" s="337"/>
      <c r="U94" s="57" t="b">
        <v>1</v>
      </c>
      <c r="V94" s="310" t="s">
        <v>4906</v>
      </c>
      <c r="W94" s="307"/>
      <c r="X94" s="54"/>
    </row>
    <row r="95" spans="1:24" ht="16">
      <c r="A95" s="162"/>
      <c r="B95" s="71" t="s">
        <v>4905</v>
      </c>
      <c r="C95" s="53" t="s">
        <v>51</v>
      </c>
      <c r="D95" s="53" t="s">
        <v>4099</v>
      </c>
      <c r="E95" s="53" t="s">
        <v>594</v>
      </c>
      <c r="F95" s="53" t="s">
        <v>4902</v>
      </c>
      <c r="G95" s="53" t="s">
        <v>147</v>
      </c>
      <c r="H95" s="131" t="s">
        <v>30</v>
      </c>
      <c r="I95" s="53">
        <v>1</v>
      </c>
      <c r="J95" s="188">
        <v>850</v>
      </c>
      <c r="K95" s="54">
        <f t="shared" si="1"/>
        <v>850</v>
      </c>
      <c r="L95" s="55" t="b">
        <v>1</v>
      </c>
      <c r="M95" s="56">
        <v>150520251039</v>
      </c>
      <c r="N95" s="57" t="b">
        <v>1</v>
      </c>
      <c r="O95" s="58"/>
      <c r="P95" s="215"/>
      <c r="Q95" s="191" t="b">
        <v>1</v>
      </c>
      <c r="R95" s="308" t="s">
        <v>3138</v>
      </c>
      <c r="S95" s="308"/>
      <c r="T95" s="337"/>
      <c r="U95" s="57" t="b">
        <v>1</v>
      </c>
      <c r="V95" s="310" t="s">
        <v>4906</v>
      </c>
      <c r="W95" s="307"/>
      <c r="X95" s="54"/>
    </row>
    <row r="96" spans="1:24" ht="16">
      <c r="A96" s="162"/>
      <c r="B96" s="71" t="s">
        <v>4905</v>
      </c>
      <c r="C96" s="53" t="s">
        <v>1899</v>
      </c>
      <c r="D96" s="53" t="s">
        <v>3650</v>
      </c>
      <c r="E96" s="53" t="s">
        <v>137</v>
      </c>
      <c r="F96" s="53" t="s">
        <v>4523</v>
      </c>
      <c r="G96" s="53" t="s">
        <v>1794</v>
      </c>
      <c r="H96" s="131" t="s">
        <v>30</v>
      </c>
      <c r="I96" s="53">
        <v>10</v>
      </c>
      <c r="J96" s="188">
        <v>165</v>
      </c>
      <c r="K96" s="54">
        <f t="shared" si="1"/>
        <v>1650</v>
      </c>
      <c r="L96" s="55" t="b">
        <v>1</v>
      </c>
      <c r="M96" s="56">
        <v>150520251039</v>
      </c>
      <c r="N96" s="57" t="b">
        <v>1</v>
      </c>
      <c r="O96" s="58" t="s">
        <v>3300</v>
      </c>
      <c r="P96" s="226">
        <v>45797</v>
      </c>
      <c r="Q96" s="191" t="b">
        <v>1</v>
      </c>
      <c r="R96" s="308" t="s">
        <v>3138</v>
      </c>
      <c r="S96" s="308"/>
      <c r="T96" s="337"/>
      <c r="U96" s="57" t="b">
        <v>1</v>
      </c>
      <c r="V96" s="310" t="s">
        <v>4907</v>
      </c>
      <c r="W96" s="307"/>
      <c r="X96" s="54"/>
    </row>
    <row r="97" spans="1:24" ht="16.5" customHeight="1">
      <c r="A97" s="162"/>
      <c r="B97" s="71" t="s">
        <v>4905</v>
      </c>
      <c r="C97" s="53" t="s">
        <v>418</v>
      </c>
      <c r="D97" s="53" t="s">
        <v>4750</v>
      </c>
      <c r="E97" s="53" t="s">
        <v>230</v>
      </c>
      <c r="F97" s="53" t="s">
        <v>1990</v>
      </c>
      <c r="G97" s="53" t="s">
        <v>68</v>
      </c>
      <c r="H97" s="131" t="s">
        <v>30</v>
      </c>
      <c r="I97" s="53">
        <v>1</v>
      </c>
      <c r="J97" s="188">
        <v>2350</v>
      </c>
      <c r="K97" s="54">
        <f t="shared" si="1"/>
        <v>2350</v>
      </c>
      <c r="L97" s="55" t="b">
        <v>1</v>
      </c>
      <c r="M97" s="56">
        <v>150520251401</v>
      </c>
      <c r="N97" s="57" t="b">
        <v>1</v>
      </c>
      <c r="O97" s="58"/>
      <c r="P97" s="215"/>
      <c r="Q97" s="191" t="b">
        <v>1</v>
      </c>
      <c r="R97" s="308" t="s">
        <v>3138</v>
      </c>
      <c r="S97" s="308"/>
      <c r="T97" s="337"/>
      <c r="U97" s="57" t="b">
        <v>1</v>
      </c>
      <c r="V97" s="310" t="s">
        <v>4908</v>
      </c>
      <c r="W97" s="307"/>
      <c r="X97" s="54"/>
    </row>
    <row r="98" spans="1:24" ht="16">
      <c r="A98" s="162"/>
      <c r="B98" s="71" t="s">
        <v>4905</v>
      </c>
      <c r="C98" s="53" t="s">
        <v>2153</v>
      </c>
      <c r="D98" s="53" t="s">
        <v>4742</v>
      </c>
      <c r="E98" s="53" t="s">
        <v>2153</v>
      </c>
      <c r="F98" s="53" t="s">
        <v>4743</v>
      </c>
      <c r="G98" s="53" t="s">
        <v>1966</v>
      </c>
      <c r="H98" s="131" t="s">
        <v>30</v>
      </c>
      <c r="I98" s="53">
        <v>10</v>
      </c>
      <c r="J98" s="188">
        <v>650</v>
      </c>
      <c r="K98" s="54">
        <f t="shared" si="1"/>
        <v>6500</v>
      </c>
      <c r="L98" s="55" t="b">
        <v>1</v>
      </c>
      <c r="M98" s="56">
        <v>150520251410</v>
      </c>
      <c r="N98" s="57" t="b">
        <v>1</v>
      </c>
      <c r="O98" s="58" t="s">
        <v>39</v>
      </c>
      <c r="P98" s="226">
        <v>45792</v>
      </c>
      <c r="Q98" s="191" t="b">
        <v>1</v>
      </c>
      <c r="R98" s="308" t="s">
        <v>3138</v>
      </c>
      <c r="S98" s="400"/>
      <c r="T98" s="173" t="s">
        <v>4909</v>
      </c>
      <c r="U98" s="57" t="b">
        <v>1</v>
      </c>
      <c r="V98" s="310" t="s">
        <v>4910</v>
      </c>
      <c r="W98" s="307"/>
      <c r="X98" s="54"/>
    </row>
    <row r="99" spans="1:24" ht="16">
      <c r="A99" s="162"/>
      <c r="B99" s="71" t="s">
        <v>4911</v>
      </c>
      <c r="C99" s="53" t="s">
        <v>418</v>
      </c>
      <c r="D99" s="53" t="s">
        <v>4750</v>
      </c>
      <c r="E99" s="53" t="s">
        <v>230</v>
      </c>
      <c r="F99" s="53" t="s">
        <v>1990</v>
      </c>
      <c r="G99" s="53" t="s">
        <v>1966</v>
      </c>
      <c r="H99" s="131" t="s">
        <v>30</v>
      </c>
      <c r="I99" s="53">
        <v>10</v>
      </c>
      <c r="J99" s="188">
        <v>650</v>
      </c>
      <c r="K99" s="54">
        <f t="shared" si="1"/>
        <v>6500</v>
      </c>
      <c r="L99" s="55" t="b">
        <v>1</v>
      </c>
      <c r="M99" s="56">
        <v>150520251410</v>
      </c>
      <c r="N99" s="57" t="b">
        <v>1</v>
      </c>
      <c r="O99" s="58" t="s">
        <v>39</v>
      </c>
      <c r="P99" s="226">
        <v>45792</v>
      </c>
      <c r="Q99" s="191" t="b">
        <v>1</v>
      </c>
      <c r="R99" s="308" t="s">
        <v>3138</v>
      </c>
      <c r="S99" s="308"/>
      <c r="T99" s="337"/>
      <c r="U99" s="57" t="b">
        <v>1</v>
      </c>
      <c r="V99" s="310" t="s">
        <v>4912</v>
      </c>
      <c r="W99" s="307"/>
      <c r="X99" s="54"/>
    </row>
    <row r="100" spans="1:24" ht="16">
      <c r="A100" s="162"/>
      <c r="B100" s="71" t="s">
        <v>4911</v>
      </c>
      <c r="C100" s="53" t="s">
        <v>282</v>
      </c>
      <c r="D100" s="53" t="s">
        <v>4107</v>
      </c>
      <c r="E100" s="53" t="s">
        <v>282</v>
      </c>
      <c r="F100" s="53" t="s">
        <v>365</v>
      </c>
      <c r="G100" s="53" t="s">
        <v>4583</v>
      </c>
      <c r="H100" s="131" t="s">
        <v>30</v>
      </c>
      <c r="I100" s="53">
        <v>150</v>
      </c>
      <c r="J100" s="188">
        <v>22.5</v>
      </c>
      <c r="K100" s="54">
        <f t="shared" si="1"/>
        <v>3375</v>
      </c>
      <c r="L100" s="55" t="b">
        <v>1</v>
      </c>
      <c r="M100" s="56">
        <v>160520251225</v>
      </c>
      <c r="N100" s="57" t="b">
        <v>1</v>
      </c>
      <c r="O100" s="58"/>
      <c r="P100" s="215"/>
      <c r="Q100" s="191" t="b">
        <v>1</v>
      </c>
      <c r="R100" s="308" t="s">
        <v>3138</v>
      </c>
      <c r="S100" s="308"/>
      <c r="T100" s="337"/>
      <c r="U100" s="57" t="b">
        <v>1</v>
      </c>
      <c r="V100" s="310" t="s">
        <v>4913</v>
      </c>
      <c r="W100" s="307"/>
      <c r="X100" s="54"/>
    </row>
    <row r="101" spans="1:24" ht="16">
      <c r="A101" s="162"/>
      <c r="B101" s="71" t="s">
        <v>4911</v>
      </c>
      <c r="C101" s="53" t="s">
        <v>523</v>
      </c>
      <c r="D101" s="53" t="s">
        <v>3601</v>
      </c>
      <c r="E101" s="53" t="s">
        <v>524</v>
      </c>
      <c r="F101" s="53" t="s">
        <v>4914</v>
      </c>
      <c r="G101" s="53" t="s">
        <v>4391</v>
      </c>
      <c r="H101" s="131" t="s">
        <v>30</v>
      </c>
      <c r="I101" s="53">
        <v>10</v>
      </c>
      <c r="J101" s="188">
        <v>650</v>
      </c>
      <c r="K101" s="54">
        <f t="shared" si="1"/>
        <v>6500</v>
      </c>
      <c r="L101" s="55" t="b">
        <v>1</v>
      </c>
      <c r="M101" s="56">
        <v>160520251342</v>
      </c>
      <c r="N101" s="57" t="b">
        <v>1</v>
      </c>
      <c r="O101" s="58" t="s">
        <v>39</v>
      </c>
      <c r="P101" s="215"/>
      <c r="Q101" s="191" t="b">
        <v>1</v>
      </c>
      <c r="R101" s="308" t="s">
        <v>3138</v>
      </c>
      <c r="S101" s="308"/>
      <c r="T101" s="337"/>
      <c r="U101" s="57" t="b">
        <v>1</v>
      </c>
      <c r="V101" s="310" t="s">
        <v>4915</v>
      </c>
      <c r="W101" s="307"/>
      <c r="X101" s="54"/>
    </row>
    <row r="102" spans="1:24" ht="13.5" customHeight="1">
      <c r="A102" s="162"/>
      <c r="B102" s="71" t="s">
        <v>4916</v>
      </c>
      <c r="C102" s="53" t="s">
        <v>144</v>
      </c>
      <c r="D102" s="53" t="s">
        <v>4138</v>
      </c>
      <c r="E102" s="53" t="s">
        <v>980</v>
      </c>
      <c r="F102" s="53" t="s">
        <v>4139</v>
      </c>
      <c r="G102" s="53" t="s">
        <v>436</v>
      </c>
      <c r="H102" s="131" t="s">
        <v>30</v>
      </c>
      <c r="I102" s="53">
        <v>30</v>
      </c>
      <c r="J102" s="188">
        <v>270</v>
      </c>
      <c r="K102" s="54">
        <f t="shared" si="1"/>
        <v>8100</v>
      </c>
      <c r="L102" s="55" t="b">
        <v>1</v>
      </c>
      <c r="M102" s="56">
        <v>170520250938</v>
      </c>
      <c r="N102" s="57" t="b">
        <v>1</v>
      </c>
      <c r="O102" s="58"/>
      <c r="P102" s="215"/>
      <c r="Q102" s="191" t="b">
        <v>1</v>
      </c>
      <c r="R102" s="308" t="s">
        <v>3138</v>
      </c>
      <c r="S102" s="308"/>
      <c r="T102" s="337"/>
      <c r="U102" s="57" t="b">
        <v>1</v>
      </c>
      <c r="V102" s="310" t="s">
        <v>4917</v>
      </c>
      <c r="W102" s="307"/>
      <c r="X102" s="54"/>
    </row>
    <row r="103" spans="1:24" ht="16">
      <c r="A103" s="162"/>
      <c r="B103" s="71" t="s">
        <v>4916</v>
      </c>
      <c r="C103" s="53" t="s">
        <v>144</v>
      </c>
      <c r="D103" s="53" t="s">
        <v>4138</v>
      </c>
      <c r="E103" s="53" t="s">
        <v>980</v>
      </c>
      <c r="F103" s="53" t="s">
        <v>4139</v>
      </c>
      <c r="G103" s="53" t="s">
        <v>3091</v>
      </c>
      <c r="H103" s="131" t="s">
        <v>30</v>
      </c>
      <c r="I103" s="53">
        <v>2</v>
      </c>
      <c r="J103" s="188">
        <v>875</v>
      </c>
      <c r="K103" s="54">
        <f t="shared" si="1"/>
        <v>1750</v>
      </c>
      <c r="L103" s="55" t="b">
        <v>1</v>
      </c>
      <c r="M103" s="56">
        <v>170520250938</v>
      </c>
      <c r="N103" s="57" t="b">
        <v>1</v>
      </c>
      <c r="O103" s="58"/>
      <c r="P103" s="215"/>
      <c r="Q103" s="191" t="b">
        <v>1</v>
      </c>
      <c r="R103" s="308" t="s">
        <v>3138</v>
      </c>
      <c r="S103" s="308"/>
      <c r="T103" s="337"/>
      <c r="U103" s="57" t="b">
        <v>1</v>
      </c>
      <c r="V103" s="310" t="s">
        <v>4918</v>
      </c>
      <c r="W103" s="307"/>
      <c r="X103" s="54"/>
    </row>
    <row r="104" spans="1:24" ht="14.25" customHeight="1">
      <c r="A104" s="162"/>
      <c r="B104" s="71" t="s">
        <v>4916</v>
      </c>
      <c r="C104" s="53" t="s">
        <v>144</v>
      </c>
      <c r="D104" s="53" t="s">
        <v>4138</v>
      </c>
      <c r="E104" s="53" t="s">
        <v>980</v>
      </c>
      <c r="F104" s="53" t="s">
        <v>4139</v>
      </c>
      <c r="G104" s="53" t="s">
        <v>4919</v>
      </c>
      <c r="H104" s="131" t="s">
        <v>30</v>
      </c>
      <c r="I104" s="53">
        <v>4</v>
      </c>
      <c r="J104" s="188">
        <v>850</v>
      </c>
      <c r="K104" s="54">
        <f t="shared" si="1"/>
        <v>3400</v>
      </c>
      <c r="L104" s="55" t="b">
        <v>1</v>
      </c>
      <c r="M104" s="56">
        <v>170520250938</v>
      </c>
      <c r="N104" s="57" t="b">
        <v>1</v>
      </c>
      <c r="O104" s="58"/>
      <c r="P104" s="215"/>
      <c r="Q104" s="191" t="b">
        <v>1</v>
      </c>
      <c r="R104" s="308" t="s">
        <v>3138</v>
      </c>
      <c r="S104" s="308"/>
      <c r="T104" s="337"/>
      <c r="U104" s="57" t="b">
        <v>1</v>
      </c>
      <c r="V104" s="310" t="s">
        <v>4918</v>
      </c>
      <c r="W104" s="307"/>
      <c r="X104" s="54"/>
    </row>
    <row r="105" spans="1:24" ht="16">
      <c r="A105" s="162" t="s">
        <v>3293</v>
      </c>
      <c r="B105" s="71" t="s">
        <v>4916</v>
      </c>
      <c r="C105" s="53" t="s">
        <v>104</v>
      </c>
      <c r="D105" s="53" t="s">
        <v>4289</v>
      </c>
      <c r="E105" s="53" t="s">
        <v>620</v>
      </c>
      <c r="F105" s="53" t="s">
        <v>621</v>
      </c>
      <c r="G105" s="53" t="s">
        <v>4583</v>
      </c>
      <c r="H105" s="131" t="s">
        <v>30</v>
      </c>
      <c r="I105" s="53">
        <v>750</v>
      </c>
      <c r="J105" s="188">
        <v>22.5</v>
      </c>
      <c r="K105" s="54">
        <f t="shared" si="1"/>
        <v>16875</v>
      </c>
      <c r="L105" s="55" t="b">
        <v>1</v>
      </c>
      <c r="M105" s="56">
        <v>170520251841</v>
      </c>
      <c r="N105" s="57" t="b">
        <v>1</v>
      </c>
      <c r="O105" s="58"/>
      <c r="P105" s="215"/>
      <c r="Q105" s="191" t="b">
        <v>1</v>
      </c>
      <c r="R105" s="308" t="s">
        <v>3138</v>
      </c>
      <c r="S105" s="308"/>
      <c r="T105" s="173" t="s">
        <v>4920</v>
      </c>
      <c r="U105" s="57" t="b">
        <v>1</v>
      </c>
      <c r="V105" s="310" t="s">
        <v>4921</v>
      </c>
      <c r="W105" s="307"/>
      <c r="X105" s="54"/>
    </row>
    <row r="106" spans="1:24" ht="16">
      <c r="A106" s="162"/>
      <c r="B106" s="71" t="s">
        <v>4916</v>
      </c>
      <c r="C106" s="53" t="s">
        <v>55</v>
      </c>
      <c r="D106" s="53" t="s">
        <v>3506</v>
      </c>
      <c r="E106" s="53">
        <v>41</v>
      </c>
      <c r="F106" s="53" t="s">
        <v>1552</v>
      </c>
      <c r="G106" s="53" t="s">
        <v>2719</v>
      </c>
      <c r="H106" s="131" t="s">
        <v>30</v>
      </c>
      <c r="I106" s="53">
        <v>30</v>
      </c>
      <c r="J106" s="188">
        <v>135</v>
      </c>
      <c r="K106" s="54">
        <f t="shared" si="1"/>
        <v>4050</v>
      </c>
      <c r="L106" s="55" t="b">
        <v>1</v>
      </c>
      <c r="M106" s="56">
        <v>170520251841</v>
      </c>
      <c r="N106" s="57" t="b">
        <v>1</v>
      </c>
      <c r="O106" s="58"/>
      <c r="P106" s="215"/>
      <c r="Q106" s="191" t="b">
        <v>1</v>
      </c>
      <c r="R106" s="308" t="s">
        <v>3138</v>
      </c>
      <c r="S106" s="308"/>
      <c r="T106" s="173" t="s">
        <v>4922</v>
      </c>
      <c r="U106" s="57" t="b">
        <v>1</v>
      </c>
      <c r="V106" s="310" t="s">
        <v>4923</v>
      </c>
      <c r="W106" s="307"/>
      <c r="X106" s="54"/>
    </row>
    <row r="107" spans="1:24" ht="16">
      <c r="A107" s="162"/>
      <c r="B107" s="71" t="s">
        <v>4916</v>
      </c>
      <c r="C107" s="53" t="s">
        <v>104</v>
      </c>
      <c r="D107" s="53" t="s">
        <v>3632</v>
      </c>
      <c r="E107" s="53" t="s">
        <v>486</v>
      </c>
      <c r="F107" s="53" t="s">
        <v>241</v>
      </c>
      <c r="G107" s="53" t="s">
        <v>4796</v>
      </c>
      <c r="H107" s="131" t="s">
        <v>30</v>
      </c>
      <c r="I107" s="53">
        <v>20</v>
      </c>
      <c r="J107" s="188">
        <v>350</v>
      </c>
      <c r="K107" s="54">
        <f t="shared" si="1"/>
        <v>7000</v>
      </c>
      <c r="L107" s="55" t="b">
        <v>1</v>
      </c>
      <c r="M107" s="56">
        <v>170520251841</v>
      </c>
      <c r="N107" s="57" t="b">
        <v>1</v>
      </c>
      <c r="O107" s="58" t="s">
        <v>529</v>
      </c>
      <c r="P107" s="226">
        <v>45796</v>
      </c>
      <c r="Q107" s="191" t="b">
        <v>1</v>
      </c>
      <c r="R107" s="308" t="s">
        <v>3138</v>
      </c>
      <c r="S107" s="308"/>
      <c r="T107" s="173" t="s">
        <v>4924</v>
      </c>
      <c r="U107" s="57" t="b">
        <v>1</v>
      </c>
      <c r="V107" s="310" t="s">
        <v>4925</v>
      </c>
      <c r="W107" s="307"/>
      <c r="X107" s="54"/>
    </row>
    <row r="108" spans="1:24" ht="16">
      <c r="A108" s="162"/>
      <c r="B108" s="71" t="s">
        <v>4916</v>
      </c>
      <c r="C108" s="53" t="s">
        <v>104</v>
      </c>
      <c r="D108" s="53" t="s">
        <v>3632</v>
      </c>
      <c r="E108" s="53" t="s">
        <v>486</v>
      </c>
      <c r="F108" s="53" t="s">
        <v>241</v>
      </c>
      <c r="G108" s="53" t="s">
        <v>4799</v>
      </c>
      <c r="H108" s="131" t="s">
        <v>30</v>
      </c>
      <c r="I108" s="53">
        <v>20</v>
      </c>
      <c r="J108" s="188">
        <v>375</v>
      </c>
      <c r="K108" s="54">
        <f t="shared" si="1"/>
        <v>7500</v>
      </c>
      <c r="L108" s="55" t="b">
        <v>1</v>
      </c>
      <c r="M108" s="56">
        <v>170520251841</v>
      </c>
      <c r="N108" s="57" t="b">
        <v>1</v>
      </c>
      <c r="O108" s="58" t="s">
        <v>529</v>
      </c>
      <c r="P108" s="226">
        <v>45796</v>
      </c>
      <c r="Q108" s="191" t="b">
        <v>1</v>
      </c>
      <c r="R108" s="308" t="s">
        <v>3138</v>
      </c>
      <c r="S108" s="308"/>
      <c r="T108" s="173" t="s">
        <v>4924</v>
      </c>
      <c r="U108" s="57" t="b">
        <v>1</v>
      </c>
      <c r="V108" s="310" t="s">
        <v>4925</v>
      </c>
      <c r="W108" s="307"/>
      <c r="X108" s="54"/>
    </row>
    <row r="109" spans="1:24" ht="16">
      <c r="A109" s="162"/>
      <c r="B109" s="71" t="s">
        <v>4916</v>
      </c>
      <c r="C109" s="53" t="s">
        <v>104</v>
      </c>
      <c r="D109" s="53" t="s">
        <v>3632</v>
      </c>
      <c r="E109" s="53" t="s">
        <v>486</v>
      </c>
      <c r="F109" s="53" t="s">
        <v>241</v>
      </c>
      <c r="G109" s="53" t="s">
        <v>1171</v>
      </c>
      <c r="H109" s="131" t="s">
        <v>30</v>
      </c>
      <c r="I109" s="53">
        <v>5</v>
      </c>
      <c r="J109" s="188">
        <v>1650</v>
      </c>
      <c r="K109" s="54">
        <f t="shared" si="1"/>
        <v>8250</v>
      </c>
      <c r="L109" s="55" t="b">
        <v>1</v>
      </c>
      <c r="M109" s="56">
        <v>170520251841</v>
      </c>
      <c r="N109" s="57" t="b">
        <v>1</v>
      </c>
      <c r="O109" s="58"/>
      <c r="P109" s="215"/>
      <c r="Q109" s="191" t="b">
        <v>1</v>
      </c>
      <c r="R109" s="308" t="s">
        <v>3138</v>
      </c>
      <c r="S109" s="400"/>
      <c r="T109" s="173" t="s">
        <v>4926</v>
      </c>
      <c r="U109" s="57" t="b">
        <v>1</v>
      </c>
      <c r="V109" s="310" t="s">
        <v>4927</v>
      </c>
      <c r="W109" s="307"/>
      <c r="X109" s="54"/>
    </row>
    <row r="110" spans="1:24" ht="16">
      <c r="A110" s="162"/>
      <c r="B110" s="71" t="s">
        <v>4916</v>
      </c>
      <c r="C110" s="53" t="s">
        <v>104</v>
      </c>
      <c r="D110" s="53" t="s">
        <v>3632</v>
      </c>
      <c r="E110" s="53" t="s">
        <v>486</v>
      </c>
      <c r="F110" s="53" t="s">
        <v>241</v>
      </c>
      <c r="G110" s="53" t="s">
        <v>1171</v>
      </c>
      <c r="H110" s="131" t="s">
        <v>30</v>
      </c>
      <c r="I110" s="53">
        <v>1</v>
      </c>
      <c r="J110" s="188">
        <v>1650</v>
      </c>
      <c r="K110" s="54">
        <f t="shared" si="1"/>
        <v>1650</v>
      </c>
      <c r="L110" s="55" t="b">
        <v>1</v>
      </c>
      <c r="M110" s="56">
        <v>170520251841</v>
      </c>
      <c r="N110" s="57" t="b">
        <v>1</v>
      </c>
      <c r="O110" s="58"/>
      <c r="P110" s="215"/>
      <c r="Q110" s="191" t="b">
        <v>1</v>
      </c>
      <c r="R110" s="308" t="s">
        <v>3138</v>
      </c>
      <c r="S110" s="400"/>
      <c r="T110" s="173"/>
      <c r="U110" s="57" t="b">
        <v>1</v>
      </c>
      <c r="V110" s="310" t="s">
        <v>4928</v>
      </c>
      <c r="W110" s="307"/>
      <c r="X110" s="54"/>
    </row>
    <row r="111" spans="1:24" ht="16">
      <c r="A111" s="162"/>
      <c r="B111" s="71" t="s">
        <v>4916</v>
      </c>
      <c r="C111" s="53" t="s">
        <v>104</v>
      </c>
      <c r="D111" s="53" t="s">
        <v>3632</v>
      </c>
      <c r="E111" s="53" t="s">
        <v>486</v>
      </c>
      <c r="F111" s="53" t="s">
        <v>241</v>
      </c>
      <c r="G111" s="53" t="s">
        <v>1171</v>
      </c>
      <c r="H111" s="131" t="s">
        <v>30</v>
      </c>
      <c r="I111" s="53">
        <v>4</v>
      </c>
      <c r="J111" s="188">
        <v>1650</v>
      </c>
      <c r="K111" s="54">
        <f t="shared" si="1"/>
        <v>6600</v>
      </c>
      <c r="L111" s="55" t="b">
        <v>1</v>
      </c>
      <c r="M111" s="56">
        <v>170520251841</v>
      </c>
      <c r="N111" s="57" t="b">
        <v>1</v>
      </c>
      <c r="O111" s="58"/>
      <c r="P111" s="215"/>
      <c r="Q111" s="191" t="b">
        <v>1</v>
      </c>
      <c r="R111" s="308" t="s">
        <v>3138</v>
      </c>
      <c r="S111" s="173"/>
      <c r="T111" s="173" t="s">
        <v>4929</v>
      </c>
      <c r="U111" s="57" t="b">
        <v>1</v>
      </c>
      <c r="V111" s="310" t="s">
        <v>4930</v>
      </c>
      <c r="W111" s="307"/>
      <c r="X111" s="54"/>
    </row>
    <row r="112" spans="1:24" ht="16">
      <c r="A112" s="162"/>
      <c r="B112" s="71" t="s">
        <v>4931</v>
      </c>
      <c r="C112" s="53" t="s">
        <v>212</v>
      </c>
      <c r="D112" s="53" t="s">
        <v>4330</v>
      </c>
      <c r="E112" s="53" t="s">
        <v>213</v>
      </c>
      <c r="F112" s="53" t="s">
        <v>2839</v>
      </c>
      <c r="G112" s="53" t="s">
        <v>4932</v>
      </c>
      <c r="H112" s="131" t="s">
        <v>30</v>
      </c>
      <c r="I112" s="53">
        <v>20</v>
      </c>
      <c r="J112" s="188">
        <v>190</v>
      </c>
      <c r="K112" s="54">
        <f t="shared" si="1"/>
        <v>3800</v>
      </c>
      <c r="L112" s="55" t="b">
        <v>1</v>
      </c>
      <c r="M112" s="56">
        <v>190520251550</v>
      </c>
      <c r="N112" s="57" t="b">
        <v>1</v>
      </c>
      <c r="O112" s="58" t="s">
        <v>529</v>
      </c>
      <c r="P112" s="226">
        <v>45798</v>
      </c>
      <c r="Q112" s="191" t="b">
        <v>1</v>
      </c>
      <c r="R112" s="308" t="s">
        <v>3138</v>
      </c>
      <c r="S112" s="400"/>
      <c r="T112" s="173" t="s">
        <v>4933</v>
      </c>
      <c r="U112" s="57" t="b">
        <v>1</v>
      </c>
      <c r="V112" s="310" t="s">
        <v>4934</v>
      </c>
      <c r="W112" s="307"/>
      <c r="X112" s="54"/>
    </row>
    <row r="113" spans="1:24" ht="16">
      <c r="A113" s="162"/>
      <c r="B113" s="71" t="s">
        <v>4931</v>
      </c>
      <c r="C113" s="53" t="s">
        <v>51</v>
      </c>
      <c r="D113" s="53" t="s">
        <v>3487</v>
      </c>
      <c r="E113" s="53" t="s">
        <v>89</v>
      </c>
      <c r="F113" s="53" t="s">
        <v>2090</v>
      </c>
      <c r="G113" s="53" t="s">
        <v>4806</v>
      </c>
      <c r="H113" s="131" t="s">
        <v>30</v>
      </c>
      <c r="I113" s="53">
        <v>10</v>
      </c>
      <c r="J113" s="188">
        <v>300</v>
      </c>
      <c r="K113" s="54">
        <f t="shared" si="1"/>
        <v>3000</v>
      </c>
      <c r="L113" s="55" t="b">
        <v>1</v>
      </c>
      <c r="M113" s="56">
        <v>190520251550</v>
      </c>
      <c r="N113" s="57" t="b">
        <v>1</v>
      </c>
      <c r="O113" s="58"/>
      <c r="P113" s="215"/>
      <c r="Q113" s="191" t="b">
        <v>1</v>
      </c>
      <c r="R113" s="308" t="s">
        <v>3138</v>
      </c>
      <c r="S113" s="400"/>
      <c r="T113" s="173" t="s">
        <v>4935</v>
      </c>
      <c r="U113" s="57" t="b">
        <v>1</v>
      </c>
      <c r="V113" s="310" t="s">
        <v>4936</v>
      </c>
      <c r="W113" s="307"/>
      <c r="X113" s="54"/>
    </row>
    <row r="114" spans="1:24" ht="16">
      <c r="A114" s="162"/>
      <c r="B114" s="71" t="s">
        <v>4931</v>
      </c>
      <c r="C114" s="53" t="s">
        <v>51</v>
      </c>
      <c r="D114" s="53" t="s">
        <v>3487</v>
      </c>
      <c r="E114" s="53" t="s">
        <v>89</v>
      </c>
      <c r="F114" s="53" t="s">
        <v>2090</v>
      </c>
      <c r="G114" s="53" t="s">
        <v>1181</v>
      </c>
      <c r="H114" s="131" t="s">
        <v>30</v>
      </c>
      <c r="I114" s="53">
        <v>10</v>
      </c>
      <c r="J114" s="188">
        <v>150</v>
      </c>
      <c r="K114" s="54">
        <f t="shared" si="1"/>
        <v>1500</v>
      </c>
      <c r="L114" s="55" t="b">
        <v>1</v>
      </c>
      <c r="M114" s="56">
        <v>190520251550</v>
      </c>
      <c r="N114" s="57" t="b">
        <v>1</v>
      </c>
      <c r="O114" s="58"/>
      <c r="P114" s="215"/>
      <c r="Q114" s="191" t="b">
        <v>1</v>
      </c>
      <c r="R114" s="308" t="s">
        <v>3138</v>
      </c>
      <c r="S114" s="400"/>
      <c r="T114" s="173" t="s">
        <v>4935</v>
      </c>
      <c r="U114" s="57" t="b">
        <v>1</v>
      </c>
      <c r="V114" s="310" t="s">
        <v>4936</v>
      </c>
      <c r="W114" s="307"/>
      <c r="X114" s="54"/>
    </row>
    <row r="115" spans="1:24" ht="16">
      <c r="A115" s="162"/>
      <c r="B115" s="71" t="s">
        <v>4931</v>
      </c>
      <c r="C115" s="53" t="s">
        <v>523</v>
      </c>
      <c r="D115" s="53" t="s">
        <v>3601</v>
      </c>
      <c r="E115" s="53" t="s">
        <v>524</v>
      </c>
      <c r="F115" s="53" t="s">
        <v>525</v>
      </c>
      <c r="G115" s="53" t="s">
        <v>374</v>
      </c>
      <c r="H115" s="131" t="s">
        <v>30</v>
      </c>
      <c r="I115" s="53">
        <v>25</v>
      </c>
      <c r="J115" s="188">
        <v>33</v>
      </c>
      <c r="K115" s="54">
        <f t="shared" si="1"/>
        <v>825</v>
      </c>
      <c r="L115" s="55" t="b">
        <v>1</v>
      </c>
      <c r="M115" s="56">
        <v>190520251550</v>
      </c>
      <c r="N115" s="57" t="b">
        <v>1</v>
      </c>
      <c r="O115" s="58"/>
      <c r="P115" s="215"/>
      <c r="Q115" s="191" t="b">
        <v>1</v>
      </c>
      <c r="R115" s="308" t="s">
        <v>3138</v>
      </c>
      <c r="S115" s="404"/>
      <c r="T115" s="173" t="s">
        <v>4937</v>
      </c>
      <c r="U115" s="57" t="b">
        <v>1</v>
      </c>
      <c r="V115" s="310" t="s">
        <v>4938</v>
      </c>
      <c r="W115" s="307"/>
      <c r="X115" s="54"/>
    </row>
    <row r="116" spans="1:24" ht="16">
      <c r="A116" s="162"/>
      <c r="B116" s="71" t="s">
        <v>4931</v>
      </c>
      <c r="C116" s="53" t="s">
        <v>523</v>
      </c>
      <c r="D116" s="53" t="s">
        <v>3601</v>
      </c>
      <c r="E116" s="53" t="s">
        <v>524</v>
      </c>
      <c r="F116" s="53" t="s">
        <v>525</v>
      </c>
      <c r="G116" s="53" t="s">
        <v>4939</v>
      </c>
      <c r="H116" s="131" t="s">
        <v>30</v>
      </c>
      <c r="I116" s="53">
        <v>25</v>
      </c>
      <c r="J116" s="188">
        <v>20</v>
      </c>
      <c r="K116" s="54">
        <f t="shared" si="1"/>
        <v>500</v>
      </c>
      <c r="L116" s="55" t="b">
        <v>1</v>
      </c>
      <c r="M116" s="56">
        <v>190520251550</v>
      </c>
      <c r="N116" s="57" t="b">
        <v>1</v>
      </c>
      <c r="O116" s="58"/>
      <c r="P116" s="215"/>
      <c r="Q116" s="191" t="b">
        <v>1</v>
      </c>
      <c r="R116" s="308" t="s">
        <v>3138</v>
      </c>
      <c r="S116" s="404"/>
      <c r="T116" s="173" t="s">
        <v>4937</v>
      </c>
      <c r="U116" s="57" t="b">
        <v>1</v>
      </c>
      <c r="V116" s="310" t="s">
        <v>4938</v>
      </c>
      <c r="W116" s="307"/>
      <c r="X116" s="54"/>
    </row>
    <row r="117" spans="1:24" ht="16">
      <c r="A117" s="162"/>
      <c r="B117" s="71" t="s">
        <v>4931</v>
      </c>
      <c r="C117" s="53" t="s">
        <v>51</v>
      </c>
      <c r="D117" s="53" t="s">
        <v>3458</v>
      </c>
      <c r="E117" s="53" t="s">
        <v>201</v>
      </c>
      <c r="F117" s="53" t="s">
        <v>202</v>
      </c>
      <c r="G117" s="80" t="s">
        <v>3459</v>
      </c>
      <c r="H117" s="131" t="s">
        <v>30</v>
      </c>
      <c r="I117" s="53">
        <v>10</v>
      </c>
      <c r="J117" s="188">
        <v>750</v>
      </c>
      <c r="K117" s="54">
        <f t="shared" si="1"/>
        <v>7500</v>
      </c>
      <c r="L117" s="55" t="b">
        <v>1</v>
      </c>
      <c r="M117" s="56">
        <v>190520251550</v>
      </c>
      <c r="N117" s="57" t="b">
        <v>1</v>
      </c>
      <c r="O117" s="58" t="s">
        <v>3300</v>
      </c>
      <c r="P117" s="226">
        <v>45797</v>
      </c>
      <c r="Q117" s="191" t="b">
        <v>1</v>
      </c>
      <c r="R117" s="308" t="s">
        <v>3138</v>
      </c>
      <c r="S117" s="400"/>
      <c r="T117" s="173" t="s">
        <v>4940</v>
      </c>
      <c r="U117" s="57" t="b">
        <v>1</v>
      </c>
      <c r="V117" s="310" t="s">
        <v>4941</v>
      </c>
      <c r="W117" s="307"/>
      <c r="X117" s="54"/>
    </row>
    <row r="118" spans="1:24" ht="16">
      <c r="A118" s="162"/>
      <c r="B118" s="71" t="s">
        <v>4931</v>
      </c>
      <c r="C118" s="53" t="s">
        <v>51</v>
      </c>
      <c r="D118" s="53" t="s">
        <v>3458</v>
      </c>
      <c r="E118" s="53" t="s">
        <v>201</v>
      </c>
      <c r="F118" s="53" t="s">
        <v>202</v>
      </c>
      <c r="G118" s="53" t="s">
        <v>203</v>
      </c>
      <c r="H118" s="131" t="s">
        <v>30</v>
      </c>
      <c r="I118" s="53">
        <v>18</v>
      </c>
      <c r="J118" s="188">
        <v>200</v>
      </c>
      <c r="K118" s="54">
        <f t="shared" si="1"/>
        <v>3600</v>
      </c>
      <c r="L118" s="55" t="b">
        <v>1</v>
      </c>
      <c r="M118" s="56">
        <v>190520251550</v>
      </c>
      <c r="N118" s="57" t="b">
        <v>1</v>
      </c>
      <c r="O118" s="58" t="s">
        <v>3300</v>
      </c>
      <c r="P118" s="226">
        <v>45797</v>
      </c>
      <c r="Q118" s="191" t="b">
        <v>1</v>
      </c>
      <c r="R118" s="308" t="s">
        <v>3138</v>
      </c>
      <c r="S118" s="400"/>
      <c r="T118" s="173" t="s">
        <v>4940</v>
      </c>
      <c r="U118" s="57" t="b">
        <v>1</v>
      </c>
      <c r="V118" s="310" t="s">
        <v>4941</v>
      </c>
      <c r="W118" s="307"/>
      <c r="X118" s="54"/>
    </row>
    <row r="119" spans="1:24" ht="16">
      <c r="A119" s="162"/>
      <c r="B119" s="71" t="s">
        <v>4931</v>
      </c>
      <c r="C119" s="53" t="s">
        <v>51</v>
      </c>
      <c r="D119" s="53" t="s">
        <v>4717</v>
      </c>
      <c r="E119" s="53" t="s">
        <v>475</v>
      </c>
      <c r="F119" s="53" t="s">
        <v>3234</v>
      </c>
      <c r="G119" s="53" t="s">
        <v>4942</v>
      </c>
      <c r="H119" s="131" t="s">
        <v>30</v>
      </c>
      <c r="I119" s="53">
        <v>20</v>
      </c>
      <c r="J119" s="188">
        <v>135</v>
      </c>
      <c r="K119" s="54">
        <f t="shared" si="1"/>
        <v>2700</v>
      </c>
      <c r="L119" s="55" t="b">
        <v>1</v>
      </c>
      <c r="M119" s="56">
        <v>190520251550</v>
      </c>
      <c r="N119" s="57" t="b">
        <v>1</v>
      </c>
      <c r="O119" s="58"/>
      <c r="P119" s="215"/>
      <c r="Q119" s="191" t="b">
        <v>1</v>
      </c>
      <c r="R119" s="308" t="s">
        <v>3138</v>
      </c>
      <c r="S119" s="308"/>
      <c r="T119" s="337"/>
      <c r="U119" s="57" t="b">
        <v>1</v>
      </c>
      <c r="V119" s="310" t="s">
        <v>4943</v>
      </c>
      <c r="W119" s="307"/>
      <c r="X119" s="54"/>
    </row>
    <row r="120" spans="1:24" ht="16">
      <c r="A120" s="162"/>
      <c r="B120" s="71" t="s">
        <v>4944</v>
      </c>
      <c r="C120" s="71" t="s">
        <v>51</v>
      </c>
      <c r="D120" s="71" t="s">
        <v>3552</v>
      </c>
      <c r="E120" s="53" t="s">
        <v>66</v>
      </c>
      <c r="F120" s="53" t="s">
        <v>67</v>
      </c>
      <c r="G120" s="53" t="s">
        <v>3767</v>
      </c>
      <c r="H120" s="131" t="s">
        <v>30</v>
      </c>
      <c r="I120" s="53">
        <v>3</v>
      </c>
      <c r="J120" s="188">
        <v>2350</v>
      </c>
      <c r="K120" s="54">
        <f t="shared" si="1"/>
        <v>7050</v>
      </c>
      <c r="L120" s="55" t="b">
        <v>1</v>
      </c>
      <c r="M120" s="56">
        <v>200520251619</v>
      </c>
      <c r="N120" s="57" t="b">
        <v>1</v>
      </c>
      <c r="O120" s="58"/>
      <c r="P120" s="215"/>
      <c r="Q120" s="191" t="b">
        <v>1</v>
      </c>
      <c r="R120" s="308" t="s">
        <v>3138</v>
      </c>
      <c r="S120" s="404"/>
      <c r="T120" s="173" t="s">
        <v>4945</v>
      </c>
      <c r="U120" s="57" t="b">
        <v>1</v>
      </c>
      <c r="V120" s="310" t="s">
        <v>4946</v>
      </c>
      <c r="W120" s="307"/>
      <c r="X120" s="54"/>
    </row>
    <row r="121" spans="1:24" ht="16">
      <c r="A121" s="162"/>
      <c r="B121" s="71" t="s">
        <v>4944</v>
      </c>
      <c r="C121" s="71" t="s">
        <v>51</v>
      </c>
      <c r="D121" s="71" t="s">
        <v>3552</v>
      </c>
      <c r="E121" s="53" t="s">
        <v>66</v>
      </c>
      <c r="F121" s="53" t="s">
        <v>67</v>
      </c>
      <c r="G121" s="53" t="s">
        <v>4947</v>
      </c>
      <c r="H121" s="131" t="s">
        <v>30</v>
      </c>
      <c r="I121" s="53">
        <v>3</v>
      </c>
      <c r="J121" s="188">
        <v>850</v>
      </c>
      <c r="K121" s="54">
        <f t="shared" si="1"/>
        <v>2550</v>
      </c>
      <c r="L121" s="189" t="b">
        <v>1</v>
      </c>
      <c r="M121" s="56">
        <v>200520251619</v>
      </c>
      <c r="N121" s="60" t="b">
        <v>1</v>
      </c>
      <c r="O121" s="190" t="s">
        <v>2968</v>
      </c>
      <c r="P121" s="291"/>
      <c r="Q121" s="191" t="b">
        <v>1</v>
      </c>
      <c r="R121" s="308" t="s">
        <v>3138</v>
      </c>
      <c r="S121" s="128"/>
      <c r="T121" s="337"/>
      <c r="U121" s="57" t="b">
        <v>1</v>
      </c>
      <c r="V121" s="310" t="s">
        <v>4948</v>
      </c>
      <c r="W121" s="307"/>
      <c r="X121" s="54"/>
    </row>
    <row r="122" spans="1:24" ht="16">
      <c r="A122" s="162"/>
      <c r="B122" s="71" t="s">
        <v>4944</v>
      </c>
      <c r="C122" s="53" t="s">
        <v>2153</v>
      </c>
      <c r="D122" s="53" t="s">
        <v>4742</v>
      </c>
      <c r="E122" s="53" t="s">
        <v>2153</v>
      </c>
      <c r="F122" s="53" t="s">
        <v>3853</v>
      </c>
      <c r="G122" s="53" t="s">
        <v>4949</v>
      </c>
      <c r="H122" s="131" t="s">
        <v>30</v>
      </c>
      <c r="I122" s="53">
        <v>4</v>
      </c>
      <c r="J122" s="188">
        <v>625</v>
      </c>
      <c r="K122" s="54">
        <f t="shared" si="1"/>
        <v>2500</v>
      </c>
      <c r="L122" s="55" t="b">
        <v>1</v>
      </c>
      <c r="M122" s="56">
        <v>200520251741</v>
      </c>
      <c r="N122" s="57" t="b">
        <v>1</v>
      </c>
      <c r="O122" s="58"/>
      <c r="P122" s="215"/>
      <c r="Q122" s="191" t="b">
        <v>1</v>
      </c>
      <c r="R122" s="308" t="s">
        <v>3138</v>
      </c>
      <c r="S122" s="400"/>
      <c r="T122" s="173" t="s">
        <v>4950</v>
      </c>
      <c r="U122" s="57" t="b">
        <v>1</v>
      </c>
      <c r="V122" s="310" t="s">
        <v>4951</v>
      </c>
      <c r="W122" s="307" t="s">
        <v>4952</v>
      </c>
      <c r="X122" s="54"/>
    </row>
    <row r="123" spans="1:24" ht="16">
      <c r="A123" s="162"/>
      <c r="B123" s="71" t="s">
        <v>4944</v>
      </c>
      <c r="C123" s="53" t="s">
        <v>2153</v>
      </c>
      <c r="D123" s="53" t="s">
        <v>4742</v>
      </c>
      <c r="E123" s="53" t="s">
        <v>2153</v>
      </c>
      <c r="F123" s="53" t="s">
        <v>3853</v>
      </c>
      <c r="G123" s="53" t="s">
        <v>4949</v>
      </c>
      <c r="H123" s="131" t="s">
        <v>30</v>
      </c>
      <c r="I123" s="53">
        <v>1</v>
      </c>
      <c r="J123" s="188">
        <v>625</v>
      </c>
      <c r="K123" s="54">
        <f t="shared" si="1"/>
        <v>625</v>
      </c>
      <c r="L123" s="55" t="b">
        <v>1</v>
      </c>
      <c r="M123" s="56">
        <v>200520251741</v>
      </c>
      <c r="N123" s="57" t="b">
        <v>1</v>
      </c>
      <c r="O123" s="58"/>
      <c r="P123" s="215"/>
      <c r="Q123" s="191" t="b">
        <v>1</v>
      </c>
      <c r="R123" s="308" t="s">
        <v>3138</v>
      </c>
      <c r="S123" s="400"/>
      <c r="T123" s="173"/>
      <c r="U123" s="57" t="b">
        <v>1</v>
      </c>
      <c r="V123" s="310" t="s">
        <v>4953</v>
      </c>
      <c r="W123" s="307"/>
      <c r="X123" s="54"/>
    </row>
    <row r="124" spans="1:24" ht="16">
      <c r="A124" s="162"/>
      <c r="B124" s="71" t="s">
        <v>4954</v>
      </c>
      <c r="C124" s="53" t="s">
        <v>51</v>
      </c>
      <c r="D124" s="53" t="s">
        <v>3458</v>
      </c>
      <c r="E124" s="53" t="s">
        <v>201</v>
      </c>
      <c r="F124" s="53" t="s">
        <v>202</v>
      </c>
      <c r="G124" s="53" t="s">
        <v>4955</v>
      </c>
      <c r="H124" s="131" t="s">
        <v>30</v>
      </c>
      <c r="I124" s="53">
        <v>100</v>
      </c>
      <c r="J124" s="188">
        <v>21</v>
      </c>
      <c r="K124" s="54">
        <f t="shared" si="1"/>
        <v>2100</v>
      </c>
      <c r="L124" s="55" t="b">
        <v>1</v>
      </c>
      <c r="M124" s="56">
        <v>210520251016</v>
      </c>
      <c r="N124" s="57" t="b">
        <v>1</v>
      </c>
      <c r="O124" s="58"/>
      <c r="P124" s="215"/>
      <c r="Q124" s="191" t="b">
        <v>1</v>
      </c>
      <c r="R124" s="308" t="s">
        <v>3138</v>
      </c>
      <c r="S124" s="400"/>
      <c r="T124" s="173" t="s">
        <v>4956</v>
      </c>
      <c r="U124" s="57" t="b">
        <v>1</v>
      </c>
      <c r="V124" s="310" t="s">
        <v>4957</v>
      </c>
      <c r="W124" s="307"/>
      <c r="X124" s="54"/>
    </row>
    <row r="125" spans="1:24" ht="16">
      <c r="A125" s="162"/>
      <c r="B125" s="71" t="s">
        <v>4954</v>
      </c>
      <c r="C125" s="53" t="s">
        <v>104</v>
      </c>
      <c r="D125" s="53" t="s">
        <v>4958</v>
      </c>
      <c r="E125" s="53" t="s">
        <v>1157</v>
      </c>
      <c r="F125" s="53" t="s">
        <v>1158</v>
      </c>
      <c r="G125" s="53" t="s">
        <v>677</v>
      </c>
      <c r="H125" s="131" t="s">
        <v>30</v>
      </c>
      <c r="I125" s="53">
        <v>50</v>
      </c>
      <c r="J125" s="188">
        <v>150</v>
      </c>
      <c r="K125" s="54">
        <f t="shared" si="1"/>
        <v>7500</v>
      </c>
      <c r="L125" s="55" t="b">
        <v>1</v>
      </c>
      <c r="M125" s="56">
        <v>210520251016</v>
      </c>
      <c r="N125" s="57" t="b">
        <v>1</v>
      </c>
      <c r="O125" s="58"/>
      <c r="P125" s="215"/>
      <c r="Q125" s="191" t="b">
        <v>1</v>
      </c>
      <c r="R125" s="308" t="s">
        <v>3138</v>
      </c>
      <c r="S125" s="128"/>
      <c r="T125" s="173" t="s">
        <v>4959</v>
      </c>
      <c r="U125" s="57" t="b">
        <v>1</v>
      </c>
      <c r="V125" s="310" t="s">
        <v>4960</v>
      </c>
      <c r="W125" s="307"/>
      <c r="X125" s="54"/>
    </row>
    <row r="126" spans="1:24" ht="16">
      <c r="A126" s="162"/>
      <c r="B126" s="71" t="s">
        <v>4954</v>
      </c>
      <c r="C126" s="53" t="s">
        <v>2153</v>
      </c>
      <c r="D126" s="53" t="s">
        <v>4742</v>
      </c>
      <c r="E126" s="53" t="s">
        <v>2153</v>
      </c>
      <c r="F126" s="53" t="s">
        <v>3853</v>
      </c>
      <c r="G126" s="53" t="s">
        <v>2719</v>
      </c>
      <c r="H126" s="131" t="s">
        <v>30</v>
      </c>
      <c r="I126" s="53">
        <v>20</v>
      </c>
      <c r="J126" s="188">
        <v>135</v>
      </c>
      <c r="K126" s="54">
        <f t="shared" si="1"/>
        <v>2700</v>
      </c>
      <c r="L126" s="55" t="b">
        <v>1</v>
      </c>
      <c r="M126" s="56">
        <v>210520251236</v>
      </c>
      <c r="N126" s="57" t="b">
        <v>1</v>
      </c>
      <c r="O126" s="58"/>
      <c r="P126" s="215"/>
      <c r="Q126" s="191" t="b">
        <v>1</v>
      </c>
      <c r="R126" s="308" t="s">
        <v>3138</v>
      </c>
      <c r="S126" s="128"/>
      <c r="T126" s="173" t="s">
        <v>4961</v>
      </c>
      <c r="U126" s="57" t="b">
        <v>1</v>
      </c>
      <c r="V126" s="310" t="s">
        <v>4962</v>
      </c>
      <c r="W126" s="307"/>
      <c r="X126" s="54"/>
    </row>
    <row r="127" spans="1:24" ht="16">
      <c r="A127" s="162"/>
      <c r="B127" s="71" t="s">
        <v>4954</v>
      </c>
      <c r="C127" s="53" t="s">
        <v>51</v>
      </c>
      <c r="D127" s="53" t="s">
        <v>3458</v>
      </c>
      <c r="E127" s="53" t="s">
        <v>201</v>
      </c>
      <c r="F127" s="53" t="s">
        <v>202</v>
      </c>
      <c r="G127" s="66" t="s">
        <v>2103</v>
      </c>
      <c r="H127" s="131" t="s">
        <v>30</v>
      </c>
      <c r="I127" s="66">
        <v>3000</v>
      </c>
      <c r="J127" s="70">
        <v>1.5</v>
      </c>
      <c r="K127" s="54">
        <f t="shared" si="1"/>
        <v>4500</v>
      </c>
      <c r="L127" s="55" t="b">
        <v>1</v>
      </c>
      <c r="M127" s="56">
        <v>210520251329</v>
      </c>
      <c r="N127" s="57" t="b">
        <v>1</v>
      </c>
      <c r="O127" s="58"/>
      <c r="P127" s="215"/>
      <c r="Q127" s="191" t="b">
        <v>1</v>
      </c>
      <c r="R127" s="308" t="s">
        <v>3138</v>
      </c>
      <c r="S127" s="128"/>
      <c r="T127" s="337"/>
      <c r="U127" s="57" t="b">
        <v>1</v>
      </c>
      <c r="V127" s="310" t="s">
        <v>4963</v>
      </c>
      <c r="W127" s="307"/>
      <c r="X127" s="75"/>
    </row>
    <row r="128" spans="1:24" ht="16">
      <c r="A128" s="162"/>
      <c r="B128" s="132" t="s">
        <v>4964</v>
      </c>
      <c r="C128" s="66" t="s">
        <v>51</v>
      </c>
      <c r="D128" s="66" t="s">
        <v>4099</v>
      </c>
      <c r="E128" s="66" t="s">
        <v>594</v>
      </c>
      <c r="F128" s="66" t="s">
        <v>595</v>
      </c>
      <c r="G128" s="80" t="s">
        <v>4965</v>
      </c>
      <c r="H128" s="131" t="s">
        <v>30</v>
      </c>
      <c r="I128" s="66">
        <v>2</v>
      </c>
      <c r="J128" s="70">
        <v>1350</v>
      </c>
      <c r="K128" s="54">
        <f t="shared" si="1"/>
        <v>2700</v>
      </c>
      <c r="L128" s="55" t="b">
        <v>1</v>
      </c>
      <c r="M128" s="56">
        <v>220520251021</v>
      </c>
      <c r="N128" s="57" t="b">
        <v>1</v>
      </c>
      <c r="O128" s="58"/>
      <c r="P128" s="215"/>
      <c r="Q128" s="191" t="b">
        <v>1</v>
      </c>
      <c r="R128" s="308" t="s">
        <v>3138</v>
      </c>
      <c r="S128" s="128"/>
      <c r="T128" s="337"/>
      <c r="U128" s="57" t="b">
        <v>1</v>
      </c>
      <c r="V128" s="310" t="s">
        <v>4966</v>
      </c>
      <c r="W128" s="307"/>
      <c r="X128" s="75"/>
    </row>
    <row r="129" spans="1:24" ht="16">
      <c r="A129" s="162"/>
      <c r="B129" s="132" t="s">
        <v>4964</v>
      </c>
      <c r="C129" s="66" t="s">
        <v>51</v>
      </c>
      <c r="D129" s="66" t="s">
        <v>3641</v>
      </c>
      <c r="E129" s="66" t="s">
        <v>335</v>
      </c>
      <c r="F129" s="66" t="s">
        <v>457</v>
      </c>
      <c r="G129" s="53" t="s">
        <v>147</v>
      </c>
      <c r="H129" s="131" t="s">
        <v>30</v>
      </c>
      <c r="I129" s="53">
        <v>3</v>
      </c>
      <c r="J129" s="188">
        <v>800</v>
      </c>
      <c r="K129" s="54">
        <f t="shared" si="1"/>
        <v>2400</v>
      </c>
      <c r="L129" s="55" t="b">
        <v>1</v>
      </c>
      <c r="M129" s="56">
        <v>220520251400</v>
      </c>
      <c r="N129" s="57" t="b">
        <v>1</v>
      </c>
      <c r="O129" s="58"/>
      <c r="P129" s="215"/>
      <c r="Q129" s="191" t="b">
        <v>1</v>
      </c>
      <c r="R129" s="308" t="s">
        <v>3138</v>
      </c>
      <c r="S129" s="128"/>
      <c r="T129" s="337"/>
      <c r="U129" s="57" t="b">
        <v>1</v>
      </c>
      <c r="V129" s="310" t="s">
        <v>4967</v>
      </c>
      <c r="W129" s="307"/>
      <c r="X129" s="54"/>
    </row>
    <row r="130" spans="1:24" ht="16">
      <c r="A130" s="162"/>
      <c r="B130" s="132" t="s">
        <v>4968</v>
      </c>
      <c r="C130" s="66" t="s">
        <v>104</v>
      </c>
      <c r="D130" s="66" t="s">
        <v>4969</v>
      </c>
      <c r="E130" s="66" t="s">
        <v>122</v>
      </c>
      <c r="F130" s="66" t="s">
        <v>123</v>
      </c>
      <c r="G130" s="53" t="s">
        <v>4583</v>
      </c>
      <c r="H130" s="131" t="s">
        <v>30</v>
      </c>
      <c r="I130" s="53">
        <v>450</v>
      </c>
      <c r="J130" s="188">
        <v>22.5</v>
      </c>
      <c r="K130" s="54">
        <f t="shared" si="1"/>
        <v>10125</v>
      </c>
      <c r="L130" s="55" t="b">
        <v>1</v>
      </c>
      <c r="M130" s="56">
        <v>230520250905</v>
      </c>
      <c r="N130" s="57" t="b">
        <v>1</v>
      </c>
      <c r="O130" s="58"/>
      <c r="P130" s="215"/>
      <c r="Q130" s="191" t="b">
        <v>1</v>
      </c>
      <c r="R130" s="308" t="s">
        <v>3138</v>
      </c>
      <c r="S130" s="128"/>
      <c r="T130" s="173" t="s">
        <v>4970</v>
      </c>
      <c r="U130" s="57" t="b">
        <v>1</v>
      </c>
      <c r="V130" s="310" t="s">
        <v>4971</v>
      </c>
      <c r="W130" s="307"/>
      <c r="X130" s="54"/>
    </row>
    <row r="131" spans="1:24" ht="16">
      <c r="A131" s="162"/>
      <c r="B131" s="132" t="s">
        <v>4968</v>
      </c>
      <c r="C131" s="66" t="s">
        <v>247</v>
      </c>
      <c r="D131" s="66" t="s">
        <v>4972</v>
      </c>
      <c r="E131" s="66" t="s">
        <v>248</v>
      </c>
      <c r="F131" s="66" t="s">
        <v>4573</v>
      </c>
      <c r="G131" s="53" t="s">
        <v>300</v>
      </c>
      <c r="H131" s="131" t="s">
        <v>30</v>
      </c>
      <c r="I131" s="53">
        <v>20</v>
      </c>
      <c r="J131" s="188">
        <v>150</v>
      </c>
      <c r="K131" s="54">
        <f t="shared" si="1"/>
        <v>3000</v>
      </c>
      <c r="L131" s="55" t="b">
        <v>1</v>
      </c>
      <c r="M131" s="56">
        <v>230520250907</v>
      </c>
      <c r="N131" s="57" t="b">
        <v>1</v>
      </c>
      <c r="O131" s="58"/>
      <c r="P131" s="215"/>
      <c r="Q131" s="191" t="b">
        <v>1</v>
      </c>
      <c r="R131" s="308" t="s">
        <v>3138</v>
      </c>
      <c r="S131" s="128"/>
      <c r="T131" s="173" t="s">
        <v>4973</v>
      </c>
      <c r="U131" s="57" t="b">
        <v>1</v>
      </c>
      <c r="V131" s="310" t="s">
        <v>4974</v>
      </c>
      <c r="W131" s="307"/>
      <c r="X131" s="54"/>
    </row>
    <row r="132" spans="1:24" ht="16">
      <c r="A132" s="162"/>
      <c r="B132" s="132" t="s">
        <v>4968</v>
      </c>
      <c r="C132" s="66" t="s">
        <v>418</v>
      </c>
      <c r="D132" s="66" t="s">
        <v>3706</v>
      </c>
      <c r="E132" s="66" t="s">
        <v>3373</v>
      </c>
      <c r="F132" s="66" t="s">
        <v>3406</v>
      </c>
      <c r="G132" s="69" t="s">
        <v>4583</v>
      </c>
      <c r="H132" s="131" t="s">
        <v>30</v>
      </c>
      <c r="I132" s="53">
        <v>500</v>
      </c>
      <c r="J132" s="188">
        <v>22.5</v>
      </c>
      <c r="K132" s="54">
        <f t="shared" si="1"/>
        <v>11250</v>
      </c>
      <c r="L132" s="55" t="b">
        <v>1</v>
      </c>
      <c r="M132" s="56">
        <v>230520251945</v>
      </c>
      <c r="N132" s="57" t="b">
        <v>1</v>
      </c>
      <c r="O132" s="58"/>
      <c r="P132" s="215"/>
      <c r="Q132" s="191" t="b">
        <v>1</v>
      </c>
      <c r="R132" s="308" t="s">
        <v>3138</v>
      </c>
      <c r="S132" s="128"/>
      <c r="T132" s="337"/>
      <c r="U132" s="57" t="b">
        <v>1</v>
      </c>
      <c r="V132" s="310" t="s">
        <v>4975</v>
      </c>
      <c r="W132" s="307"/>
      <c r="X132" s="54"/>
    </row>
    <row r="133" spans="1:24" ht="16">
      <c r="A133" s="162"/>
      <c r="B133" s="71" t="s">
        <v>4976</v>
      </c>
      <c r="C133" s="53" t="s">
        <v>144</v>
      </c>
      <c r="D133" s="53" t="s">
        <v>4149</v>
      </c>
      <c r="E133" s="53" t="s">
        <v>4977</v>
      </c>
      <c r="F133" s="53" t="s">
        <v>582</v>
      </c>
      <c r="G133" s="53" t="s">
        <v>374</v>
      </c>
      <c r="H133" s="131" t="s">
        <v>30</v>
      </c>
      <c r="I133" s="53">
        <v>100</v>
      </c>
      <c r="J133" s="188">
        <v>31</v>
      </c>
      <c r="K133" s="54">
        <f t="shared" si="1"/>
        <v>3100</v>
      </c>
      <c r="L133" s="55" t="b">
        <v>1</v>
      </c>
      <c r="M133" s="56">
        <v>240520250954</v>
      </c>
      <c r="N133" s="57" t="b">
        <v>1</v>
      </c>
      <c r="O133" s="58"/>
      <c r="P133" s="215"/>
      <c r="Q133" s="191" t="b">
        <v>1</v>
      </c>
      <c r="R133" s="308" t="s">
        <v>3138</v>
      </c>
      <c r="S133" s="128"/>
      <c r="T133" s="337"/>
      <c r="U133" s="57" t="b">
        <v>1</v>
      </c>
      <c r="V133" s="310" t="s">
        <v>4978</v>
      </c>
      <c r="W133" s="307"/>
      <c r="X133" s="54"/>
    </row>
    <row r="134" spans="1:24" ht="16">
      <c r="A134" s="162"/>
      <c r="B134" s="71" t="s">
        <v>4976</v>
      </c>
      <c r="C134" s="53" t="s">
        <v>104</v>
      </c>
      <c r="D134" s="53" t="s">
        <v>4979</v>
      </c>
      <c r="E134" s="53" t="s">
        <v>4980</v>
      </c>
      <c r="F134" s="53" t="s">
        <v>4981</v>
      </c>
      <c r="G134" s="53" t="s">
        <v>4982</v>
      </c>
      <c r="H134" s="131" t="s">
        <v>30</v>
      </c>
      <c r="I134" s="53">
        <v>1</v>
      </c>
      <c r="J134" s="188">
        <v>0.01</v>
      </c>
      <c r="K134" s="54">
        <f t="shared" si="1"/>
        <v>0.01</v>
      </c>
      <c r="L134" s="55" t="b">
        <v>1</v>
      </c>
      <c r="M134" s="56">
        <v>240520251514</v>
      </c>
      <c r="N134" s="57" t="b">
        <v>1</v>
      </c>
      <c r="O134" s="58"/>
      <c r="P134" s="215" t="s">
        <v>4983</v>
      </c>
      <c r="Q134" s="191" t="b">
        <v>1</v>
      </c>
      <c r="R134" s="308" t="s">
        <v>3138</v>
      </c>
      <c r="S134" s="128"/>
      <c r="T134" s="337"/>
      <c r="U134" s="57" t="b">
        <v>0</v>
      </c>
      <c r="V134" s="403" t="s">
        <v>4845</v>
      </c>
      <c r="W134" s="307"/>
      <c r="X134" s="54"/>
    </row>
    <row r="135" spans="1:24" ht="16">
      <c r="A135" s="162"/>
      <c r="B135" s="71" t="s">
        <v>4984</v>
      </c>
      <c r="C135" s="53" t="s">
        <v>51</v>
      </c>
      <c r="D135" s="53" t="s">
        <v>3458</v>
      </c>
      <c r="E135" s="53" t="s">
        <v>1372</v>
      </c>
      <c r="F135" s="53"/>
      <c r="G135" s="53" t="s">
        <v>4985</v>
      </c>
      <c r="H135" s="131" t="s">
        <v>30</v>
      </c>
      <c r="I135" s="53">
        <v>1</v>
      </c>
      <c r="J135" s="188">
        <v>2000</v>
      </c>
      <c r="K135" s="54">
        <f t="shared" si="1"/>
        <v>2000</v>
      </c>
      <c r="L135" s="55" t="b">
        <v>1</v>
      </c>
      <c r="M135" s="56">
        <v>270520251018</v>
      </c>
      <c r="N135" s="57" t="b">
        <v>1</v>
      </c>
      <c r="O135" s="58"/>
      <c r="P135" s="215"/>
      <c r="Q135" s="191" t="b">
        <v>1</v>
      </c>
      <c r="R135" s="308" t="s">
        <v>3138</v>
      </c>
      <c r="S135" s="128"/>
      <c r="T135" s="337"/>
      <c r="U135" s="57" t="b">
        <v>1</v>
      </c>
      <c r="V135" s="310" t="s">
        <v>4986</v>
      </c>
      <c r="W135" s="307"/>
      <c r="X135" s="54"/>
    </row>
    <row r="136" spans="1:24" ht="16">
      <c r="A136" s="162"/>
      <c r="B136" s="71" t="s">
        <v>4984</v>
      </c>
      <c r="C136" s="53" t="s">
        <v>438</v>
      </c>
      <c r="D136" s="53" t="s">
        <v>3568</v>
      </c>
      <c r="E136" s="53" t="s">
        <v>439</v>
      </c>
      <c r="F136" s="53" t="s">
        <v>2590</v>
      </c>
      <c r="G136" s="53" t="s">
        <v>374</v>
      </c>
      <c r="H136" s="131" t="s">
        <v>30</v>
      </c>
      <c r="I136" s="53">
        <v>50</v>
      </c>
      <c r="J136" s="188">
        <v>31</v>
      </c>
      <c r="K136" s="54">
        <f t="shared" si="1"/>
        <v>1550</v>
      </c>
      <c r="L136" s="55" t="b">
        <v>1</v>
      </c>
      <c r="M136" s="56">
        <v>270520251112</v>
      </c>
      <c r="N136" s="57" t="b">
        <v>1</v>
      </c>
      <c r="O136" s="58"/>
      <c r="P136" s="215"/>
      <c r="Q136" s="191" t="b">
        <v>1</v>
      </c>
      <c r="R136" s="308" t="s">
        <v>3138</v>
      </c>
      <c r="S136" s="128"/>
      <c r="T136" s="173" t="s">
        <v>4987</v>
      </c>
      <c r="U136" s="57" t="b">
        <v>1</v>
      </c>
      <c r="V136" s="310" t="s">
        <v>4988</v>
      </c>
      <c r="W136" s="307"/>
      <c r="X136" s="54"/>
    </row>
    <row r="137" spans="1:24" ht="16">
      <c r="A137" s="162"/>
      <c r="B137" s="71" t="s">
        <v>4984</v>
      </c>
      <c r="C137" s="53" t="s">
        <v>438</v>
      </c>
      <c r="D137" s="53" t="s">
        <v>3568</v>
      </c>
      <c r="E137" s="53" t="s">
        <v>439</v>
      </c>
      <c r="F137" s="53" t="s">
        <v>2590</v>
      </c>
      <c r="G137" s="53" t="s">
        <v>1952</v>
      </c>
      <c r="H137" s="131" t="s">
        <v>30</v>
      </c>
      <c r="I137" s="53">
        <v>10</v>
      </c>
      <c r="J137" s="188">
        <v>650</v>
      </c>
      <c r="K137" s="54">
        <f t="shared" si="1"/>
        <v>6500</v>
      </c>
      <c r="L137" s="55" t="b">
        <v>1</v>
      </c>
      <c r="M137" s="56">
        <v>270520251112</v>
      </c>
      <c r="N137" s="57" t="b">
        <v>1</v>
      </c>
      <c r="O137" s="58" t="s">
        <v>39</v>
      </c>
      <c r="P137" s="226">
        <v>45804</v>
      </c>
      <c r="Q137" s="191" t="b">
        <v>1</v>
      </c>
      <c r="R137" s="308" t="s">
        <v>3138</v>
      </c>
      <c r="S137" s="128"/>
      <c r="T137" s="337"/>
      <c r="U137" s="57" t="b">
        <v>1</v>
      </c>
      <c r="V137" s="310" t="s">
        <v>4989</v>
      </c>
      <c r="W137" s="307"/>
      <c r="X137" s="54"/>
    </row>
    <row r="138" spans="1:24" ht="16">
      <c r="A138" s="162"/>
      <c r="B138" s="71" t="s">
        <v>4984</v>
      </c>
      <c r="C138" s="53" t="s">
        <v>438</v>
      </c>
      <c r="D138" s="53" t="s">
        <v>3568</v>
      </c>
      <c r="E138" s="53" t="s">
        <v>439</v>
      </c>
      <c r="F138" s="53" t="s">
        <v>2590</v>
      </c>
      <c r="G138" s="53" t="s">
        <v>4990</v>
      </c>
      <c r="H138" s="131" t="s">
        <v>30</v>
      </c>
      <c r="I138" s="53">
        <v>2</v>
      </c>
      <c r="J138" s="188">
        <v>145</v>
      </c>
      <c r="K138" s="54">
        <f t="shared" si="1"/>
        <v>290</v>
      </c>
      <c r="L138" s="55" t="b">
        <v>1</v>
      </c>
      <c r="M138" s="56">
        <v>270520251112</v>
      </c>
      <c r="N138" s="57" t="b">
        <v>1</v>
      </c>
      <c r="O138" s="58"/>
      <c r="P138" s="215"/>
      <c r="Q138" s="191" t="b">
        <v>1</v>
      </c>
      <c r="R138" s="308" t="s">
        <v>3138</v>
      </c>
      <c r="S138" s="128"/>
      <c r="T138" s="173" t="s">
        <v>4991</v>
      </c>
      <c r="U138" s="57" t="b">
        <v>1</v>
      </c>
      <c r="V138" s="310" t="s">
        <v>4992</v>
      </c>
      <c r="W138" s="307"/>
      <c r="X138" s="54"/>
    </row>
    <row r="139" spans="1:24" ht="16">
      <c r="A139" s="162"/>
      <c r="B139" s="71" t="s">
        <v>4984</v>
      </c>
      <c r="C139" s="53" t="s">
        <v>438</v>
      </c>
      <c r="D139" s="53" t="s">
        <v>3568</v>
      </c>
      <c r="E139" s="53" t="s">
        <v>439</v>
      </c>
      <c r="F139" s="53" t="s">
        <v>2590</v>
      </c>
      <c r="G139" s="53" t="s">
        <v>4993</v>
      </c>
      <c r="H139" s="131" t="s">
        <v>30</v>
      </c>
      <c r="I139" s="53">
        <v>2</v>
      </c>
      <c r="J139" s="188">
        <v>175</v>
      </c>
      <c r="K139" s="54">
        <f t="shared" si="1"/>
        <v>350</v>
      </c>
      <c r="L139" s="55" t="b">
        <v>1</v>
      </c>
      <c r="M139" s="56">
        <v>270520251112</v>
      </c>
      <c r="N139" s="57" t="b">
        <v>1</v>
      </c>
      <c r="O139" s="58"/>
      <c r="P139" s="215"/>
      <c r="Q139" s="191" t="b">
        <v>1</v>
      </c>
      <c r="R139" s="308" t="s">
        <v>3138</v>
      </c>
      <c r="S139" s="128"/>
      <c r="T139" s="173" t="s">
        <v>4991</v>
      </c>
      <c r="U139" s="57" t="b">
        <v>1</v>
      </c>
      <c r="V139" s="310" t="s">
        <v>4992</v>
      </c>
      <c r="W139" s="307"/>
      <c r="X139" s="54"/>
    </row>
    <row r="140" spans="1:24" ht="16">
      <c r="A140" s="162"/>
      <c r="B140" s="71" t="s">
        <v>4984</v>
      </c>
      <c r="C140" s="53" t="s">
        <v>438</v>
      </c>
      <c r="D140" s="53" t="s">
        <v>3568</v>
      </c>
      <c r="E140" s="53" t="s">
        <v>439</v>
      </c>
      <c r="F140" s="53" t="s">
        <v>2590</v>
      </c>
      <c r="G140" s="53" t="s">
        <v>877</v>
      </c>
      <c r="H140" s="131" t="s">
        <v>30</v>
      </c>
      <c r="I140" s="53">
        <v>1</v>
      </c>
      <c r="J140" s="188">
        <v>875</v>
      </c>
      <c r="K140" s="54">
        <f t="shared" si="1"/>
        <v>875</v>
      </c>
      <c r="L140" s="55" t="b">
        <v>1</v>
      </c>
      <c r="M140" s="56">
        <v>270520251112</v>
      </c>
      <c r="N140" s="57" t="b">
        <v>1</v>
      </c>
      <c r="O140" s="58"/>
      <c r="P140" s="215"/>
      <c r="Q140" s="191" t="b">
        <v>1</v>
      </c>
      <c r="R140" s="308" t="s">
        <v>3138</v>
      </c>
      <c r="S140" s="128"/>
      <c r="T140" s="173" t="s">
        <v>4994</v>
      </c>
      <c r="U140" s="57" t="b">
        <v>1</v>
      </c>
      <c r="V140" s="310" t="s">
        <v>4995</v>
      </c>
      <c r="W140" s="307"/>
      <c r="X140" s="54"/>
    </row>
    <row r="141" spans="1:24" ht="16">
      <c r="A141" s="162"/>
      <c r="B141" s="71" t="s">
        <v>4984</v>
      </c>
      <c r="C141" s="53" t="s">
        <v>171</v>
      </c>
      <c r="D141" s="53" t="s">
        <v>3650</v>
      </c>
      <c r="E141" s="53" t="s">
        <v>137</v>
      </c>
      <c r="F141" s="53" t="s">
        <v>4523</v>
      </c>
      <c r="G141" s="53" t="s">
        <v>58</v>
      </c>
      <c r="H141" s="131" t="s">
        <v>30</v>
      </c>
      <c r="I141" s="53">
        <v>84</v>
      </c>
      <c r="J141" s="188">
        <v>42</v>
      </c>
      <c r="K141" s="54">
        <f t="shared" si="1"/>
        <v>3528</v>
      </c>
      <c r="L141" s="55" t="b">
        <v>1</v>
      </c>
      <c r="M141" s="56">
        <v>270520251323</v>
      </c>
      <c r="N141" s="57" t="b">
        <v>1</v>
      </c>
      <c r="O141" s="58"/>
      <c r="P141" s="215"/>
      <c r="Q141" s="191" t="b">
        <v>1</v>
      </c>
      <c r="R141" s="308" t="s">
        <v>3138</v>
      </c>
      <c r="S141" s="128"/>
      <c r="T141" s="173" t="s">
        <v>4996</v>
      </c>
      <c r="U141" s="57" t="b">
        <v>1</v>
      </c>
      <c r="V141" s="310" t="s">
        <v>4997</v>
      </c>
      <c r="W141" s="307"/>
      <c r="X141" s="54"/>
    </row>
    <row r="142" spans="1:24" ht="16">
      <c r="A142" s="162"/>
      <c r="B142" s="71" t="s">
        <v>4984</v>
      </c>
      <c r="C142" s="53" t="s">
        <v>171</v>
      </c>
      <c r="D142" s="53" t="s">
        <v>3650</v>
      </c>
      <c r="E142" s="53" t="s">
        <v>137</v>
      </c>
      <c r="F142" s="53" t="s">
        <v>4523</v>
      </c>
      <c r="G142" s="53" t="s">
        <v>4056</v>
      </c>
      <c r="H142" s="131" t="s">
        <v>30</v>
      </c>
      <c r="I142" s="53">
        <v>84</v>
      </c>
      <c r="J142" s="188">
        <v>38</v>
      </c>
      <c r="K142" s="54">
        <f t="shared" si="1"/>
        <v>3192</v>
      </c>
      <c r="L142" s="55" t="b">
        <v>1</v>
      </c>
      <c r="M142" s="56">
        <v>270520251323</v>
      </c>
      <c r="N142" s="57" t="b">
        <v>1</v>
      </c>
      <c r="O142" s="58"/>
      <c r="P142" s="215"/>
      <c r="Q142" s="191" t="b">
        <v>1</v>
      </c>
      <c r="R142" s="308" t="s">
        <v>3138</v>
      </c>
      <c r="S142" s="128"/>
      <c r="T142" s="173" t="s">
        <v>4996</v>
      </c>
      <c r="U142" s="57" t="b">
        <v>1</v>
      </c>
      <c r="V142" s="310" t="s">
        <v>4997</v>
      </c>
      <c r="W142" s="307"/>
      <c r="X142" s="54"/>
    </row>
    <row r="143" spans="1:24" ht="16">
      <c r="A143" s="162"/>
      <c r="B143" s="71" t="s">
        <v>4984</v>
      </c>
      <c r="C143" s="53" t="s">
        <v>171</v>
      </c>
      <c r="D143" s="53" t="s">
        <v>3650</v>
      </c>
      <c r="E143" s="53" t="s">
        <v>137</v>
      </c>
      <c r="F143" s="53" t="s">
        <v>4523</v>
      </c>
      <c r="G143" s="53" t="s">
        <v>1952</v>
      </c>
      <c r="H143" s="131" t="s">
        <v>30</v>
      </c>
      <c r="I143" s="53">
        <v>10</v>
      </c>
      <c r="J143" s="188">
        <v>650</v>
      </c>
      <c r="K143" s="54">
        <f t="shared" si="1"/>
        <v>6500</v>
      </c>
      <c r="L143" s="55" t="b">
        <v>1</v>
      </c>
      <c r="M143" s="56">
        <v>270520251323</v>
      </c>
      <c r="N143" s="57" t="b">
        <v>1</v>
      </c>
      <c r="O143" s="58" t="s">
        <v>39</v>
      </c>
      <c r="P143" s="226">
        <v>45804</v>
      </c>
      <c r="Q143" s="191" t="b">
        <v>1</v>
      </c>
      <c r="R143" s="308" t="s">
        <v>3138</v>
      </c>
      <c r="S143" s="128"/>
      <c r="T143" s="337"/>
      <c r="U143" s="57" t="b">
        <v>1</v>
      </c>
      <c r="V143" s="310" t="s">
        <v>4998</v>
      </c>
      <c r="W143" s="307"/>
      <c r="X143" s="54"/>
    </row>
    <row r="144" spans="1:24" ht="16">
      <c r="A144" s="162"/>
      <c r="B144" s="71" t="s">
        <v>4984</v>
      </c>
      <c r="C144" s="53" t="s">
        <v>171</v>
      </c>
      <c r="D144" s="53" t="s">
        <v>3650</v>
      </c>
      <c r="E144" s="53" t="s">
        <v>137</v>
      </c>
      <c r="F144" s="53" t="s">
        <v>4523</v>
      </c>
      <c r="G144" s="53" t="s">
        <v>1024</v>
      </c>
      <c r="H144" s="131" t="s">
        <v>30</v>
      </c>
      <c r="I144" s="53">
        <v>15</v>
      </c>
      <c r="J144" s="188">
        <v>165</v>
      </c>
      <c r="K144" s="54">
        <f t="shared" si="1"/>
        <v>2475</v>
      </c>
      <c r="L144" s="55" t="b">
        <v>1</v>
      </c>
      <c r="M144" s="56">
        <v>270520251323</v>
      </c>
      <c r="N144" s="57" t="b">
        <v>1</v>
      </c>
      <c r="O144" s="58"/>
      <c r="P144" s="226"/>
      <c r="Q144" s="191" t="b">
        <v>1</v>
      </c>
      <c r="R144" s="308" t="s">
        <v>3138</v>
      </c>
      <c r="S144" s="128"/>
      <c r="T144" s="173" t="s">
        <v>4996</v>
      </c>
      <c r="U144" s="57" t="b">
        <v>1</v>
      </c>
      <c r="V144" s="310" t="s">
        <v>4997</v>
      </c>
      <c r="W144" s="307"/>
      <c r="X144" s="54"/>
    </row>
    <row r="145" spans="1:24" ht="16">
      <c r="A145" s="162"/>
      <c r="B145" s="71" t="s">
        <v>4984</v>
      </c>
      <c r="C145" s="53" t="s">
        <v>55</v>
      </c>
      <c r="D145" s="53" t="s">
        <v>3595</v>
      </c>
      <c r="E145" s="53" t="s">
        <v>56</v>
      </c>
      <c r="F145" s="53" t="s">
        <v>57</v>
      </c>
      <c r="G145" s="53" t="s">
        <v>1952</v>
      </c>
      <c r="H145" s="131" t="s">
        <v>30</v>
      </c>
      <c r="I145" s="53">
        <v>10</v>
      </c>
      <c r="J145" s="188">
        <v>650</v>
      </c>
      <c r="K145" s="54">
        <f t="shared" si="1"/>
        <v>6500</v>
      </c>
      <c r="L145" s="55" t="b">
        <v>1</v>
      </c>
      <c r="M145" s="56">
        <v>270520251323</v>
      </c>
      <c r="N145" s="57" t="b">
        <v>1</v>
      </c>
      <c r="O145" s="58" t="s">
        <v>39</v>
      </c>
      <c r="P145" s="226">
        <v>45804</v>
      </c>
      <c r="Q145" s="191" t="b">
        <v>1</v>
      </c>
      <c r="R145" s="308" t="s">
        <v>3138</v>
      </c>
      <c r="S145" s="128"/>
      <c r="T145" s="337"/>
      <c r="U145" s="57" t="b">
        <v>1</v>
      </c>
      <c r="V145" s="310" t="s">
        <v>4999</v>
      </c>
      <c r="W145" s="307"/>
      <c r="X145" s="54"/>
    </row>
    <row r="146" spans="1:24" ht="16">
      <c r="A146" s="162"/>
      <c r="B146" s="71" t="s">
        <v>4984</v>
      </c>
      <c r="C146" s="53" t="s">
        <v>345</v>
      </c>
      <c r="D146" s="53" t="s">
        <v>4095</v>
      </c>
      <c r="E146" s="53" t="s">
        <v>342</v>
      </c>
      <c r="F146" s="53" t="s">
        <v>927</v>
      </c>
      <c r="G146" s="53" t="s">
        <v>58</v>
      </c>
      <c r="H146" s="131" t="s">
        <v>30</v>
      </c>
      <c r="I146" s="53">
        <v>84</v>
      </c>
      <c r="J146" s="188">
        <v>42</v>
      </c>
      <c r="K146" s="54">
        <f t="shared" si="1"/>
        <v>3528</v>
      </c>
      <c r="L146" s="55" t="b">
        <v>1</v>
      </c>
      <c r="M146" s="56">
        <v>270520251402</v>
      </c>
      <c r="N146" s="57" t="b">
        <v>1</v>
      </c>
      <c r="O146" s="58"/>
      <c r="P146" s="215"/>
      <c r="Q146" s="191" t="b">
        <v>1</v>
      </c>
      <c r="R146" s="308" t="s">
        <v>3138</v>
      </c>
      <c r="S146" s="128"/>
      <c r="T146" s="173" t="s">
        <v>5000</v>
      </c>
      <c r="U146" s="57" t="b">
        <v>1</v>
      </c>
      <c r="V146" s="310" t="s">
        <v>5001</v>
      </c>
      <c r="W146" s="307"/>
      <c r="X146" s="54"/>
    </row>
    <row r="147" spans="1:24" ht="16">
      <c r="A147" s="162"/>
      <c r="B147" s="71" t="s">
        <v>4984</v>
      </c>
      <c r="C147" s="53" t="s">
        <v>345</v>
      </c>
      <c r="D147" s="53" t="s">
        <v>4095</v>
      </c>
      <c r="E147" s="53" t="s">
        <v>342</v>
      </c>
      <c r="F147" s="53" t="s">
        <v>927</v>
      </c>
      <c r="G147" s="53" t="s">
        <v>1952</v>
      </c>
      <c r="H147" s="131" t="s">
        <v>30</v>
      </c>
      <c r="I147" s="53">
        <v>10</v>
      </c>
      <c r="J147" s="188">
        <v>650</v>
      </c>
      <c r="K147" s="54">
        <f t="shared" si="1"/>
        <v>6500</v>
      </c>
      <c r="L147" s="55" t="b">
        <v>1</v>
      </c>
      <c r="M147" s="56">
        <v>270520251402</v>
      </c>
      <c r="N147" s="57" t="b">
        <v>1</v>
      </c>
      <c r="O147" s="58" t="s">
        <v>39</v>
      </c>
      <c r="P147" s="226">
        <v>45804</v>
      </c>
      <c r="Q147" s="191" t="b">
        <v>1</v>
      </c>
      <c r="R147" s="308" t="s">
        <v>3138</v>
      </c>
      <c r="S147" s="128"/>
      <c r="T147" s="337"/>
      <c r="U147" s="57" t="b">
        <v>1</v>
      </c>
      <c r="V147" s="310" t="s">
        <v>5002</v>
      </c>
      <c r="W147" s="307"/>
      <c r="X147" s="54"/>
    </row>
    <row r="148" spans="1:24" ht="16">
      <c r="A148" s="162"/>
      <c r="B148" s="71" t="s">
        <v>4984</v>
      </c>
      <c r="C148" s="53" t="s">
        <v>3242</v>
      </c>
      <c r="D148" s="53" t="s">
        <v>4292</v>
      </c>
      <c r="E148" s="53" t="s">
        <v>99</v>
      </c>
      <c r="F148" s="53" t="s">
        <v>2768</v>
      </c>
      <c r="G148" s="53" t="s">
        <v>1952</v>
      </c>
      <c r="H148" s="131" t="s">
        <v>30</v>
      </c>
      <c r="I148" s="53">
        <v>10</v>
      </c>
      <c r="J148" s="188">
        <v>650</v>
      </c>
      <c r="K148" s="54">
        <f t="shared" si="1"/>
        <v>6500</v>
      </c>
      <c r="L148" s="55" t="b">
        <v>1</v>
      </c>
      <c r="M148" s="56">
        <v>270520251423</v>
      </c>
      <c r="N148" s="57" t="b">
        <v>1</v>
      </c>
      <c r="O148" s="58" t="s">
        <v>39</v>
      </c>
      <c r="P148" s="226">
        <v>45804</v>
      </c>
      <c r="Q148" s="191" t="b">
        <v>1</v>
      </c>
      <c r="R148" s="308" t="s">
        <v>3138</v>
      </c>
      <c r="S148" s="128"/>
      <c r="T148" s="337"/>
      <c r="U148" s="57" t="b">
        <v>1</v>
      </c>
      <c r="V148" s="310" t="s">
        <v>5003</v>
      </c>
      <c r="W148" s="307"/>
      <c r="X148" s="54"/>
    </row>
    <row r="149" spans="1:24" ht="16">
      <c r="A149" s="162"/>
      <c r="B149" s="71" t="s">
        <v>4984</v>
      </c>
      <c r="C149" s="53" t="s">
        <v>108</v>
      </c>
      <c r="D149" s="53" t="s">
        <v>4281</v>
      </c>
      <c r="E149" s="53" t="s">
        <v>109</v>
      </c>
      <c r="F149" s="53" t="s">
        <v>110</v>
      </c>
      <c r="G149" s="53" t="s">
        <v>1700</v>
      </c>
      <c r="H149" s="131" t="s">
        <v>30</v>
      </c>
      <c r="I149" s="53">
        <v>100</v>
      </c>
      <c r="J149" s="188">
        <v>16</v>
      </c>
      <c r="K149" s="54">
        <f t="shared" si="1"/>
        <v>1600</v>
      </c>
      <c r="L149" s="55" t="b">
        <v>1</v>
      </c>
      <c r="M149" s="56">
        <v>270520251423</v>
      </c>
      <c r="N149" s="57" t="b">
        <v>1</v>
      </c>
      <c r="O149" s="58"/>
      <c r="P149" s="215"/>
      <c r="Q149" s="191" t="b">
        <v>1</v>
      </c>
      <c r="R149" s="308" t="s">
        <v>3138</v>
      </c>
      <c r="S149" s="128"/>
      <c r="T149" s="173" t="s">
        <v>5004</v>
      </c>
      <c r="U149" s="57" t="b">
        <v>1</v>
      </c>
      <c r="V149" s="310" t="s">
        <v>5005</v>
      </c>
      <c r="W149" s="307"/>
      <c r="X149" s="54"/>
    </row>
    <row r="150" spans="1:24" ht="16">
      <c r="A150" s="162"/>
      <c r="B150" s="71" t="s">
        <v>4984</v>
      </c>
      <c r="C150" s="53" t="s">
        <v>26</v>
      </c>
      <c r="D150" s="53" t="s">
        <v>3713</v>
      </c>
      <c r="E150" s="53" t="s">
        <v>220</v>
      </c>
      <c r="F150" s="53" t="s">
        <v>221</v>
      </c>
      <c r="G150" s="53" t="s">
        <v>3767</v>
      </c>
      <c r="H150" s="131" t="s">
        <v>30</v>
      </c>
      <c r="I150" s="53">
        <v>1</v>
      </c>
      <c r="J150" s="188">
        <v>2350</v>
      </c>
      <c r="K150" s="54">
        <f t="shared" si="1"/>
        <v>2350</v>
      </c>
      <c r="L150" s="55" t="b">
        <v>1</v>
      </c>
      <c r="M150" s="56">
        <v>270520251423</v>
      </c>
      <c r="N150" s="57" t="b">
        <v>1</v>
      </c>
      <c r="O150" s="58"/>
      <c r="P150" s="215"/>
      <c r="Q150" s="191" t="b">
        <v>1</v>
      </c>
      <c r="R150" s="308" t="s">
        <v>3138</v>
      </c>
      <c r="S150" s="128"/>
      <c r="T150" s="173" t="s">
        <v>5006</v>
      </c>
      <c r="U150" s="57" t="b">
        <v>1</v>
      </c>
      <c r="V150" s="310" t="s">
        <v>5007</v>
      </c>
      <c r="W150" s="307"/>
      <c r="X150" s="54"/>
    </row>
    <row r="151" spans="1:24" ht="16">
      <c r="A151" s="162"/>
      <c r="B151" s="71" t="s">
        <v>4984</v>
      </c>
      <c r="C151" s="53" t="s">
        <v>51</v>
      </c>
      <c r="D151" s="53" t="s">
        <v>3487</v>
      </c>
      <c r="E151" s="53" t="s">
        <v>89</v>
      </c>
      <c r="F151" s="53" t="s">
        <v>1872</v>
      </c>
      <c r="G151" s="53" t="s">
        <v>1700</v>
      </c>
      <c r="H151" s="131" t="s">
        <v>30</v>
      </c>
      <c r="I151" s="53">
        <v>250</v>
      </c>
      <c r="J151" s="188">
        <v>15</v>
      </c>
      <c r="K151" s="54">
        <f t="shared" si="1"/>
        <v>3750</v>
      </c>
      <c r="L151" s="55" t="b">
        <v>1</v>
      </c>
      <c r="M151" s="56">
        <v>270520251423</v>
      </c>
      <c r="N151" s="57" t="b">
        <v>1</v>
      </c>
      <c r="O151" s="58"/>
      <c r="P151" s="215"/>
      <c r="Q151" s="191" t="b">
        <v>1</v>
      </c>
      <c r="R151" s="308" t="s">
        <v>3138</v>
      </c>
      <c r="S151" s="128"/>
      <c r="T151" s="173" t="s">
        <v>5008</v>
      </c>
      <c r="U151" s="57" t="b">
        <v>1</v>
      </c>
      <c r="V151" s="310" t="s">
        <v>5009</v>
      </c>
      <c r="W151" s="307"/>
      <c r="X151" s="54"/>
    </row>
    <row r="152" spans="1:24" ht="16">
      <c r="A152" s="162"/>
      <c r="B152" s="71" t="s">
        <v>4984</v>
      </c>
      <c r="C152" s="53" t="s">
        <v>51</v>
      </c>
      <c r="D152" s="53" t="s">
        <v>3487</v>
      </c>
      <c r="E152" s="53" t="s">
        <v>89</v>
      </c>
      <c r="F152" s="53" t="s">
        <v>1872</v>
      </c>
      <c r="G152" s="53" t="s">
        <v>3555</v>
      </c>
      <c r="H152" s="131" t="s">
        <v>30</v>
      </c>
      <c r="I152" s="53">
        <v>250</v>
      </c>
      <c r="J152" s="188">
        <v>90</v>
      </c>
      <c r="K152" s="54">
        <f t="shared" si="1"/>
        <v>22500</v>
      </c>
      <c r="L152" s="55" t="b">
        <v>1</v>
      </c>
      <c r="M152" s="56">
        <v>270520251818</v>
      </c>
      <c r="N152" s="57" t="b">
        <v>1</v>
      </c>
      <c r="O152" s="58"/>
      <c r="P152" s="215"/>
      <c r="Q152" s="191" t="b">
        <v>1</v>
      </c>
      <c r="R152" s="308" t="s">
        <v>3138</v>
      </c>
      <c r="S152" s="128"/>
      <c r="T152" s="173" t="s">
        <v>5008</v>
      </c>
      <c r="U152" s="57" t="b">
        <v>1</v>
      </c>
      <c r="V152" s="310" t="s">
        <v>5009</v>
      </c>
      <c r="W152" s="307"/>
      <c r="X152" s="54"/>
    </row>
    <row r="153" spans="1:24" ht="16">
      <c r="A153" s="162"/>
      <c r="B153" s="71" t="s">
        <v>5010</v>
      </c>
      <c r="C153" s="53" t="s">
        <v>51</v>
      </c>
      <c r="D153" s="53" t="s">
        <v>3458</v>
      </c>
      <c r="E153" s="53" t="s">
        <v>201</v>
      </c>
      <c r="F153" s="53" t="s">
        <v>5011</v>
      </c>
      <c r="G153" s="53" t="s">
        <v>5012</v>
      </c>
      <c r="H153" s="131" t="s">
        <v>30</v>
      </c>
      <c r="I153" s="53">
        <v>1</v>
      </c>
      <c r="J153" s="188">
        <v>5750</v>
      </c>
      <c r="K153" s="54">
        <f t="shared" si="1"/>
        <v>5750</v>
      </c>
      <c r="L153" s="55" t="b">
        <v>1</v>
      </c>
      <c r="M153" s="56">
        <v>280520251448</v>
      </c>
      <c r="N153" s="57" t="b">
        <v>1</v>
      </c>
      <c r="O153" s="58" t="s">
        <v>39</v>
      </c>
      <c r="P153" s="226">
        <v>45805</v>
      </c>
      <c r="Q153" s="191" t="b">
        <v>1</v>
      </c>
      <c r="R153" s="308" t="s">
        <v>3138</v>
      </c>
      <c r="S153" s="128"/>
      <c r="T153" s="337"/>
      <c r="U153" s="57" t="b">
        <v>1</v>
      </c>
      <c r="V153" s="310" t="s">
        <v>5013</v>
      </c>
      <c r="W153" s="307"/>
      <c r="X153" s="54"/>
    </row>
    <row r="154" spans="1:24" ht="14.25" customHeight="1">
      <c r="A154" s="162"/>
      <c r="B154" s="71" t="s">
        <v>5010</v>
      </c>
      <c r="C154" s="53" t="s">
        <v>433</v>
      </c>
      <c r="D154" s="53" t="s">
        <v>3476</v>
      </c>
      <c r="E154" s="53">
        <v>10</v>
      </c>
      <c r="F154" s="53" t="s">
        <v>1754</v>
      </c>
      <c r="G154" s="53" t="s">
        <v>1952</v>
      </c>
      <c r="H154" s="131" t="s">
        <v>30</v>
      </c>
      <c r="I154" s="53">
        <v>10</v>
      </c>
      <c r="J154" s="188">
        <v>650</v>
      </c>
      <c r="K154" s="54">
        <f t="shared" si="1"/>
        <v>6500</v>
      </c>
      <c r="L154" s="55" t="b">
        <v>1</v>
      </c>
      <c r="M154" s="56">
        <v>280520251548</v>
      </c>
      <c r="N154" s="57" t="b">
        <v>1</v>
      </c>
      <c r="O154" s="58" t="s">
        <v>39</v>
      </c>
      <c r="P154" s="226">
        <v>45806</v>
      </c>
      <c r="Q154" s="191" t="b">
        <v>1</v>
      </c>
      <c r="R154" s="308" t="s">
        <v>3138</v>
      </c>
      <c r="S154" s="128"/>
      <c r="T154" s="337"/>
      <c r="U154" s="57" t="b">
        <v>1</v>
      </c>
      <c r="V154" s="310" t="s">
        <v>5014</v>
      </c>
      <c r="W154" s="307"/>
      <c r="X154" s="54"/>
    </row>
    <row r="155" spans="1:24" ht="16">
      <c r="A155" s="162"/>
      <c r="B155" s="71" t="s">
        <v>5010</v>
      </c>
      <c r="C155" s="53" t="s">
        <v>433</v>
      </c>
      <c r="D155" s="53" t="s">
        <v>3476</v>
      </c>
      <c r="E155" s="53">
        <v>10</v>
      </c>
      <c r="F155" s="53" t="s">
        <v>1754</v>
      </c>
      <c r="G155" s="53" t="s">
        <v>1024</v>
      </c>
      <c r="H155" s="131" t="s">
        <v>30</v>
      </c>
      <c r="I155" s="53">
        <v>5</v>
      </c>
      <c r="J155" s="188">
        <v>165</v>
      </c>
      <c r="K155" s="54">
        <f t="shared" si="1"/>
        <v>825</v>
      </c>
      <c r="L155" s="55" t="b">
        <v>1</v>
      </c>
      <c r="M155" s="56">
        <v>280520251548</v>
      </c>
      <c r="N155" s="57" t="b">
        <v>1</v>
      </c>
      <c r="O155" s="58" t="s">
        <v>3300</v>
      </c>
      <c r="P155" s="226">
        <v>45806</v>
      </c>
      <c r="Q155" s="191" t="b">
        <v>1</v>
      </c>
      <c r="R155" s="308" t="s">
        <v>3138</v>
      </c>
      <c r="S155" s="128"/>
      <c r="T155" s="173" t="s">
        <v>5015</v>
      </c>
      <c r="U155" s="57" t="b">
        <v>1</v>
      </c>
      <c r="V155" s="310" t="s">
        <v>5016</v>
      </c>
      <c r="W155" s="307"/>
      <c r="X155" s="54"/>
    </row>
    <row r="156" spans="1:24" ht="16">
      <c r="A156" s="162"/>
      <c r="B156" s="71" t="s">
        <v>5017</v>
      </c>
      <c r="C156" s="53" t="s">
        <v>51</v>
      </c>
      <c r="D156" s="53" t="s">
        <v>3458</v>
      </c>
      <c r="E156" s="53" t="s">
        <v>201</v>
      </c>
      <c r="F156" s="53" t="s">
        <v>202</v>
      </c>
      <c r="G156" s="53" t="s">
        <v>5018</v>
      </c>
      <c r="H156" s="131" t="s">
        <v>30</v>
      </c>
      <c r="I156" s="53">
        <v>1</v>
      </c>
      <c r="J156" s="188">
        <v>2000</v>
      </c>
      <c r="K156" s="54">
        <f t="shared" si="1"/>
        <v>2000</v>
      </c>
      <c r="L156" s="55" t="b">
        <v>1</v>
      </c>
      <c r="M156" s="56">
        <v>290520251016</v>
      </c>
      <c r="N156" s="57" t="b">
        <v>1</v>
      </c>
      <c r="O156" s="58"/>
      <c r="P156" s="215"/>
      <c r="Q156" s="191" t="b">
        <v>1</v>
      </c>
      <c r="R156" s="308" t="s">
        <v>3138</v>
      </c>
      <c r="S156" s="128"/>
      <c r="T156" s="337"/>
      <c r="U156" s="57" t="b">
        <v>1</v>
      </c>
      <c r="V156" s="310" t="s">
        <v>5019</v>
      </c>
      <c r="W156" s="307"/>
      <c r="X156" s="54"/>
    </row>
    <row r="157" spans="1:24" ht="16">
      <c r="A157" s="162"/>
      <c r="B157" s="71" t="s">
        <v>5017</v>
      </c>
      <c r="C157" s="53" t="s">
        <v>26</v>
      </c>
      <c r="D157" s="53" t="s">
        <v>4761</v>
      </c>
      <c r="E157" s="53" t="s">
        <v>386</v>
      </c>
      <c r="F157" s="53" t="s">
        <v>2935</v>
      </c>
      <c r="G157" s="53" t="s">
        <v>1455</v>
      </c>
      <c r="H157" s="131" t="s">
        <v>30</v>
      </c>
      <c r="I157" s="53">
        <v>16</v>
      </c>
      <c r="J157" s="188">
        <v>650</v>
      </c>
      <c r="K157" s="54">
        <f t="shared" si="1"/>
        <v>10400</v>
      </c>
      <c r="L157" s="55" t="b">
        <v>1</v>
      </c>
      <c r="M157" s="56">
        <v>290520251255</v>
      </c>
      <c r="N157" s="57" t="b">
        <v>1</v>
      </c>
      <c r="O157" s="58"/>
      <c r="P157" s="215"/>
      <c r="Q157" s="191" t="b">
        <v>1</v>
      </c>
      <c r="R157" s="308" t="s">
        <v>3138</v>
      </c>
      <c r="S157" s="128"/>
      <c r="T157" s="337"/>
      <c r="U157" s="57" t="b">
        <v>1</v>
      </c>
      <c r="V157" s="310" t="s">
        <v>5020</v>
      </c>
      <c r="W157" s="307"/>
      <c r="X157" s="54"/>
    </row>
    <row r="158" spans="1:24" ht="16">
      <c r="A158" s="162"/>
      <c r="B158" s="71" t="s">
        <v>5017</v>
      </c>
      <c r="C158" s="53" t="s">
        <v>26</v>
      </c>
      <c r="D158" s="53" t="s">
        <v>3713</v>
      </c>
      <c r="E158" s="53" t="s">
        <v>220</v>
      </c>
      <c r="F158" s="53" t="s">
        <v>1008</v>
      </c>
      <c r="G158" s="53" t="s">
        <v>1455</v>
      </c>
      <c r="H158" s="131" t="s">
        <v>30</v>
      </c>
      <c r="I158" s="53">
        <v>8</v>
      </c>
      <c r="J158" s="188">
        <v>650</v>
      </c>
      <c r="K158" s="54">
        <f t="shared" si="1"/>
        <v>5200</v>
      </c>
      <c r="L158" s="55" t="b">
        <v>1</v>
      </c>
      <c r="M158" s="56">
        <v>290520251905</v>
      </c>
      <c r="N158" s="57" t="b">
        <v>1</v>
      </c>
      <c r="O158" s="58"/>
      <c r="P158" s="215"/>
      <c r="Q158" s="191" t="b">
        <v>1</v>
      </c>
      <c r="R158" s="308" t="s">
        <v>3138</v>
      </c>
      <c r="S158" s="128"/>
      <c r="T158" s="337"/>
      <c r="U158" s="57" t="b">
        <v>1</v>
      </c>
      <c r="V158" s="310" t="s">
        <v>5021</v>
      </c>
      <c r="W158" s="307"/>
      <c r="X158" s="54"/>
    </row>
    <row r="159" spans="1:24" ht="16">
      <c r="A159" s="162"/>
      <c r="B159" s="71" t="s">
        <v>5022</v>
      </c>
      <c r="C159" s="53" t="s">
        <v>523</v>
      </c>
      <c r="D159" s="53" t="s">
        <v>3601</v>
      </c>
      <c r="E159" s="53" t="s">
        <v>524</v>
      </c>
      <c r="F159" s="53" t="s">
        <v>525</v>
      </c>
      <c r="G159" s="53" t="s">
        <v>639</v>
      </c>
      <c r="H159" s="131" t="s">
        <v>30</v>
      </c>
      <c r="I159" s="53">
        <v>24</v>
      </c>
      <c r="J159" s="188">
        <v>220</v>
      </c>
      <c r="K159" s="54">
        <f t="shared" si="1"/>
        <v>5280</v>
      </c>
      <c r="L159" s="55" t="b">
        <v>1</v>
      </c>
      <c r="M159" s="56">
        <v>300520251714</v>
      </c>
      <c r="N159" s="57" t="b">
        <v>1</v>
      </c>
      <c r="O159" s="58" t="s">
        <v>2968</v>
      </c>
      <c r="P159" s="226">
        <v>45810</v>
      </c>
      <c r="Q159" s="191" t="b">
        <v>1</v>
      </c>
      <c r="R159" s="308" t="s">
        <v>3138</v>
      </c>
      <c r="S159" s="128"/>
      <c r="T159" s="337"/>
      <c r="U159" s="57" t="b">
        <v>1</v>
      </c>
      <c r="V159" s="310" t="s">
        <v>5023</v>
      </c>
      <c r="W159" s="307"/>
      <c r="X159" s="54"/>
    </row>
    <row r="160" spans="1:24" ht="16">
      <c r="A160" s="162"/>
      <c r="B160" s="71" t="s">
        <v>5022</v>
      </c>
      <c r="C160" s="53" t="s">
        <v>262</v>
      </c>
      <c r="D160" s="53" t="s">
        <v>4153</v>
      </c>
      <c r="E160" s="53" t="s">
        <v>263</v>
      </c>
      <c r="F160" s="53" t="s">
        <v>2855</v>
      </c>
      <c r="G160" s="53" t="s">
        <v>1952</v>
      </c>
      <c r="H160" s="131" t="s">
        <v>30</v>
      </c>
      <c r="I160" s="53">
        <v>20</v>
      </c>
      <c r="J160" s="188">
        <v>650</v>
      </c>
      <c r="K160" s="54">
        <f t="shared" si="1"/>
        <v>13000</v>
      </c>
      <c r="L160" s="55" t="b">
        <v>1</v>
      </c>
      <c r="M160" s="56">
        <v>300520251714</v>
      </c>
      <c r="N160" s="57" t="b">
        <v>1</v>
      </c>
      <c r="O160" s="58" t="s">
        <v>39</v>
      </c>
      <c r="P160" s="226">
        <v>45810</v>
      </c>
      <c r="Q160" s="191" t="b">
        <v>1</v>
      </c>
      <c r="R160" s="389" t="s">
        <v>4528</v>
      </c>
      <c r="S160" s="128"/>
      <c r="T160" s="337"/>
      <c r="U160" s="57" t="b">
        <v>1</v>
      </c>
      <c r="V160" s="310" t="s">
        <v>5024</v>
      </c>
      <c r="W160" s="307"/>
      <c r="X160" s="54"/>
    </row>
    <row r="161" spans="1:24" ht="16">
      <c r="A161" s="162"/>
      <c r="B161" s="71" t="s">
        <v>5022</v>
      </c>
      <c r="C161" s="53" t="s">
        <v>51</v>
      </c>
      <c r="D161" s="53" t="s">
        <v>3458</v>
      </c>
      <c r="E161" s="53" t="s">
        <v>201</v>
      </c>
      <c r="F161" s="53" t="s">
        <v>202</v>
      </c>
      <c r="G161" s="53" t="s">
        <v>5025</v>
      </c>
      <c r="H161" s="131" t="s">
        <v>30</v>
      </c>
      <c r="I161" s="53">
        <v>25</v>
      </c>
      <c r="J161" s="188">
        <v>325</v>
      </c>
      <c r="K161" s="54">
        <f t="shared" si="1"/>
        <v>8125</v>
      </c>
      <c r="L161" s="55" t="b">
        <v>1</v>
      </c>
      <c r="M161" s="56">
        <v>300520251716</v>
      </c>
      <c r="N161" s="57" t="b">
        <v>1</v>
      </c>
      <c r="O161" s="58"/>
      <c r="P161" s="215"/>
      <c r="Q161" s="191" t="b">
        <v>1</v>
      </c>
      <c r="R161" s="308" t="s">
        <v>3138</v>
      </c>
      <c r="S161" s="128"/>
      <c r="T161" s="337"/>
      <c r="U161" s="57" t="b">
        <v>1</v>
      </c>
      <c r="V161" s="310" t="s">
        <v>5026</v>
      </c>
      <c r="W161" s="307"/>
      <c r="X161" s="54"/>
    </row>
    <row r="162" spans="1:24" ht="16">
      <c r="A162" s="162"/>
      <c r="B162" s="71" t="s">
        <v>5022</v>
      </c>
      <c r="C162" s="53" t="s">
        <v>51</v>
      </c>
      <c r="D162" s="53" t="s">
        <v>3458</v>
      </c>
      <c r="E162" s="53" t="s">
        <v>201</v>
      </c>
      <c r="F162" s="53" t="s">
        <v>202</v>
      </c>
      <c r="G162" s="53" t="s">
        <v>3343</v>
      </c>
      <c r="H162" s="131" t="s">
        <v>30</v>
      </c>
      <c r="I162" s="53">
        <v>1</v>
      </c>
      <c r="J162" s="188">
        <v>2350</v>
      </c>
      <c r="K162" s="54">
        <f t="shared" si="1"/>
        <v>2350</v>
      </c>
      <c r="L162" s="55" t="b">
        <v>1</v>
      </c>
      <c r="M162" s="56">
        <v>300520251716</v>
      </c>
      <c r="N162" s="57" t="b">
        <v>1</v>
      </c>
      <c r="O162" s="58"/>
      <c r="P162" s="215"/>
      <c r="Q162" s="191" t="b">
        <v>1</v>
      </c>
      <c r="R162" s="389" t="s">
        <v>4528</v>
      </c>
      <c r="S162" s="128"/>
      <c r="T162" s="173" t="s">
        <v>5027</v>
      </c>
      <c r="U162" s="57" t="b">
        <v>1</v>
      </c>
      <c r="V162" s="310" t="s">
        <v>5028</v>
      </c>
      <c r="W162" s="307"/>
      <c r="X162" s="54"/>
    </row>
    <row r="163" spans="1:24" ht="16">
      <c r="A163" s="162"/>
      <c r="B163" s="71" t="s">
        <v>5022</v>
      </c>
      <c r="C163" s="53" t="s">
        <v>51</v>
      </c>
      <c r="D163" s="53" t="s">
        <v>3458</v>
      </c>
      <c r="E163" s="53" t="s">
        <v>201</v>
      </c>
      <c r="F163" s="53" t="s">
        <v>202</v>
      </c>
      <c r="G163" s="53" t="s">
        <v>5029</v>
      </c>
      <c r="H163" s="131" t="s">
        <v>30</v>
      </c>
      <c r="I163" s="53">
        <v>24</v>
      </c>
      <c r="J163" s="188">
        <v>60</v>
      </c>
      <c r="K163" s="54">
        <f t="shared" si="1"/>
        <v>1440</v>
      </c>
      <c r="L163" s="55" t="b">
        <v>1</v>
      </c>
      <c r="M163" s="56">
        <v>300520251716</v>
      </c>
      <c r="N163" s="57" t="b">
        <v>1</v>
      </c>
      <c r="O163" s="58"/>
      <c r="P163" s="215"/>
      <c r="Q163" s="191" t="b">
        <v>1</v>
      </c>
      <c r="R163" s="389" t="s">
        <v>4528</v>
      </c>
      <c r="S163" s="128"/>
      <c r="T163" s="337"/>
      <c r="U163" s="57" t="b">
        <v>1</v>
      </c>
      <c r="V163" s="310" t="s">
        <v>5030</v>
      </c>
      <c r="W163" s="307"/>
      <c r="X163" s="54"/>
    </row>
    <row r="164" spans="1:24" ht="16">
      <c r="A164" s="162"/>
      <c r="B164" s="71" t="s">
        <v>5031</v>
      </c>
      <c r="C164" s="53" t="s">
        <v>262</v>
      </c>
      <c r="D164" s="80" t="s">
        <v>3445</v>
      </c>
      <c r="E164" s="53" t="s">
        <v>3446</v>
      </c>
      <c r="F164" s="53" t="s">
        <v>3447</v>
      </c>
      <c r="G164" s="53" t="s">
        <v>1266</v>
      </c>
      <c r="H164" s="131" t="s">
        <v>30</v>
      </c>
      <c r="I164" s="53">
        <v>3</v>
      </c>
      <c r="J164" s="188">
        <v>7000</v>
      </c>
      <c r="K164" s="54">
        <f t="shared" si="1"/>
        <v>21000</v>
      </c>
      <c r="L164" s="55" t="b">
        <v>1</v>
      </c>
      <c r="M164" s="56">
        <v>310520251250</v>
      </c>
      <c r="N164" s="57" t="b">
        <v>1</v>
      </c>
      <c r="O164" s="58"/>
      <c r="P164" s="215"/>
      <c r="Q164" s="191" t="b">
        <v>1</v>
      </c>
      <c r="R164" s="308" t="s">
        <v>3138</v>
      </c>
      <c r="S164" s="128"/>
      <c r="T164" s="337"/>
      <c r="U164" s="57" t="b">
        <v>1</v>
      </c>
      <c r="V164" s="310" t="s">
        <v>5032</v>
      </c>
      <c r="W164" s="307"/>
      <c r="X164" s="54"/>
    </row>
    <row r="165" spans="1:24" ht="16">
      <c r="A165" s="162"/>
      <c r="B165" s="71" t="s">
        <v>5031</v>
      </c>
      <c r="C165" s="53" t="s">
        <v>262</v>
      </c>
      <c r="D165" s="80" t="s">
        <v>3445</v>
      </c>
      <c r="E165" s="53" t="s">
        <v>3446</v>
      </c>
      <c r="F165" s="53" t="s">
        <v>3447</v>
      </c>
      <c r="G165" s="53" t="s">
        <v>3562</v>
      </c>
      <c r="H165" s="131" t="s">
        <v>30</v>
      </c>
      <c r="I165" s="53">
        <v>1</v>
      </c>
      <c r="J165" s="188">
        <v>6500</v>
      </c>
      <c r="K165" s="188">
        <v>6500</v>
      </c>
      <c r="L165" s="55" t="b">
        <v>1</v>
      </c>
      <c r="M165" s="56">
        <v>310520251250</v>
      </c>
      <c r="N165" s="57" t="b">
        <v>1</v>
      </c>
      <c r="O165" s="58"/>
      <c r="P165" s="215"/>
      <c r="Q165" s="191" t="b">
        <v>1</v>
      </c>
      <c r="R165" s="308" t="s">
        <v>3138</v>
      </c>
      <c r="S165" s="128"/>
      <c r="T165" s="337"/>
      <c r="U165" s="57" t="b">
        <v>1</v>
      </c>
      <c r="V165" s="310" t="s">
        <v>5033</v>
      </c>
      <c r="W165" s="307"/>
      <c r="X165" s="54"/>
    </row>
    <row r="166" spans="1:24" ht="16">
      <c r="A166" s="162"/>
      <c r="B166" s="71" t="s">
        <v>5031</v>
      </c>
      <c r="C166" s="53" t="s">
        <v>51</v>
      </c>
      <c r="D166" s="53" t="s">
        <v>3552</v>
      </c>
      <c r="E166" s="53" t="s">
        <v>66</v>
      </c>
      <c r="F166" s="53" t="s">
        <v>67</v>
      </c>
      <c r="G166" s="53" t="s">
        <v>1952</v>
      </c>
      <c r="H166" s="131" t="s">
        <v>30</v>
      </c>
      <c r="I166" s="53">
        <v>10</v>
      </c>
      <c r="J166" s="188">
        <v>650</v>
      </c>
      <c r="K166" s="54">
        <f t="shared" ref="K166:K177" si="2">I166*J166</f>
        <v>6500</v>
      </c>
      <c r="L166" s="55" t="b">
        <v>1</v>
      </c>
      <c r="M166" s="56">
        <v>310520251250</v>
      </c>
      <c r="N166" s="57" t="b">
        <v>1</v>
      </c>
      <c r="O166" s="58" t="s">
        <v>3300</v>
      </c>
      <c r="P166" s="226">
        <v>45810</v>
      </c>
      <c r="Q166" s="191" t="b">
        <v>1</v>
      </c>
      <c r="R166" s="389" t="s">
        <v>4528</v>
      </c>
      <c r="S166" s="128"/>
      <c r="T166" s="337"/>
      <c r="U166" s="57" t="b">
        <v>1</v>
      </c>
      <c r="V166" s="310" t="s">
        <v>5034</v>
      </c>
      <c r="W166" s="307"/>
      <c r="X166" s="54"/>
    </row>
    <row r="167" spans="1:24" ht="16">
      <c r="A167" s="162"/>
      <c r="B167" s="71" t="s">
        <v>5031</v>
      </c>
      <c r="C167" s="53" t="s">
        <v>51</v>
      </c>
      <c r="D167" s="53" t="s">
        <v>3532</v>
      </c>
      <c r="E167" s="53" t="s">
        <v>52</v>
      </c>
      <c r="F167" s="53" t="s">
        <v>1710</v>
      </c>
      <c r="G167" s="53" t="s">
        <v>1952</v>
      </c>
      <c r="H167" s="131" t="s">
        <v>30</v>
      </c>
      <c r="I167" s="53">
        <v>10</v>
      </c>
      <c r="J167" s="188">
        <v>650</v>
      </c>
      <c r="K167" s="54">
        <f t="shared" si="2"/>
        <v>6500</v>
      </c>
      <c r="L167" s="55" t="b">
        <v>1</v>
      </c>
      <c r="M167" s="56">
        <v>310520251250</v>
      </c>
      <c r="N167" s="57" t="b">
        <v>1</v>
      </c>
      <c r="O167" s="58" t="s">
        <v>39</v>
      </c>
      <c r="P167" s="226">
        <v>45810</v>
      </c>
      <c r="Q167" s="191" t="b">
        <v>1</v>
      </c>
      <c r="R167" s="389" t="s">
        <v>4528</v>
      </c>
      <c r="S167" s="128"/>
      <c r="T167" s="337"/>
      <c r="U167" s="57" t="b">
        <v>1</v>
      </c>
      <c r="V167" s="310" t="s">
        <v>5035</v>
      </c>
      <c r="W167" s="307"/>
      <c r="X167" s="54"/>
    </row>
    <row r="168" spans="1:24" ht="16">
      <c r="A168" s="162"/>
      <c r="H168" s="131" t="s">
        <v>30</v>
      </c>
      <c r="I168" s="53"/>
      <c r="J168" s="188"/>
      <c r="K168" s="54">
        <f t="shared" si="2"/>
        <v>0</v>
      </c>
      <c r="L168" s="55" t="b">
        <v>0</v>
      </c>
      <c r="M168" s="56"/>
      <c r="N168" s="57" t="b">
        <v>0</v>
      </c>
      <c r="O168" s="58"/>
      <c r="P168" s="215"/>
      <c r="Q168" s="191" t="b">
        <v>0</v>
      </c>
      <c r="R168" s="128"/>
      <c r="S168" s="128"/>
      <c r="T168" s="337"/>
      <c r="U168" s="57" t="b">
        <v>0</v>
      </c>
      <c r="V168" s="310"/>
      <c r="W168" s="307"/>
      <c r="X168" s="54"/>
    </row>
    <row r="169" spans="1:24" ht="16">
      <c r="A169" s="162"/>
      <c r="B169" s="71"/>
      <c r="C169" s="53"/>
      <c r="D169" s="53"/>
      <c r="E169" s="53"/>
      <c r="F169" s="53"/>
      <c r="G169" s="53"/>
      <c r="H169" s="131" t="s">
        <v>30</v>
      </c>
      <c r="I169" s="53"/>
      <c r="J169" s="188"/>
      <c r="K169" s="54">
        <f t="shared" si="2"/>
        <v>0</v>
      </c>
      <c r="L169" s="55" t="b">
        <v>0</v>
      </c>
      <c r="M169" s="56"/>
      <c r="N169" s="57" t="b">
        <v>0</v>
      </c>
      <c r="O169" s="58"/>
      <c r="P169" s="215"/>
      <c r="Q169" s="191" t="b">
        <v>0</v>
      </c>
      <c r="R169" s="128"/>
      <c r="S169" s="128"/>
      <c r="T169" s="337"/>
      <c r="U169" s="57" t="b">
        <v>0</v>
      </c>
      <c r="V169" s="310"/>
      <c r="W169" s="307"/>
      <c r="X169" s="54"/>
    </row>
    <row r="170" spans="1:24" ht="16">
      <c r="A170" s="162"/>
      <c r="B170" s="132"/>
      <c r="C170" s="53"/>
      <c r="D170" s="53"/>
      <c r="E170" s="53"/>
      <c r="F170" s="53"/>
      <c r="G170" s="53"/>
      <c r="H170" s="131" t="s">
        <v>30</v>
      </c>
      <c r="I170" s="53"/>
      <c r="J170" s="188"/>
      <c r="K170" s="54">
        <f t="shared" si="2"/>
        <v>0</v>
      </c>
      <c r="L170" s="55" t="b">
        <v>0</v>
      </c>
      <c r="M170" s="56"/>
      <c r="N170" s="57" t="b">
        <v>0</v>
      </c>
      <c r="O170" s="58"/>
      <c r="P170" s="215"/>
      <c r="Q170" s="191" t="b">
        <v>0</v>
      </c>
      <c r="R170" s="128"/>
      <c r="S170" s="128"/>
      <c r="T170" s="337"/>
      <c r="U170" s="57" t="b">
        <v>0</v>
      </c>
      <c r="V170" s="310"/>
      <c r="W170" s="307"/>
      <c r="X170" s="54"/>
    </row>
    <row r="171" spans="1:24" ht="16">
      <c r="A171" s="162"/>
      <c r="B171" s="132"/>
      <c r="C171" s="53"/>
      <c r="D171" s="53"/>
      <c r="E171" s="53"/>
      <c r="F171" s="53"/>
      <c r="G171" s="53"/>
      <c r="H171" s="131" t="s">
        <v>30</v>
      </c>
      <c r="I171" s="53"/>
      <c r="J171" s="188"/>
      <c r="K171" s="54">
        <f t="shared" si="2"/>
        <v>0</v>
      </c>
      <c r="L171" s="55" t="b">
        <v>0</v>
      </c>
      <c r="M171" s="56"/>
      <c r="N171" s="57" t="b">
        <v>0</v>
      </c>
      <c r="O171" s="58"/>
      <c r="P171" s="215"/>
      <c r="Q171" s="191" t="b">
        <v>0</v>
      </c>
      <c r="R171" s="128"/>
      <c r="S171" s="128"/>
      <c r="T171" s="337"/>
      <c r="U171" s="57" t="b">
        <v>0</v>
      </c>
      <c r="V171" s="310"/>
      <c r="W171" s="307"/>
      <c r="X171" s="54"/>
    </row>
    <row r="172" spans="1:24" ht="16">
      <c r="A172" s="162"/>
      <c r="B172" s="132"/>
      <c r="C172" s="53"/>
      <c r="D172" s="53"/>
      <c r="E172" s="53"/>
      <c r="F172" s="53"/>
      <c r="G172" s="53"/>
      <c r="H172" s="131" t="s">
        <v>30</v>
      </c>
      <c r="I172" s="53"/>
      <c r="J172" s="188"/>
      <c r="K172" s="54">
        <f t="shared" si="2"/>
        <v>0</v>
      </c>
      <c r="L172" s="55" t="b">
        <v>0</v>
      </c>
      <c r="M172" s="56"/>
      <c r="N172" s="57" t="b">
        <v>0</v>
      </c>
      <c r="O172" s="58"/>
      <c r="P172" s="215"/>
      <c r="Q172" s="191" t="b">
        <v>0</v>
      </c>
      <c r="R172" s="128"/>
      <c r="S172" s="128"/>
      <c r="T172" s="337"/>
      <c r="U172" s="57" t="b">
        <v>0</v>
      </c>
      <c r="V172" s="310"/>
      <c r="W172" s="307"/>
      <c r="X172" s="54"/>
    </row>
    <row r="173" spans="1:24" ht="16">
      <c r="A173" s="162"/>
      <c r="B173" s="132"/>
      <c r="C173" s="53"/>
      <c r="D173" s="53"/>
      <c r="E173" s="53"/>
      <c r="F173" s="53"/>
      <c r="G173" s="53"/>
      <c r="H173" s="131" t="s">
        <v>30</v>
      </c>
      <c r="I173" s="53"/>
      <c r="J173" s="188"/>
      <c r="K173" s="54">
        <f t="shared" si="2"/>
        <v>0</v>
      </c>
      <c r="L173" s="55" t="b">
        <v>0</v>
      </c>
      <c r="M173" s="56"/>
      <c r="N173" s="57" t="b">
        <v>0</v>
      </c>
      <c r="O173" s="58"/>
      <c r="P173" s="215"/>
      <c r="Q173" s="191" t="b">
        <v>0</v>
      </c>
      <c r="R173" s="128"/>
      <c r="S173" s="128"/>
      <c r="T173" s="337"/>
      <c r="U173" s="57" t="b">
        <v>0</v>
      </c>
      <c r="V173" s="310"/>
      <c r="W173" s="307"/>
      <c r="X173" s="54"/>
    </row>
    <row r="174" spans="1:24" ht="16">
      <c r="A174" s="162"/>
      <c r="B174" s="132"/>
      <c r="C174" s="53"/>
      <c r="D174" s="53"/>
      <c r="E174" s="53"/>
      <c r="F174" s="53"/>
      <c r="G174" s="53"/>
      <c r="H174" s="131" t="s">
        <v>30</v>
      </c>
      <c r="I174" s="53"/>
      <c r="J174" s="188"/>
      <c r="K174" s="54">
        <f t="shared" si="2"/>
        <v>0</v>
      </c>
      <c r="L174" s="55" t="b">
        <v>0</v>
      </c>
      <c r="M174" s="56"/>
      <c r="N174" s="57" t="b">
        <v>0</v>
      </c>
      <c r="O174" s="58"/>
      <c r="P174" s="215"/>
      <c r="Q174" s="191" t="b">
        <v>0</v>
      </c>
      <c r="R174" s="128"/>
      <c r="S174" s="128"/>
      <c r="T174" s="337"/>
      <c r="U174" s="57" t="b">
        <v>0</v>
      </c>
      <c r="V174" s="310"/>
      <c r="W174" s="307"/>
      <c r="X174" s="54"/>
    </row>
    <row r="175" spans="1:24" ht="16">
      <c r="A175" s="162"/>
      <c r="B175" s="132"/>
      <c r="C175" s="53"/>
      <c r="D175" s="53"/>
      <c r="E175" s="53"/>
      <c r="F175" s="53"/>
      <c r="G175" s="53"/>
      <c r="H175" s="131" t="s">
        <v>30</v>
      </c>
      <c r="I175" s="53"/>
      <c r="J175" s="188"/>
      <c r="K175" s="54">
        <f t="shared" si="2"/>
        <v>0</v>
      </c>
      <c r="L175" s="55" t="b">
        <v>0</v>
      </c>
      <c r="M175" s="56"/>
      <c r="N175" s="57" t="b">
        <v>0</v>
      </c>
      <c r="O175" s="58"/>
      <c r="P175" s="215"/>
      <c r="Q175" s="191" t="b">
        <v>0</v>
      </c>
      <c r="R175" s="128"/>
      <c r="S175" s="128"/>
      <c r="T175" s="337"/>
      <c r="U175" s="57" t="b">
        <v>0</v>
      </c>
      <c r="V175" s="310"/>
      <c r="W175" s="307"/>
      <c r="X175" s="54"/>
    </row>
    <row r="176" spans="1:24" ht="16">
      <c r="A176" s="162"/>
      <c r="B176" s="132"/>
      <c r="C176" s="53"/>
      <c r="D176" s="53"/>
      <c r="E176" s="53"/>
      <c r="F176" s="53"/>
      <c r="G176" s="53"/>
      <c r="H176" s="131" t="s">
        <v>30</v>
      </c>
      <c r="I176" s="53"/>
      <c r="J176" s="188"/>
      <c r="K176" s="54">
        <f t="shared" si="2"/>
        <v>0</v>
      </c>
      <c r="L176" s="55" t="b">
        <v>0</v>
      </c>
      <c r="M176" s="56"/>
      <c r="N176" s="57" t="b">
        <v>0</v>
      </c>
      <c r="O176" s="58"/>
      <c r="P176" s="215"/>
      <c r="Q176" s="191" t="b">
        <v>0</v>
      </c>
      <c r="R176" s="128"/>
      <c r="S176" s="128"/>
      <c r="T176" s="337"/>
      <c r="U176" s="57" t="b">
        <v>0</v>
      </c>
      <c r="V176" s="310"/>
      <c r="W176" s="307"/>
      <c r="X176" s="54"/>
    </row>
    <row r="177" spans="1:24" ht="16">
      <c r="A177" s="162"/>
      <c r="B177" s="132"/>
      <c r="C177" s="53"/>
      <c r="D177" s="53"/>
      <c r="E177" s="53"/>
      <c r="F177" s="53"/>
      <c r="G177" s="53"/>
      <c r="H177" s="131" t="s">
        <v>30</v>
      </c>
      <c r="I177" s="53"/>
      <c r="J177" s="188"/>
      <c r="K177" s="54">
        <f t="shared" si="2"/>
        <v>0</v>
      </c>
      <c r="L177" s="55" t="b">
        <v>0</v>
      </c>
      <c r="M177" s="56"/>
      <c r="N177" s="57" t="b">
        <v>0</v>
      </c>
      <c r="O177" s="58"/>
      <c r="P177" s="215"/>
      <c r="Q177" s="191" t="b">
        <v>0</v>
      </c>
      <c r="R177" s="128"/>
      <c r="S177" s="128"/>
      <c r="T177" s="337"/>
      <c r="U177" s="57" t="b">
        <v>0</v>
      </c>
      <c r="V177" s="310"/>
      <c r="W177" s="307"/>
      <c r="X177" s="54"/>
    </row>
    <row r="178" spans="1:24" ht="16">
      <c r="A178" s="162"/>
      <c r="B178" s="132"/>
      <c r="C178" s="53"/>
      <c r="D178" s="53"/>
      <c r="E178" s="53"/>
      <c r="F178" s="53"/>
      <c r="G178" s="53"/>
      <c r="H178" s="131"/>
      <c r="I178" s="53"/>
      <c r="J178" s="188"/>
      <c r="K178" s="54"/>
      <c r="L178" s="55" t="b">
        <v>0</v>
      </c>
      <c r="M178" s="56"/>
      <c r="N178" s="57" t="b">
        <v>0</v>
      </c>
      <c r="O178" s="58"/>
      <c r="P178" s="215"/>
      <c r="Q178" s="191" t="b">
        <v>0</v>
      </c>
      <c r="R178" s="128"/>
      <c r="S178" s="128"/>
      <c r="T178" s="337"/>
      <c r="U178" s="57" t="b">
        <v>0</v>
      </c>
      <c r="V178" s="310"/>
      <c r="W178" s="307"/>
      <c r="X178" s="54"/>
    </row>
    <row r="179" spans="1:24" ht="16">
      <c r="A179" s="162"/>
      <c r="B179" s="132"/>
      <c r="C179" s="53"/>
      <c r="D179" s="53"/>
      <c r="E179" s="53"/>
      <c r="F179" s="53"/>
      <c r="G179" s="53"/>
      <c r="H179" s="131"/>
      <c r="I179" s="53"/>
      <c r="J179" s="188"/>
      <c r="K179" s="54"/>
      <c r="L179" s="55" t="b">
        <v>0</v>
      </c>
      <c r="M179" s="56"/>
      <c r="N179" s="57" t="b">
        <v>0</v>
      </c>
      <c r="O179" s="58"/>
      <c r="P179" s="215"/>
      <c r="Q179" s="191" t="b">
        <v>0</v>
      </c>
      <c r="R179" s="128"/>
      <c r="S179" s="128"/>
      <c r="T179" s="337"/>
      <c r="U179" s="57" t="b">
        <v>0</v>
      </c>
      <c r="V179" s="310"/>
      <c r="W179" s="307"/>
      <c r="X179" s="54"/>
    </row>
    <row r="180" spans="1:24" ht="16">
      <c r="A180" s="162"/>
      <c r="B180" s="132"/>
      <c r="C180" s="53"/>
      <c r="D180" s="53"/>
      <c r="E180" s="53"/>
      <c r="F180" s="53"/>
      <c r="G180" s="53"/>
      <c r="H180" s="131"/>
      <c r="I180" s="53"/>
      <c r="J180" s="188"/>
      <c r="K180" s="54"/>
      <c r="L180" s="55" t="b">
        <v>0</v>
      </c>
      <c r="M180" s="56"/>
      <c r="N180" s="57" t="b">
        <v>0</v>
      </c>
      <c r="O180" s="58"/>
      <c r="P180" s="215"/>
      <c r="Q180" s="191" t="b">
        <v>0</v>
      </c>
      <c r="R180" s="128"/>
      <c r="S180" s="128"/>
      <c r="T180" s="337"/>
      <c r="U180" s="57" t="b">
        <v>0</v>
      </c>
      <c r="V180" s="310"/>
      <c r="W180" s="307"/>
      <c r="X180" s="54"/>
    </row>
    <row r="181" spans="1:24" ht="16">
      <c r="A181" s="162"/>
      <c r="B181" s="132"/>
      <c r="C181" s="53"/>
      <c r="D181" s="53"/>
      <c r="E181" s="53"/>
      <c r="F181" s="53"/>
      <c r="G181" s="53"/>
      <c r="H181" s="131"/>
      <c r="I181" s="53"/>
      <c r="J181" s="188"/>
      <c r="K181" s="54"/>
      <c r="L181" s="55" t="b">
        <v>0</v>
      </c>
      <c r="M181" s="56"/>
      <c r="N181" s="57" t="b">
        <v>0</v>
      </c>
      <c r="O181" s="58"/>
      <c r="P181" s="215"/>
      <c r="Q181" s="191" t="b">
        <v>0</v>
      </c>
      <c r="R181" s="128"/>
      <c r="S181" s="128"/>
      <c r="T181" s="337"/>
      <c r="U181" s="57" t="b">
        <v>0</v>
      </c>
      <c r="V181" s="310"/>
      <c r="W181" s="307"/>
      <c r="X181" s="54"/>
    </row>
    <row r="182" spans="1:24" ht="16">
      <c r="A182" s="162"/>
      <c r="B182" s="132"/>
      <c r="C182" s="53"/>
      <c r="D182" s="53"/>
      <c r="E182" s="53"/>
      <c r="F182" s="53"/>
      <c r="G182" s="53"/>
      <c r="H182" s="131"/>
      <c r="I182" s="53"/>
      <c r="J182" s="188"/>
      <c r="K182" s="54"/>
      <c r="L182" s="55" t="b">
        <v>0</v>
      </c>
      <c r="M182" s="56"/>
      <c r="N182" s="57" t="b">
        <v>0</v>
      </c>
      <c r="O182" s="58"/>
      <c r="P182" s="215"/>
      <c r="Q182" s="191" t="b">
        <v>0</v>
      </c>
      <c r="R182" s="128"/>
      <c r="S182" s="128"/>
      <c r="T182" s="337"/>
      <c r="U182" s="57" t="b">
        <v>0</v>
      </c>
      <c r="V182" s="310"/>
      <c r="W182" s="307"/>
      <c r="X182" s="54"/>
    </row>
    <row r="183" spans="1:24" ht="16">
      <c r="A183" s="162"/>
      <c r="B183" s="132"/>
      <c r="C183" s="53"/>
      <c r="D183" s="53"/>
      <c r="E183" s="53"/>
      <c r="F183" s="53"/>
      <c r="G183" s="53"/>
      <c r="H183" s="131"/>
      <c r="I183" s="53"/>
      <c r="J183" s="188"/>
      <c r="K183" s="54"/>
      <c r="L183" s="55" t="b">
        <v>0</v>
      </c>
      <c r="M183" s="56"/>
      <c r="N183" s="57" t="b">
        <v>0</v>
      </c>
      <c r="O183" s="58"/>
      <c r="P183" s="215"/>
      <c r="Q183" s="191" t="b">
        <v>0</v>
      </c>
      <c r="R183" s="128"/>
      <c r="S183" s="128"/>
      <c r="T183" s="337"/>
      <c r="U183" s="57" t="b">
        <v>0</v>
      </c>
      <c r="V183" s="310"/>
      <c r="W183" s="307"/>
      <c r="X183" s="54"/>
    </row>
    <row r="184" spans="1:24" ht="16">
      <c r="A184" s="162"/>
      <c r="B184" s="132"/>
      <c r="C184" s="53"/>
      <c r="D184" s="53"/>
      <c r="E184" s="53"/>
      <c r="F184" s="53"/>
      <c r="G184" s="53"/>
      <c r="H184" s="131"/>
      <c r="I184" s="53"/>
      <c r="J184" s="188"/>
      <c r="K184" s="54"/>
      <c r="L184" s="55" t="b">
        <v>0</v>
      </c>
      <c r="M184" s="56"/>
      <c r="N184" s="57" t="b">
        <v>0</v>
      </c>
      <c r="O184" s="58"/>
      <c r="P184" s="215"/>
      <c r="Q184" s="191" t="b">
        <v>0</v>
      </c>
      <c r="R184" s="128"/>
      <c r="S184" s="128"/>
      <c r="T184" s="337"/>
      <c r="U184" s="57" t="b">
        <v>0</v>
      </c>
      <c r="V184" s="310"/>
      <c r="W184" s="307"/>
      <c r="X184" s="54" t="s">
        <v>4013</v>
      </c>
    </row>
    <row r="185" spans="1:24" ht="16">
      <c r="A185" s="162"/>
      <c r="B185" s="132"/>
      <c r="C185" s="53"/>
      <c r="D185" s="53"/>
      <c r="E185" s="53"/>
      <c r="F185" s="53"/>
      <c r="G185" s="53"/>
      <c r="H185" s="131"/>
      <c r="I185" s="53"/>
      <c r="J185" s="188"/>
      <c r="K185" s="54"/>
      <c r="L185" s="55" t="b">
        <v>0</v>
      </c>
      <c r="M185" s="56"/>
      <c r="N185" s="57" t="b">
        <v>0</v>
      </c>
      <c r="O185" s="58"/>
      <c r="P185" s="215"/>
      <c r="Q185" s="191" t="b">
        <v>0</v>
      </c>
      <c r="R185" s="128"/>
      <c r="S185" s="128"/>
      <c r="T185" s="337"/>
      <c r="U185" s="57" t="b">
        <v>0</v>
      </c>
      <c r="V185" s="310"/>
      <c r="W185" s="307"/>
      <c r="X185" s="54"/>
    </row>
    <row r="186" spans="1:24" ht="16">
      <c r="A186" s="162"/>
      <c r="B186" s="132"/>
      <c r="C186" s="53"/>
      <c r="D186" s="53"/>
      <c r="E186" s="53"/>
      <c r="F186" s="53"/>
      <c r="G186" s="53"/>
      <c r="H186" s="131"/>
      <c r="I186" s="53"/>
      <c r="J186" s="188"/>
      <c r="K186" s="54"/>
      <c r="L186" s="55" t="b">
        <v>0</v>
      </c>
      <c r="M186" s="56"/>
      <c r="N186" s="57" t="b">
        <v>0</v>
      </c>
      <c r="O186" s="58"/>
      <c r="P186" s="215"/>
      <c r="Q186" s="191" t="b">
        <v>0</v>
      </c>
      <c r="R186" s="128"/>
      <c r="S186" s="128"/>
      <c r="T186" s="337"/>
      <c r="U186" s="57" t="b">
        <v>0</v>
      </c>
      <c r="V186" s="310"/>
      <c r="W186" s="307"/>
      <c r="X186" s="54"/>
    </row>
    <row r="187" spans="1:24" ht="16">
      <c r="A187" s="162"/>
      <c r="B187" s="132"/>
      <c r="C187" s="53"/>
      <c r="D187" s="53"/>
      <c r="E187" s="53"/>
      <c r="F187" s="53"/>
      <c r="G187" s="53"/>
      <c r="H187" s="131"/>
      <c r="I187" s="53"/>
      <c r="J187" s="188"/>
      <c r="K187" s="54"/>
      <c r="L187" s="55" t="b">
        <v>0</v>
      </c>
      <c r="M187" s="56"/>
      <c r="N187" s="57" t="b">
        <v>0</v>
      </c>
      <c r="O187" s="58"/>
      <c r="P187" s="215"/>
      <c r="Q187" s="191" t="b">
        <v>0</v>
      </c>
      <c r="R187" s="128"/>
      <c r="S187" s="128"/>
      <c r="T187" s="337"/>
      <c r="U187" s="57" t="b">
        <v>0</v>
      </c>
      <c r="V187" s="310"/>
      <c r="W187" s="307"/>
      <c r="X187" s="54"/>
    </row>
    <row r="188" spans="1:24" ht="16">
      <c r="A188" s="162"/>
      <c r="B188" s="132"/>
      <c r="C188" s="53"/>
      <c r="D188" s="53"/>
      <c r="E188" s="53"/>
      <c r="F188" s="53"/>
      <c r="G188" s="53"/>
      <c r="H188" s="131"/>
      <c r="I188" s="53"/>
      <c r="J188" s="188"/>
      <c r="K188" s="54"/>
      <c r="L188" s="55" t="b">
        <v>0</v>
      </c>
      <c r="M188" s="56"/>
      <c r="N188" s="57" t="b">
        <v>0</v>
      </c>
      <c r="O188" s="58"/>
      <c r="P188" s="215"/>
      <c r="Q188" s="191" t="b">
        <v>0</v>
      </c>
      <c r="R188" s="128"/>
      <c r="S188" s="128"/>
      <c r="T188" s="337"/>
      <c r="U188" s="57" t="b">
        <v>0</v>
      </c>
      <c r="V188" s="310"/>
      <c r="W188" s="307"/>
      <c r="X188" s="54"/>
    </row>
    <row r="189" spans="1:24" ht="16">
      <c r="A189" s="162"/>
      <c r="B189" s="132"/>
      <c r="C189" s="53"/>
      <c r="D189" s="53"/>
      <c r="E189" s="53"/>
      <c r="F189" s="53"/>
      <c r="G189" s="53"/>
      <c r="H189" s="131"/>
      <c r="I189" s="53"/>
      <c r="J189" s="188"/>
      <c r="K189" s="54"/>
      <c r="L189" s="55" t="b">
        <v>0</v>
      </c>
      <c r="M189" s="56"/>
      <c r="N189" s="57" t="b">
        <v>0</v>
      </c>
      <c r="O189" s="58"/>
      <c r="P189" s="215"/>
      <c r="Q189" s="191" t="b">
        <v>0</v>
      </c>
      <c r="R189" s="128"/>
      <c r="S189" s="128"/>
      <c r="T189" s="337"/>
      <c r="U189" s="57" t="b">
        <v>0</v>
      </c>
      <c r="V189" s="310"/>
      <c r="W189" s="307"/>
      <c r="X189" s="54"/>
    </row>
    <row r="190" spans="1:24" ht="16">
      <c r="A190" s="162"/>
      <c r="B190" s="132"/>
      <c r="C190" s="53"/>
      <c r="D190" s="53"/>
      <c r="E190" s="53"/>
      <c r="F190" s="53"/>
      <c r="G190" s="53"/>
      <c r="H190" s="131"/>
      <c r="I190" s="53"/>
      <c r="J190" s="188"/>
      <c r="K190" s="54"/>
      <c r="L190" s="55" t="b">
        <v>0</v>
      </c>
      <c r="M190" s="56"/>
      <c r="N190" s="57" t="b">
        <v>0</v>
      </c>
      <c r="O190" s="58"/>
      <c r="P190" s="215"/>
      <c r="Q190" s="191" t="b">
        <v>0</v>
      </c>
      <c r="R190" s="128"/>
      <c r="S190" s="128"/>
      <c r="T190" s="337"/>
      <c r="U190" s="57" t="b">
        <v>0</v>
      </c>
      <c r="V190" s="310"/>
      <c r="W190" s="307"/>
      <c r="X190" s="54"/>
    </row>
    <row r="191" spans="1:24" ht="16">
      <c r="A191" s="162"/>
      <c r="B191" s="132"/>
      <c r="C191" s="53"/>
      <c r="D191" s="53"/>
      <c r="E191" s="53"/>
      <c r="F191" s="53"/>
      <c r="G191" s="53"/>
      <c r="H191" s="131"/>
      <c r="I191" s="53"/>
      <c r="J191" s="188"/>
      <c r="K191" s="54"/>
      <c r="L191" s="55" t="b">
        <v>0</v>
      </c>
      <c r="M191" s="56"/>
      <c r="N191" s="57" t="b">
        <v>0</v>
      </c>
      <c r="O191" s="58"/>
      <c r="P191" s="215"/>
      <c r="Q191" s="191" t="b">
        <v>0</v>
      </c>
      <c r="R191" s="128"/>
      <c r="S191" s="128"/>
      <c r="T191" s="337"/>
      <c r="U191" s="57" t="b">
        <v>0</v>
      </c>
      <c r="V191" s="310"/>
      <c r="W191" s="307"/>
      <c r="X191" s="54"/>
    </row>
    <row r="192" spans="1:24" ht="16">
      <c r="A192" s="162"/>
      <c r="B192" s="132"/>
      <c r="C192" s="53"/>
      <c r="D192" s="53"/>
      <c r="E192" s="53"/>
      <c r="F192" s="53"/>
      <c r="G192" s="53"/>
      <c r="H192" s="131"/>
      <c r="I192" s="53"/>
      <c r="J192" s="188"/>
      <c r="K192" s="54"/>
      <c r="L192" s="55" t="b">
        <v>0</v>
      </c>
      <c r="M192" s="56"/>
      <c r="N192" s="57" t="b">
        <v>0</v>
      </c>
      <c r="O192" s="58"/>
      <c r="P192" s="215"/>
      <c r="Q192" s="191" t="b">
        <v>0</v>
      </c>
      <c r="R192" s="128"/>
      <c r="S192" s="128"/>
      <c r="T192" s="337"/>
      <c r="U192" s="57" t="b">
        <v>0</v>
      </c>
      <c r="V192" s="310"/>
      <c r="W192" s="307"/>
      <c r="X192" s="54"/>
    </row>
    <row r="193" spans="1:24" ht="16">
      <c r="A193" s="162"/>
      <c r="B193" s="132"/>
      <c r="C193" s="53"/>
      <c r="D193" s="53"/>
      <c r="E193" s="53"/>
      <c r="F193" s="53"/>
      <c r="G193" s="53"/>
      <c r="H193" s="131"/>
      <c r="I193" s="53"/>
      <c r="J193" s="188"/>
      <c r="K193" s="54"/>
      <c r="L193" s="55" t="b">
        <v>0</v>
      </c>
      <c r="M193" s="56"/>
      <c r="N193" s="57" t="b">
        <v>0</v>
      </c>
      <c r="O193" s="58"/>
      <c r="P193" s="215"/>
      <c r="Q193" s="191" t="b">
        <v>0</v>
      </c>
      <c r="R193" s="128"/>
      <c r="S193" s="128"/>
      <c r="T193" s="337"/>
      <c r="U193" s="57" t="b">
        <v>0</v>
      </c>
      <c r="V193" s="310"/>
      <c r="W193" s="307"/>
      <c r="X193" s="54"/>
    </row>
    <row r="194" spans="1:24" ht="16">
      <c r="A194" s="162"/>
      <c r="B194" s="132"/>
      <c r="C194" s="53"/>
      <c r="D194" s="53"/>
      <c r="E194" s="53"/>
      <c r="F194" s="53"/>
      <c r="G194" s="53"/>
      <c r="H194" s="131"/>
      <c r="I194" s="53"/>
      <c r="J194" s="188"/>
      <c r="K194" s="54"/>
      <c r="L194" s="55" t="b">
        <v>0</v>
      </c>
      <c r="M194" s="56"/>
      <c r="N194" s="57" t="b">
        <v>0</v>
      </c>
      <c r="O194" s="58"/>
      <c r="P194" s="215"/>
      <c r="Q194" s="191" t="b">
        <v>0</v>
      </c>
      <c r="R194" s="128"/>
      <c r="S194" s="128"/>
      <c r="T194" s="337"/>
      <c r="U194" s="57" t="b">
        <v>0</v>
      </c>
      <c r="V194" s="310"/>
      <c r="W194" s="307"/>
      <c r="X194" s="54"/>
    </row>
    <row r="195" spans="1:24" ht="16">
      <c r="A195" s="162"/>
      <c r="B195" s="132"/>
      <c r="C195" s="53"/>
      <c r="D195" s="53"/>
      <c r="E195" s="53"/>
      <c r="F195" s="53"/>
      <c r="G195" s="53"/>
      <c r="H195" s="131"/>
      <c r="I195" s="53"/>
      <c r="J195" s="188"/>
      <c r="K195" s="54"/>
      <c r="L195" s="55" t="b">
        <v>0</v>
      </c>
      <c r="M195" s="56"/>
      <c r="N195" s="57" t="b">
        <v>0</v>
      </c>
      <c r="O195" s="58"/>
      <c r="P195" s="215"/>
      <c r="Q195" s="191" t="b">
        <v>0</v>
      </c>
      <c r="R195" s="128"/>
      <c r="S195" s="128"/>
      <c r="T195" s="337"/>
      <c r="U195" s="57" t="b">
        <v>0</v>
      </c>
      <c r="V195" s="310"/>
      <c r="W195" s="307"/>
      <c r="X195" s="54"/>
    </row>
    <row r="196" spans="1:24" ht="16">
      <c r="A196" s="162"/>
      <c r="B196" s="132"/>
      <c r="C196" s="53"/>
      <c r="D196" s="53"/>
      <c r="E196" s="53"/>
      <c r="F196" s="53"/>
      <c r="G196" s="53"/>
      <c r="H196" s="131"/>
      <c r="I196" s="53"/>
      <c r="J196" s="188"/>
      <c r="K196" s="54"/>
      <c r="L196" s="55" t="b">
        <v>0</v>
      </c>
      <c r="M196" s="56"/>
      <c r="N196" s="57" t="b">
        <v>0</v>
      </c>
      <c r="O196" s="58"/>
      <c r="P196" s="215"/>
      <c r="Q196" s="191" t="b">
        <v>0</v>
      </c>
      <c r="R196" s="128"/>
      <c r="S196" s="128"/>
      <c r="T196" s="337"/>
      <c r="U196" s="57" t="b">
        <v>0</v>
      </c>
      <c r="V196" s="310"/>
      <c r="W196" s="307"/>
      <c r="X196" s="54"/>
    </row>
    <row r="197" spans="1:24" ht="16">
      <c r="A197" s="162"/>
      <c r="B197" s="132"/>
      <c r="C197" s="53"/>
      <c r="D197" s="53"/>
      <c r="E197" s="53"/>
      <c r="F197" s="53"/>
      <c r="G197" s="53"/>
      <c r="H197" s="131"/>
      <c r="I197" s="53"/>
      <c r="J197" s="188"/>
      <c r="K197" s="54"/>
      <c r="L197" s="55" t="b">
        <v>0</v>
      </c>
      <c r="M197" s="56"/>
      <c r="N197" s="57" t="b">
        <v>0</v>
      </c>
      <c r="O197" s="58"/>
      <c r="P197" s="215"/>
      <c r="Q197" s="191" t="b">
        <v>0</v>
      </c>
      <c r="R197" s="128"/>
      <c r="S197" s="128"/>
      <c r="T197" s="337"/>
      <c r="U197" s="57" t="b">
        <v>0</v>
      </c>
      <c r="V197" s="310"/>
      <c r="W197" s="307"/>
      <c r="X197" s="54"/>
    </row>
    <row r="198" spans="1:24" ht="16">
      <c r="A198" s="162"/>
      <c r="B198" s="132"/>
      <c r="C198" s="53"/>
      <c r="D198" s="53"/>
      <c r="E198" s="53"/>
      <c r="F198" s="53"/>
      <c r="G198" s="53"/>
      <c r="H198" s="131"/>
      <c r="I198" s="53"/>
      <c r="J198" s="188"/>
      <c r="K198" s="54"/>
      <c r="L198" s="55" t="b">
        <v>0</v>
      </c>
      <c r="M198" s="56"/>
      <c r="N198" s="57" t="b">
        <v>0</v>
      </c>
      <c r="O198" s="58"/>
      <c r="P198" s="215"/>
      <c r="Q198" s="191" t="b">
        <v>0</v>
      </c>
      <c r="R198" s="128"/>
      <c r="S198" s="128"/>
      <c r="T198" s="337"/>
      <c r="U198" s="57" t="b">
        <v>0</v>
      </c>
      <c r="V198" s="310"/>
      <c r="W198" s="307"/>
      <c r="X198" s="54"/>
    </row>
    <row r="199" spans="1:24" ht="16">
      <c r="A199" s="162"/>
      <c r="B199" s="132"/>
      <c r="C199" s="53"/>
      <c r="D199" s="53"/>
      <c r="E199" s="53"/>
      <c r="F199" s="53"/>
      <c r="G199" s="53"/>
      <c r="H199" s="131"/>
      <c r="I199" s="53"/>
      <c r="J199" s="188"/>
      <c r="K199" s="54"/>
      <c r="L199" s="55" t="b">
        <v>0</v>
      </c>
      <c r="M199" s="56"/>
      <c r="N199" s="57" t="b">
        <v>0</v>
      </c>
      <c r="O199" s="58"/>
      <c r="P199" s="215"/>
      <c r="Q199" s="191" t="b">
        <v>0</v>
      </c>
      <c r="R199" s="128"/>
      <c r="S199" s="128"/>
      <c r="T199" s="337"/>
      <c r="U199" s="57" t="b">
        <v>0</v>
      </c>
      <c r="V199" s="310"/>
      <c r="W199" s="307"/>
      <c r="X199" s="58"/>
    </row>
    <row r="200" spans="1:24" ht="16">
      <c r="A200" s="162"/>
      <c r="B200" s="132"/>
      <c r="C200" s="53"/>
      <c r="D200" s="53"/>
      <c r="E200" s="53"/>
      <c r="F200" s="53"/>
      <c r="G200" s="53"/>
      <c r="H200" s="131"/>
      <c r="I200" s="53"/>
      <c r="J200" s="188"/>
      <c r="K200" s="54"/>
      <c r="L200" s="55" t="b">
        <v>0</v>
      </c>
      <c r="M200" s="56"/>
      <c r="N200" s="57" t="b">
        <v>0</v>
      </c>
      <c r="O200" s="58"/>
      <c r="P200" s="215"/>
      <c r="Q200" s="191" t="b">
        <v>0</v>
      </c>
      <c r="R200" s="128"/>
      <c r="S200" s="128"/>
      <c r="T200" s="337"/>
      <c r="U200" s="57" t="b">
        <v>0</v>
      </c>
      <c r="V200" s="310"/>
      <c r="W200" s="307"/>
      <c r="X200" s="54"/>
    </row>
    <row r="201" spans="1:24" ht="16">
      <c r="A201" s="162"/>
      <c r="B201" s="132"/>
      <c r="C201" s="53"/>
      <c r="D201" s="53"/>
      <c r="E201" s="53"/>
      <c r="F201" s="53"/>
      <c r="G201" s="53"/>
      <c r="H201" s="131"/>
      <c r="I201" s="53"/>
      <c r="J201" s="188"/>
      <c r="K201" s="54"/>
      <c r="L201" s="55" t="b">
        <v>0</v>
      </c>
      <c r="M201" s="56"/>
      <c r="N201" s="57" t="b">
        <v>0</v>
      </c>
      <c r="O201" s="58"/>
      <c r="P201" s="215"/>
      <c r="Q201" s="191" t="b">
        <v>0</v>
      </c>
      <c r="R201" s="128"/>
      <c r="S201" s="128"/>
      <c r="T201" s="337"/>
      <c r="U201" s="57" t="b">
        <v>0</v>
      </c>
      <c r="V201" s="310"/>
      <c r="W201" s="307"/>
      <c r="X201" s="54"/>
    </row>
    <row r="202" spans="1:24" ht="16">
      <c r="A202" s="162"/>
      <c r="B202" s="132"/>
      <c r="C202" s="53"/>
      <c r="D202" s="53"/>
      <c r="E202" s="53"/>
      <c r="F202" s="53"/>
      <c r="G202" s="53"/>
      <c r="H202" s="131"/>
      <c r="I202" s="53"/>
      <c r="J202" s="188"/>
      <c r="K202" s="54"/>
      <c r="L202" s="55" t="b">
        <v>0</v>
      </c>
      <c r="M202" s="56"/>
      <c r="N202" s="57" t="b">
        <v>0</v>
      </c>
      <c r="O202" s="58"/>
      <c r="P202" s="215"/>
      <c r="Q202" s="191" t="b">
        <v>0</v>
      </c>
      <c r="R202" s="128"/>
      <c r="S202" s="128"/>
      <c r="T202" s="337"/>
      <c r="U202" s="57" t="b">
        <v>0</v>
      </c>
      <c r="V202" s="310"/>
      <c r="W202" s="307"/>
      <c r="X202" s="54"/>
    </row>
    <row r="203" spans="1:24" ht="16">
      <c r="A203" s="162"/>
      <c r="B203" s="132"/>
      <c r="C203" s="53"/>
      <c r="D203" s="53"/>
      <c r="E203" s="53"/>
      <c r="F203" s="53"/>
      <c r="G203" s="53"/>
      <c r="H203" s="131"/>
      <c r="I203" s="53"/>
      <c r="J203" s="188"/>
      <c r="K203" s="54"/>
      <c r="L203" s="55" t="b">
        <v>0</v>
      </c>
      <c r="M203" s="56"/>
      <c r="N203" s="57" t="b">
        <v>0</v>
      </c>
      <c r="O203" s="58"/>
      <c r="P203" s="215"/>
      <c r="Q203" s="191" t="b">
        <v>0</v>
      </c>
      <c r="R203" s="128"/>
      <c r="S203" s="128"/>
      <c r="T203" s="337"/>
      <c r="U203" s="57" t="b">
        <v>0</v>
      </c>
      <c r="V203" s="310"/>
      <c r="W203" s="307"/>
      <c r="X203" s="54"/>
    </row>
    <row r="204" spans="1:24" ht="16">
      <c r="A204" s="162"/>
      <c r="B204" s="132"/>
      <c r="C204" s="53"/>
      <c r="D204" s="53"/>
      <c r="E204" s="53"/>
      <c r="F204" s="53"/>
      <c r="G204" s="53"/>
      <c r="H204" s="131"/>
      <c r="I204" s="53"/>
      <c r="J204" s="188"/>
      <c r="K204" s="54"/>
      <c r="L204" s="55" t="b">
        <v>0</v>
      </c>
      <c r="M204" s="56"/>
      <c r="N204" s="57" t="b">
        <v>0</v>
      </c>
      <c r="O204" s="58"/>
      <c r="P204" s="215"/>
      <c r="Q204" s="191" t="b">
        <v>0</v>
      </c>
      <c r="R204" s="128"/>
      <c r="S204" s="128"/>
      <c r="T204" s="337"/>
      <c r="U204" s="57" t="b">
        <v>0</v>
      </c>
      <c r="V204" s="310"/>
      <c r="W204" s="307"/>
      <c r="X204" s="54"/>
    </row>
    <row r="205" spans="1:24" ht="16">
      <c r="A205" s="162"/>
      <c r="B205" s="132"/>
      <c r="C205" s="53"/>
      <c r="D205" s="53"/>
      <c r="E205" s="53"/>
      <c r="F205" s="53"/>
      <c r="G205" s="53"/>
      <c r="H205" s="131"/>
      <c r="I205" s="53"/>
      <c r="J205" s="188"/>
      <c r="K205" s="54"/>
      <c r="L205" s="55" t="b">
        <v>0</v>
      </c>
      <c r="M205" s="56"/>
      <c r="N205" s="57" t="b">
        <v>0</v>
      </c>
      <c r="O205" s="58"/>
      <c r="P205" s="215"/>
      <c r="Q205" s="191" t="b">
        <v>0</v>
      </c>
      <c r="R205" s="128"/>
      <c r="S205" s="128"/>
      <c r="T205" s="337"/>
      <c r="U205" s="57" t="b">
        <v>0</v>
      </c>
      <c r="V205" s="310"/>
      <c r="W205" s="307"/>
      <c r="X205" s="54"/>
    </row>
    <row r="206" spans="1:24" ht="16">
      <c r="A206" s="162"/>
      <c r="B206" s="132"/>
      <c r="C206" s="53"/>
      <c r="D206" s="53"/>
      <c r="E206" s="53"/>
      <c r="F206" s="53"/>
      <c r="G206" s="53"/>
      <c r="H206" s="131"/>
      <c r="I206" s="53"/>
      <c r="J206" s="188"/>
      <c r="K206" s="54"/>
      <c r="L206" s="55" t="b">
        <v>0</v>
      </c>
      <c r="M206" s="56"/>
      <c r="N206" s="57" t="b">
        <v>0</v>
      </c>
      <c r="O206" s="58"/>
      <c r="P206" s="215"/>
      <c r="Q206" s="191" t="b">
        <v>0</v>
      </c>
      <c r="R206" s="128"/>
      <c r="S206" s="128"/>
      <c r="T206" s="337"/>
      <c r="U206" s="57" t="b">
        <v>0</v>
      </c>
      <c r="V206" s="310"/>
      <c r="W206" s="307"/>
      <c r="X206" s="54"/>
    </row>
    <row r="207" spans="1:24" ht="16">
      <c r="A207" s="162"/>
      <c r="B207" s="132"/>
      <c r="C207" s="53"/>
      <c r="D207" s="53"/>
      <c r="E207" s="53"/>
      <c r="F207" s="53"/>
      <c r="G207" s="53"/>
      <c r="H207" s="131"/>
      <c r="I207" s="53"/>
      <c r="J207" s="188"/>
      <c r="K207" s="54"/>
      <c r="L207" s="55" t="b">
        <v>0</v>
      </c>
      <c r="M207" s="56"/>
      <c r="N207" s="57" t="b">
        <v>0</v>
      </c>
      <c r="O207" s="58"/>
      <c r="P207" s="215"/>
      <c r="Q207" s="191" t="b">
        <v>0</v>
      </c>
      <c r="R207" s="128"/>
      <c r="S207" s="128"/>
      <c r="T207" s="337"/>
      <c r="U207" s="57" t="b">
        <v>0</v>
      </c>
      <c r="V207" s="310"/>
      <c r="W207" s="307"/>
      <c r="X207" s="54"/>
    </row>
    <row r="208" spans="1:24" ht="16">
      <c r="A208" s="162"/>
      <c r="B208" s="132"/>
      <c r="C208" s="53"/>
      <c r="D208" s="53"/>
      <c r="E208" s="53"/>
      <c r="F208" s="53"/>
      <c r="G208" s="53"/>
      <c r="H208" s="131"/>
      <c r="I208" s="53"/>
      <c r="J208" s="188"/>
      <c r="K208" s="54"/>
      <c r="L208" s="55" t="b">
        <v>0</v>
      </c>
      <c r="M208" s="56"/>
      <c r="N208" s="57" t="b">
        <v>0</v>
      </c>
      <c r="O208" s="58"/>
      <c r="P208" s="215"/>
      <c r="Q208" s="191" t="b">
        <v>0</v>
      </c>
      <c r="R208" s="128"/>
      <c r="S208" s="128"/>
      <c r="T208" s="337"/>
      <c r="U208" s="57" t="b">
        <v>0</v>
      </c>
      <c r="V208" s="310"/>
      <c r="W208" s="307"/>
      <c r="X208" s="54"/>
    </row>
    <row r="209" spans="1:24" ht="16">
      <c r="A209" s="162"/>
      <c r="B209" s="132"/>
      <c r="C209" s="53"/>
      <c r="D209" s="53"/>
      <c r="E209" s="53"/>
      <c r="F209" s="53"/>
      <c r="G209" s="53"/>
      <c r="H209" s="131"/>
      <c r="I209" s="53"/>
      <c r="J209" s="188"/>
      <c r="K209" s="54"/>
      <c r="L209" s="55" t="b">
        <v>0</v>
      </c>
      <c r="M209" s="56"/>
      <c r="N209" s="57" t="b">
        <v>0</v>
      </c>
      <c r="O209" s="58"/>
      <c r="P209" s="215"/>
      <c r="Q209" s="191" t="b">
        <v>0</v>
      </c>
      <c r="R209" s="128"/>
      <c r="S209" s="128"/>
      <c r="T209" s="337"/>
      <c r="U209" s="57" t="b">
        <v>0</v>
      </c>
      <c r="V209" s="310"/>
      <c r="W209" s="307"/>
      <c r="X209" s="54"/>
    </row>
    <row r="210" spans="1:24" ht="16">
      <c r="A210" s="162"/>
      <c r="B210" s="132"/>
      <c r="C210" s="53"/>
      <c r="D210" s="53"/>
      <c r="E210" s="53"/>
      <c r="F210" s="53"/>
      <c r="G210" s="53"/>
      <c r="H210" s="131"/>
      <c r="I210" s="53"/>
      <c r="J210" s="188"/>
      <c r="K210" s="54"/>
      <c r="L210" s="55" t="b">
        <v>0</v>
      </c>
      <c r="M210" s="56"/>
      <c r="N210" s="57" t="b">
        <v>0</v>
      </c>
      <c r="O210" s="58"/>
      <c r="P210" s="215"/>
      <c r="Q210" s="191" t="b">
        <v>0</v>
      </c>
      <c r="R210" s="128"/>
      <c r="S210" s="128"/>
      <c r="T210" s="337"/>
      <c r="U210" s="57" t="b">
        <v>0</v>
      </c>
      <c r="V210" s="310"/>
      <c r="W210" s="307"/>
      <c r="X210" s="54"/>
    </row>
    <row r="211" spans="1:24" ht="16">
      <c r="A211" s="162"/>
      <c r="B211" s="132"/>
      <c r="C211" s="53"/>
      <c r="D211" s="53"/>
      <c r="E211" s="53"/>
      <c r="F211" s="53"/>
      <c r="G211" s="53"/>
      <c r="H211" s="131"/>
      <c r="I211" s="53"/>
      <c r="J211" s="188"/>
      <c r="K211" s="54"/>
      <c r="L211" s="55" t="b">
        <v>0</v>
      </c>
      <c r="M211" s="56"/>
      <c r="N211" s="57" t="b">
        <v>0</v>
      </c>
      <c r="O211" s="58"/>
      <c r="P211" s="215"/>
      <c r="Q211" s="191" t="b">
        <v>0</v>
      </c>
      <c r="R211" s="128"/>
      <c r="S211" s="128"/>
      <c r="T211" s="337"/>
      <c r="U211" s="57" t="b">
        <v>0</v>
      </c>
      <c r="V211" s="310"/>
      <c r="W211" s="307"/>
      <c r="X211" s="54"/>
    </row>
    <row r="212" spans="1:24" ht="16">
      <c r="A212" s="162"/>
      <c r="B212" s="132"/>
      <c r="C212" s="53"/>
      <c r="D212" s="53"/>
      <c r="E212" s="53"/>
      <c r="F212" s="53"/>
      <c r="G212" s="53"/>
      <c r="H212" s="131"/>
      <c r="I212" s="53"/>
      <c r="J212" s="188"/>
      <c r="K212" s="54"/>
      <c r="L212" s="55" t="b">
        <v>0</v>
      </c>
      <c r="M212" s="56"/>
      <c r="N212" s="57" t="b">
        <v>0</v>
      </c>
      <c r="O212" s="58"/>
      <c r="P212" s="215"/>
      <c r="Q212" s="191" t="b">
        <v>0</v>
      </c>
      <c r="R212" s="128"/>
      <c r="S212" s="128"/>
      <c r="T212" s="337"/>
      <c r="U212" s="57" t="b">
        <v>0</v>
      </c>
      <c r="V212" s="310"/>
      <c r="W212" s="307"/>
      <c r="X212" s="54"/>
    </row>
    <row r="213" spans="1:24" ht="16">
      <c r="A213" s="162"/>
      <c r="B213" s="132"/>
      <c r="C213" s="53"/>
      <c r="D213" s="53"/>
      <c r="E213" s="53"/>
      <c r="F213" s="53"/>
      <c r="G213" s="53"/>
      <c r="H213" s="131"/>
      <c r="I213" s="53"/>
      <c r="J213" s="188"/>
      <c r="K213" s="54"/>
      <c r="L213" s="55" t="b">
        <v>0</v>
      </c>
      <c r="M213" s="56"/>
      <c r="N213" s="57" t="b">
        <v>0</v>
      </c>
      <c r="O213" s="58"/>
      <c r="P213" s="215"/>
      <c r="Q213" s="191" t="b">
        <v>0</v>
      </c>
      <c r="R213" s="128"/>
      <c r="S213" s="128"/>
      <c r="T213" s="337"/>
      <c r="U213" s="57" t="b">
        <v>0</v>
      </c>
      <c r="V213" s="310"/>
      <c r="W213" s="307"/>
      <c r="X213" s="54"/>
    </row>
    <row r="214" spans="1:24" ht="16">
      <c r="A214" s="162"/>
      <c r="B214" s="132"/>
      <c r="C214" s="53"/>
      <c r="D214" s="53"/>
      <c r="E214" s="53"/>
      <c r="F214" s="53"/>
      <c r="G214" s="53"/>
      <c r="H214" s="131"/>
      <c r="I214" s="53"/>
      <c r="J214" s="188"/>
      <c r="K214" s="54"/>
      <c r="L214" s="55" t="b">
        <v>0</v>
      </c>
      <c r="M214" s="56"/>
      <c r="N214" s="57" t="b">
        <v>0</v>
      </c>
      <c r="O214" s="58"/>
      <c r="P214" s="215"/>
      <c r="Q214" s="191" t="b">
        <v>0</v>
      </c>
      <c r="R214" s="128"/>
      <c r="S214" s="128"/>
      <c r="T214" s="337"/>
      <c r="U214" s="57" t="b">
        <v>0</v>
      </c>
      <c r="V214" s="310"/>
      <c r="W214" s="307"/>
      <c r="X214" s="54"/>
    </row>
    <row r="215" spans="1:24" ht="16">
      <c r="A215" s="162"/>
      <c r="B215" s="132"/>
      <c r="C215" s="53"/>
      <c r="D215" s="53"/>
      <c r="E215" s="53"/>
      <c r="F215" s="53"/>
      <c r="G215" s="53"/>
      <c r="H215" s="131"/>
      <c r="I215" s="53"/>
      <c r="J215" s="188"/>
      <c r="K215" s="75"/>
      <c r="L215" s="55" t="b">
        <v>0</v>
      </c>
      <c r="M215" s="56"/>
      <c r="N215" s="57" t="b">
        <v>0</v>
      </c>
      <c r="O215" s="58"/>
      <c r="P215" s="215"/>
      <c r="Q215" s="191" t="b">
        <v>0</v>
      </c>
      <c r="R215" s="128"/>
      <c r="S215" s="128"/>
      <c r="T215" s="337"/>
      <c r="U215" s="57" t="b">
        <v>0</v>
      </c>
      <c r="V215" s="310"/>
      <c r="W215" s="307"/>
      <c r="X215" s="54"/>
    </row>
    <row r="216" spans="1:24" ht="16">
      <c r="A216" s="162"/>
      <c r="B216" s="132"/>
      <c r="C216" s="53"/>
      <c r="D216" s="53"/>
      <c r="E216" s="53"/>
      <c r="F216" s="53"/>
      <c r="G216" s="53"/>
      <c r="H216" s="131"/>
      <c r="I216" s="53"/>
      <c r="J216" s="188"/>
      <c r="K216" s="75"/>
      <c r="L216" s="55" t="b">
        <v>0</v>
      </c>
      <c r="M216" s="56"/>
      <c r="N216" s="57" t="b">
        <v>0</v>
      </c>
      <c r="O216" s="58"/>
      <c r="P216" s="215"/>
      <c r="Q216" s="191" t="b">
        <v>0</v>
      </c>
      <c r="R216" s="128"/>
      <c r="S216" s="128"/>
      <c r="T216" s="337"/>
      <c r="U216" s="57" t="b">
        <v>0</v>
      </c>
      <c r="V216" s="310"/>
      <c r="W216" s="307"/>
      <c r="X216" s="54"/>
    </row>
    <row r="217" spans="1:24" ht="16">
      <c r="A217" s="162"/>
      <c r="B217" s="132"/>
      <c r="C217" s="53"/>
      <c r="D217" s="53"/>
      <c r="E217" s="53"/>
      <c r="F217" s="53"/>
      <c r="G217" s="53"/>
      <c r="H217" s="131"/>
      <c r="I217" s="53"/>
      <c r="J217" s="188"/>
      <c r="K217" s="75"/>
      <c r="L217" s="55" t="b">
        <v>0</v>
      </c>
      <c r="M217" s="56"/>
      <c r="N217" s="57" t="b">
        <v>0</v>
      </c>
      <c r="O217" s="58"/>
      <c r="P217" s="215"/>
      <c r="Q217" s="191" t="b">
        <v>0</v>
      </c>
      <c r="R217" s="128"/>
      <c r="S217" s="128"/>
      <c r="T217" s="337"/>
      <c r="U217" s="57" t="b">
        <v>0</v>
      </c>
      <c r="V217" s="310"/>
      <c r="W217" s="307"/>
      <c r="X217" s="54"/>
    </row>
    <row r="218" spans="1:24" ht="16">
      <c r="A218" s="162"/>
      <c r="B218" s="132"/>
      <c r="C218" s="53"/>
      <c r="D218" s="53"/>
      <c r="E218" s="53"/>
      <c r="F218" s="53"/>
      <c r="G218" s="53"/>
      <c r="H218" s="131"/>
      <c r="I218" s="53"/>
      <c r="J218" s="188"/>
      <c r="K218" s="75"/>
      <c r="L218" s="55" t="b">
        <v>0</v>
      </c>
      <c r="M218" s="56"/>
      <c r="N218" s="57" t="b">
        <v>0</v>
      </c>
      <c r="O218" s="58"/>
      <c r="P218" s="215"/>
      <c r="Q218" s="191" t="b">
        <v>0</v>
      </c>
      <c r="R218" s="128"/>
      <c r="S218" s="128"/>
      <c r="T218" s="337"/>
      <c r="U218" s="57" t="b">
        <v>0</v>
      </c>
      <c r="V218" s="310"/>
      <c r="W218" s="307"/>
      <c r="X218" s="54"/>
    </row>
    <row r="219" spans="1:24" ht="16">
      <c r="A219" s="162"/>
      <c r="B219" s="132"/>
      <c r="C219" s="53"/>
      <c r="D219" s="53"/>
      <c r="E219" s="53"/>
      <c r="F219" s="53"/>
      <c r="G219" s="53"/>
      <c r="H219" s="131"/>
      <c r="I219" s="53"/>
      <c r="J219" s="188"/>
      <c r="K219" s="75"/>
      <c r="L219" s="55" t="b">
        <v>0</v>
      </c>
      <c r="M219" s="56"/>
      <c r="N219" s="57" t="b">
        <v>0</v>
      </c>
      <c r="O219" s="58"/>
      <c r="P219" s="215"/>
      <c r="Q219" s="191" t="b">
        <v>0</v>
      </c>
      <c r="R219" s="128"/>
      <c r="S219" s="128"/>
      <c r="T219" s="337"/>
      <c r="U219" s="57" t="b">
        <v>0</v>
      </c>
      <c r="V219" s="310"/>
      <c r="W219" s="307"/>
      <c r="X219" s="54"/>
    </row>
    <row r="220" spans="1:24" ht="16">
      <c r="A220" s="162"/>
      <c r="B220" s="132"/>
      <c r="C220" s="53"/>
      <c r="D220" s="53"/>
      <c r="E220" s="53"/>
      <c r="F220" s="53"/>
      <c r="G220" s="53"/>
      <c r="H220" s="131"/>
      <c r="I220" s="53"/>
      <c r="J220" s="188"/>
      <c r="K220" s="75"/>
      <c r="L220" s="55" t="b">
        <v>0</v>
      </c>
      <c r="M220" s="56"/>
      <c r="N220" s="57" t="b">
        <v>0</v>
      </c>
      <c r="O220" s="58"/>
      <c r="P220" s="215"/>
      <c r="Q220" s="191" t="b">
        <v>0</v>
      </c>
      <c r="R220" s="128"/>
      <c r="S220" s="128"/>
      <c r="T220" s="337"/>
      <c r="U220" s="57" t="b">
        <v>0</v>
      </c>
      <c r="V220" s="310"/>
      <c r="W220" s="307"/>
      <c r="X220" s="54"/>
    </row>
    <row r="221" spans="1:24" ht="16">
      <c r="A221" s="162"/>
      <c r="B221" s="132"/>
      <c r="C221" s="53"/>
      <c r="D221" s="53"/>
      <c r="E221" s="53"/>
      <c r="F221" s="53"/>
      <c r="G221" s="53"/>
      <c r="H221" s="131"/>
      <c r="I221" s="53"/>
      <c r="J221" s="188"/>
      <c r="K221" s="75"/>
      <c r="L221" s="55" t="b">
        <v>0</v>
      </c>
      <c r="M221" s="56"/>
      <c r="N221" s="57" t="b">
        <v>0</v>
      </c>
      <c r="O221" s="58"/>
      <c r="P221" s="215"/>
      <c r="Q221" s="191" t="b">
        <v>0</v>
      </c>
      <c r="R221" s="128"/>
      <c r="S221" s="128"/>
      <c r="T221" s="337"/>
      <c r="U221" s="57" t="b">
        <v>0</v>
      </c>
      <c r="V221" s="310"/>
      <c r="W221" s="307"/>
      <c r="X221" s="54"/>
    </row>
    <row r="222" spans="1:24" ht="16">
      <c r="A222" s="162"/>
      <c r="B222" s="132"/>
      <c r="C222" s="53"/>
      <c r="D222" s="53"/>
      <c r="E222" s="53"/>
      <c r="F222" s="53"/>
      <c r="G222" s="53"/>
      <c r="H222" s="131"/>
      <c r="I222" s="53"/>
      <c r="J222" s="188"/>
      <c r="K222" s="75"/>
      <c r="L222" s="55" t="b">
        <v>0</v>
      </c>
      <c r="M222" s="56"/>
      <c r="N222" s="57" t="b">
        <v>0</v>
      </c>
      <c r="O222" s="58"/>
      <c r="P222" s="215"/>
      <c r="Q222" s="191" t="b">
        <v>0</v>
      </c>
      <c r="R222" s="128"/>
      <c r="S222" s="128"/>
      <c r="T222" s="337"/>
      <c r="U222" s="57" t="b">
        <v>0</v>
      </c>
      <c r="V222" s="310"/>
      <c r="W222" s="307"/>
      <c r="X222" s="54"/>
    </row>
    <row r="223" spans="1:24" ht="16">
      <c r="A223" s="162"/>
      <c r="B223" s="132"/>
      <c r="C223" s="53"/>
      <c r="D223" s="53"/>
      <c r="E223" s="53"/>
      <c r="F223" s="53"/>
      <c r="G223" s="53"/>
      <c r="H223" s="131"/>
      <c r="I223" s="53"/>
      <c r="J223" s="188"/>
      <c r="K223" s="75"/>
      <c r="L223" s="55" t="b">
        <v>0</v>
      </c>
      <c r="M223" s="56"/>
      <c r="N223" s="57" t="b">
        <v>0</v>
      </c>
      <c r="O223" s="58"/>
      <c r="P223" s="215"/>
      <c r="Q223" s="191" t="b">
        <v>0</v>
      </c>
      <c r="R223" s="128"/>
      <c r="S223" s="128"/>
      <c r="T223" s="337"/>
      <c r="U223" s="57" t="b">
        <v>0</v>
      </c>
      <c r="V223" s="310"/>
      <c r="W223" s="307"/>
      <c r="X223" s="54"/>
    </row>
    <row r="224" spans="1:24" ht="16">
      <c r="A224" s="162"/>
      <c r="B224" s="132"/>
      <c r="C224" s="53"/>
      <c r="D224" s="53"/>
      <c r="E224" s="53"/>
      <c r="F224" s="53"/>
      <c r="G224" s="53"/>
      <c r="H224" s="131"/>
      <c r="I224" s="53"/>
      <c r="J224" s="188"/>
      <c r="K224" s="75"/>
      <c r="L224" s="55" t="b">
        <v>0</v>
      </c>
      <c r="M224" s="56"/>
      <c r="N224" s="57" t="b">
        <v>0</v>
      </c>
      <c r="O224" s="58"/>
      <c r="P224" s="215"/>
      <c r="Q224" s="191" t="b">
        <v>0</v>
      </c>
      <c r="R224" s="128"/>
      <c r="S224" s="128"/>
      <c r="T224" s="337"/>
      <c r="U224" s="57" t="b">
        <v>0</v>
      </c>
      <c r="V224" s="310"/>
      <c r="W224" s="307"/>
      <c r="X224" s="54"/>
    </row>
    <row r="225" spans="1:24" ht="16">
      <c r="A225" s="162"/>
      <c r="B225" s="132"/>
      <c r="C225" s="53"/>
      <c r="D225" s="53"/>
      <c r="E225" s="53"/>
      <c r="F225" s="53"/>
      <c r="G225" s="53"/>
      <c r="H225" s="131"/>
      <c r="I225" s="53"/>
      <c r="J225" s="188"/>
      <c r="K225" s="75"/>
      <c r="L225" s="55" t="b">
        <v>0</v>
      </c>
      <c r="M225" s="56"/>
      <c r="N225" s="57" t="b">
        <v>0</v>
      </c>
      <c r="O225" s="58"/>
      <c r="P225" s="215"/>
      <c r="Q225" s="191" t="b">
        <v>0</v>
      </c>
      <c r="R225" s="128"/>
      <c r="S225" s="128"/>
      <c r="T225" s="337"/>
      <c r="U225" s="57" t="b">
        <v>0</v>
      </c>
      <c r="V225" s="310"/>
      <c r="W225" s="307"/>
      <c r="X225" s="54"/>
    </row>
    <row r="226" spans="1:24" ht="16">
      <c r="A226" s="162"/>
      <c r="B226" s="132"/>
      <c r="C226" s="53"/>
      <c r="D226" s="53"/>
      <c r="E226" s="53"/>
      <c r="F226" s="53"/>
      <c r="G226" s="53"/>
      <c r="H226" s="131"/>
      <c r="I226" s="53"/>
      <c r="J226" s="188"/>
      <c r="K226" s="75"/>
      <c r="L226" s="55" t="b">
        <v>0</v>
      </c>
      <c r="M226" s="56"/>
      <c r="N226" s="57" t="b">
        <v>0</v>
      </c>
      <c r="O226" s="58"/>
      <c r="P226" s="215"/>
      <c r="Q226" s="191" t="b">
        <v>0</v>
      </c>
      <c r="R226" s="128"/>
      <c r="S226" s="128"/>
      <c r="T226" s="337"/>
      <c r="U226" s="57" t="b">
        <v>0</v>
      </c>
      <c r="V226" s="310"/>
      <c r="W226" s="307"/>
      <c r="X226" s="54"/>
    </row>
    <row r="227" spans="1:24" ht="16">
      <c r="A227" s="162"/>
      <c r="B227" s="132"/>
      <c r="C227" s="53"/>
      <c r="D227" s="53"/>
      <c r="E227" s="53"/>
      <c r="F227" s="53"/>
      <c r="G227" s="53"/>
      <c r="H227" s="131"/>
      <c r="I227" s="53"/>
      <c r="J227" s="188"/>
      <c r="K227" s="75"/>
      <c r="L227" s="55" t="b">
        <v>0</v>
      </c>
      <c r="M227" s="56"/>
      <c r="N227" s="57" t="b">
        <v>0</v>
      </c>
      <c r="O227" s="58"/>
      <c r="P227" s="215"/>
      <c r="Q227" s="191" t="b">
        <v>0</v>
      </c>
      <c r="R227" s="128"/>
      <c r="S227" s="128"/>
      <c r="T227" s="337"/>
      <c r="U227" s="57" t="b">
        <v>0</v>
      </c>
      <c r="V227" s="310"/>
      <c r="W227" s="307"/>
      <c r="X227" s="54"/>
    </row>
    <row r="228" spans="1:24" ht="16">
      <c r="A228" s="162"/>
      <c r="B228" s="132"/>
      <c r="C228" s="53"/>
      <c r="D228" s="53"/>
      <c r="E228" s="53"/>
      <c r="F228" s="53"/>
      <c r="G228" s="53"/>
      <c r="H228" s="131"/>
      <c r="I228" s="53"/>
      <c r="J228" s="188"/>
      <c r="K228" s="75"/>
      <c r="L228" s="55" t="b">
        <v>0</v>
      </c>
      <c r="M228" s="56"/>
      <c r="N228" s="57" t="b">
        <v>0</v>
      </c>
      <c r="O228" s="58"/>
      <c r="P228" s="215"/>
      <c r="Q228" s="191" t="b">
        <v>0</v>
      </c>
      <c r="R228" s="128"/>
      <c r="S228" s="128"/>
      <c r="T228" s="337"/>
      <c r="U228" s="57" t="b">
        <v>0</v>
      </c>
      <c r="V228" s="310"/>
      <c r="W228" s="307"/>
      <c r="X228" s="54"/>
    </row>
    <row r="229" spans="1:24" ht="16">
      <c r="A229" s="162"/>
      <c r="B229" s="132"/>
      <c r="C229" s="53"/>
      <c r="D229" s="53"/>
      <c r="E229" s="53"/>
      <c r="F229" s="53"/>
      <c r="G229" s="53"/>
      <c r="H229" s="131"/>
      <c r="I229" s="53"/>
      <c r="J229" s="188"/>
      <c r="K229" s="75"/>
      <c r="L229" s="55" t="b">
        <v>0</v>
      </c>
      <c r="M229" s="56"/>
      <c r="N229" s="57" t="b">
        <v>0</v>
      </c>
      <c r="O229" s="58"/>
      <c r="P229" s="215"/>
      <c r="Q229" s="191" t="b">
        <v>0</v>
      </c>
      <c r="R229" s="128"/>
      <c r="S229" s="128"/>
      <c r="T229" s="337"/>
      <c r="U229" s="57" t="b">
        <v>0</v>
      </c>
      <c r="V229" s="310"/>
      <c r="W229" s="307"/>
      <c r="X229" s="54"/>
    </row>
    <row r="230" spans="1:24" ht="16">
      <c r="A230" s="162"/>
      <c r="B230" s="132"/>
      <c r="C230" s="53"/>
      <c r="D230" s="53"/>
      <c r="E230" s="53"/>
      <c r="F230" s="53"/>
      <c r="G230" s="53"/>
      <c r="H230" s="131"/>
      <c r="I230" s="53"/>
      <c r="J230" s="188"/>
      <c r="K230" s="75"/>
      <c r="L230" s="55" t="b">
        <v>0</v>
      </c>
      <c r="M230" s="56"/>
      <c r="N230" s="57" t="b">
        <v>0</v>
      </c>
      <c r="O230" s="58"/>
      <c r="P230" s="215"/>
      <c r="Q230" s="191" t="b">
        <v>0</v>
      </c>
      <c r="R230" s="128"/>
      <c r="S230" s="128"/>
      <c r="T230" s="337"/>
      <c r="U230" s="57" t="b">
        <v>0</v>
      </c>
      <c r="V230" s="310"/>
      <c r="W230" s="307"/>
      <c r="X230" s="54"/>
    </row>
    <row r="231" spans="1:24" ht="16">
      <c r="A231" s="162"/>
      <c r="B231" s="132"/>
      <c r="C231" s="53"/>
      <c r="D231" s="53"/>
      <c r="E231" s="53"/>
      <c r="F231" s="53"/>
      <c r="G231" s="53"/>
      <c r="H231" s="131"/>
      <c r="I231" s="53"/>
      <c r="J231" s="188"/>
      <c r="K231" s="75"/>
      <c r="L231" s="55" t="b">
        <v>0</v>
      </c>
      <c r="M231" s="56"/>
      <c r="N231" s="57" t="b">
        <v>0</v>
      </c>
      <c r="O231" s="58"/>
      <c r="P231" s="215"/>
      <c r="Q231" s="191" t="b">
        <v>0</v>
      </c>
      <c r="R231" s="128"/>
      <c r="S231" s="128"/>
      <c r="T231" s="337"/>
      <c r="U231" s="57" t="b">
        <v>0</v>
      </c>
      <c r="V231" s="310"/>
      <c r="W231" s="307"/>
      <c r="X231" s="54"/>
    </row>
    <row r="232" spans="1:24" ht="16">
      <c r="A232" s="162"/>
      <c r="B232" s="132"/>
      <c r="C232" s="53"/>
      <c r="D232" s="53"/>
      <c r="E232" s="53"/>
      <c r="F232" s="53"/>
      <c r="G232" s="53"/>
      <c r="H232" s="131"/>
      <c r="I232" s="53"/>
      <c r="J232" s="188"/>
      <c r="K232" s="75"/>
      <c r="L232" s="55" t="b">
        <v>0</v>
      </c>
      <c r="M232" s="56"/>
      <c r="N232" s="57" t="b">
        <v>0</v>
      </c>
      <c r="O232" s="58"/>
      <c r="P232" s="215"/>
      <c r="Q232" s="191" t="b">
        <v>0</v>
      </c>
      <c r="R232" s="128"/>
      <c r="S232" s="128"/>
      <c r="T232" s="337"/>
      <c r="U232" s="57" t="b">
        <v>0</v>
      </c>
      <c r="V232" s="310"/>
      <c r="W232" s="307"/>
      <c r="X232" s="54"/>
    </row>
    <row r="233" spans="1:24" ht="16">
      <c r="A233" s="162"/>
      <c r="B233" s="132"/>
      <c r="C233" s="53"/>
      <c r="D233" s="53"/>
      <c r="E233" s="53"/>
      <c r="F233" s="53"/>
      <c r="G233" s="53"/>
      <c r="H233" s="131"/>
      <c r="I233" s="53"/>
      <c r="J233" s="188"/>
      <c r="K233" s="75"/>
      <c r="L233" s="55" t="b">
        <v>0</v>
      </c>
      <c r="M233" s="56"/>
      <c r="N233" s="57" t="b">
        <v>0</v>
      </c>
      <c r="O233" s="58"/>
      <c r="P233" s="215"/>
      <c r="Q233" s="191" t="b">
        <v>0</v>
      </c>
      <c r="R233" s="128"/>
      <c r="S233" s="128"/>
      <c r="T233" s="337"/>
      <c r="U233" s="57" t="b">
        <v>0</v>
      </c>
      <c r="V233" s="310"/>
      <c r="W233" s="307"/>
      <c r="X233" s="54"/>
    </row>
    <row r="234" spans="1:24" ht="16">
      <c r="A234" s="162"/>
      <c r="B234" s="132"/>
      <c r="C234" s="53"/>
      <c r="D234" s="53"/>
      <c r="E234" s="53"/>
      <c r="F234" s="53"/>
      <c r="G234" s="53"/>
      <c r="H234" s="131"/>
      <c r="I234" s="53"/>
      <c r="J234" s="188"/>
      <c r="K234" s="75"/>
      <c r="L234" s="55" t="b">
        <v>0</v>
      </c>
      <c r="M234" s="56"/>
      <c r="N234" s="57" t="b">
        <v>0</v>
      </c>
      <c r="O234" s="58"/>
      <c r="P234" s="215"/>
      <c r="Q234" s="191" t="b">
        <v>0</v>
      </c>
      <c r="R234" s="128"/>
      <c r="S234" s="128"/>
      <c r="T234" s="337"/>
      <c r="U234" s="57" t="b">
        <v>0</v>
      </c>
      <c r="V234" s="310"/>
      <c r="W234" s="307"/>
      <c r="X234" s="54"/>
    </row>
    <row r="235" spans="1:24" ht="16">
      <c r="A235" s="162"/>
      <c r="B235" s="132"/>
      <c r="C235" s="53"/>
      <c r="D235" s="53"/>
      <c r="E235" s="53"/>
      <c r="F235" s="53"/>
      <c r="G235" s="53"/>
      <c r="H235" s="131"/>
      <c r="I235" s="53"/>
      <c r="J235" s="188"/>
      <c r="K235" s="75"/>
      <c r="L235" s="55" t="b">
        <v>0</v>
      </c>
      <c r="M235" s="56"/>
      <c r="N235" s="57" t="b">
        <v>0</v>
      </c>
      <c r="O235" s="58"/>
      <c r="P235" s="215"/>
      <c r="Q235" s="191" t="b">
        <v>0</v>
      </c>
      <c r="R235" s="128"/>
      <c r="S235" s="128"/>
      <c r="T235" s="337"/>
      <c r="U235" s="57" t="b">
        <v>0</v>
      </c>
      <c r="V235" s="310"/>
      <c r="W235" s="307"/>
      <c r="X235" s="54"/>
    </row>
    <row r="236" spans="1:24" ht="16">
      <c r="J236" s="314"/>
      <c r="M236" s="350"/>
      <c r="P236" s="225"/>
      <c r="V236" s="315"/>
      <c r="W236" s="315"/>
    </row>
    <row r="237" spans="1:24" ht="16">
      <c r="J237" s="314"/>
      <c r="M237" s="350"/>
      <c r="P237" s="225"/>
      <c r="V237" s="315"/>
      <c r="W237" s="315"/>
    </row>
    <row r="238" spans="1:24" ht="16">
      <c r="J238" s="314"/>
      <c r="M238" s="350"/>
      <c r="P238" s="225"/>
      <c r="V238" s="315"/>
      <c r="W238" s="315"/>
    </row>
    <row r="239" spans="1:24" ht="16">
      <c r="J239" s="314"/>
      <c r="M239" s="350"/>
      <c r="P239" s="225"/>
      <c r="V239" s="315"/>
      <c r="W239" s="315"/>
    </row>
    <row r="240" spans="1:24" ht="16">
      <c r="J240" s="314"/>
      <c r="M240" s="350"/>
      <c r="P240" s="225"/>
      <c r="V240" s="315"/>
      <c r="W240" s="315"/>
    </row>
    <row r="241" spans="10:23" ht="16">
      <c r="J241" s="314"/>
      <c r="M241" s="350"/>
      <c r="P241" s="225"/>
      <c r="V241" s="315"/>
      <c r="W241" s="315"/>
    </row>
    <row r="242" spans="10:23" ht="16">
      <c r="J242" s="314"/>
      <c r="M242" s="350"/>
      <c r="P242" s="225"/>
      <c r="V242" s="315"/>
      <c r="W242" s="315"/>
    </row>
    <row r="243" spans="10:23" ht="16">
      <c r="J243" s="314"/>
      <c r="M243" s="350"/>
      <c r="P243" s="225"/>
      <c r="V243" s="315"/>
      <c r="W243" s="315"/>
    </row>
    <row r="244" spans="10:23" ht="16">
      <c r="J244" s="314"/>
      <c r="M244" s="350"/>
      <c r="P244" s="225"/>
      <c r="V244" s="315"/>
      <c r="W244" s="315"/>
    </row>
    <row r="245" spans="10:23" ht="16">
      <c r="J245" s="314"/>
      <c r="M245" s="350"/>
      <c r="P245" s="225"/>
      <c r="V245" s="315"/>
      <c r="W245" s="315"/>
    </row>
    <row r="246" spans="10:23" ht="16">
      <c r="J246" s="314"/>
      <c r="M246" s="350"/>
      <c r="P246" s="225"/>
      <c r="V246" s="315"/>
      <c r="W246" s="315"/>
    </row>
    <row r="247" spans="10:23" ht="16">
      <c r="J247" s="314"/>
      <c r="M247" s="350"/>
      <c r="P247" s="225"/>
      <c r="V247" s="315"/>
      <c r="W247" s="315"/>
    </row>
    <row r="248" spans="10:23" ht="16">
      <c r="J248" s="314"/>
      <c r="M248" s="350"/>
      <c r="P248" s="225"/>
      <c r="V248" s="315"/>
      <c r="W248" s="315"/>
    </row>
    <row r="249" spans="10:23" ht="16">
      <c r="J249" s="314"/>
      <c r="M249" s="350"/>
      <c r="P249" s="225"/>
      <c r="V249" s="315"/>
      <c r="W249" s="315"/>
    </row>
    <row r="250" spans="10:23" ht="16">
      <c r="J250" s="314"/>
      <c r="M250" s="350"/>
      <c r="P250" s="225"/>
      <c r="V250" s="315"/>
      <c r="W250" s="315"/>
    </row>
    <row r="251" spans="10:23" ht="16">
      <c r="J251" s="314"/>
      <c r="M251" s="350"/>
      <c r="P251" s="225"/>
      <c r="V251" s="315"/>
      <c r="W251" s="315"/>
    </row>
    <row r="252" spans="10:23" ht="16">
      <c r="J252" s="314"/>
      <c r="M252" s="350"/>
      <c r="P252" s="225"/>
      <c r="V252" s="315"/>
      <c r="W252" s="315"/>
    </row>
    <row r="253" spans="10:23" ht="16">
      <c r="J253" s="314"/>
      <c r="M253" s="350"/>
      <c r="P253" s="225"/>
      <c r="V253" s="315"/>
      <c r="W253" s="315"/>
    </row>
    <row r="254" spans="10:23" ht="16">
      <c r="J254" s="314"/>
      <c r="M254" s="350"/>
      <c r="P254" s="225"/>
      <c r="V254" s="315"/>
      <c r="W254" s="315"/>
    </row>
    <row r="255" spans="10:23" ht="16">
      <c r="J255" s="314"/>
      <c r="M255" s="350"/>
      <c r="P255" s="225"/>
      <c r="V255" s="315"/>
      <c r="W255" s="315"/>
    </row>
    <row r="256" spans="10:23" ht="16">
      <c r="J256" s="314"/>
      <c r="M256" s="350"/>
      <c r="P256" s="225"/>
      <c r="V256" s="315"/>
      <c r="W256" s="315"/>
    </row>
    <row r="257" spans="10:23" ht="16">
      <c r="J257" s="314"/>
      <c r="M257" s="350"/>
      <c r="P257" s="225"/>
      <c r="V257" s="315"/>
      <c r="W257" s="315"/>
    </row>
    <row r="258" spans="10:23" ht="16">
      <c r="J258" s="314"/>
      <c r="M258" s="350"/>
      <c r="P258" s="225"/>
      <c r="V258" s="315"/>
      <c r="W258" s="315"/>
    </row>
    <row r="259" spans="10:23" ht="16">
      <c r="J259" s="314"/>
      <c r="M259" s="350"/>
      <c r="P259" s="225"/>
      <c r="V259" s="315"/>
      <c r="W259" s="315"/>
    </row>
    <row r="260" spans="10:23" ht="16">
      <c r="J260" s="314"/>
      <c r="M260" s="350"/>
      <c r="P260" s="225"/>
      <c r="V260" s="315"/>
      <c r="W260" s="315"/>
    </row>
    <row r="261" spans="10:23" ht="16">
      <c r="J261" s="314"/>
      <c r="M261" s="350"/>
      <c r="P261" s="225"/>
      <c r="V261" s="315"/>
      <c r="W261" s="315"/>
    </row>
    <row r="262" spans="10:23" ht="16">
      <c r="J262" s="314"/>
      <c r="M262" s="350"/>
      <c r="P262" s="225"/>
      <c r="V262" s="315"/>
      <c r="W262" s="315"/>
    </row>
    <row r="263" spans="10:23" ht="16">
      <c r="J263" s="314"/>
      <c r="M263" s="350"/>
      <c r="P263" s="225"/>
      <c r="V263" s="315"/>
      <c r="W263" s="315"/>
    </row>
    <row r="264" spans="10:23" ht="16">
      <c r="J264" s="314"/>
      <c r="M264" s="350"/>
      <c r="P264" s="225"/>
      <c r="V264" s="315"/>
      <c r="W264" s="315"/>
    </row>
    <row r="265" spans="10:23" ht="16">
      <c r="J265" s="314"/>
      <c r="M265" s="350"/>
      <c r="P265" s="225"/>
      <c r="V265" s="315"/>
      <c r="W265" s="315"/>
    </row>
    <row r="266" spans="10:23" ht="16">
      <c r="J266" s="314"/>
      <c r="M266" s="350"/>
      <c r="P266" s="225"/>
      <c r="V266" s="315"/>
      <c r="W266" s="315"/>
    </row>
    <row r="267" spans="10:23" ht="16">
      <c r="J267" s="314"/>
      <c r="M267" s="350"/>
      <c r="P267" s="225"/>
      <c r="V267" s="315"/>
      <c r="W267" s="315"/>
    </row>
    <row r="268" spans="10:23" ht="16">
      <c r="J268" s="314"/>
      <c r="M268" s="350"/>
      <c r="P268" s="225"/>
      <c r="V268" s="315"/>
      <c r="W268" s="315"/>
    </row>
    <row r="269" spans="10:23" ht="16">
      <c r="J269" s="314"/>
      <c r="M269" s="350"/>
      <c r="P269" s="225"/>
      <c r="V269" s="315"/>
      <c r="W269" s="315"/>
    </row>
    <row r="270" spans="10:23" ht="16">
      <c r="J270" s="314"/>
      <c r="M270" s="350"/>
      <c r="P270" s="225"/>
      <c r="V270" s="315"/>
      <c r="W270" s="315"/>
    </row>
    <row r="271" spans="10:23" ht="16">
      <c r="J271" s="314"/>
      <c r="M271" s="350"/>
      <c r="P271" s="225"/>
      <c r="V271" s="315"/>
      <c r="W271" s="315"/>
    </row>
    <row r="272" spans="10:23" ht="16">
      <c r="J272" s="314"/>
      <c r="M272" s="350"/>
      <c r="P272" s="225"/>
      <c r="V272" s="315"/>
      <c r="W272" s="315"/>
    </row>
    <row r="273" spans="10:23" ht="16">
      <c r="J273" s="314"/>
      <c r="M273" s="350"/>
      <c r="P273" s="225"/>
      <c r="V273" s="315"/>
      <c r="W273" s="315"/>
    </row>
    <row r="274" spans="10:23" ht="16">
      <c r="J274" s="314"/>
      <c r="M274" s="350"/>
      <c r="P274" s="225"/>
      <c r="V274" s="315"/>
      <c r="W274" s="315"/>
    </row>
    <row r="275" spans="10:23" ht="16">
      <c r="J275" s="314"/>
      <c r="M275" s="350"/>
      <c r="P275" s="225"/>
      <c r="V275" s="315"/>
      <c r="W275" s="315"/>
    </row>
    <row r="276" spans="10:23" ht="16">
      <c r="J276" s="314"/>
      <c r="M276" s="350"/>
      <c r="P276" s="225"/>
      <c r="V276" s="315"/>
      <c r="W276" s="315"/>
    </row>
    <row r="277" spans="10:23" ht="16">
      <c r="J277" s="314"/>
      <c r="M277" s="350"/>
      <c r="P277" s="225"/>
      <c r="V277" s="315"/>
      <c r="W277" s="315"/>
    </row>
    <row r="278" spans="10:23" ht="16">
      <c r="J278" s="314"/>
      <c r="M278" s="350"/>
      <c r="P278" s="225"/>
      <c r="V278" s="315"/>
      <c r="W278" s="315"/>
    </row>
    <row r="279" spans="10:23" ht="16">
      <c r="J279" s="314"/>
      <c r="M279" s="350"/>
      <c r="P279" s="225"/>
      <c r="V279" s="315"/>
      <c r="W279" s="315"/>
    </row>
    <row r="280" spans="10:23" ht="16">
      <c r="J280" s="314"/>
      <c r="M280" s="350"/>
      <c r="P280" s="225"/>
      <c r="V280" s="315"/>
      <c r="W280" s="315"/>
    </row>
    <row r="281" spans="10:23" ht="16">
      <c r="J281" s="314"/>
      <c r="M281" s="350"/>
      <c r="P281" s="225"/>
      <c r="V281" s="315"/>
      <c r="W281" s="315"/>
    </row>
    <row r="282" spans="10:23" ht="16">
      <c r="J282" s="314"/>
      <c r="M282" s="350"/>
      <c r="P282" s="225"/>
      <c r="V282" s="315"/>
      <c r="W282" s="315"/>
    </row>
    <row r="283" spans="10:23" ht="16">
      <c r="J283" s="314"/>
      <c r="M283" s="350"/>
      <c r="P283" s="225"/>
      <c r="V283" s="315"/>
      <c r="W283" s="315"/>
    </row>
    <row r="284" spans="10:23" ht="16">
      <c r="J284" s="314"/>
      <c r="M284" s="350"/>
      <c r="P284" s="225"/>
      <c r="V284" s="315"/>
      <c r="W284" s="315"/>
    </row>
    <row r="285" spans="10:23" ht="16">
      <c r="J285" s="314"/>
      <c r="M285" s="350"/>
      <c r="P285" s="225"/>
      <c r="V285" s="315"/>
      <c r="W285" s="315"/>
    </row>
    <row r="286" spans="10:23" ht="16">
      <c r="J286" s="314"/>
      <c r="M286" s="350"/>
      <c r="P286" s="225"/>
      <c r="V286" s="315"/>
      <c r="W286" s="315"/>
    </row>
    <row r="287" spans="10:23" ht="16">
      <c r="J287" s="314"/>
      <c r="M287" s="350"/>
      <c r="P287" s="225"/>
      <c r="V287" s="315"/>
      <c r="W287" s="315"/>
    </row>
    <row r="288" spans="10:23" ht="16">
      <c r="J288" s="314"/>
      <c r="M288" s="350"/>
      <c r="P288" s="225"/>
      <c r="V288" s="315"/>
      <c r="W288" s="315"/>
    </row>
    <row r="289" spans="10:23" ht="16">
      <c r="J289" s="314"/>
      <c r="M289" s="350"/>
      <c r="P289" s="225"/>
      <c r="V289" s="315"/>
      <c r="W289" s="315"/>
    </row>
    <row r="290" spans="10:23" ht="16">
      <c r="J290" s="314"/>
      <c r="M290" s="350"/>
      <c r="P290" s="225"/>
      <c r="V290" s="315"/>
      <c r="W290" s="315"/>
    </row>
    <row r="291" spans="10:23" ht="16">
      <c r="J291" s="314"/>
      <c r="M291" s="350"/>
      <c r="P291" s="225"/>
      <c r="V291" s="315"/>
      <c r="W291" s="315"/>
    </row>
    <row r="292" spans="10:23" ht="16">
      <c r="J292" s="314"/>
      <c r="M292" s="350"/>
      <c r="P292" s="225"/>
      <c r="V292" s="315"/>
      <c r="W292" s="315"/>
    </row>
    <row r="293" spans="10:23" ht="16">
      <c r="J293" s="314"/>
      <c r="M293" s="350"/>
      <c r="P293" s="225"/>
      <c r="V293" s="315"/>
      <c r="W293" s="315"/>
    </row>
    <row r="294" spans="10:23" ht="16">
      <c r="J294" s="314"/>
      <c r="M294" s="350"/>
      <c r="P294" s="225"/>
      <c r="V294" s="315"/>
      <c r="W294" s="315"/>
    </row>
    <row r="295" spans="10:23" ht="16">
      <c r="J295" s="314"/>
      <c r="M295" s="350"/>
      <c r="P295" s="225"/>
      <c r="V295" s="315"/>
      <c r="W295" s="315"/>
    </row>
    <row r="296" spans="10:23" ht="16">
      <c r="J296" s="314"/>
      <c r="M296" s="350"/>
      <c r="P296" s="225"/>
      <c r="V296" s="315"/>
      <c r="W296" s="315"/>
    </row>
    <row r="297" spans="10:23" ht="16">
      <c r="J297" s="314"/>
      <c r="M297" s="350"/>
      <c r="P297" s="225"/>
      <c r="V297" s="315"/>
      <c r="W297" s="315"/>
    </row>
    <row r="298" spans="10:23" ht="16">
      <c r="J298" s="314"/>
      <c r="M298" s="350"/>
      <c r="P298" s="225"/>
      <c r="V298" s="315"/>
      <c r="W298" s="315"/>
    </row>
    <row r="299" spans="10:23" ht="16">
      <c r="J299" s="314"/>
      <c r="M299" s="350"/>
      <c r="P299" s="225"/>
      <c r="V299" s="315"/>
      <c r="W299" s="315"/>
    </row>
    <row r="300" spans="10:23" ht="16">
      <c r="J300" s="314"/>
      <c r="M300" s="350"/>
      <c r="P300" s="225"/>
      <c r="V300" s="315"/>
      <c r="W300" s="315"/>
    </row>
    <row r="301" spans="10:23" ht="16">
      <c r="J301" s="314"/>
      <c r="M301" s="350"/>
      <c r="P301" s="225"/>
      <c r="V301" s="315"/>
      <c r="W301" s="315"/>
    </row>
    <row r="302" spans="10:23" ht="16">
      <c r="J302" s="314"/>
      <c r="M302" s="350"/>
      <c r="P302" s="225"/>
      <c r="V302" s="315"/>
      <c r="W302" s="315"/>
    </row>
    <row r="303" spans="10:23" ht="16">
      <c r="J303" s="314"/>
      <c r="M303" s="350"/>
      <c r="P303" s="225"/>
      <c r="V303" s="315"/>
      <c r="W303" s="315"/>
    </row>
    <row r="304" spans="10:23" ht="16">
      <c r="J304" s="314"/>
      <c r="M304" s="350"/>
      <c r="P304" s="225"/>
      <c r="V304" s="315"/>
      <c r="W304" s="315"/>
    </row>
    <row r="305" spans="10:23" ht="16">
      <c r="J305" s="314"/>
      <c r="M305" s="350"/>
      <c r="P305" s="225"/>
      <c r="V305" s="315"/>
      <c r="W305" s="315"/>
    </row>
    <row r="306" spans="10:23" ht="16">
      <c r="J306" s="314"/>
      <c r="M306" s="350"/>
      <c r="P306" s="225"/>
      <c r="V306" s="315"/>
      <c r="W306" s="315"/>
    </row>
    <row r="307" spans="10:23" ht="16">
      <c r="J307" s="314"/>
      <c r="M307" s="350"/>
      <c r="P307" s="225"/>
      <c r="V307" s="315"/>
      <c r="W307" s="315"/>
    </row>
    <row r="308" spans="10:23" ht="16">
      <c r="J308" s="314"/>
      <c r="M308" s="350"/>
      <c r="P308" s="225"/>
      <c r="V308" s="315"/>
      <c r="W308" s="315"/>
    </row>
    <row r="309" spans="10:23" ht="16">
      <c r="J309" s="314"/>
      <c r="M309" s="350"/>
      <c r="P309" s="225"/>
      <c r="V309" s="315"/>
      <c r="W309" s="315"/>
    </row>
    <row r="310" spans="10:23" ht="16">
      <c r="J310" s="314"/>
      <c r="M310" s="350"/>
      <c r="P310" s="225"/>
      <c r="V310" s="315"/>
      <c r="W310" s="315"/>
    </row>
    <row r="311" spans="10:23" ht="16">
      <c r="J311" s="314"/>
      <c r="M311" s="350"/>
      <c r="P311" s="225"/>
      <c r="V311" s="315"/>
      <c r="W311" s="315"/>
    </row>
    <row r="312" spans="10:23" ht="16">
      <c r="J312" s="314"/>
      <c r="M312" s="350"/>
      <c r="P312" s="225"/>
      <c r="V312" s="315"/>
      <c r="W312" s="315"/>
    </row>
    <row r="313" spans="10:23" ht="16">
      <c r="J313" s="314"/>
      <c r="M313" s="350"/>
      <c r="P313" s="225"/>
      <c r="V313" s="315"/>
      <c r="W313" s="315"/>
    </row>
    <row r="314" spans="10:23" ht="16">
      <c r="J314" s="314"/>
      <c r="M314" s="350"/>
      <c r="P314" s="225"/>
      <c r="V314" s="315"/>
      <c r="W314" s="315"/>
    </row>
    <row r="315" spans="10:23" ht="16">
      <c r="J315" s="314"/>
      <c r="M315" s="350"/>
      <c r="P315" s="225"/>
      <c r="V315" s="315"/>
      <c r="W315" s="315"/>
    </row>
    <row r="316" spans="10:23" ht="16">
      <c r="J316" s="314"/>
      <c r="M316" s="350"/>
      <c r="P316" s="225"/>
      <c r="V316" s="315"/>
      <c r="W316" s="315"/>
    </row>
    <row r="317" spans="10:23" ht="16">
      <c r="J317" s="314"/>
      <c r="M317" s="350"/>
      <c r="P317" s="225"/>
      <c r="V317" s="315"/>
      <c r="W317" s="315"/>
    </row>
    <row r="318" spans="10:23" ht="16">
      <c r="J318" s="314"/>
      <c r="M318" s="350"/>
      <c r="P318" s="225"/>
      <c r="V318" s="315"/>
      <c r="W318" s="315"/>
    </row>
    <row r="319" spans="10:23" ht="16">
      <c r="J319" s="314"/>
      <c r="M319" s="350"/>
      <c r="P319" s="225"/>
      <c r="V319" s="315"/>
      <c r="W319" s="315"/>
    </row>
    <row r="320" spans="10:23" ht="16">
      <c r="J320" s="314"/>
      <c r="M320" s="350"/>
      <c r="P320" s="225"/>
      <c r="V320" s="315"/>
      <c r="W320" s="315"/>
    </row>
    <row r="321" spans="10:23" ht="16">
      <c r="J321" s="314"/>
      <c r="M321" s="350"/>
      <c r="P321" s="225"/>
      <c r="V321" s="315"/>
      <c r="W321" s="315"/>
    </row>
    <row r="322" spans="10:23" ht="16">
      <c r="J322" s="314"/>
      <c r="M322" s="350"/>
      <c r="P322" s="225"/>
      <c r="V322" s="315"/>
      <c r="W322" s="315"/>
    </row>
    <row r="323" spans="10:23" ht="16">
      <c r="J323" s="314"/>
      <c r="M323" s="350"/>
      <c r="P323" s="225"/>
      <c r="V323" s="315"/>
      <c r="W323" s="315"/>
    </row>
    <row r="324" spans="10:23" ht="16">
      <c r="J324" s="314"/>
      <c r="M324" s="350"/>
      <c r="P324" s="225"/>
      <c r="V324" s="315"/>
      <c r="W324" s="315"/>
    </row>
    <row r="325" spans="10:23" ht="16">
      <c r="J325" s="314"/>
      <c r="M325" s="350"/>
      <c r="P325" s="225"/>
      <c r="V325" s="315"/>
      <c r="W325" s="315"/>
    </row>
    <row r="326" spans="10:23" ht="16">
      <c r="J326" s="314"/>
      <c r="M326" s="350"/>
      <c r="P326" s="225"/>
      <c r="V326" s="315"/>
      <c r="W326" s="315"/>
    </row>
    <row r="327" spans="10:23" ht="16">
      <c r="J327" s="314"/>
      <c r="M327" s="350"/>
      <c r="P327" s="225"/>
      <c r="V327" s="315"/>
      <c r="W327" s="315"/>
    </row>
    <row r="328" spans="10:23" ht="16">
      <c r="J328" s="314"/>
      <c r="M328" s="350"/>
      <c r="P328" s="225"/>
      <c r="V328" s="315"/>
      <c r="W328" s="315"/>
    </row>
    <row r="329" spans="10:23" ht="16">
      <c r="J329" s="314"/>
      <c r="M329" s="350"/>
      <c r="P329" s="225"/>
      <c r="V329" s="315"/>
      <c r="W329" s="315"/>
    </row>
    <row r="330" spans="10:23" ht="16">
      <c r="J330" s="314"/>
      <c r="M330" s="350"/>
      <c r="P330" s="225"/>
      <c r="V330" s="315"/>
      <c r="W330" s="315"/>
    </row>
    <row r="331" spans="10:23" ht="16">
      <c r="J331" s="314"/>
      <c r="M331" s="350"/>
      <c r="P331" s="225"/>
      <c r="V331" s="315"/>
      <c r="W331" s="315"/>
    </row>
    <row r="332" spans="10:23" ht="16">
      <c r="J332" s="314"/>
      <c r="M332" s="350"/>
      <c r="P332" s="225"/>
      <c r="V332" s="315"/>
      <c r="W332" s="315"/>
    </row>
    <row r="333" spans="10:23" ht="16">
      <c r="J333" s="314"/>
      <c r="M333" s="350"/>
      <c r="P333" s="225"/>
      <c r="V333" s="315"/>
      <c r="W333" s="315"/>
    </row>
    <row r="334" spans="10:23" ht="16">
      <c r="J334" s="314"/>
      <c r="M334" s="350"/>
      <c r="P334" s="225"/>
      <c r="V334" s="315"/>
      <c r="W334" s="315"/>
    </row>
    <row r="335" spans="10:23" ht="16">
      <c r="J335" s="314"/>
      <c r="M335" s="350"/>
      <c r="P335" s="225"/>
      <c r="V335" s="315"/>
      <c r="W335" s="315"/>
    </row>
    <row r="336" spans="10:23" ht="16">
      <c r="J336" s="314"/>
      <c r="M336" s="350"/>
      <c r="P336" s="225"/>
      <c r="V336" s="315"/>
      <c r="W336" s="315"/>
    </row>
    <row r="337" spans="10:23" ht="16">
      <c r="J337" s="314"/>
      <c r="M337" s="350"/>
      <c r="P337" s="225"/>
      <c r="V337" s="315"/>
      <c r="W337" s="315"/>
    </row>
    <row r="338" spans="10:23" ht="16">
      <c r="J338" s="314"/>
      <c r="M338" s="350"/>
      <c r="P338" s="225"/>
      <c r="V338" s="315"/>
      <c r="W338" s="315"/>
    </row>
    <row r="339" spans="10:23" ht="16">
      <c r="J339" s="314"/>
      <c r="M339" s="350"/>
      <c r="P339" s="225"/>
      <c r="V339" s="315"/>
      <c r="W339" s="315"/>
    </row>
    <row r="340" spans="10:23" ht="16">
      <c r="J340" s="314"/>
      <c r="M340" s="350"/>
      <c r="P340" s="225"/>
      <c r="V340" s="315"/>
      <c r="W340" s="315"/>
    </row>
    <row r="341" spans="10:23" ht="16">
      <c r="J341" s="314"/>
      <c r="M341" s="350"/>
      <c r="P341" s="225"/>
      <c r="V341" s="315"/>
      <c r="W341" s="315"/>
    </row>
    <row r="342" spans="10:23" ht="16">
      <c r="J342" s="314"/>
      <c r="M342" s="350"/>
      <c r="P342" s="225"/>
      <c r="V342" s="315"/>
      <c r="W342" s="315"/>
    </row>
    <row r="343" spans="10:23" ht="16">
      <c r="J343" s="314"/>
      <c r="M343" s="350"/>
      <c r="P343" s="225"/>
      <c r="V343" s="315"/>
      <c r="W343" s="315"/>
    </row>
    <row r="344" spans="10:23" ht="16">
      <c r="J344" s="314"/>
      <c r="M344" s="350"/>
      <c r="P344" s="225"/>
      <c r="V344" s="315"/>
      <c r="W344" s="315"/>
    </row>
    <row r="345" spans="10:23" ht="16">
      <c r="J345" s="314"/>
      <c r="M345" s="350"/>
      <c r="P345" s="225"/>
      <c r="V345" s="315"/>
      <c r="W345" s="315"/>
    </row>
    <row r="346" spans="10:23" ht="16">
      <c r="J346" s="314"/>
      <c r="M346" s="350"/>
      <c r="P346" s="225"/>
      <c r="V346" s="315"/>
      <c r="W346" s="315"/>
    </row>
    <row r="347" spans="10:23" ht="16">
      <c r="J347" s="314"/>
      <c r="M347" s="350"/>
      <c r="P347" s="225"/>
      <c r="V347" s="315"/>
      <c r="W347" s="315"/>
    </row>
    <row r="348" spans="10:23" ht="16">
      <c r="J348" s="314"/>
      <c r="M348" s="350"/>
      <c r="P348" s="225"/>
      <c r="V348" s="315"/>
      <c r="W348" s="315"/>
    </row>
    <row r="349" spans="10:23" ht="16">
      <c r="J349" s="314"/>
      <c r="M349" s="350"/>
      <c r="P349" s="225"/>
      <c r="V349" s="315"/>
      <c r="W349" s="315"/>
    </row>
    <row r="350" spans="10:23" ht="16">
      <c r="J350" s="314"/>
      <c r="M350" s="350"/>
      <c r="P350" s="225"/>
      <c r="V350" s="315"/>
      <c r="W350" s="315"/>
    </row>
    <row r="351" spans="10:23" ht="16">
      <c r="J351" s="314"/>
      <c r="M351" s="350"/>
      <c r="P351" s="225"/>
      <c r="V351" s="315"/>
      <c r="W351" s="315"/>
    </row>
    <row r="352" spans="10:23" ht="16">
      <c r="J352" s="314"/>
      <c r="M352" s="350"/>
      <c r="P352" s="225"/>
      <c r="V352" s="315"/>
      <c r="W352" s="315"/>
    </row>
    <row r="353" spans="10:23" ht="16">
      <c r="J353" s="314"/>
      <c r="M353" s="350"/>
      <c r="P353" s="225"/>
      <c r="V353" s="315"/>
      <c r="W353" s="315"/>
    </row>
    <row r="354" spans="10:23" ht="16">
      <c r="J354" s="314"/>
      <c r="M354" s="350"/>
      <c r="P354" s="225"/>
      <c r="V354" s="315"/>
      <c r="W354" s="315"/>
    </row>
    <row r="355" spans="10:23" ht="16">
      <c r="J355" s="314"/>
      <c r="M355" s="350"/>
      <c r="P355" s="225"/>
      <c r="V355" s="315"/>
      <c r="W355" s="315"/>
    </row>
    <row r="356" spans="10:23" ht="16">
      <c r="J356" s="314"/>
      <c r="M356" s="350"/>
      <c r="P356" s="225"/>
      <c r="V356" s="315"/>
      <c r="W356" s="315"/>
    </row>
    <row r="357" spans="10:23" ht="16">
      <c r="J357" s="314"/>
      <c r="M357" s="350"/>
      <c r="P357" s="225"/>
      <c r="V357" s="315"/>
      <c r="W357" s="315"/>
    </row>
    <row r="358" spans="10:23" ht="16">
      <c r="J358" s="314"/>
      <c r="M358" s="350"/>
      <c r="P358" s="225"/>
      <c r="V358" s="315"/>
      <c r="W358" s="315"/>
    </row>
    <row r="359" spans="10:23" ht="16">
      <c r="J359" s="314"/>
      <c r="M359" s="350"/>
      <c r="P359" s="225"/>
      <c r="V359" s="315"/>
      <c r="W359" s="315"/>
    </row>
    <row r="360" spans="10:23" ht="16">
      <c r="J360" s="314"/>
      <c r="M360" s="350"/>
      <c r="P360" s="225"/>
      <c r="V360" s="315"/>
      <c r="W360" s="315"/>
    </row>
    <row r="361" spans="10:23" ht="16">
      <c r="J361" s="314"/>
      <c r="M361" s="350"/>
      <c r="P361" s="225"/>
      <c r="V361" s="315"/>
      <c r="W361" s="315"/>
    </row>
    <row r="362" spans="10:23" ht="16">
      <c r="J362" s="314"/>
      <c r="M362" s="350"/>
      <c r="P362" s="225"/>
      <c r="V362" s="315"/>
      <c r="W362" s="315"/>
    </row>
    <row r="363" spans="10:23" ht="16">
      <c r="J363" s="314"/>
      <c r="M363" s="350"/>
      <c r="P363" s="225"/>
      <c r="V363" s="315"/>
      <c r="W363" s="315"/>
    </row>
    <row r="364" spans="10:23" ht="16">
      <c r="J364" s="314"/>
      <c r="M364" s="350"/>
      <c r="P364" s="225"/>
      <c r="V364" s="315"/>
      <c r="W364" s="315"/>
    </row>
    <row r="365" spans="10:23" ht="16">
      <c r="J365" s="314"/>
      <c r="M365" s="350"/>
      <c r="P365" s="225"/>
      <c r="V365" s="315"/>
      <c r="W365" s="315"/>
    </row>
    <row r="366" spans="10:23" ht="16">
      <c r="J366" s="314"/>
      <c r="M366" s="350"/>
      <c r="P366" s="225"/>
      <c r="V366" s="315"/>
      <c r="W366" s="315"/>
    </row>
    <row r="367" spans="10:23" ht="16">
      <c r="J367" s="314"/>
      <c r="M367" s="350"/>
      <c r="P367" s="225"/>
      <c r="V367" s="315"/>
      <c r="W367" s="315"/>
    </row>
    <row r="368" spans="10:23" ht="16">
      <c r="J368" s="314"/>
      <c r="M368" s="350"/>
      <c r="P368" s="225"/>
      <c r="V368" s="315"/>
      <c r="W368" s="315"/>
    </row>
    <row r="369" spans="10:23" ht="16">
      <c r="J369" s="314"/>
      <c r="M369" s="350"/>
      <c r="P369" s="225"/>
      <c r="V369" s="315"/>
      <c r="W369" s="315"/>
    </row>
    <row r="370" spans="10:23" ht="16">
      <c r="J370" s="314"/>
      <c r="M370" s="350"/>
      <c r="P370" s="225"/>
      <c r="V370" s="315"/>
      <c r="W370" s="315"/>
    </row>
    <row r="371" spans="10:23" ht="16">
      <c r="J371" s="314"/>
      <c r="M371" s="350"/>
      <c r="P371" s="225"/>
      <c r="V371" s="315"/>
      <c r="W371" s="315"/>
    </row>
    <row r="372" spans="10:23" ht="16">
      <c r="J372" s="314"/>
      <c r="M372" s="350"/>
      <c r="P372" s="225"/>
      <c r="V372" s="315"/>
      <c r="W372" s="315"/>
    </row>
    <row r="373" spans="10:23" ht="16">
      <c r="J373" s="314"/>
      <c r="M373" s="350"/>
      <c r="P373" s="225"/>
      <c r="V373" s="315"/>
      <c r="W373" s="315"/>
    </row>
    <row r="374" spans="10:23" ht="16">
      <c r="J374" s="314"/>
      <c r="M374" s="350"/>
      <c r="P374" s="225"/>
      <c r="V374" s="315"/>
      <c r="W374" s="315"/>
    </row>
    <row r="375" spans="10:23" ht="16">
      <c r="J375" s="314"/>
      <c r="M375" s="350"/>
      <c r="P375" s="225"/>
      <c r="V375" s="315"/>
      <c r="W375" s="315"/>
    </row>
    <row r="376" spans="10:23" ht="16">
      <c r="J376" s="314"/>
      <c r="M376" s="350"/>
      <c r="P376" s="225"/>
      <c r="V376" s="315"/>
      <c r="W376" s="315"/>
    </row>
    <row r="377" spans="10:23" ht="16">
      <c r="J377" s="314"/>
      <c r="M377" s="350"/>
      <c r="P377" s="225"/>
      <c r="V377" s="315"/>
      <c r="W377" s="315"/>
    </row>
    <row r="378" spans="10:23" ht="16">
      <c r="J378" s="314"/>
      <c r="M378" s="350"/>
      <c r="P378" s="225"/>
      <c r="V378" s="315"/>
      <c r="W378" s="315"/>
    </row>
    <row r="379" spans="10:23" ht="16">
      <c r="J379" s="314"/>
      <c r="M379" s="350"/>
      <c r="P379" s="225"/>
      <c r="V379" s="315"/>
      <c r="W379" s="315"/>
    </row>
    <row r="380" spans="10:23" ht="16">
      <c r="J380" s="314"/>
      <c r="M380" s="350"/>
      <c r="P380" s="225"/>
      <c r="V380" s="315"/>
      <c r="W380" s="315"/>
    </row>
    <row r="381" spans="10:23" ht="16">
      <c r="J381" s="314"/>
      <c r="M381" s="350"/>
      <c r="P381" s="225"/>
      <c r="V381" s="315"/>
      <c r="W381" s="315"/>
    </row>
    <row r="382" spans="10:23" ht="16">
      <c r="J382" s="314"/>
      <c r="M382" s="350"/>
      <c r="P382" s="225"/>
      <c r="V382" s="315"/>
      <c r="W382" s="315"/>
    </row>
    <row r="383" spans="10:23" ht="16">
      <c r="J383" s="314"/>
      <c r="M383" s="350"/>
      <c r="P383" s="225"/>
      <c r="V383" s="315"/>
      <c r="W383" s="315"/>
    </row>
    <row r="384" spans="10:23" ht="16">
      <c r="J384" s="314"/>
      <c r="M384" s="350"/>
      <c r="P384" s="225"/>
      <c r="V384" s="315"/>
      <c r="W384" s="315"/>
    </row>
    <row r="385" spans="10:23" ht="16">
      <c r="J385" s="314"/>
      <c r="M385" s="350"/>
      <c r="P385" s="225"/>
      <c r="V385" s="315"/>
      <c r="W385" s="315"/>
    </row>
    <row r="386" spans="10:23" ht="16">
      <c r="J386" s="314"/>
      <c r="M386" s="350"/>
      <c r="P386" s="225"/>
      <c r="V386" s="315"/>
      <c r="W386" s="315"/>
    </row>
    <row r="387" spans="10:23" ht="16">
      <c r="J387" s="314"/>
      <c r="M387" s="350"/>
      <c r="P387" s="225"/>
      <c r="V387" s="315"/>
      <c r="W387" s="315"/>
    </row>
    <row r="388" spans="10:23" ht="16">
      <c r="J388" s="314"/>
      <c r="M388" s="350"/>
      <c r="P388" s="225"/>
      <c r="V388" s="315"/>
      <c r="W388" s="315"/>
    </row>
    <row r="389" spans="10:23" ht="16">
      <c r="J389" s="314"/>
      <c r="M389" s="350"/>
      <c r="P389" s="225"/>
      <c r="V389" s="315"/>
      <c r="W389" s="315"/>
    </row>
    <row r="390" spans="10:23" ht="16">
      <c r="J390" s="314"/>
      <c r="M390" s="350"/>
      <c r="P390" s="225"/>
      <c r="V390" s="315"/>
      <c r="W390" s="315"/>
    </row>
    <row r="391" spans="10:23" ht="16">
      <c r="J391" s="314"/>
      <c r="M391" s="350"/>
      <c r="P391" s="225"/>
      <c r="V391" s="315"/>
      <c r="W391" s="315"/>
    </row>
    <row r="392" spans="10:23" ht="16">
      <c r="J392" s="314"/>
      <c r="M392" s="350"/>
      <c r="P392" s="225"/>
      <c r="V392" s="315"/>
      <c r="W392" s="315"/>
    </row>
    <row r="393" spans="10:23" ht="16">
      <c r="J393" s="314"/>
      <c r="M393" s="350"/>
      <c r="P393" s="225"/>
      <c r="V393" s="315"/>
      <c r="W393" s="315"/>
    </row>
    <row r="394" spans="10:23" ht="16">
      <c r="J394" s="314"/>
      <c r="M394" s="350"/>
      <c r="P394" s="225"/>
      <c r="V394" s="315"/>
      <c r="W394" s="315"/>
    </row>
    <row r="395" spans="10:23" ht="16">
      <c r="J395" s="314"/>
      <c r="M395" s="350"/>
      <c r="P395" s="225"/>
      <c r="V395" s="315"/>
      <c r="W395" s="315"/>
    </row>
    <row r="396" spans="10:23" ht="16">
      <c r="J396" s="314"/>
      <c r="M396" s="350"/>
      <c r="P396" s="225"/>
      <c r="V396" s="315"/>
      <c r="W396" s="315"/>
    </row>
    <row r="397" spans="10:23" ht="16">
      <c r="J397" s="314"/>
      <c r="M397" s="350"/>
      <c r="P397" s="225"/>
      <c r="V397" s="315"/>
      <c r="W397" s="315"/>
    </row>
    <row r="398" spans="10:23" ht="16">
      <c r="J398" s="314"/>
      <c r="M398" s="350"/>
      <c r="P398" s="225"/>
      <c r="V398" s="315"/>
      <c r="W398" s="315"/>
    </row>
    <row r="399" spans="10:23" ht="16">
      <c r="J399" s="314"/>
      <c r="M399" s="350"/>
      <c r="P399" s="225"/>
      <c r="V399" s="315"/>
      <c r="W399" s="315"/>
    </row>
    <row r="400" spans="10:23" ht="16">
      <c r="J400" s="314"/>
      <c r="M400" s="350"/>
      <c r="P400" s="225"/>
      <c r="V400" s="315"/>
      <c r="W400" s="315"/>
    </row>
    <row r="401" spans="10:23" ht="16">
      <c r="J401" s="314"/>
      <c r="M401" s="350"/>
      <c r="P401" s="225"/>
      <c r="V401" s="315"/>
      <c r="W401" s="315"/>
    </row>
    <row r="402" spans="10:23" ht="16">
      <c r="J402" s="314"/>
      <c r="M402" s="350"/>
      <c r="P402" s="225"/>
      <c r="V402" s="315"/>
      <c r="W402" s="315"/>
    </row>
    <row r="403" spans="10:23" ht="16">
      <c r="J403" s="314"/>
      <c r="M403" s="350"/>
      <c r="P403" s="225"/>
      <c r="V403" s="315"/>
      <c r="W403" s="315"/>
    </row>
    <row r="404" spans="10:23" ht="16">
      <c r="J404" s="314"/>
      <c r="M404" s="350"/>
      <c r="P404" s="225"/>
      <c r="V404" s="315"/>
      <c r="W404" s="315"/>
    </row>
    <row r="405" spans="10:23" ht="16">
      <c r="J405" s="314"/>
      <c r="M405" s="350"/>
      <c r="P405" s="225"/>
      <c r="V405" s="315"/>
      <c r="W405" s="315"/>
    </row>
    <row r="406" spans="10:23" ht="16">
      <c r="J406" s="314"/>
      <c r="M406" s="350"/>
      <c r="P406" s="225"/>
      <c r="V406" s="315"/>
      <c r="W406" s="315"/>
    </row>
    <row r="407" spans="10:23" ht="16">
      <c r="J407" s="314"/>
      <c r="M407" s="350"/>
      <c r="P407" s="225"/>
      <c r="V407" s="315"/>
      <c r="W407" s="315"/>
    </row>
    <row r="408" spans="10:23" ht="16">
      <c r="J408" s="314"/>
      <c r="M408" s="350"/>
      <c r="P408" s="225"/>
      <c r="V408" s="315"/>
      <c r="W408" s="315"/>
    </row>
    <row r="409" spans="10:23" ht="16">
      <c r="J409" s="314"/>
      <c r="M409" s="350"/>
      <c r="P409" s="225"/>
      <c r="V409" s="315"/>
      <c r="W409" s="315"/>
    </row>
    <row r="410" spans="10:23" ht="16">
      <c r="J410" s="314"/>
      <c r="M410" s="350"/>
      <c r="P410" s="225"/>
      <c r="V410" s="315"/>
      <c r="W410" s="315"/>
    </row>
    <row r="411" spans="10:23" ht="16">
      <c r="J411" s="314"/>
      <c r="M411" s="350"/>
      <c r="P411" s="225"/>
      <c r="V411" s="315"/>
      <c r="W411" s="315"/>
    </row>
    <row r="412" spans="10:23" ht="16">
      <c r="J412" s="314"/>
      <c r="M412" s="350"/>
      <c r="P412" s="225"/>
      <c r="V412" s="315"/>
      <c r="W412" s="315"/>
    </row>
    <row r="413" spans="10:23" ht="16">
      <c r="J413" s="314"/>
      <c r="M413" s="350"/>
      <c r="P413" s="225"/>
      <c r="V413" s="315"/>
      <c r="W413" s="315"/>
    </row>
    <row r="414" spans="10:23" ht="16">
      <c r="J414" s="314"/>
      <c r="M414" s="350"/>
      <c r="P414" s="225"/>
      <c r="V414" s="315"/>
      <c r="W414" s="315"/>
    </row>
    <row r="415" spans="10:23" ht="16">
      <c r="J415" s="314"/>
      <c r="M415" s="350"/>
      <c r="P415" s="225"/>
      <c r="V415" s="315"/>
      <c r="W415" s="315"/>
    </row>
    <row r="416" spans="10:23" ht="16">
      <c r="J416" s="314"/>
      <c r="M416" s="350"/>
      <c r="P416" s="225"/>
      <c r="V416" s="315"/>
      <c r="W416" s="315"/>
    </row>
    <row r="417" spans="10:23" ht="16">
      <c r="J417" s="314"/>
      <c r="M417" s="350"/>
      <c r="P417" s="225"/>
      <c r="V417" s="315"/>
      <c r="W417" s="315"/>
    </row>
    <row r="418" spans="10:23" ht="16">
      <c r="J418" s="314"/>
      <c r="M418" s="350"/>
      <c r="P418" s="225"/>
      <c r="V418" s="315"/>
      <c r="W418" s="315"/>
    </row>
    <row r="419" spans="10:23" ht="16">
      <c r="J419" s="314"/>
      <c r="M419" s="350"/>
      <c r="P419" s="225"/>
      <c r="V419" s="315"/>
      <c r="W419" s="315"/>
    </row>
    <row r="420" spans="10:23" ht="16">
      <c r="J420" s="314"/>
      <c r="M420" s="350"/>
      <c r="P420" s="225"/>
      <c r="V420" s="315"/>
      <c r="W420" s="315"/>
    </row>
    <row r="421" spans="10:23" ht="16">
      <c r="J421" s="314"/>
      <c r="M421" s="350"/>
      <c r="P421" s="225"/>
      <c r="V421" s="315"/>
      <c r="W421" s="315"/>
    </row>
    <row r="422" spans="10:23" ht="16">
      <c r="J422" s="314"/>
      <c r="M422" s="350"/>
      <c r="P422" s="225"/>
      <c r="V422" s="315"/>
      <c r="W422" s="315"/>
    </row>
    <row r="423" spans="10:23" ht="16">
      <c r="J423" s="314"/>
      <c r="M423" s="350"/>
      <c r="P423" s="225"/>
      <c r="V423" s="315"/>
      <c r="W423" s="315"/>
    </row>
    <row r="424" spans="10:23" ht="16">
      <c r="J424" s="314"/>
      <c r="M424" s="350"/>
      <c r="P424" s="225"/>
      <c r="V424" s="315"/>
      <c r="W424" s="315"/>
    </row>
    <row r="425" spans="10:23" ht="16">
      <c r="J425" s="314"/>
      <c r="M425" s="350"/>
      <c r="P425" s="225"/>
      <c r="V425" s="315"/>
      <c r="W425" s="315"/>
    </row>
    <row r="426" spans="10:23" ht="16">
      <c r="J426" s="314"/>
      <c r="M426" s="350"/>
      <c r="P426" s="225"/>
      <c r="V426" s="315"/>
      <c r="W426" s="315"/>
    </row>
    <row r="427" spans="10:23" ht="16">
      <c r="J427" s="314"/>
      <c r="M427" s="350"/>
      <c r="P427" s="225"/>
      <c r="V427" s="315"/>
      <c r="W427" s="315"/>
    </row>
    <row r="428" spans="10:23" ht="16">
      <c r="J428" s="314"/>
      <c r="M428" s="350"/>
      <c r="P428" s="225"/>
      <c r="V428" s="315"/>
      <c r="W428" s="315"/>
    </row>
    <row r="429" spans="10:23" ht="16">
      <c r="J429" s="314"/>
      <c r="M429" s="350"/>
      <c r="P429" s="225"/>
      <c r="V429" s="315"/>
      <c r="W429" s="315"/>
    </row>
    <row r="430" spans="10:23" ht="16">
      <c r="J430" s="314"/>
      <c r="M430" s="350"/>
      <c r="P430" s="225"/>
      <c r="V430" s="315"/>
      <c r="W430" s="315"/>
    </row>
    <row r="431" spans="10:23" ht="16">
      <c r="J431" s="314"/>
      <c r="M431" s="350"/>
      <c r="P431" s="225"/>
      <c r="V431" s="315"/>
      <c r="W431" s="315"/>
    </row>
    <row r="432" spans="10:23" ht="16">
      <c r="J432" s="314"/>
      <c r="M432" s="350"/>
      <c r="P432" s="225"/>
      <c r="V432" s="315"/>
      <c r="W432" s="315"/>
    </row>
    <row r="433" spans="10:23" ht="16">
      <c r="J433" s="314"/>
      <c r="M433" s="350"/>
      <c r="P433" s="225"/>
      <c r="V433" s="315"/>
      <c r="W433" s="315"/>
    </row>
    <row r="434" spans="10:23" ht="16">
      <c r="J434" s="314"/>
      <c r="M434" s="350"/>
      <c r="P434" s="225"/>
      <c r="V434" s="315"/>
      <c r="W434" s="315"/>
    </row>
    <row r="435" spans="10:23" ht="16">
      <c r="J435" s="314"/>
      <c r="M435" s="350"/>
      <c r="P435" s="225"/>
      <c r="V435" s="315"/>
      <c r="W435" s="315"/>
    </row>
    <row r="436" spans="10:23" ht="16">
      <c r="J436" s="314"/>
      <c r="M436" s="350"/>
      <c r="P436" s="225"/>
      <c r="V436" s="315"/>
      <c r="W436" s="315"/>
    </row>
    <row r="437" spans="10:23" ht="16">
      <c r="J437" s="314"/>
      <c r="M437" s="350"/>
      <c r="P437" s="225"/>
      <c r="V437" s="315"/>
      <c r="W437" s="315"/>
    </row>
    <row r="438" spans="10:23" ht="16">
      <c r="J438" s="314"/>
      <c r="M438" s="350"/>
      <c r="P438" s="225"/>
      <c r="V438" s="315"/>
      <c r="W438" s="315"/>
    </row>
    <row r="439" spans="10:23" ht="16">
      <c r="J439" s="314"/>
      <c r="M439" s="350"/>
      <c r="P439" s="225"/>
      <c r="V439" s="315"/>
      <c r="W439" s="315"/>
    </row>
    <row r="440" spans="10:23" ht="16">
      <c r="J440" s="314"/>
      <c r="M440" s="350"/>
      <c r="P440" s="225"/>
      <c r="V440" s="315"/>
      <c r="W440" s="315"/>
    </row>
    <row r="441" spans="10:23" ht="16">
      <c r="J441" s="314"/>
      <c r="M441" s="350"/>
      <c r="P441" s="225"/>
      <c r="V441" s="315"/>
      <c r="W441" s="315"/>
    </row>
    <row r="442" spans="10:23" ht="16">
      <c r="J442" s="314"/>
      <c r="M442" s="350"/>
      <c r="P442" s="225"/>
      <c r="V442" s="315"/>
      <c r="W442" s="315"/>
    </row>
    <row r="443" spans="10:23" ht="16">
      <c r="J443" s="314"/>
      <c r="M443" s="350"/>
      <c r="P443" s="225"/>
      <c r="V443" s="315"/>
      <c r="W443" s="315"/>
    </row>
    <row r="444" spans="10:23" ht="16">
      <c r="J444" s="314"/>
      <c r="M444" s="350"/>
      <c r="P444" s="225"/>
      <c r="V444" s="315"/>
      <c r="W444" s="315"/>
    </row>
    <row r="445" spans="10:23" ht="16">
      <c r="J445" s="314"/>
      <c r="M445" s="350"/>
      <c r="P445" s="225"/>
      <c r="V445" s="315"/>
      <c r="W445" s="315"/>
    </row>
    <row r="446" spans="10:23" ht="16">
      <c r="J446" s="314"/>
      <c r="M446" s="350"/>
      <c r="P446" s="225"/>
      <c r="V446" s="315"/>
      <c r="W446" s="315"/>
    </row>
    <row r="447" spans="10:23" ht="16">
      <c r="J447" s="314"/>
      <c r="M447" s="350"/>
      <c r="P447" s="225"/>
      <c r="V447" s="315"/>
      <c r="W447" s="315"/>
    </row>
    <row r="448" spans="10:23" ht="16">
      <c r="J448" s="314"/>
      <c r="M448" s="350"/>
      <c r="P448" s="225"/>
      <c r="V448" s="315"/>
      <c r="W448" s="315"/>
    </row>
    <row r="449" spans="10:23" ht="16">
      <c r="J449" s="314"/>
      <c r="M449" s="350"/>
      <c r="P449" s="225"/>
      <c r="V449" s="315"/>
      <c r="W449" s="315"/>
    </row>
    <row r="450" spans="10:23" ht="16">
      <c r="J450" s="314"/>
      <c r="M450" s="350"/>
      <c r="P450" s="225"/>
      <c r="V450" s="315"/>
      <c r="W450" s="315"/>
    </row>
    <row r="451" spans="10:23" ht="16">
      <c r="J451" s="314"/>
      <c r="M451" s="350"/>
      <c r="P451" s="225"/>
      <c r="V451" s="315"/>
      <c r="W451" s="315"/>
    </row>
    <row r="452" spans="10:23" ht="16">
      <c r="J452" s="314"/>
      <c r="M452" s="350"/>
      <c r="P452" s="225"/>
      <c r="V452" s="315"/>
      <c r="W452" s="315"/>
    </row>
    <row r="453" spans="10:23" ht="16">
      <c r="J453" s="314"/>
      <c r="M453" s="350"/>
      <c r="P453" s="225"/>
      <c r="V453" s="315"/>
      <c r="W453" s="315"/>
    </row>
    <row r="454" spans="10:23" ht="16">
      <c r="J454" s="314"/>
      <c r="M454" s="350"/>
      <c r="P454" s="225"/>
      <c r="V454" s="315"/>
      <c r="W454" s="315"/>
    </row>
    <row r="455" spans="10:23" ht="16">
      <c r="J455" s="314"/>
      <c r="M455" s="350"/>
      <c r="P455" s="225"/>
      <c r="V455" s="315"/>
      <c r="W455" s="315"/>
    </row>
    <row r="456" spans="10:23" ht="16">
      <c r="J456" s="314"/>
      <c r="M456" s="350"/>
      <c r="P456" s="225"/>
      <c r="V456" s="315"/>
      <c r="W456" s="315"/>
    </row>
    <row r="457" spans="10:23" ht="16">
      <c r="J457" s="314"/>
      <c r="M457" s="350"/>
      <c r="P457" s="225"/>
      <c r="V457" s="315"/>
      <c r="W457" s="315"/>
    </row>
    <row r="458" spans="10:23" ht="16">
      <c r="J458" s="314"/>
      <c r="M458" s="350"/>
      <c r="P458" s="225"/>
      <c r="V458" s="315"/>
      <c r="W458" s="315"/>
    </row>
    <row r="459" spans="10:23" ht="16">
      <c r="J459" s="314"/>
      <c r="M459" s="350"/>
      <c r="P459" s="225"/>
      <c r="V459" s="315"/>
      <c r="W459" s="315"/>
    </row>
    <row r="460" spans="10:23" ht="16">
      <c r="J460" s="314"/>
      <c r="M460" s="350"/>
      <c r="P460" s="225"/>
      <c r="V460" s="315"/>
      <c r="W460" s="315"/>
    </row>
    <row r="461" spans="10:23" ht="16">
      <c r="J461" s="314"/>
      <c r="M461" s="350"/>
      <c r="P461" s="225"/>
      <c r="V461" s="315"/>
      <c r="W461" s="315"/>
    </row>
    <row r="462" spans="10:23" ht="16">
      <c r="J462" s="314"/>
      <c r="M462" s="350"/>
      <c r="P462" s="225"/>
      <c r="V462" s="315"/>
      <c r="W462" s="315"/>
    </row>
    <row r="463" spans="10:23" ht="16">
      <c r="J463" s="314"/>
      <c r="M463" s="350"/>
      <c r="P463" s="225"/>
      <c r="V463" s="315"/>
      <c r="W463" s="315"/>
    </row>
    <row r="464" spans="10:23" ht="16">
      <c r="J464" s="314"/>
      <c r="M464" s="350"/>
      <c r="P464" s="225"/>
      <c r="V464" s="315"/>
      <c r="W464" s="315"/>
    </row>
    <row r="465" spans="10:23" ht="16">
      <c r="J465" s="314"/>
      <c r="M465" s="350"/>
      <c r="P465" s="225"/>
      <c r="V465" s="315"/>
      <c r="W465" s="315"/>
    </row>
    <row r="466" spans="10:23" ht="16">
      <c r="J466" s="314"/>
      <c r="M466" s="350"/>
      <c r="P466" s="225"/>
      <c r="V466" s="315"/>
      <c r="W466" s="315"/>
    </row>
    <row r="467" spans="10:23" ht="16">
      <c r="J467" s="314"/>
      <c r="M467" s="350"/>
      <c r="P467" s="225"/>
      <c r="V467" s="315"/>
      <c r="W467" s="315"/>
    </row>
    <row r="468" spans="10:23" ht="16">
      <c r="J468" s="314"/>
      <c r="M468" s="350"/>
      <c r="P468" s="225"/>
      <c r="V468" s="315"/>
      <c r="W468" s="315"/>
    </row>
    <row r="469" spans="10:23" ht="16">
      <c r="J469" s="314"/>
      <c r="M469" s="350"/>
      <c r="P469" s="225"/>
      <c r="V469" s="315"/>
      <c r="W469" s="315"/>
    </row>
    <row r="470" spans="10:23" ht="16">
      <c r="J470" s="314"/>
      <c r="M470" s="350"/>
      <c r="P470" s="225"/>
      <c r="V470" s="315"/>
      <c r="W470" s="315"/>
    </row>
    <row r="471" spans="10:23" ht="16">
      <c r="J471" s="314"/>
      <c r="M471" s="350"/>
      <c r="P471" s="225"/>
      <c r="V471" s="315"/>
      <c r="W471" s="315"/>
    </row>
    <row r="472" spans="10:23" ht="16">
      <c r="J472" s="314"/>
      <c r="M472" s="350"/>
      <c r="P472" s="225"/>
      <c r="V472" s="315"/>
      <c r="W472" s="315"/>
    </row>
    <row r="473" spans="10:23" ht="16">
      <c r="J473" s="314"/>
      <c r="M473" s="350"/>
      <c r="P473" s="225"/>
      <c r="V473" s="315"/>
      <c r="W473" s="315"/>
    </row>
    <row r="474" spans="10:23" ht="16">
      <c r="J474" s="314"/>
      <c r="M474" s="350"/>
      <c r="P474" s="225"/>
      <c r="V474" s="315"/>
      <c r="W474" s="315"/>
    </row>
    <row r="475" spans="10:23" ht="16">
      <c r="J475" s="314"/>
      <c r="M475" s="350"/>
      <c r="P475" s="225"/>
      <c r="V475" s="315"/>
      <c r="W475" s="315"/>
    </row>
    <row r="476" spans="10:23" ht="16">
      <c r="J476" s="314"/>
      <c r="M476" s="350"/>
      <c r="P476" s="225"/>
      <c r="V476" s="315"/>
      <c r="W476" s="315"/>
    </row>
    <row r="477" spans="10:23" ht="16">
      <c r="J477" s="314"/>
      <c r="M477" s="350"/>
      <c r="P477" s="225"/>
      <c r="V477" s="315"/>
      <c r="W477" s="315"/>
    </row>
    <row r="478" spans="10:23" ht="16">
      <c r="J478" s="314"/>
      <c r="M478" s="350"/>
      <c r="P478" s="225"/>
      <c r="V478" s="315"/>
      <c r="W478" s="315"/>
    </row>
    <row r="479" spans="10:23" ht="16">
      <c r="J479" s="314"/>
      <c r="M479" s="350"/>
      <c r="P479" s="225"/>
      <c r="V479" s="315"/>
      <c r="W479" s="315"/>
    </row>
    <row r="480" spans="10:23" ht="16">
      <c r="J480" s="314"/>
      <c r="M480" s="350"/>
      <c r="P480" s="225"/>
      <c r="V480" s="315"/>
      <c r="W480" s="315"/>
    </row>
    <row r="481" spans="10:23" ht="16">
      <c r="J481" s="314"/>
      <c r="M481" s="350"/>
      <c r="P481" s="225"/>
      <c r="V481" s="315"/>
      <c r="W481" s="315"/>
    </row>
    <row r="482" spans="10:23" ht="16">
      <c r="J482" s="314"/>
      <c r="M482" s="350"/>
      <c r="P482" s="225"/>
      <c r="V482" s="315"/>
      <c r="W482" s="315"/>
    </row>
    <row r="483" spans="10:23" ht="16">
      <c r="J483" s="314"/>
      <c r="M483" s="350"/>
      <c r="P483" s="225"/>
      <c r="V483" s="315"/>
      <c r="W483" s="315"/>
    </row>
    <row r="484" spans="10:23" ht="16">
      <c r="J484" s="314"/>
      <c r="M484" s="350"/>
      <c r="P484" s="225"/>
      <c r="V484" s="315"/>
      <c r="W484" s="315"/>
    </row>
    <row r="485" spans="10:23" ht="16">
      <c r="J485" s="314"/>
      <c r="M485" s="350"/>
      <c r="P485" s="225"/>
      <c r="V485" s="315"/>
      <c r="W485" s="315"/>
    </row>
    <row r="486" spans="10:23" ht="16">
      <c r="J486" s="314"/>
      <c r="M486" s="350"/>
      <c r="P486" s="225"/>
      <c r="V486" s="315"/>
      <c r="W486" s="315"/>
    </row>
    <row r="487" spans="10:23" ht="16">
      <c r="J487" s="314"/>
      <c r="M487" s="350"/>
      <c r="P487" s="225"/>
      <c r="V487" s="315"/>
      <c r="W487" s="315"/>
    </row>
    <row r="488" spans="10:23" ht="16">
      <c r="J488" s="314"/>
      <c r="M488" s="350"/>
      <c r="P488" s="225"/>
      <c r="V488" s="315"/>
      <c r="W488" s="315"/>
    </row>
    <row r="489" spans="10:23" ht="16">
      <c r="J489" s="314"/>
      <c r="M489" s="350"/>
      <c r="P489" s="225"/>
      <c r="V489" s="315"/>
      <c r="W489" s="315"/>
    </row>
    <row r="490" spans="10:23" ht="16">
      <c r="J490" s="314"/>
      <c r="M490" s="350"/>
      <c r="P490" s="225"/>
      <c r="V490" s="315"/>
      <c r="W490" s="315"/>
    </row>
    <row r="491" spans="10:23" ht="16">
      <c r="J491" s="314"/>
      <c r="M491" s="350"/>
      <c r="P491" s="225"/>
      <c r="V491" s="315"/>
      <c r="W491" s="315"/>
    </row>
    <row r="492" spans="10:23" ht="16">
      <c r="J492" s="314"/>
      <c r="M492" s="350"/>
      <c r="P492" s="225"/>
      <c r="V492" s="315"/>
      <c r="W492" s="315"/>
    </row>
    <row r="493" spans="10:23" ht="16">
      <c r="J493" s="314"/>
      <c r="M493" s="350"/>
      <c r="P493" s="225"/>
      <c r="V493" s="315"/>
      <c r="W493" s="315"/>
    </row>
    <row r="494" spans="10:23" ht="16">
      <c r="J494" s="314"/>
      <c r="M494" s="350"/>
      <c r="P494" s="225"/>
      <c r="V494" s="315"/>
      <c r="W494" s="315"/>
    </row>
    <row r="495" spans="10:23" ht="16">
      <c r="J495" s="314"/>
      <c r="M495" s="350"/>
      <c r="P495" s="225"/>
      <c r="V495" s="315"/>
      <c r="W495" s="315"/>
    </row>
    <row r="496" spans="10:23" ht="16">
      <c r="J496" s="314"/>
      <c r="M496" s="350"/>
      <c r="P496" s="225"/>
      <c r="V496" s="315"/>
      <c r="W496" s="315"/>
    </row>
    <row r="497" spans="10:23" ht="16">
      <c r="J497" s="314"/>
      <c r="M497" s="350"/>
      <c r="P497" s="225"/>
      <c r="V497" s="315"/>
      <c r="W497" s="315"/>
    </row>
    <row r="498" spans="10:23" ht="16">
      <c r="J498" s="314"/>
      <c r="M498" s="350"/>
      <c r="P498" s="225"/>
      <c r="V498" s="315"/>
      <c r="W498" s="315"/>
    </row>
    <row r="499" spans="10:23" ht="16">
      <c r="J499" s="314"/>
      <c r="M499" s="350"/>
      <c r="P499" s="225"/>
      <c r="V499" s="315"/>
      <c r="W499" s="315"/>
    </row>
    <row r="500" spans="10:23" ht="16">
      <c r="J500" s="314"/>
      <c r="M500" s="350"/>
      <c r="P500" s="225"/>
      <c r="V500" s="315"/>
      <c r="W500" s="315"/>
    </row>
    <row r="501" spans="10:23" ht="16">
      <c r="J501" s="314"/>
      <c r="M501" s="350"/>
      <c r="P501" s="225"/>
      <c r="V501" s="315"/>
      <c r="W501" s="315"/>
    </row>
    <row r="502" spans="10:23" ht="16">
      <c r="J502" s="314"/>
      <c r="M502" s="350"/>
      <c r="P502" s="225"/>
      <c r="V502" s="315"/>
      <c r="W502" s="315"/>
    </row>
    <row r="503" spans="10:23" ht="16">
      <c r="J503" s="314"/>
      <c r="M503" s="350"/>
      <c r="P503" s="225"/>
      <c r="V503" s="315"/>
      <c r="W503" s="315"/>
    </row>
    <row r="504" spans="10:23" ht="16">
      <c r="J504" s="314"/>
      <c r="M504" s="350"/>
      <c r="P504" s="225"/>
      <c r="V504" s="315"/>
      <c r="W504" s="315"/>
    </row>
    <row r="505" spans="10:23" ht="16">
      <c r="J505" s="314"/>
      <c r="M505" s="350"/>
      <c r="P505" s="225"/>
      <c r="V505" s="315"/>
      <c r="W505" s="315"/>
    </row>
    <row r="506" spans="10:23" ht="16">
      <c r="J506" s="314"/>
      <c r="M506" s="350"/>
      <c r="P506" s="225"/>
      <c r="V506" s="315"/>
      <c r="W506" s="315"/>
    </row>
    <row r="507" spans="10:23" ht="16">
      <c r="J507" s="314"/>
      <c r="M507" s="350"/>
      <c r="P507" s="225"/>
      <c r="V507" s="315"/>
      <c r="W507" s="315"/>
    </row>
    <row r="508" spans="10:23" ht="16">
      <c r="J508" s="314"/>
      <c r="M508" s="350"/>
      <c r="P508" s="225"/>
      <c r="V508" s="315"/>
      <c r="W508" s="315"/>
    </row>
    <row r="509" spans="10:23" ht="16">
      <c r="J509" s="314"/>
      <c r="M509" s="350"/>
      <c r="P509" s="225"/>
      <c r="V509" s="315"/>
      <c r="W509" s="315"/>
    </row>
    <row r="510" spans="10:23" ht="16">
      <c r="J510" s="314"/>
      <c r="M510" s="350"/>
      <c r="P510" s="225"/>
      <c r="V510" s="315"/>
      <c r="W510" s="315"/>
    </row>
    <row r="511" spans="10:23" ht="16">
      <c r="J511" s="314"/>
      <c r="M511" s="350"/>
      <c r="P511" s="225"/>
      <c r="V511" s="315"/>
      <c r="W511" s="315"/>
    </row>
    <row r="512" spans="10:23" ht="16">
      <c r="J512" s="314"/>
      <c r="M512" s="350"/>
      <c r="P512" s="225"/>
      <c r="V512" s="315"/>
      <c r="W512" s="315"/>
    </row>
    <row r="513" spans="10:23" ht="16">
      <c r="J513" s="314"/>
      <c r="M513" s="350"/>
      <c r="P513" s="225"/>
      <c r="V513" s="315"/>
      <c r="W513" s="315"/>
    </row>
    <row r="514" spans="10:23" ht="16">
      <c r="J514" s="314"/>
      <c r="M514" s="350"/>
      <c r="P514" s="225"/>
      <c r="V514" s="315"/>
      <c r="W514" s="315"/>
    </row>
    <row r="515" spans="10:23" ht="16">
      <c r="J515" s="314"/>
      <c r="M515" s="350"/>
      <c r="P515" s="225"/>
      <c r="V515" s="315"/>
      <c r="W515" s="315"/>
    </row>
    <row r="516" spans="10:23" ht="16">
      <c r="J516" s="314"/>
      <c r="M516" s="350"/>
      <c r="P516" s="225"/>
      <c r="V516" s="315"/>
      <c r="W516" s="315"/>
    </row>
    <row r="517" spans="10:23" ht="16">
      <c r="J517" s="314"/>
      <c r="M517" s="350"/>
      <c r="P517" s="225"/>
      <c r="V517" s="315"/>
      <c r="W517" s="315"/>
    </row>
    <row r="518" spans="10:23" ht="16">
      <c r="J518" s="314"/>
      <c r="M518" s="350"/>
      <c r="P518" s="225"/>
      <c r="V518" s="315"/>
      <c r="W518" s="315"/>
    </row>
    <row r="519" spans="10:23" ht="16">
      <c r="J519" s="314"/>
      <c r="M519" s="350"/>
      <c r="P519" s="225"/>
      <c r="V519" s="315"/>
      <c r="W519" s="315"/>
    </row>
    <row r="520" spans="10:23" ht="16">
      <c r="J520" s="314"/>
      <c r="M520" s="350"/>
      <c r="P520" s="225"/>
      <c r="V520" s="315"/>
      <c r="W520" s="315"/>
    </row>
    <row r="521" spans="10:23" ht="16">
      <c r="J521" s="314"/>
      <c r="M521" s="350"/>
      <c r="P521" s="225"/>
      <c r="V521" s="315"/>
      <c r="W521" s="315"/>
    </row>
    <row r="522" spans="10:23" ht="16">
      <c r="J522" s="314"/>
      <c r="M522" s="350"/>
      <c r="P522" s="225"/>
      <c r="V522" s="315"/>
      <c r="W522" s="315"/>
    </row>
    <row r="523" spans="10:23" ht="16">
      <c r="J523" s="314"/>
      <c r="M523" s="350"/>
      <c r="P523" s="225"/>
      <c r="V523" s="315"/>
      <c r="W523" s="315"/>
    </row>
    <row r="524" spans="10:23" ht="16">
      <c r="J524" s="314"/>
      <c r="M524" s="350"/>
      <c r="P524" s="225"/>
      <c r="V524" s="315"/>
      <c r="W524" s="315"/>
    </row>
    <row r="525" spans="10:23" ht="16">
      <c r="J525" s="314"/>
      <c r="M525" s="350"/>
      <c r="P525" s="225"/>
      <c r="V525" s="315"/>
      <c r="W525" s="315"/>
    </row>
    <row r="526" spans="10:23" ht="16">
      <c r="J526" s="314"/>
      <c r="M526" s="350"/>
      <c r="P526" s="225"/>
      <c r="V526" s="315"/>
      <c r="W526" s="315"/>
    </row>
    <row r="527" spans="10:23" ht="16">
      <c r="J527" s="314"/>
      <c r="M527" s="350"/>
      <c r="P527" s="225"/>
      <c r="V527" s="315"/>
      <c r="W527" s="315"/>
    </row>
    <row r="528" spans="10:23" ht="16">
      <c r="J528" s="314"/>
      <c r="M528" s="350"/>
      <c r="P528" s="225"/>
      <c r="V528" s="315"/>
      <c r="W528" s="315"/>
    </row>
    <row r="529" spans="10:23" ht="16">
      <c r="J529" s="314"/>
      <c r="M529" s="350"/>
      <c r="P529" s="225"/>
      <c r="V529" s="315"/>
      <c r="W529" s="315"/>
    </row>
    <row r="530" spans="10:23" ht="16">
      <c r="J530" s="314"/>
      <c r="M530" s="350"/>
      <c r="P530" s="225"/>
      <c r="V530" s="315"/>
      <c r="W530" s="315"/>
    </row>
    <row r="531" spans="10:23" ht="16">
      <c r="J531" s="314"/>
      <c r="M531" s="350"/>
      <c r="P531" s="225"/>
      <c r="V531" s="315"/>
      <c r="W531" s="315"/>
    </row>
    <row r="532" spans="10:23" ht="16">
      <c r="J532" s="314"/>
      <c r="M532" s="350"/>
      <c r="P532" s="225"/>
      <c r="V532" s="315"/>
      <c r="W532" s="315"/>
    </row>
    <row r="533" spans="10:23" ht="16">
      <c r="J533" s="314"/>
      <c r="M533" s="350"/>
      <c r="P533" s="225"/>
      <c r="V533" s="315"/>
      <c r="W533" s="315"/>
    </row>
    <row r="534" spans="10:23" ht="16">
      <c r="J534" s="314"/>
      <c r="M534" s="350"/>
      <c r="P534" s="225"/>
      <c r="V534" s="315"/>
      <c r="W534" s="315"/>
    </row>
    <row r="535" spans="10:23" ht="16">
      <c r="J535" s="314"/>
      <c r="M535" s="350"/>
      <c r="P535" s="225"/>
      <c r="V535" s="315"/>
      <c r="W535" s="315"/>
    </row>
    <row r="536" spans="10:23" ht="16">
      <c r="J536" s="314"/>
      <c r="M536" s="350"/>
      <c r="P536" s="225"/>
      <c r="V536" s="315"/>
      <c r="W536" s="315"/>
    </row>
    <row r="537" spans="10:23" ht="16">
      <c r="J537" s="314"/>
      <c r="M537" s="350"/>
      <c r="P537" s="225"/>
      <c r="V537" s="315"/>
      <c r="W537" s="315"/>
    </row>
    <row r="538" spans="10:23" ht="16">
      <c r="J538" s="314"/>
      <c r="M538" s="350"/>
      <c r="P538" s="225"/>
      <c r="V538" s="315"/>
      <c r="W538" s="315"/>
    </row>
    <row r="539" spans="10:23" ht="16">
      <c r="J539" s="314"/>
      <c r="M539" s="350"/>
      <c r="P539" s="225"/>
      <c r="V539" s="315"/>
      <c r="W539" s="315"/>
    </row>
    <row r="540" spans="10:23" ht="16">
      <c r="J540" s="314"/>
      <c r="M540" s="350"/>
      <c r="P540" s="225"/>
      <c r="V540" s="315"/>
      <c r="W540" s="315"/>
    </row>
    <row r="541" spans="10:23" ht="16">
      <c r="J541" s="314"/>
      <c r="M541" s="350"/>
      <c r="P541" s="225"/>
      <c r="V541" s="315"/>
      <c r="W541" s="315"/>
    </row>
    <row r="542" spans="10:23" ht="16">
      <c r="J542" s="314"/>
      <c r="M542" s="350"/>
      <c r="P542" s="225"/>
      <c r="V542" s="315"/>
      <c r="W542" s="315"/>
    </row>
    <row r="543" spans="10:23" ht="16">
      <c r="J543" s="314"/>
      <c r="M543" s="350"/>
      <c r="P543" s="225"/>
      <c r="V543" s="315"/>
      <c r="W543" s="315"/>
    </row>
    <row r="544" spans="10:23" ht="16">
      <c r="J544" s="314"/>
      <c r="M544" s="350"/>
      <c r="P544" s="225"/>
      <c r="V544" s="315"/>
      <c r="W544" s="315"/>
    </row>
    <row r="545" spans="10:23" ht="16">
      <c r="J545" s="314"/>
      <c r="M545" s="350"/>
      <c r="P545" s="225"/>
      <c r="V545" s="315"/>
      <c r="W545" s="315"/>
    </row>
    <row r="546" spans="10:23" ht="16">
      <c r="J546" s="314"/>
      <c r="M546" s="350"/>
      <c r="P546" s="225"/>
      <c r="V546" s="315"/>
      <c r="W546" s="315"/>
    </row>
    <row r="547" spans="10:23" ht="16">
      <c r="J547" s="314"/>
      <c r="M547" s="350"/>
      <c r="P547" s="225"/>
      <c r="V547" s="315"/>
      <c r="W547" s="315"/>
    </row>
    <row r="548" spans="10:23" ht="16">
      <c r="J548" s="314"/>
      <c r="M548" s="350"/>
      <c r="P548" s="225"/>
      <c r="V548" s="315"/>
      <c r="W548" s="315"/>
    </row>
    <row r="549" spans="10:23" ht="16">
      <c r="J549" s="314"/>
      <c r="M549" s="350"/>
      <c r="P549" s="225"/>
      <c r="V549" s="315"/>
      <c r="W549" s="315"/>
    </row>
    <row r="550" spans="10:23" ht="16">
      <c r="J550" s="314"/>
      <c r="M550" s="350"/>
      <c r="P550" s="225"/>
      <c r="V550" s="315"/>
      <c r="W550" s="315"/>
    </row>
    <row r="551" spans="10:23" ht="16">
      <c r="J551" s="314"/>
      <c r="M551" s="350"/>
      <c r="P551" s="225"/>
      <c r="V551" s="315"/>
      <c r="W551" s="315"/>
    </row>
    <row r="552" spans="10:23" ht="16">
      <c r="J552" s="314"/>
      <c r="M552" s="350"/>
      <c r="P552" s="225"/>
      <c r="V552" s="315"/>
      <c r="W552" s="315"/>
    </row>
    <row r="553" spans="10:23" ht="16">
      <c r="J553" s="314"/>
      <c r="M553" s="350"/>
      <c r="P553" s="225"/>
      <c r="V553" s="315"/>
      <c r="W553" s="315"/>
    </row>
    <row r="554" spans="10:23" ht="16">
      <c r="J554" s="314"/>
      <c r="M554" s="350"/>
      <c r="P554" s="225"/>
      <c r="V554" s="315"/>
      <c r="W554" s="315"/>
    </row>
    <row r="555" spans="10:23" ht="16">
      <c r="J555" s="314"/>
      <c r="M555" s="350"/>
      <c r="P555" s="225"/>
      <c r="V555" s="315"/>
      <c r="W555" s="315"/>
    </row>
    <row r="556" spans="10:23" ht="16">
      <c r="J556" s="314"/>
      <c r="M556" s="350"/>
      <c r="P556" s="225"/>
      <c r="V556" s="315"/>
      <c r="W556" s="315"/>
    </row>
    <row r="557" spans="10:23" ht="16">
      <c r="J557" s="314"/>
      <c r="M557" s="350"/>
      <c r="P557" s="225"/>
      <c r="V557" s="315"/>
      <c r="W557" s="315"/>
    </row>
    <row r="558" spans="10:23" ht="16">
      <c r="J558" s="314"/>
      <c r="M558" s="350"/>
      <c r="P558" s="225"/>
      <c r="V558" s="315"/>
      <c r="W558" s="315"/>
    </row>
    <row r="559" spans="10:23" ht="16">
      <c r="J559" s="314"/>
      <c r="M559" s="350"/>
      <c r="P559" s="225"/>
      <c r="V559" s="315"/>
      <c r="W559" s="315"/>
    </row>
    <row r="560" spans="10:23" ht="16">
      <c r="J560" s="314"/>
      <c r="M560" s="350"/>
      <c r="P560" s="225"/>
      <c r="V560" s="315"/>
      <c r="W560" s="315"/>
    </row>
    <row r="561" spans="10:23" ht="16">
      <c r="J561" s="314"/>
      <c r="M561" s="350"/>
      <c r="P561" s="225"/>
      <c r="V561" s="315"/>
      <c r="W561" s="315"/>
    </row>
    <row r="562" spans="10:23" ht="16">
      <c r="J562" s="314"/>
      <c r="M562" s="350"/>
      <c r="P562" s="225"/>
      <c r="V562" s="315"/>
      <c r="W562" s="315"/>
    </row>
    <row r="563" spans="10:23" ht="16">
      <c r="J563" s="314"/>
      <c r="M563" s="350"/>
      <c r="P563" s="225"/>
      <c r="V563" s="315"/>
      <c r="W563" s="315"/>
    </row>
    <row r="564" spans="10:23" ht="16">
      <c r="J564" s="314"/>
      <c r="M564" s="350"/>
      <c r="P564" s="225"/>
      <c r="V564" s="315"/>
      <c r="W564" s="315"/>
    </row>
    <row r="565" spans="10:23" ht="16">
      <c r="J565" s="314"/>
      <c r="M565" s="350"/>
      <c r="P565" s="225"/>
      <c r="V565" s="315"/>
      <c r="W565" s="315"/>
    </row>
    <row r="566" spans="10:23" ht="16">
      <c r="J566" s="314"/>
      <c r="M566" s="350"/>
      <c r="P566" s="225"/>
      <c r="V566" s="315"/>
      <c r="W566" s="315"/>
    </row>
    <row r="567" spans="10:23" ht="16">
      <c r="J567" s="314"/>
      <c r="M567" s="350"/>
      <c r="P567" s="225"/>
      <c r="V567" s="315"/>
      <c r="W567" s="315"/>
    </row>
    <row r="568" spans="10:23" ht="16">
      <c r="J568" s="314"/>
      <c r="M568" s="350"/>
      <c r="P568" s="225"/>
      <c r="V568" s="315"/>
      <c r="W568" s="315"/>
    </row>
    <row r="569" spans="10:23" ht="16">
      <c r="J569" s="314"/>
      <c r="M569" s="350"/>
      <c r="P569" s="225"/>
      <c r="V569" s="315"/>
      <c r="W569" s="315"/>
    </row>
    <row r="570" spans="10:23" ht="16">
      <c r="J570" s="314"/>
      <c r="M570" s="350"/>
      <c r="P570" s="225"/>
      <c r="V570" s="315"/>
      <c r="W570" s="315"/>
    </row>
    <row r="571" spans="10:23" ht="16">
      <c r="J571" s="314"/>
      <c r="M571" s="350"/>
      <c r="P571" s="225"/>
      <c r="V571" s="315"/>
      <c r="W571" s="315"/>
    </row>
    <row r="572" spans="10:23" ht="16">
      <c r="J572" s="314"/>
      <c r="M572" s="350"/>
      <c r="P572" s="225"/>
      <c r="V572" s="315"/>
      <c r="W572" s="315"/>
    </row>
    <row r="573" spans="10:23" ht="16">
      <c r="J573" s="314"/>
      <c r="M573" s="350"/>
      <c r="P573" s="225"/>
      <c r="V573" s="315"/>
      <c r="W573" s="315"/>
    </row>
    <row r="574" spans="10:23" ht="16">
      <c r="J574" s="314"/>
      <c r="M574" s="350"/>
      <c r="P574" s="225"/>
      <c r="V574" s="315"/>
      <c r="W574" s="315"/>
    </row>
    <row r="575" spans="10:23" ht="16">
      <c r="J575" s="314"/>
      <c r="M575" s="350"/>
      <c r="P575" s="225"/>
      <c r="V575" s="315"/>
      <c r="W575" s="315"/>
    </row>
    <row r="576" spans="10:23" ht="16">
      <c r="J576" s="314"/>
      <c r="M576" s="350"/>
      <c r="P576" s="225"/>
      <c r="V576" s="315"/>
      <c r="W576" s="315"/>
    </row>
    <row r="577" spans="10:23" ht="16">
      <c r="J577" s="314"/>
      <c r="M577" s="350"/>
      <c r="P577" s="225"/>
      <c r="V577" s="315"/>
      <c r="W577" s="315"/>
    </row>
    <row r="578" spans="10:23" ht="16">
      <c r="J578" s="314"/>
      <c r="M578" s="350"/>
      <c r="P578" s="225"/>
      <c r="V578" s="315"/>
      <c r="W578" s="315"/>
    </row>
    <row r="579" spans="10:23" ht="16">
      <c r="J579" s="314"/>
      <c r="M579" s="350"/>
      <c r="P579" s="225"/>
      <c r="V579" s="315"/>
      <c r="W579" s="315"/>
    </row>
    <row r="580" spans="10:23" ht="16">
      <c r="J580" s="314"/>
      <c r="M580" s="350"/>
      <c r="P580" s="225"/>
      <c r="V580" s="315"/>
      <c r="W580" s="315"/>
    </row>
    <row r="581" spans="10:23" ht="16">
      <c r="J581" s="314"/>
      <c r="M581" s="350"/>
      <c r="P581" s="225"/>
      <c r="V581" s="315"/>
      <c r="W581" s="315"/>
    </row>
    <row r="582" spans="10:23" ht="16">
      <c r="J582" s="314"/>
      <c r="M582" s="350"/>
      <c r="P582" s="225"/>
      <c r="V582" s="315"/>
      <c r="W582" s="315"/>
    </row>
    <row r="583" spans="10:23" ht="16">
      <c r="J583" s="314"/>
      <c r="M583" s="350"/>
      <c r="P583" s="225"/>
      <c r="V583" s="315"/>
      <c r="W583" s="315"/>
    </row>
    <row r="584" spans="10:23" ht="16">
      <c r="J584" s="314"/>
      <c r="M584" s="350"/>
      <c r="P584" s="225"/>
      <c r="V584" s="315"/>
      <c r="W584" s="315"/>
    </row>
    <row r="585" spans="10:23" ht="16">
      <c r="J585" s="314"/>
      <c r="M585" s="350"/>
      <c r="P585" s="225"/>
      <c r="V585" s="315"/>
      <c r="W585" s="315"/>
    </row>
    <row r="586" spans="10:23" ht="16">
      <c r="J586" s="314"/>
      <c r="M586" s="350"/>
      <c r="P586" s="225"/>
      <c r="V586" s="315"/>
      <c r="W586" s="315"/>
    </row>
    <row r="587" spans="10:23" ht="16">
      <c r="J587" s="314"/>
      <c r="M587" s="350"/>
      <c r="P587" s="225"/>
      <c r="V587" s="315"/>
      <c r="W587" s="315"/>
    </row>
    <row r="588" spans="10:23" ht="16">
      <c r="J588" s="314"/>
      <c r="M588" s="350"/>
      <c r="P588" s="225"/>
      <c r="V588" s="315"/>
      <c r="W588" s="315"/>
    </row>
    <row r="589" spans="10:23" ht="16">
      <c r="J589" s="314"/>
      <c r="M589" s="350"/>
      <c r="P589" s="225"/>
      <c r="V589" s="315"/>
      <c r="W589" s="315"/>
    </row>
    <row r="590" spans="10:23" ht="16">
      <c r="J590" s="314"/>
      <c r="M590" s="350"/>
      <c r="P590" s="225"/>
      <c r="V590" s="315"/>
      <c r="W590" s="315"/>
    </row>
    <row r="591" spans="10:23" ht="16">
      <c r="J591" s="314"/>
      <c r="M591" s="350"/>
      <c r="P591" s="225"/>
      <c r="V591" s="315"/>
      <c r="W591" s="315"/>
    </row>
    <row r="592" spans="10:23" ht="16">
      <c r="J592" s="314"/>
      <c r="M592" s="350"/>
      <c r="P592" s="225"/>
      <c r="V592" s="315"/>
      <c r="W592" s="315"/>
    </row>
    <row r="593" spans="10:23" ht="16">
      <c r="J593" s="314"/>
      <c r="M593" s="350"/>
      <c r="P593" s="225"/>
      <c r="V593" s="315"/>
      <c r="W593" s="315"/>
    </row>
    <row r="594" spans="10:23" ht="16">
      <c r="J594" s="314"/>
      <c r="M594" s="350"/>
      <c r="P594" s="225"/>
      <c r="V594" s="315"/>
      <c r="W594" s="315"/>
    </row>
    <row r="595" spans="10:23" ht="16">
      <c r="J595" s="314"/>
      <c r="M595" s="350"/>
      <c r="P595" s="225"/>
      <c r="V595" s="315"/>
      <c r="W595" s="315"/>
    </row>
    <row r="596" spans="10:23" ht="16">
      <c r="J596" s="314"/>
      <c r="M596" s="350"/>
      <c r="P596" s="225"/>
      <c r="V596" s="315"/>
      <c r="W596" s="315"/>
    </row>
    <row r="597" spans="10:23" ht="16">
      <c r="J597" s="314"/>
      <c r="M597" s="350"/>
      <c r="P597" s="225"/>
      <c r="V597" s="315"/>
      <c r="W597" s="315"/>
    </row>
    <row r="598" spans="10:23" ht="16">
      <c r="J598" s="314"/>
      <c r="M598" s="350"/>
      <c r="P598" s="225"/>
      <c r="V598" s="315"/>
      <c r="W598" s="315"/>
    </row>
    <row r="599" spans="10:23" ht="16">
      <c r="J599" s="314"/>
      <c r="M599" s="350"/>
      <c r="P599" s="225"/>
      <c r="V599" s="315"/>
      <c r="W599" s="315"/>
    </row>
    <row r="600" spans="10:23" ht="16">
      <c r="J600" s="314"/>
      <c r="M600" s="350"/>
      <c r="P600" s="225"/>
      <c r="V600" s="315"/>
      <c r="W600" s="315"/>
    </row>
    <row r="601" spans="10:23" ht="16">
      <c r="J601" s="314"/>
      <c r="M601" s="350"/>
      <c r="P601" s="225"/>
      <c r="V601" s="315"/>
      <c r="W601" s="315"/>
    </row>
    <row r="602" spans="10:23" ht="16">
      <c r="J602" s="314"/>
      <c r="M602" s="350"/>
      <c r="P602" s="225"/>
      <c r="V602" s="315"/>
      <c r="W602" s="315"/>
    </row>
    <row r="603" spans="10:23" ht="16">
      <c r="J603" s="314"/>
      <c r="M603" s="350"/>
      <c r="P603" s="225"/>
      <c r="V603" s="315"/>
      <c r="W603" s="315"/>
    </row>
    <row r="604" spans="10:23" ht="16">
      <c r="J604" s="314"/>
      <c r="M604" s="350"/>
      <c r="P604" s="225"/>
      <c r="V604" s="315"/>
      <c r="W604" s="315"/>
    </row>
    <row r="605" spans="10:23" ht="16">
      <c r="J605" s="314"/>
      <c r="M605" s="350"/>
      <c r="P605" s="225"/>
      <c r="V605" s="315"/>
      <c r="W605" s="315"/>
    </row>
    <row r="606" spans="10:23" ht="16">
      <c r="J606" s="314"/>
      <c r="M606" s="350"/>
      <c r="P606" s="225"/>
      <c r="V606" s="315"/>
      <c r="W606" s="315"/>
    </row>
    <row r="607" spans="10:23" ht="16">
      <c r="J607" s="314"/>
      <c r="M607" s="350"/>
      <c r="P607" s="225"/>
      <c r="V607" s="315"/>
      <c r="W607" s="315"/>
    </row>
    <row r="608" spans="10:23" ht="16">
      <c r="J608" s="314"/>
      <c r="M608" s="350"/>
      <c r="P608" s="225"/>
      <c r="V608" s="315"/>
      <c r="W608" s="315"/>
    </row>
    <row r="609" spans="10:23" ht="16">
      <c r="J609" s="314"/>
      <c r="M609" s="350"/>
      <c r="P609" s="225"/>
      <c r="V609" s="315"/>
      <c r="W609" s="315"/>
    </row>
    <row r="610" spans="10:23" ht="16">
      <c r="J610" s="314"/>
      <c r="M610" s="350"/>
      <c r="P610" s="225"/>
      <c r="V610" s="315"/>
      <c r="W610" s="315"/>
    </row>
    <row r="611" spans="10:23" ht="16">
      <c r="J611" s="314"/>
      <c r="M611" s="350"/>
      <c r="P611" s="225"/>
      <c r="V611" s="315"/>
      <c r="W611" s="315"/>
    </row>
    <row r="612" spans="10:23" ht="16">
      <c r="J612" s="314"/>
      <c r="M612" s="350"/>
      <c r="P612" s="225"/>
      <c r="V612" s="315"/>
      <c r="W612" s="315"/>
    </row>
    <row r="613" spans="10:23" ht="16">
      <c r="J613" s="314"/>
      <c r="M613" s="350"/>
      <c r="P613" s="225"/>
      <c r="V613" s="315"/>
      <c r="W613" s="315"/>
    </row>
    <row r="614" spans="10:23" ht="16">
      <c r="J614" s="314"/>
      <c r="M614" s="350"/>
      <c r="P614" s="225"/>
      <c r="V614" s="315"/>
      <c r="W614" s="315"/>
    </row>
    <row r="615" spans="10:23" ht="16">
      <c r="J615" s="314"/>
      <c r="M615" s="350"/>
      <c r="P615" s="225"/>
      <c r="V615" s="315"/>
      <c r="W615" s="315"/>
    </row>
    <row r="616" spans="10:23" ht="16">
      <c r="J616" s="314"/>
      <c r="M616" s="350"/>
      <c r="P616" s="225"/>
      <c r="V616" s="315"/>
      <c r="W616" s="315"/>
    </row>
    <row r="617" spans="10:23" ht="16">
      <c r="J617" s="314"/>
      <c r="M617" s="350"/>
      <c r="P617" s="225"/>
      <c r="V617" s="315"/>
      <c r="W617" s="315"/>
    </row>
    <row r="618" spans="10:23" ht="16">
      <c r="J618" s="314"/>
      <c r="M618" s="350"/>
      <c r="P618" s="225"/>
      <c r="V618" s="315"/>
      <c r="W618" s="315"/>
    </row>
    <row r="619" spans="10:23" ht="16">
      <c r="J619" s="314"/>
      <c r="M619" s="350"/>
      <c r="P619" s="225"/>
      <c r="V619" s="315"/>
      <c r="W619" s="315"/>
    </row>
    <row r="620" spans="10:23" ht="16">
      <c r="J620" s="314"/>
      <c r="M620" s="350"/>
      <c r="P620" s="225"/>
      <c r="V620" s="315"/>
      <c r="W620" s="315"/>
    </row>
    <row r="621" spans="10:23" ht="16">
      <c r="J621" s="314"/>
      <c r="M621" s="350"/>
      <c r="P621" s="225"/>
      <c r="V621" s="315"/>
      <c r="W621" s="315"/>
    </row>
    <row r="622" spans="10:23" ht="16">
      <c r="J622" s="314"/>
      <c r="M622" s="350"/>
      <c r="P622" s="225"/>
      <c r="V622" s="315"/>
      <c r="W622" s="315"/>
    </row>
    <row r="623" spans="10:23" ht="16">
      <c r="J623" s="314"/>
      <c r="M623" s="350"/>
      <c r="P623" s="225"/>
      <c r="V623" s="315"/>
      <c r="W623" s="315"/>
    </row>
    <row r="624" spans="10:23" ht="16">
      <c r="J624" s="314"/>
      <c r="M624" s="350"/>
      <c r="P624" s="225"/>
      <c r="V624" s="315"/>
      <c r="W624" s="315"/>
    </row>
    <row r="625" spans="10:23" ht="16">
      <c r="J625" s="314"/>
      <c r="M625" s="350"/>
      <c r="P625" s="225"/>
      <c r="V625" s="315"/>
      <c r="W625" s="315"/>
    </row>
    <row r="626" spans="10:23" ht="16">
      <c r="J626" s="314"/>
      <c r="M626" s="350"/>
      <c r="P626" s="225"/>
      <c r="V626" s="315"/>
      <c r="W626" s="315"/>
    </row>
    <row r="627" spans="10:23" ht="16">
      <c r="J627" s="314"/>
      <c r="M627" s="350"/>
      <c r="P627" s="225"/>
      <c r="V627" s="315"/>
      <c r="W627" s="315"/>
    </row>
    <row r="628" spans="10:23" ht="16">
      <c r="J628" s="314"/>
      <c r="M628" s="350"/>
      <c r="P628" s="225"/>
      <c r="V628" s="315"/>
      <c r="W628" s="315"/>
    </row>
    <row r="629" spans="10:23" ht="16">
      <c r="J629" s="314"/>
      <c r="M629" s="350"/>
      <c r="P629" s="225"/>
      <c r="V629" s="315"/>
      <c r="W629" s="315"/>
    </row>
    <row r="630" spans="10:23" ht="16">
      <c r="J630" s="314"/>
      <c r="M630" s="350"/>
      <c r="P630" s="225"/>
      <c r="V630" s="315"/>
      <c r="W630" s="315"/>
    </row>
    <row r="631" spans="10:23" ht="16">
      <c r="J631" s="314"/>
      <c r="M631" s="350"/>
      <c r="P631" s="225"/>
      <c r="V631" s="315"/>
      <c r="W631" s="315"/>
    </row>
    <row r="632" spans="10:23" ht="16">
      <c r="J632" s="314"/>
      <c r="M632" s="350"/>
      <c r="P632" s="225"/>
      <c r="V632" s="315"/>
      <c r="W632" s="315"/>
    </row>
    <row r="633" spans="10:23" ht="16">
      <c r="J633" s="314"/>
      <c r="M633" s="350"/>
      <c r="P633" s="225"/>
      <c r="V633" s="315"/>
      <c r="W633" s="315"/>
    </row>
    <row r="634" spans="10:23" ht="16">
      <c r="J634" s="314"/>
      <c r="M634" s="350"/>
      <c r="P634" s="225"/>
      <c r="V634" s="315"/>
      <c r="W634" s="315"/>
    </row>
    <row r="635" spans="10:23" ht="16">
      <c r="J635" s="314"/>
      <c r="M635" s="350"/>
      <c r="P635" s="225"/>
      <c r="V635" s="315"/>
      <c r="W635" s="315"/>
    </row>
    <row r="636" spans="10:23" ht="16">
      <c r="J636" s="314"/>
      <c r="M636" s="350"/>
      <c r="P636" s="225"/>
      <c r="V636" s="315"/>
      <c r="W636" s="315"/>
    </row>
    <row r="637" spans="10:23" ht="16">
      <c r="J637" s="314"/>
      <c r="M637" s="350"/>
      <c r="P637" s="225"/>
      <c r="V637" s="315"/>
      <c r="W637" s="315"/>
    </row>
    <row r="638" spans="10:23" ht="16">
      <c r="J638" s="314"/>
      <c r="M638" s="350"/>
      <c r="P638" s="225"/>
      <c r="V638" s="315"/>
      <c r="W638" s="315"/>
    </row>
    <row r="639" spans="10:23" ht="16">
      <c r="J639" s="314"/>
      <c r="M639" s="350"/>
      <c r="P639" s="225"/>
      <c r="V639" s="315"/>
      <c r="W639" s="315"/>
    </row>
    <row r="640" spans="10:23" ht="16">
      <c r="J640" s="314"/>
      <c r="M640" s="350"/>
      <c r="P640" s="225"/>
      <c r="V640" s="315"/>
      <c r="W640" s="315"/>
    </row>
    <row r="641" spans="10:23" ht="16">
      <c r="J641" s="314"/>
      <c r="M641" s="350"/>
      <c r="P641" s="225"/>
      <c r="V641" s="315"/>
      <c r="W641" s="315"/>
    </row>
    <row r="642" spans="10:23" ht="16">
      <c r="J642" s="314"/>
      <c r="M642" s="350"/>
      <c r="P642" s="225"/>
      <c r="V642" s="315"/>
      <c r="W642" s="315"/>
    </row>
    <row r="643" spans="10:23" ht="16">
      <c r="J643" s="314"/>
      <c r="M643" s="350"/>
      <c r="P643" s="225"/>
      <c r="V643" s="315"/>
      <c r="W643" s="315"/>
    </row>
    <row r="644" spans="10:23" ht="16">
      <c r="J644" s="314"/>
      <c r="M644" s="350"/>
      <c r="P644" s="225"/>
      <c r="V644" s="315"/>
      <c r="W644" s="315"/>
    </row>
    <row r="645" spans="10:23" ht="16">
      <c r="J645" s="314"/>
      <c r="M645" s="350"/>
      <c r="P645" s="225"/>
      <c r="V645" s="315"/>
      <c r="W645" s="315"/>
    </row>
    <row r="646" spans="10:23" ht="16">
      <c r="J646" s="314"/>
      <c r="M646" s="350"/>
      <c r="P646" s="225"/>
      <c r="V646" s="315"/>
      <c r="W646" s="315"/>
    </row>
    <row r="647" spans="10:23" ht="16">
      <c r="J647" s="314"/>
      <c r="M647" s="350"/>
      <c r="P647" s="225"/>
      <c r="V647" s="315"/>
      <c r="W647" s="315"/>
    </row>
    <row r="648" spans="10:23" ht="16">
      <c r="J648" s="314"/>
      <c r="M648" s="350"/>
      <c r="P648" s="225"/>
      <c r="V648" s="315"/>
      <c r="W648" s="315"/>
    </row>
    <row r="649" spans="10:23" ht="16">
      <c r="J649" s="314"/>
      <c r="M649" s="350"/>
      <c r="P649" s="225"/>
      <c r="V649" s="315"/>
      <c r="W649" s="315"/>
    </row>
    <row r="650" spans="10:23" ht="16">
      <c r="J650" s="314"/>
      <c r="M650" s="350"/>
      <c r="P650" s="225"/>
      <c r="V650" s="315"/>
      <c r="W650" s="315"/>
    </row>
    <row r="651" spans="10:23" ht="16">
      <c r="J651" s="314"/>
      <c r="M651" s="350"/>
      <c r="P651" s="225"/>
      <c r="V651" s="315"/>
      <c r="W651" s="315"/>
    </row>
    <row r="652" spans="10:23" ht="16">
      <c r="J652" s="314"/>
      <c r="M652" s="350"/>
      <c r="P652" s="225"/>
      <c r="V652" s="315"/>
      <c r="W652" s="315"/>
    </row>
    <row r="653" spans="10:23" ht="16">
      <c r="J653" s="314"/>
      <c r="M653" s="350"/>
      <c r="P653" s="225"/>
      <c r="V653" s="315"/>
      <c r="W653" s="315"/>
    </row>
    <row r="654" spans="10:23" ht="16">
      <c r="J654" s="314"/>
      <c r="M654" s="350"/>
      <c r="P654" s="225"/>
      <c r="V654" s="315"/>
      <c r="W654" s="315"/>
    </row>
    <row r="655" spans="10:23" ht="16">
      <c r="J655" s="314"/>
      <c r="M655" s="350"/>
      <c r="P655" s="225"/>
      <c r="V655" s="315"/>
      <c r="W655" s="315"/>
    </row>
    <row r="656" spans="10:23" ht="16">
      <c r="J656" s="314"/>
      <c r="M656" s="350"/>
      <c r="P656" s="225"/>
      <c r="V656" s="315"/>
      <c r="W656" s="315"/>
    </row>
    <row r="657" spans="10:23" ht="16">
      <c r="J657" s="314"/>
      <c r="M657" s="350"/>
      <c r="P657" s="225"/>
      <c r="V657" s="315"/>
      <c r="W657" s="315"/>
    </row>
    <row r="658" spans="10:23" ht="16">
      <c r="J658" s="314"/>
      <c r="M658" s="350"/>
      <c r="P658" s="225"/>
      <c r="V658" s="315"/>
      <c r="W658" s="315"/>
    </row>
    <row r="659" spans="10:23" ht="16">
      <c r="J659" s="314"/>
      <c r="M659" s="350"/>
      <c r="P659" s="225"/>
      <c r="V659" s="315"/>
      <c r="W659" s="315"/>
    </row>
    <row r="660" spans="10:23" ht="16">
      <c r="J660" s="314"/>
      <c r="M660" s="350"/>
      <c r="P660" s="225"/>
      <c r="V660" s="315"/>
      <c r="W660" s="315"/>
    </row>
    <row r="661" spans="10:23" ht="16">
      <c r="J661" s="314"/>
      <c r="M661" s="350"/>
      <c r="P661" s="225"/>
      <c r="V661" s="315"/>
      <c r="W661" s="315"/>
    </row>
    <row r="662" spans="10:23" ht="16">
      <c r="J662" s="314"/>
      <c r="M662" s="350"/>
      <c r="P662" s="225"/>
      <c r="V662" s="315"/>
      <c r="W662" s="315"/>
    </row>
    <row r="663" spans="10:23" ht="16">
      <c r="J663" s="314"/>
      <c r="M663" s="350"/>
      <c r="P663" s="225"/>
      <c r="V663" s="315"/>
      <c r="W663" s="315"/>
    </row>
    <row r="664" spans="10:23" ht="16">
      <c r="J664" s="314"/>
      <c r="M664" s="350"/>
      <c r="P664" s="225"/>
      <c r="V664" s="315"/>
      <c r="W664" s="315"/>
    </row>
    <row r="665" spans="10:23" ht="16">
      <c r="J665" s="314"/>
      <c r="M665" s="350"/>
      <c r="P665" s="225"/>
      <c r="V665" s="315"/>
      <c r="W665" s="315"/>
    </row>
    <row r="666" spans="10:23" ht="16">
      <c r="J666" s="314"/>
      <c r="M666" s="350"/>
      <c r="P666" s="225"/>
      <c r="V666" s="315"/>
      <c r="W666" s="315"/>
    </row>
    <row r="667" spans="10:23" ht="16">
      <c r="J667" s="314"/>
      <c r="M667" s="350"/>
      <c r="P667" s="225"/>
      <c r="V667" s="315"/>
      <c r="W667" s="315"/>
    </row>
    <row r="668" spans="10:23" ht="16">
      <c r="J668" s="314"/>
      <c r="M668" s="350"/>
      <c r="P668" s="225"/>
      <c r="V668" s="315"/>
      <c r="W668" s="315"/>
    </row>
    <row r="669" spans="10:23" ht="16">
      <c r="J669" s="314"/>
      <c r="M669" s="350"/>
      <c r="P669" s="225"/>
      <c r="V669" s="315"/>
      <c r="W669" s="315"/>
    </row>
    <row r="670" spans="10:23" ht="16">
      <c r="J670" s="314"/>
      <c r="M670" s="350"/>
      <c r="P670" s="225"/>
      <c r="V670" s="315"/>
      <c r="W670" s="315"/>
    </row>
    <row r="671" spans="10:23" ht="16">
      <c r="J671" s="314"/>
      <c r="M671" s="350"/>
      <c r="P671" s="225"/>
      <c r="V671" s="315"/>
      <c r="W671" s="315"/>
    </row>
    <row r="672" spans="10:23" ht="16">
      <c r="J672" s="314"/>
      <c r="M672" s="350"/>
      <c r="P672" s="225"/>
      <c r="V672" s="315"/>
      <c r="W672" s="315"/>
    </row>
    <row r="673" spans="10:23" ht="16">
      <c r="J673" s="314"/>
      <c r="M673" s="350"/>
      <c r="P673" s="225"/>
      <c r="V673" s="315"/>
      <c r="W673" s="315"/>
    </row>
    <row r="674" spans="10:23" ht="16">
      <c r="J674" s="314"/>
      <c r="M674" s="350"/>
      <c r="P674" s="225"/>
      <c r="V674" s="315"/>
      <c r="W674" s="315"/>
    </row>
    <row r="675" spans="10:23" ht="16">
      <c r="J675" s="314"/>
      <c r="M675" s="350"/>
      <c r="P675" s="225"/>
      <c r="V675" s="315"/>
      <c r="W675" s="315"/>
    </row>
    <row r="676" spans="10:23" ht="16">
      <c r="J676" s="314"/>
      <c r="M676" s="350"/>
      <c r="P676" s="225"/>
      <c r="V676" s="315"/>
      <c r="W676" s="315"/>
    </row>
    <row r="677" spans="10:23" ht="16">
      <c r="J677" s="314"/>
      <c r="M677" s="350"/>
      <c r="P677" s="225"/>
      <c r="V677" s="315"/>
      <c r="W677" s="315"/>
    </row>
    <row r="678" spans="10:23" ht="16">
      <c r="J678" s="314"/>
      <c r="M678" s="350"/>
      <c r="P678" s="225"/>
      <c r="V678" s="315"/>
      <c r="W678" s="315"/>
    </row>
    <row r="679" spans="10:23" ht="16">
      <c r="J679" s="314"/>
      <c r="M679" s="350"/>
      <c r="P679" s="225"/>
      <c r="V679" s="315"/>
      <c r="W679" s="315"/>
    </row>
    <row r="680" spans="10:23" ht="16">
      <c r="J680" s="314"/>
      <c r="M680" s="350"/>
      <c r="P680" s="225"/>
      <c r="V680" s="315"/>
      <c r="W680" s="315"/>
    </row>
    <row r="681" spans="10:23" ht="16">
      <c r="J681" s="314"/>
      <c r="M681" s="350"/>
      <c r="P681" s="225"/>
      <c r="V681" s="315"/>
      <c r="W681" s="315"/>
    </row>
    <row r="682" spans="10:23" ht="16">
      <c r="J682" s="314"/>
      <c r="M682" s="350"/>
      <c r="P682" s="225"/>
      <c r="V682" s="315"/>
      <c r="W682" s="315"/>
    </row>
    <row r="683" spans="10:23" ht="16">
      <c r="J683" s="314"/>
      <c r="M683" s="350"/>
      <c r="P683" s="225"/>
      <c r="V683" s="315"/>
      <c r="W683" s="315"/>
    </row>
    <row r="684" spans="10:23" ht="16">
      <c r="J684" s="314"/>
      <c r="M684" s="350"/>
      <c r="P684" s="225"/>
      <c r="V684" s="315"/>
      <c r="W684" s="315"/>
    </row>
    <row r="685" spans="10:23" ht="16">
      <c r="J685" s="314"/>
      <c r="M685" s="350"/>
      <c r="P685" s="225"/>
      <c r="V685" s="315"/>
      <c r="W685" s="315"/>
    </row>
    <row r="686" spans="10:23" ht="16">
      <c r="J686" s="314"/>
      <c r="M686" s="350"/>
      <c r="P686" s="225"/>
      <c r="V686" s="315"/>
      <c r="W686" s="315"/>
    </row>
    <row r="687" spans="10:23" ht="16">
      <c r="J687" s="314"/>
      <c r="M687" s="350"/>
      <c r="P687" s="225"/>
      <c r="V687" s="315"/>
      <c r="W687" s="315"/>
    </row>
    <row r="688" spans="10:23" ht="16">
      <c r="J688" s="314"/>
      <c r="M688" s="350"/>
      <c r="P688" s="225"/>
      <c r="V688" s="315"/>
      <c r="W688" s="315"/>
    </row>
    <row r="689" spans="10:23" ht="16">
      <c r="J689" s="314"/>
      <c r="M689" s="350"/>
      <c r="P689" s="225"/>
      <c r="V689" s="315"/>
      <c r="W689" s="315"/>
    </row>
    <row r="690" spans="10:23" ht="16">
      <c r="J690" s="314"/>
      <c r="M690" s="350"/>
      <c r="P690" s="225"/>
      <c r="V690" s="315"/>
      <c r="W690" s="315"/>
    </row>
    <row r="691" spans="10:23" ht="16">
      <c r="J691" s="314"/>
      <c r="M691" s="350"/>
      <c r="P691" s="225"/>
      <c r="V691" s="315"/>
      <c r="W691" s="315"/>
    </row>
    <row r="692" spans="10:23" ht="16">
      <c r="J692" s="314"/>
      <c r="M692" s="350"/>
      <c r="P692" s="225"/>
      <c r="V692" s="315"/>
      <c r="W692" s="315"/>
    </row>
    <row r="693" spans="10:23" ht="16">
      <c r="J693" s="314"/>
      <c r="M693" s="350"/>
      <c r="P693" s="225"/>
      <c r="V693" s="315"/>
      <c r="W693" s="315"/>
    </row>
    <row r="694" spans="10:23" ht="16">
      <c r="J694" s="314"/>
      <c r="M694" s="350"/>
      <c r="P694" s="225"/>
      <c r="V694" s="315"/>
      <c r="W694" s="315"/>
    </row>
    <row r="695" spans="10:23" ht="16">
      <c r="J695" s="314"/>
      <c r="M695" s="350"/>
      <c r="P695" s="225"/>
      <c r="V695" s="315"/>
      <c r="W695" s="315"/>
    </row>
    <row r="696" spans="10:23" ht="16">
      <c r="J696" s="314"/>
      <c r="M696" s="350"/>
      <c r="P696" s="225"/>
      <c r="V696" s="315"/>
      <c r="W696" s="315"/>
    </row>
    <row r="697" spans="10:23" ht="16">
      <c r="J697" s="314"/>
      <c r="M697" s="350"/>
      <c r="P697" s="225"/>
      <c r="V697" s="315"/>
      <c r="W697" s="315"/>
    </row>
    <row r="698" spans="10:23" ht="16">
      <c r="J698" s="314"/>
      <c r="M698" s="350"/>
      <c r="P698" s="225"/>
      <c r="V698" s="315"/>
      <c r="W698" s="315"/>
    </row>
    <row r="699" spans="10:23" ht="16">
      <c r="J699" s="314"/>
      <c r="M699" s="350"/>
      <c r="P699" s="225"/>
      <c r="V699" s="315"/>
      <c r="W699" s="315"/>
    </row>
    <row r="700" spans="10:23" ht="16">
      <c r="J700" s="314"/>
      <c r="M700" s="350"/>
      <c r="P700" s="225"/>
      <c r="V700" s="315"/>
      <c r="W700" s="315"/>
    </row>
    <row r="701" spans="10:23" ht="16">
      <c r="J701" s="314"/>
      <c r="M701" s="350"/>
      <c r="P701" s="225"/>
      <c r="V701" s="315"/>
      <c r="W701" s="315"/>
    </row>
    <row r="702" spans="10:23" ht="16">
      <c r="J702" s="314"/>
      <c r="M702" s="350"/>
      <c r="P702" s="225"/>
      <c r="V702" s="315"/>
      <c r="W702" s="315"/>
    </row>
    <row r="703" spans="10:23" ht="16">
      <c r="J703" s="314"/>
      <c r="M703" s="350"/>
      <c r="P703" s="225"/>
      <c r="V703" s="315"/>
      <c r="W703" s="315"/>
    </row>
    <row r="704" spans="10:23" ht="16">
      <c r="J704" s="314"/>
      <c r="M704" s="350"/>
      <c r="P704" s="225"/>
      <c r="V704" s="315"/>
      <c r="W704" s="315"/>
    </row>
    <row r="705" spans="10:23" ht="16">
      <c r="J705" s="314"/>
      <c r="M705" s="350"/>
      <c r="P705" s="225"/>
      <c r="V705" s="315"/>
      <c r="W705" s="315"/>
    </row>
    <row r="706" spans="10:23" ht="16">
      <c r="J706" s="314"/>
      <c r="M706" s="350"/>
      <c r="P706" s="225"/>
      <c r="V706" s="315"/>
      <c r="W706" s="315"/>
    </row>
    <row r="707" spans="10:23" ht="16">
      <c r="J707" s="314"/>
      <c r="M707" s="350"/>
      <c r="P707" s="225"/>
      <c r="V707" s="315"/>
      <c r="W707" s="315"/>
    </row>
    <row r="708" spans="10:23" ht="16">
      <c r="J708" s="314"/>
      <c r="M708" s="350"/>
      <c r="P708" s="225"/>
      <c r="V708" s="315"/>
      <c r="W708" s="315"/>
    </row>
    <row r="709" spans="10:23" ht="16">
      <c r="J709" s="314"/>
      <c r="M709" s="350"/>
      <c r="P709" s="225"/>
      <c r="V709" s="315"/>
      <c r="W709" s="315"/>
    </row>
    <row r="710" spans="10:23" ht="16">
      <c r="J710" s="314"/>
      <c r="M710" s="350"/>
      <c r="P710" s="225"/>
      <c r="V710" s="315"/>
      <c r="W710" s="315"/>
    </row>
    <row r="711" spans="10:23" ht="16">
      <c r="J711" s="314"/>
      <c r="M711" s="350"/>
      <c r="P711" s="225"/>
      <c r="V711" s="315"/>
      <c r="W711" s="315"/>
    </row>
    <row r="712" spans="10:23" ht="16">
      <c r="J712" s="314"/>
      <c r="M712" s="350"/>
      <c r="P712" s="225"/>
      <c r="V712" s="315"/>
      <c r="W712" s="315"/>
    </row>
    <row r="713" spans="10:23" ht="16">
      <c r="J713" s="314"/>
      <c r="M713" s="350"/>
      <c r="P713" s="225"/>
      <c r="V713" s="315"/>
      <c r="W713" s="315"/>
    </row>
    <row r="714" spans="10:23" ht="16">
      <c r="J714" s="314"/>
      <c r="M714" s="350"/>
      <c r="P714" s="225"/>
      <c r="V714" s="315"/>
      <c r="W714" s="315"/>
    </row>
    <row r="715" spans="10:23" ht="16">
      <c r="J715" s="314"/>
      <c r="M715" s="350"/>
      <c r="P715" s="225"/>
      <c r="V715" s="315"/>
      <c r="W715" s="315"/>
    </row>
    <row r="716" spans="10:23" ht="16">
      <c r="J716" s="314"/>
      <c r="M716" s="350"/>
      <c r="P716" s="225"/>
      <c r="V716" s="315"/>
      <c r="W716" s="315"/>
    </row>
    <row r="717" spans="10:23" ht="16">
      <c r="J717" s="314"/>
      <c r="M717" s="350"/>
      <c r="P717" s="225"/>
      <c r="V717" s="315"/>
      <c r="W717" s="315"/>
    </row>
    <row r="718" spans="10:23" ht="16">
      <c r="J718" s="314"/>
      <c r="M718" s="350"/>
      <c r="P718" s="225"/>
      <c r="V718" s="315"/>
      <c r="W718" s="315"/>
    </row>
    <row r="719" spans="10:23" ht="16">
      <c r="J719" s="314"/>
      <c r="M719" s="350"/>
      <c r="P719" s="225"/>
      <c r="V719" s="315"/>
      <c r="W719" s="315"/>
    </row>
    <row r="720" spans="10:23" ht="16">
      <c r="J720" s="314"/>
      <c r="M720" s="350"/>
      <c r="P720" s="225"/>
      <c r="V720" s="315"/>
      <c r="W720" s="315"/>
    </row>
    <row r="721" spans="10:23" ht="16">
      <c r="J721" s="314"/>
      <c r="M721" s="350"/>
      <c r="P721" s="225"/>
      <c r="V721" s="315"/>
      <c r="W721" s="315"/>
    </row>
    <row r="722" spans="10:23" ht="16">
      <c r="J722" s="314"/>
      <c r="M722" s="350"/>
      <c r="P722" s="225"/>
      <c r="V722" s="315"/>
      <c r="W722" s="315"/>
    </row>
    <row r="723" spans="10:23" ht="16">
      <c r="J723" s="314"/>
      <c r="M723" s="350"/>
      <c r="P723" s="225"/>
      <c r="V723" s="315"/>
      <c r="W723" s="315"/>
    </row>
    <row r="724" spans="10:23" ht="16">
      <c r="J724" s="314"/>
      <c r="M724" s="350"/>
      <c r="P724" s="225"/>
      <c r="V724" s="315"/>
      <c r="W724" s="315"/>
    </row>
    <row r="725" spans="10:23" ht="16">
      <c r="J725" s="314"/>
      <c r="M725" s="350"/>
      <c r="P725" s="225"/>
      <c r="V725" s="315"/>
      <c r="W725" s="315"/>
    </row>
    <row r="726" spans="10:23" ht="16">
      <c r="J726" s="314"/>
      <c r="M726" s="350"/>
      <c r="P726" s="225"/>
      <c r="V726" s="315"/>
      <c r="W726" s="315"/>
    </row>
    <row r="727" spans="10:23" ht="16">
      <c r="J727" s="314"/>
      <c r="M727" s="350"/>
      <c r="P727" s="225"/>
      <c r="V727" s="315"/>
      <c r="W727" s="315"/>
    </row>
    <row r="728" spans="10:23" ht="16">
      <c r="J728" s="314"/>
      <c r="M728" s="350"/>
      <c r="P728" s="225"/>
      <c r="V728" s="315"/>
      <c r="W728" s="315"/>
    </row>
    <row r="729" spans="10:23" ht="16">
      <c r="J729" s="314"/>
      <c r="M729" s="350"/>
      <c r="P729" s="225"/>
      <c r="V729" s="315"/>
      <c r="W729" s="315"/>
    </row>
    <row r="730" spans="10:23" ht="16">
      <c r="J730" s="314"/>
      <c r="M730" s="350"/>
      <c r="P730" s="225"/>
      <c r="V730" s="315"/>
      <c r="W730" s="315"/>
    </row>
    <row r="731" spans="10:23" ht="16">
      <c r="J731" s="314"/>
      <c r="M731" s="350"/>
      <c r="P731" s="225"/>
      <c r="V731" s="315"/>
      <c r="W731" s="315"/>
    </row>
    <row r="732" spans="10:23" ht="16">
      <c r="J732" s="314"/>
      <c r="M732" s="350"/>
      <c r="P732" s="225"/>
      <c r="V732" s="315"/>
      <c r="W732" s="315"/>
    </row>
    <row r="733" spans="10:23" ht="16">
      <c r="J733" s="314"/>
      <c r="M733" s="350"/>
      <c r="P733" s="225"/>
      <c r="V733" s="315"/>
      <c r="W733" s="315"/>
    </row>
    <row r="734" spans="10:23" ht="16">
      <c r="J734" s="314"/>
      <c r="M734" s="350"/>
      <c r="P734" s="225"/>
      <c r="V734" s="315"/>
      <c r="W734" s="315"/>
    </row>
    <row r="735" spans="10:23" ht="16">
      <c r="J735" s="314"/>
      <c r="M735" s="350"/>
      <c r="P735" s="225"/>
      <c r="V735" s="315"/>
      <c r="W735" s="315"/>
    </row>
    <row r="736" spans="10:23" ht="16">
      <c r="J736" s="314"/>
      <c r="M736" s="350"/>
      <c r="P736" s="225"/>
      <c r="V736" s="315"/>
      <c r="W736" s="315"/>
    </row>
    <row r="737" spans="10:23" ht="16">
      <c r="J737" s="314"/>
      <c r="M737" s="350"/>
      <c r="P737" s="225"/>
      <c r="V737" s="315"/>
      <c r="W737" s="315"/>
    </row>
    <row r="738" spans="10:23" ht="16">
      <c r="J738" s="314"/>
      <c r="M738" s="350"/>
      <c r="P738" s="225"/>
      <c r="V738" s="315"/>
      <c r="W738" s="315"/>
    </row>
    <row r="739" spans="10:23" ht="16">
      <c r="J739" s="314"/>
      <c r="M739" s="350"/>
      <c r="P739" s="225"/>
      <c r="V739" s="315"/>
      <c r="W739" s="315"/>
    </row>
    <row r="740" spans="10:23" ht="16">
      <c r="J740" s="314"/>
      <c r="M740" s="350"/>
      <c r="P740" s="225"/>
      <c r="V740" s="315"/>
      <c r="W740" s="315"/>
    </row>
    <row r="741" spans="10:23" ht="16">
      <c r="J741" s="314"/>
      <c r="M741" s="350"/>
      <c r="P741" s="225"/>
      <c r="V741" s="315"/>
      <c r="W741" s="315"/>
    </row>
    <row r="742" spans="10:23" ht="16">
      <c r="J742" s="314"/>
      <c r="M742" s="350"/>
      <c r="P742" s="225"/>
      <c r="V742" s="315"/>
      <c r="W742" s="315"/>
    </row>
    <row r="743" spans="10:23" ht="16">
      <c r="J743" s="314"/>
      <c r="M743" s="350"/>
      <c r="P743" s="225"/>
      <c r="V743" s="315"/>
      <c r="W743" s="315"/>
    </row>
    <row r="744" spans="10:23" ht="16">
      <c r="J744" s="314"/>
      <c r="M744" s="350"/>
      <c r="P744" s="225"/>
      <c r="V744" s="315"/>
      <c r="W744" s="315"/>
    </row>
    <row r="745" spans="10:23" ht="16">
      <c r="J745" s="314"/>
      <c r="M745" s="350"/>
      <c r="P745" s="225"/>
      <c r="V745" s="315"/>
      <c r="W745" s="315"/>
    </row>
    <row r="746" spans="10:23" ht="16">
      <c r="J746" s="314"/>
      <c r="M746" s="350"/>
      <c r="P746" s="225"/>
      <c r="V746" s="315"/>
      <c r="W746" s="315"/>
    </row>
    <row r="747" spans="10:23" ht="16">
      <c r="J747" s="314"/>
      <c r="M747" s="350"/>
      <c r="P747" s="225"/>
      <c r="V747" s="315"/>
      <c r="W747" s="315"/>
    </row>
    <row r="748" spans="10:23" ht="16">
      <c r="J748" s="314"/>
      <c r="M748" s="350"/>
      <c r="P748" s="225"/>
      <c r="V748" s="315"/>
      <c r="W748" s="315"/>
    </row>
    <row r="749" spans="10:23" ht="16">
      <c r="J749" s="314"/>
      <c r="M749" s="350"/>
      <c r="P749" s="225"/>
      <c r="V749" s="315"/>
      <c r="W749" s="315"/>
    </row>
    <row r="750" spans="10:23" ht="16">
      <c r="J750" s="314"/>
      <c r="M750" s="350"/>
      <c r="P750" s="225"/>
      <c r="V750" s="315"/>
      <c r="W750" s="315"/>
    </row>
    <row r="751" spans="10:23" ht="16">
      <c r="J751" s="314"/>
      <c r="M751" s="350"/>
      <c r="P751" s="225"/>
      <c r="V751" s="315"/>
      <c r="W751" s="315"/>
    </row>
    <row r="752" spans="10:23" ht="16">
      <c r="J752" s="314"/>
      <c r="M752" s="350"/>
      <c r="P752" s="225"/>
      <c r="V752" s="315"/>
      <c r="W752" s="315"/>
    </row>
    <row r="753" spans="10:23" ht="16">
      <c r="J753" s="314"/>
      <c r="M753" s="350"/>
      <c r="P753" s="225"/>
      <c r="V753" s="315"/>
      <c r="W753" s="315"/>
    </row>
    <row r="754" spans="10:23" ht="16">
      <c r="J754" s="314"/>
      <c r="M754" s="350"/>
      <c r="P754" s="225"/>
      <c r="V754" s="315"/>
      <c r="W754" s="315"/>
    </row>
    <row r="755" spans="10:23" ht="16">
      <c r="J755" s="314"/>
      <c r="M755" s="350"/>
      <c r="P755" s="225"/>
      <c r="V755" s="315"/>
      <c r="W755" s="315"/>
    </row>
    <row r="756" spans="10:23" ht="16">
      <c r="J756" s="314"/>
      <c r="M756" s="350"/>
      <c r="P756" s="225"/>
      <c r="V756" s="315"/>
      <c r="W756" s="315"/>
    </row>
    <row r="757" spans="10:23" ht="16">
      <c r="J757" s="314"/>
      <c r="M757" s="350"/>
      <c r="P757" s="225"/>
      <c r="V757" s="315"/>
      <c r="W757" s="315"/>
    </row>
    <row r="758" spans="10:23" ht="16">
      <c r="J758" s="314"/>
      <c r="M758" s="350"/>
      <c r="P758" s="225"/>
      <c r="V758" s="315"/>
      <c r="W758" s="315"/>
    </row>
    <row r="759" spans="10:23" ht="16">
      <c r="J759" s="314"/>
      <c r="M759" s="350"/>
      <c r="P759" s="225"/>
      <c r="V759" s="315"/>
      <c r="W759" s="315"/>
    </row>
    <row r="760" spans="10:23" ht="16">
      <c r="J760" s="314"/>
      <c r="M760" s="350"/>
      <c r="P760" s="225"/>
      <c r="V760" s="315"/>
      <c r="W760" s="315"/>
    </row>
    <row r="761" spans="10:23" ht="16">
      <c r="J761" s="314"/>
      <c r="M761" s="350"/>
      <c r="P761" s="225"/>
      <c r="V761" s="315"/>
      <c r="W761" s="315"/>
    </row>
    <row r="762" spans="10:23" ht="16">
      <c r="J762" s="314"/>
      <c r="M762" s="350"/>
      <c r="P762" s="225"/>
      <c r="V762" s="315"/>
      <c r="W762" s="315"/>
    </row>
    <row r="763" spans="10:23" ht="16">
      <c r="J763" s="314"/>
      <c r="M763" s="350"/>
      <c r="P763" s="225"/>
      <c r="V763" s="315"/>
      <c r="W763" s="315"/>
    </row>
    <row r="764" spans="10:23" ht="16">
      <c r="J764" s="314"/>
      <c r="M764" s="350"/>
      <c r="P764" s="225"/>
      <c r="V764" s="315"/>
      <c r="W764" s="315"/>
    </row>
    <row r="765" spans="10:23" ht="16">
      <c r="J765" s="314"/>
      <c r="M765" s="350"/>
      <c r="P765" s="225"/>
      <c r="V765" s="315"/>
      <c r="W765" s="315"/>
    </row>
    <row r="766" spans="10:23" ht="16">
      <c r="J766" s="314"/>
      <c r="M766" s="350"/>
      <c r="P766" s="225"/>
      <c r="V766" s="315"/>
      <c r="W766" s="315"/>
    </row>
    <row r="767" spans="10:23" ht="16">
      <c r="J767" s="314"/>
      <c r="M767" s="350"/>
      <c r="P767" s="225"/>
      <c r="V767" s="315"/>
      <c r="W767" s="315"/>
    </row>
    <row r="768" spans="10:23" ht="16">
      <c r="J768" s="314"/>
      <c r="M768" s="350"/>
      <c r="P768" s="225"/>
      <c r="V768" s="315"/>
      <c r="W768" s="315"/>
    </row>
    <row r="769" spans="10:23" ht="16">
      <c r="J769" s="314"/>
      <c r="M769" s="350"/>
      <c r="P769" s="225"/>
      <c r="V769" s="315"/>
      <c r="W769" s="315"/>
    </row>
    <row r="770" spans="10:23" ht="16">
      <c r="J770" s="314"/>
      <c r="M770" s="350"/>
      <c r="P770" s="225"/>
      <c r="V770" s="315"/>
      <c r="W770" s="315"/>
    </row>
    <row r="771" spans="10:23" ht="16">
      <c r="J771" s="314"/>
      <c r="M771" s="350"/>
      <c r="P771" s="225"/>
      <c r="V771" s="315"/>
      <c r="W771" s="315"/>
    </row>
    <row r="772" spans="10:23" ht="16">
      <c r="J772" s="314"/>
      <c r="M772" s="350"/>
      <c r="P772" s="225"/>
      <c r="V772" s="315"/>
      <c r="W772" s="315"/>
    </row>
    <row r="773" spans="10:23" ht="16">
      <c r="J773" s="314"/>
      <c r="M773" s="350"/>
      <c r="P773" s="225"/>
      <c r="V773" s="315"/>
      <c r="W773" s="315"/>
    </row>
    <row r="774" spans="10:23" ht="16">
      <c r="J774" s="314"/>
      <c r="M774" s="350"/>
      <c r="P774" s="225"/>
      <c r="V774" s="315"/>
      <c r="W774" s="315"/>
    </row>
    <row r="775" spans="10:23" ht="16">
      <c r="J775" s="314"/>
      <c r="M775" s="350"/>
      <c r="P775" s="225"/>
      <c r="V775" s="315"/>
      <c r="W775" s="315"/>
    </row>
    <row r="776" spans="10:23" ht="16">
      <c r="J776" s="314"/>
      <c r="M776" s="350"/>
      <c r="P776" s="225"/>
      <c r="V776" s="315"/>
      <c r="W776" s="315"/>
    </row>
    <row r="777" spans="10:23" ht="16">
      <c r="J777" s="314"/>
      <c r="M777" s="350"/>
      <c r="P777" s="225"/>
      <c r="V777" s="315"/>
      <c r="W777" s="315"/>
    </row>
    <row r="778" spans="10:23" ht="16">
      <c r="J778" s="314"/>
      <c r="M778" s="350"/>
      <c r="P778" s="225"/>
      <c r="V778" s="315"/>
      <c r="W778" s="315"/>
    </row>
    <row r="779" spans="10:23" ht="16">
      <c r="J779" s="314"/>
      <c r="M779" s="350"/>
      <c r="P779" s="225"/>
      <c r="V779" s="315"/>
      <c r="W779" s="315"/>
    </row>
    <row r="780" spans="10:23" ht="16">
      <c r="J780" s="314"/>
      <c r="M780" s="350"/>
      <c r="P780" s="225"/>
      <c r="V780" s="315"/>
      <c r="W780" s="315"/>
    </row>
    <row r="781" spans="10:23" ht="16">
      <c r="J781" s="314"/>
      <c r="M781" s="350"/>
      <c r="P781" s="225"/>
      <c r="V781" s="315"/>
      <c r="W781" s="315"/>
    </row>
    <row r="782" spans="10:23" ht="16">
      <c r="J782" s="314"/>
      <c r="M782" s="350"/>
      <c r="P782" s="225"/>
      <c r="V782" s="315"/>
      <c r="W782" s="315"/>
    </row>
    <row r="783" spans="10:23" ht="16">
      <c r="J783" s="314"/>
      <c r="M783" s="350"/>
      <c r="P783" s="225"/>
      <c r="V783" s="315"/>
      <c r="W783" s="315"/>
    </row>
    <row r="784" spans="10:23" ht="16">
      <c r="J784" s="314"/>
      <c r="M784" s="350"/>
      <c r="P784" s="225"/>
      <c r="V784" s="315"/>
      <c r="W784" s="315"/>
    </row>
    <row r="785" spans="10:23" ht="16">
      <c r="J785" s="314"/>
      <c r="M785" s="350"/>
      <c r="P785" s="225"/>
      <c r="V785" s="315"/>
      <c r="W785" s="315"/>
    </row>
    <row r="786" spans="10:23" ht="16">
      <c r="J786" s="314"/>
      <c r="M786" s="350"/>
      <c r="P786" s="225"/>
      <c r="V786" s="315"/>
      <c r="W786" s="315"/>
    </row>
    <row r="787" spans="10:23" ht="16">
      <c r="J787" s="314"/>
      <c r="M787" s="350"/>
      <c r="P787" s="225"/>
      <c r="V787" s="315"/>
      <c r="W787" s="315"/>
    </row>
    <row r="788" spans="10:23" ht="16">
      <c r="J788" s="314"/>
      <c r="M788" s="350"/>
      <c r="P788" s="225"/>
      <c r="V788" s="315"/>
      <c r="W788" s="315"/>
    </row>
    <row r="789" spans="10:23" ht="16">
      <c r="J789" s="314"/>
      <c r="M789" s="350"/>
      <c r="P789" s="225"/>
      <c r="V789" s="315"/>
      <c r="W789" s="315"/>
    </row>
    <row r="790" spans="10:23" ht="16">
      <c r="J790" s="314"/>
      <c r="M790" s="350"/>
      <c r="P790" s="225"/>
      <c r="V790" s="315"/>
      <c r="W790" s="315"/>
    </row>
    <row r="791" spans="10:23" ht="16">
      <c r="J791" s="314"/>
      <c r="M791" s="350"/>
      <c r="P791" s="225"/>
      <c r="V791" s="315"/>
      <c r="W791" s="315"/>
    </row>
    <row r="792" spans="10:23" ht="16">
      <c r="J792" s="314"/>
      <c r="M792" s="350"/>
      <c r="P792" s="225"/>
      <c r="V792" s="315"/>
      <c r="W792" s="315"/>
    </row>
    <row r="793" spans="10:23" ht="16">
      <c r="J793" s="314"/>
      <c r="M793" s="350"/>
      <c r="P793" s="225"/>
      <c r="V793" s="315"/>
      <c r="W793" s="315"/>
    </row>
    <row r="794" spans="10:23" ht="16">
      <c r="J794" s="314"/>
      <c r="M794" s="350"/>
      <c r="P794" s="225"/>
      <c r="V794" s="315"/>
      <c r="W794" s="315"/>
    </row>
    <row r="795" spans="10:23" ht="16">
      <c r="J795" s="314"/>
      <c r="M795" s="350"/>
      <c r="P795" s="225"/>
      <c r="V795" s="315"/>
      <c r="W795" s="315"/>
    </row>
    <row r="796" spans="10:23" ht="16">
      <c r="J796" s="314"/>
      <c r="M796" s="350"/>
      <c r="P796" s="225"/>
      <c r="V796" s="315"/>
      <c r="W796" s="315"/>
    </row>
    <row r="797" spans="10:23" ht="16">
      <c r="J797" s="314"/>
      <c r="M797" s="350"/>
      <c r="P797" s="225"/>
      <c r="V797" s="315"/>
      <c r="W797" s="315"/>
    </row>
    <row r="798" spans="10:23" ht="16">
      <c r="J798" s="314"/>
      <c r="M798" s="350"/>
      <c r="P798" s="225"/>
      <c r="V798" s="315"/>
      <c r="W798" s="315"/>
    </row>
    <row r="799" spans="10:23" ht="16">
      <c r="J799" s="314"/>
      <c r="M799" s="350"/>
      <c r="P799" s="225"/>
      <c r="V799" s="315"/>
      <c r="W799" s="315"/>
    </row>
    <row r="800" spans="10:23" ht="16">
      <c r="J800" s="314"/>
      <c r="M800" s="350"/>
      <c r="P800" s="225"/>
      <c r="V800" s="315"/>
      <c r="W800" s="315"/>
    </row>
    <row r="801" spans="10:23" ht="16">
      <c r="J801" s="314"/>
      <c r="M801" s="350"/>
      <c r="P801" s="225"/>
      <c r="V801" s="315"/>
      <c r="W801" s="315"/>
    </row>
    <row r="802" spans="10:23" ht="16">
      <c r="J802" s="314"/>
      <c r="M802" s="350"/>
      <c r="P802" s="225"/>
      <c r="V802" s="315"/>
      <c r="W802" s="315"/>
    </row>
    <row r="803" spans="10:23" ht="16">
      <c r="J803" s="314"/>
      <c r="M803" s="350"/>
      <c r="P803" s="225"/>
      <c r="V803" s="315"/>
      <c r="W803" s="315"/>
    </row>
    <row r="804" spans="10:23" ht="16">
      <c r="J804" s="314"/>
      <c r="M804" s="350"/>
      <c r="P804" s="225"/>
      <c r="V804" s="315"/>
      <c r="W804" s="315"/>
    </row>
    <row r="805" spans="10:23" ht="16">
      <c r="J805" s="314"/>
      <c r="M805" s="350"/>
      <c r="P805" s="225"/>
      <c r="V805" s="315"/>
      <c r="W805" s="315"/>
    </row>
    <row r="806" spans="10:23" ht="16">
      <c r="J806" s="314"/>
      <c r="M806" s="350"/>
      <c r="P806" s="225"/>
      <c r="V806" s="315"/>
      <c r="W806" s="315"/>
    </row>
    <row r="807" spans="10:23" ht="16">
      <c r="J807" s="314"/>
      <c r="M807" s="350"/>
      <c r="P807" s="225"/>
      <c r="V807" s="315"/>
      <c r="W807" s="315"/>
    </row>
    <row r="808" spans="10:23" ht="16">
      <c r="J808" s="314"/>
      <c r="M808" s="350"/>
      <c r="P808" s="225"/>
      <c r="V808" s="315"/>
      <c r="W808" s="315"/>
    </row>
    <row r="809" spans="10:23" ht="16">
      <c r="J809" s="314"/>
      <c r="M809" s="350"/>
      <c r="P809" s="225"/>
      <c r="V809" s="315"/>
      <c r="W809" s="315"/>
    </row>
    <row r="810" spans="10:23" ht="16">
      <c r="J810" s="314"/>
      <c r="M810" s="350"/>
      <c r="P810" s="225"/>
      <c r="V810" s="315"/>
      <c r="W810" s="315"/>
    </row>
    <row r="811" spans="10:23" ht="16">
      <c r="J811" s="314"/>
      <c r="M811" s="350"/>
      <c r="P811" s="225"/>
      <c r="V811" s="315"/>
      <c r="W811" s="315"/>
    </row>
    <row r="812" spans="10:23" ht="16">
      <c r="J812" s="314"/>
      <c r="M812" s="350"/>
      <c r="P812" s="225"/>
      <c r="V812" s="315"/>
      <c r="W812" s="315"/>
    </row>
    <row r="813" spans="10:23" ht="16">
      <c r="J813" s="314"/>
      <c r="M813" s="350"/>
      <c r="P813" s="225"/>
      <c r="V813" s="315"/>
      <c r="W813" s="315"/>
    </row>
    <row r="814" spans="10:23" ht="16">
      <c r="J814" s="314"/>
      <c r="M814" s="350"/>
      <c r="P814" s="225"/>
      <c r="V814" s="315"/>
      <c r="W814" s="315"/>
    </row>
    <row r="815" spans="10:23" ht="16">
      <c r="J815" s="314"/>
      <c r="M815" s="350"/>
      <c r="P815" s="225"/>
      <c r="V815" s="315"/>
      <c r="W815" s="315"/>
    </row>
    <row r="816" spans="10:23" ht="16">
      <c r="J816" s="314"/>
      <c r="M816" s="350"/>
      <c r="P816" s="225"/>
      <c r="V816" s="315"/>
      <c r="W816" s="315"/>
    </row>
    <row r="817" spans="10:23" ht="16">
      <c r="J817" s="314"/>
      <c r="M817" s="350"/>
      <c r="P817" s="225"/>
      <c r="V817" s="315"/>
      <c r="W817" s="315"/>
    </row>
    <row r="818" spans="10:23" ht="16">
      <c r="J818" s="314"/>
      <c r="M818" s="350"/>
      <c r="P818" s="225"/>
      <c r="V818" s="315"/>
      <c r="W818" s="315"/>
    </row>
    <row r="819" spans="10:23" ht="16">
      <c r="J819" s="314"/>
      <c r="M819" s="350"/>
      <c r="P819" s="225"/>
      <c r="V819" s="315"/>
      <c r="W819" s="315"/>
    </row>
    <row r="820" spans="10:23" ht="16">
      <c r="J820" s="314"/>
      <c r="M820" s="350"/>
      <c r="P820" s="225"/>
      <c r="V820" s="315"/>
      <c r="W820" s="315"/>
    </row>
    <row r="821" spans="10:23" ht="16">
      <c r="J821" s="314"/>
      <c r="M821" s="350"/>
      <c r="P821" s="225"/>
      <c r="V821" s="315"/>
      <c r="W821" s="315"/>
    </row>
    <row r="822" spans="10:23" ht="16">
      <c r="J822" s="314"/>
      <c r="M822" s="350"/>
      <c r="P822" s="225"/>
      <c r="V822" s="315"/>
      <c r="W822" s="315"/>
    </row>
    <row r="823" spans="10:23" ht="16">
      <c r="J823" s="314"/>
      <c r="M823" s="350"/>
      <c r="P823" s="225"/>
      <c r="V823" s="315"/>
      <c r="W823" s="315"/>
    </row>
    <row r="824" spans="10:23" ht="16">
      <c r="J824" s="314"/>
      <c r="M824" s="350"/>
      <c r="P824" s="225"/>
      <c r="V824" s="315"/>
      <c r="W824" s="315"/>
    </row>
    <row r="825" spans="10:23" ht="16">
      <c r="J825" s="314"/>
      <c r="M825" s="350"/>
      <c r="P825" s="225"/>
      <c r="V825" s="315"/>
      <c r="W825" s="315"/>
    </row>
    <row r="826" spans="10:23" ht="16">
      <c r="J826" s="314"/>
      <c r="M826" s="350"/>
      <c r="P826" s="225"/>
      <c r="V826" s="315"/>
      <c r="W826" s="315"/>
    </row>
    <row r="827" spans="10:23" ht="16">
      <c r="J827" s="314"/>
      <c r="M827" s="350"/>
      <c r="P827" s="225"/>
      <c r="V827" s="315"/>
      <c r="W827" s="315"/>
    </row>
    <row r="828" spans="10:23" ht="16">
      <c r="J828" s="314"/>
      <c r="M828" s="350"/>
      <c r="P828" s="225"/>
      <c r="V828" s="315"/>
      <c r="W828" s="315"/>
    </row>
    <row r="829" spans="10:23" ht="16">
      <c r="J829" s="314"/>
      <c r="M829" s="350"/>
      <c r="P829" s="225"/>
      <c r="V829" s="315"/>
      <c r="W829" s="315"/>
    </row>
    <row r="830" spans="10:23" ht="16">
      <c r="J830" s="314"/>
      <c r="M830" s="350"/>
      <c r="P830" s="225"/>
      <c r="V830" s="315"/>
      <c r="W830" s="315"/>
    </row>
    <row r="831" spans="10:23" ht="16">
      <c r="J831" s="314"/>
      <c r="M831" s="350"/>
      <c r="P831" s="225"/>
      <c r="V831" s="315"/>
      <c r="W831" s="315"/>
    </row>
    <row r="832" spans="10:23" ht="16">
      <c r="J832" s="314"/>
      <c r="M832" s="350"/>
      <c r="P832" s="225"/>
      <c r="V832" s="315"/>
      <c r="W832" s="315"/>
    </row>
    <row r="833" spans="10:23" ht="16">
      <c r="J833" s="314"/>
      <c r="M833" s="350"/>
      <c r="P833" s="225"/>
      <c r="V833" s="315"/>
      <c r="W833" s="315"/>
    </row>
    <row r="834" spans="10:23" ht="16">
      <c r="J834" s="314"/>
      <c r="M834" s="350"/>
      <c r="P834" s="225"/>
      <c r="V834" s="315"/>
      <c r="W834" s="315"/>
    </row>
    <row r="835" spans="10:23" ht="16">
      <c r="J835" s="314"/>
      <c r="M835" s="350"/>
      <c r="P835" s="225"/>
      <c r="V835" s="315"/>
      <c r="W835" s="315"/>
    </row>
    <row r="836" spans="10:23" ht="16">
      <c r="J836" s="314"/>
      <c r="M836" s="350"/>
      <c r="P836" s="225"/>
      <c r="V836" s="315"/>
      <c r="W836" s="315"/>
    </row>
    <row r="837" spans="10:23" ht="16">
      <c r="J837" s="314"/>
      <c r="M837" s="350"/>
      <c r="P837" s="225"/>
      <c r="V837" s="315"/>
      <c r="W837" s="315"/>
    </row>
    <row r="838" spans="10:23" ht="16">
      <c r="J838" s="314"/>
      <c r="M838" s="350"/>
      <c r="P838" s="225"/>
      <c r="V838" s="315"/>
      <c r="W838" s="315"/>
    </row>
    <row r="839" spans="10:23" ht="16">
      <c r="J839" s="314"/>
      <c r="M839" s="350"/>
      <c r="P839" s="225"/>
      <c r="V839" s="315"/>
      <c r="W839" s="315"/>
    </row>
    <row r="840" spans="10:23" ht="16">
      <c r="J840" s="314"/>
      <c r="M840" s="350"/>
      <c r="P840" s="225"/>
      <c r="V840" s="315"/>
      <c r="W840" s="315"/>
    </row>
    <row r="841" spans="10:23" ht="16">
      <c r="J841" s="314"/>
      <c r="M841" s="350"/>
      <c r="P841" s="225"/>
      <c r="V841" s="315"/>
      <c r="W841" s="315"/>
    </row>
    <row r="842" spans="10:23" ht="16">
      <c r="J842" s="314"/>
      <c r="M842" s="350"/>
      <c r="P842" s="225"/>
      <c r="V842" s="315"/>
      <c r="W842" s="315"/>
    </row>
    <row r="843" spans="10:23" ht="16">
      <c r="J843" s="314"/>
      <c r="M843" s="350"/>
      <c r="P843" s="225"/>
      <c r="V843" s="315"/>
      <c r="W843" s="315"/>
    </row>
    <row r="844" spans="10:23" ht="16">
      <c r="J844" s="314"/>
      <c r="M844" s="350"/>
      <c r="P844" s="225"/>
      <c r="V844" s="315"/>
      <c r="W844" s="315"/>
    </row>
    <row r="845" spans="10:23" ht="16">
      <c r="J845" s="314"/>
      <c r="M845" s="350"/>
      <c r="P845" s="225"/>
      <c r="V845" s="315"/>
      <c r="W845" s="315"/>
    </row>
    <row r="846" spans="10:23" ht="16">
      <c r="J846" s="314"/>
      <c r="M846" s="350"/>
      <c r="P846" s="225"/>
      <c r="V846" s="315"/>
      <c r="W846" s="315"/>
    </row>
    <row r="847" spans="10:23" ht="16">
      <c r="J847" s="314"/>
      <c r="M847" s="350"/>
      <c r="P847" s="225"/>
      <c r="V847" s="315"/>
      <c r="W847" s="315"/>
    </row>
    <row r="848" spans="10:23" ht="16">
      <c r="J848" s="314"/>
      <c r="M848" s="350"/>
      <c r="P848" s="225"/>
      <c r="V848" s="315"/>
      <c r="W848" s="315"/>
    </row>
    <row r="849" spans="10:23" ht="16">
      <c r="J849" s="314"/>
      <c r="M849" s="350"/>
      <c r="P849" s="225"/>
      <c r="V849" s="315"/>
      <c r="W849" s="315"/>
    </row>
    <row r="850" spans="10:23" ht="16">
      <c r="J850" s="314"/>
      <c r="M850" s="350"/>
      <c r="P850" s="225"/>
      <c r="V850" s="315"/>
      <c r="W850" s="315"/>
    </row>
    <row r="851" spans="10:23" ht="16">
      <c r="J851" s="314"/>
      <c r="M851" s="350"/>
      <c r="P851" s="225"/>
      <c r="V851" s="315"/>
      <c r="W851" s="315"/>
    </row>
    <row r="852" spans="10:23" ht="16">
      <c r="J852" s="314"/>
      <c r="M852" s="350"/>
      <c r="P852" s="225"/>
      <c r="V852" s="315"/>
      <c r="W852" s="315"/>
    </row>
    <row r="853" spans="10:23" ht="16">
      <c r="J853" s="314"/>
      <c r="M853" s="350"/>
      <c r="P853" s="225"/>
      <c r="V853" s="315"/>
      <c r="W853" s="315"/>
    </row>
    <row r="854" spans="10:23" ht="16">
      <c r="J854" s="314"/>
      <c r="M854" s="350"/>
      <c r="P854" s="225"/>
      <c r="V854" s="315"/>
      <c r="W854" s="315"/>
    </row>
    <row r="855" spans="10:23" ht="16">
      <c r="J855" s="314"/>
      <c r="M855" s="350"/>
      <c r="P855" s="225"/>
      <c r="V855" s="315"/>
      <c r="W855" s="315"/>
    </row>
    <row r="856" spans="10:23" ht="16">
      <c r="J856" s="314"/>
      <c r="M856" s="350"/>
      <c r="P856" s="225"/>
      <c r="V856" s="315"/>
      <c r="W856" s="315"/>
    </row>
    <row r="857" spans="10:23" ht="16">
      <c r="J857" s="314"/>
      <c r="M857" s="350"/>
      <c r="P857" s="225"/>
      <c r="V857" s="315"/>
      <c r="W857" s="315"/>
    </row>
    <row r="858" spans="10:23" ht="16">
      <c r="J858" s="314"/>
      <c r="M858" s="350"/>
      <c r="P858" s="225"/>
      <c r="V858" s="315"/>
      <c r="W858" s="315"/>
    </row>
    <row r="859" spans="10:23" ht="16">
      <c r="J859" s="314"/>
      <c r="M859" s="350"/>
      <c r="P859" s="225"/>
      <c r="V859" s="315"/>
      <c r="W859" s="315"/>
    </row>
    <row r="860" spans="10:23" ht="16">
      <c r="J860" s="314"/>
      <c r="M860" s="350"/>
      <c r="P860" s="225"/>
      <c r="V860" s="315"/>
      <c r="W860" s="315"/>
    </row>
    <row r="861" spans="10:23" ht="16">
      <c r="J861" s="314"/>
      <c r="M861" s="350"/>
      <c r="P861" s="225"/>
      <c r="V861" s="315"/>
      <c r="W861" s="315"/>
    </row>
    <row r="862" spans="10:23" ht="16">
      <c r="J862" s="314"/>
      <c r="M862" s="350"/>
      <c r="P862" s="225"/>
      <c r="V862" s="315"/>
      <c r="W862" s="315"/>
    </row>
    <row r="863" spans="10:23" ht="16">
      <c r="J863" s="314"/>
      <c r="M863" s="350"/>
      <c r="P863" s="225"/>
      <c r="V863" s="315"/>
      <c r="W863" s="315"/>
    </row>
    <row r="864" spans="10:23" ht="16">
      <c r="J864" s="314"/>
      <c r="M864" s="350"/>
      <c r="P864" s="225"/>
      <c r="V864" s="315"/>
      <c r="W864" s="315"/>
    </row>
    <row r="865" spans="10:23" ht="16">
      <c r="J865" s="314"/>
      <c r="M865" s="350"/>
      <c r="P865" s="225"/>
      <c r="V865" s="315"/>
      <c r="W865" s="315"/>
    </row>
    <row r="866" spans="10:23" ht="16">
      <c r="J866" s="314"/>
      <c r="M866" s="350"/>
      <c r="P866" s="225"/>
      <c r="V866" s="315"/>
      <c r="W866" s="315"/>
    </row>
    <row r="867" spans="10:23" ht="16">
      <c r="J867" s="314"/>
      <c r="M867" s="350"/>
      <c r="P867" s="225"/>
      <c r="V867" s="315"/>
      <c r="W867" s="315"/>
    </row>
    <row r="868" spans="10:23" ht="16">
      <c r="J868" s="314"/>
      <c r="M868" s="350"/>
      <c r="P868" s="225"/>
      <c r="V868" s="315"/>
      <c r="W868" s="315"/>
    </row>
    <row r="869" spans="10:23" ht="16">
      <c r="J869" s="314"/>
      <c r="M869" s="350"/>
      <c r="P869" s="225"/>
      <c r="V869" s="315"/>
      <c r="W869" s="315"/>
    </row>
    <row r="870" spans="10:23" ht="16">
      <c r="J870" s="314"/>
      <c r="M870" s="350"/>
      <c r="P870" s="225"/>
      <c r="V870" s="315"/>
      <c r="W870" s="315"/>
    </row>
    <row r="871" spans="10:23" ht="16">
      <c r="J871" s="314"/>
      <c r="M871" s="350"/>
      <c r="P871" s="225"/>
      <c r="V871" s="315"/>
      <c r="W871" s="315"/>
    </row>
    <row r="872" spans="10:23" ht="16">
      <c r="J872" s="314"/>
      <c r="M872" s="350"/>
      <c r="P872" s="225"/>
      <c r="V872" s="315"/>
      <c r="W872" s="315"/>
    </row>
    <row r="873" spans="10:23" ht="16">
      <c r="J873" s="314"/>
      <c r="M873" s="350"/>
      <c r="P873" s="225"/>
      <c r="V873" s="315"/>
      <c r="W873" s="315"/>
    </row>
    <row r="874" spans="10:23" ht="16">
      <c r="J874" s="314"/>
      <c r="M874" s="350"/>
      <c r="P874" s="225"/>
      <c r="V874" s="315"/>
      <c r="W874" s="315"/>
    </row>
    <row r="875" spans="10:23" ht="16">
      <c r="J875" s="314"/>
      <c r="M875" s="350"/>
      <c r="P875" s="225"/>
      <c r="V875" s="315"/>
      <c r="W875" s="315"/>
    </row>
    <row r="876" spans="10:23" ht="16">
      <c r="J876" s="314"/>
      <c r="M876" s="350"/>
      <c r="P876" s="225"/>
      <c r="V876" s="315"/>
      <c r="W876" s="315"/>
    </row>
    <row r="877" spans="10:23" ht="16">
      <c r="J877" s="314"/>
      <c r="M877" s="350"/>
      <c r="P877" s="225"/>
      <c r="V877" s="315"/>
      <c r="W877" s="315"/>
    </row>
    <row r="878" spans="10:23" ht="16">
      <c r="J878" s="314"/>
      <c r="M878" s="350"/>
      <c r="P878" s="225"/>
      <c r="V878" s="315"/>
      <c r="W878" s="315"/>
    </row>
    <row r="879" spans="10:23" ht="16">
      <c r="J879" s="314"/>
      <c r="M879" s="350"/>
      <c r="P879" s="225"/>
      <c r="V879" s="315"/>
      <c r="W879" s="315"/>
    </row>
    <row r="880" spans="10:23" ht="16">
      <c r="J880" s="314"/>
      <c r="M880" s="350"/>
      <c r="P880" s="225"/>
      <c r="V880" s="315"/>
      <c r="W880" s="315"/>
    </row>
    <row r="881" spans="10:23" ht="16">
      <c r="J881" s="314"/>
      <c r="M881" s="350"/>
      <c r="P881" s="225"/>
      <c r="V881" s="315"/>
      <c r="W881" s="315"/>
    </row>
    <row r="882" spans="10:23" ht="16">
      <c r="J882" s="314"/>
      <c r="M882" s="350"/>
      <c r="P882" s="225"/>
      <c r="V882" s="315"/>
      <c r="W882" s="315"/>
    </row>
    <row r="883" spans="10:23" ht="16">
      <c r="J883" s="314"/>
      <c r="M883" s="350"/>
      <c r="P883" s="225"/>
      <c r="V883" s="315"/>
      <c r="W883" s="315"/>
    </row>
    <row r="884" spans="10:23" ht="16">
      <c r="J884" s="314"/>
      <c r="M884" s="350"/>
      <c r="P884" s="225"/>
      <c r="V884" s="315"/>
      <c r="W884" s="315"/>
    </row>
    <row r="885" spans="10:23" ht="16">
      <c r="J885" s="314"/>
      <c r="M885" s="350"/>
      <c r="P885" s="225"/>
      <c r="V885" s="315"/>
      <c r="W885" s="315"/>
    </row>
    <row r="886" spans="10:23" ht="16">
      <c r="J886" s="314"/>
      <c r="M886" s="350"/>
      <c r="P886" s="225"/>
      <c r="V886" s="315"/>
      <c r="W886" s="315"/>
    </row>
    <row r="887" spans="10:23" ht="16">
      <c r="J887" s="314"/>
      <c r="M887" s="350"/>
      <c r="P887" s="225"/>
      <c r="V887" s="315"/>
      <c r="W887" s="315"/>
    </row>
    <row r="888" spans="10:23" ht="16">
      <c r="J888" s="314"/>
      <c r="M888" s="350"/>
      <c r="P888" s="225"/>
      <c r="V888" s="315"/>
      <c r="W888" s="315"/>
    </row>
    <row r="889" spans="10:23" ht="16">
      <c r="J889" s="314"/>
      <c r="M889" s="350"/>
      <c r="P889" s="225"/>
      <c r="V889" s="315"/>
      <c r="W889" s="315"/>
    </row>
    <row r="890" spans="10:23" ht="16">
      <c r="J890" s="314"/>
      <c r="M890" s="350"/>
      <c r="P890" s="225"/>
      <c r="V890" s="315"/>
      <c r="W890" s="315"/>
    </row>
    <row r="891" spans="10:23" ht="16">
      <c r="J891" s="314"/>
      <c r="M891" s="350"/>
      <c r="P891" s="225"/>
      <c r="V891" s="315"/>
      <c r="W891" s="315"/>
    </row>
    <row r="892" spans="10:23" ht="16">
      <c r="J892" s="314"/>
      <c r="M892" s="350"/>
      <c r="P892" s="225"/>
      <c r="V892" s="315"/>
      <c r="W892" s="315"/>
    </row>
    <row r="893" spans="10:23" ht="16">
      <c r="J893" s="314"/>
      <c r="M893" s="350"/>
      <c r="P893" s="225"/>
      <c r="V893" s="315"/>
      <c r="W893" s="315"/>
    </row>
    <row r="894" spans="10:23" ht="16">
      <c r="J894" s="314"/>
      <c r="M894" s="350"/>
      <c r="P894" s="225"/>
      <c r="V894" s="315"/>
      <c r="W894" s="315"/>
    </row>
    <row r="895" spans="10:23" ht="16">
      <c r="J895" s="314"/>
      <c r="M895" s="350"/>
      <c r="P895" s="225"/>
      <c r="V895" s="315"/>
      <c r="W895" s="315"/>
    </row>
    <row r="896" spans="10:23" ht="16">
      <c r="J896" s="314"/>
      <c r="M896" s="350"/>
      <c r="P896" s="225"/>
      <c r="V896" s="315"/>
      <c r="W896" s="315"/>
    </row>
    <row r="897" spans="10:23" ht="16">
      <c r="J897" s="314"/>
      <c r="M897" s="350"/>
      <c r="P897" s="225"/>
      <c r="V897" s="315"/>
      <c r="W897" s="315"/>
    </row>
    <row r="898" spans="10:23" ht="16">
      <c r="J898" s="314"/>
      <c r="M898" s="350"/>
      <c r="P898" s="225"/>
      <c r="V898" s="315"/>
      <c r="W898" s="315"/>
    </row>
    <row r="899" spans="10:23" ht="16">
      <c r="J899" s="314"/>
      <c r="M899" s="350"/>
      <c r="P899" s="225"/>
      <c r="V899" s="315"/>
      <c r="W899" s="315"/>
    </row>
    <row r="900" spans="10:23" ht="16">
      <c r="J900" s="314"/>
      <c r="M900" s="350"/>
      <c r="P900" s="225"/>
      <c r="V900" s="315"/>
      <c r="W900" s="315"/>
    </row>
    <row r="901" spans="10:23" ht="16">
      <c r="J901" s="314"/>
      <c r="M901" s="350"/>
      <c r="P901" s="225"/>
      <c r="V901" s="315"/>
      <c r="W901" s="315"/>
    </row>
    <row r="902" spans="10:23" ht="16">
      <c r="J902" s="314"/>
      <c r="M902" s="350"/>
      <c r="P902" s="225"/>
      <c r="V902" s="315"/>
      <c r="W902" s="315"/>
    </row>
    <row r="903" spans="10:23" ht="16">
      <c r="J903" s="314"/>
      <c r="M903" s="350"/>
      <c r="P903" s="225"/>
      <c r="V903" s="315"/>
      <c r="W903" s="315"/>
    </row>
    <row r="904" spans="10:23" ht="16">
      <c r="J904" s="314"/>
      <c r="M904" s="350"/>
      <c r="P904" s="225"/>
      <c r="V904" s="315"/>
      <c r="W904" s="315"/>
    </row>
    <row r="905" spans="10:23" ht="16">
      <c r="J905" s="314"/>
      <c r="M905" s="350"/>
      <c r="P905" s="225"/>
      <c r="V905" s="315"/>
      <c r="W905" s="315"/>
    </row>
    <row r="906" spans="10:23" ht="16">
      <c r="J906" s="314"/>
      <c r="M906" s="350"/>
      <c r="P906" s="225"/>
      <c r="V906" s="315"/>
      <c r="W906" s="315"/>
    </row>
    <row r="907" spans="10:23" ht="16">
      <c r="J907" s="314"/>
      <c r="M907" s="350"/>
      <c r="P907" s="225"/>
      <c r="V907" s="315"/>
      <c r="W907" s="315"/>
    </row>
    <row r="908" spans="10:23" ht="16">
      <c r="J908" s="314"/>
      <c r="M908" s="350"/>
      <c r="P908" s="225"/>
      <c r="V908" s="315"/>
      <c r="W908" s="315"/>
    </row>
    <row r="909" spans="10:23" ht="16">
      <c r="J909" s="314"/>
      <c r="M909" s="350"/>
      <c r="P909" s="225"/>
      <c r="V909" s="315"/>
      <c r="W909" s="315"/>
    </row>
    <row r="910" spans="10:23" ht="16">
      <c r="J910" s="314"/>
      <c r="M910" s="350"/>
      <c r="P910" s="225"/>
      <c r="V910" s="315"/>
      <c r="W910" s="315"/>
    </row>
    <row r="911" spans="10:23" ht="16">
      <c r="J911" s="314"/>
      <c r="M911" s="350"/>
      <c r="P911" s="225"/>
      <c r="V911" s="315"/>
      <c r="W911" s="315"/>
    </row>
    <row r="912" spans="10:23" ht="16">
      <c r="J912" s="314"/>
      <c r="M912" s="350"/>
      <c r="P912" s="225"/>
      <c r="V912" s="315"/>
      <c r="W912" s="315"/>
    </row>
    <row r="913" spans="10:23" ht="16">
      <c r="J913" s="314"/>
      <c r="M913" s="350"/>
      <c r="P913" s="225"/>
      <c r="V913" s="315"/>
      <c r="W913" s="315"/>
    </row>
    <row r="914" spans="10:23" ht="16">
      <c r="J914" s="314"/>
      <c r="M914" s="350"/>
      <c r="P914" s="225"/>
      <c r="V914" s="315"/>
      <c r="W914" s="315"/>
    </row>
    <row r="915" spans="10:23" ht="16">
      <c r="J915" s="314"/>
      <c r="M915" s="350"/>
      <c r="P915" s="225"/>
      <c r="V915" s="315"/>
      <c r="W915" s="315"/>
    </row>
    <row r="916" spans="10:23" ht="16">
      <c r="J916" s="314"/>
      <c r="M916" s="350"/>
      <c r="P916" s="225"/>
      <c r="V916" s="315"/>
      <c r="W916" s="315"/>
    </row>
    <row r="917" spans="10:23" ht="16">
      <c r="J917" s="314"/>
      <c r="M917" s="350"/>
      <c r="P917" s="225"/>
      <c r="V917" s="315"/>
      <c r="W917" s="315"/>
    </row>
    <row r="918" spans="10:23" ht="16">
      <c r="J918" s="314"/>
      <c r="M918" s="350"/>
      <c r="P918" s="225"/>
      <c r="V918" s="315"/>
      <c r="W918" s="315"/>
    </row>
    <row r="919" spans="10:23" ht="16">
      <c r="J919" s="314"/>
      <c r="M919" s="350"/>
      <c r="P919" s="225"/>
      <c r="V919" s="315"/>
      <c r="W919" s="315"/>
    </row>
    <row r="920" spans="10:23" ht="16">
      <c r="J920" s="314"/>
      <c r="M920" s="350"/>
      <c r="P920" s="225"/>
      <c r="V920" s="315"/>
      <c r="W920" s="315"/>
    </row>
    <row r="921" spans="10:23" ht="16">
      <c r="J921" s="314"/>
      <c r="M921" s="350"/>
      <c r="P921" s="225"/>
      <c r="V921" s="315"/>
      <c r="W921" s="315"/>
    </row>
    <row r="922" spans="10:23" ht="16">
      <c r="J922" s="314"/>
      <c r="M922" s="350"/>
      <c r="P922" s="225"/>
      <c r="V922" s="315"/>
      <c r="W922" s="315"/>
    </row>
    <row r="923" spans="10:23" ht="16">
      <c r="J923" s="314"/>
      <c r="M923" s="350"/>
      <c r="P923" s="225"/>
      <c r="V923" s="315"/>
      <c r="W923" s="315"/>
    </row>
    <row r="924" spans="10:23" ht="16">
      <c r="J924" s="314"/>
      <c r="M924" s="350"/>
      <c r="P924" s="225"/>
      <c r="V924" s="315"/>
      <c r="W924" s="315"/>
    </row>
    <row r="925" spans="10:23" ht="16">
      <c r="J925" s="314"/>
      <c r="M925" s="350"/>
      <c r="P925" s="225"/>
      <c r="V925" s="315"/>
      <c r="W925" s="315"/>
    </row>
    <row r="926" spans="10:23" ht="16">
      <c r="J926" s="314"/>
      <c r="M926" s="350"/>
      <c r="P926" s="225"/>
      <c r="V926" s="315"/>
      <c r="W926" s="315"/>
    </row>
    <row r="927" spans="10:23" ht="16">
      <c r="J927" s="314"/>
      <c r="M927" s="350"/>
      <c r="P927" s="225"/>
      <c r="V927" s="315"/>
      <c r="W927" s="315"/>
    </row>
    <row r="928" spans="10:23" ht="16">
      <c r="J928" s="314"/>
      <c r="M928" s="350"/>
      <c r="P928" s="225"/>
      <c r="V928" s="315"/>
      <c r="W928" s="315"/>
    </row>
    <row r="929" spans="10:23" ht="16">
      <c r="J929" s="314"/>
      <c r="M929" s="350"/>
      <c r="P929" s="225"/>
      <c r="V929" s="315"/>
      <c r="W929" s="315"/>
    </row>
    <row r="930" spans="10:23" ht="16">
      <c r="J930" s="314"/>
      <c r="M930" s="350"/>
      <c r="P930" s="225"/>
      <c r="V930" s="315"/>
      <c r="W930" s="315"/>
    </row>
    <row r="931" spans="10:23" ht="16">
      <c r="J931" s="314"/>
      <c r="M931" s="350"/>
      <c r="P931" s="225"/>
      <c r="V931" s="315"/>
      <c r="W931" s="315"/>
    </row>
    <row r="932" spans="10:23" ht="16">
      <c r="J932" s="314"/>
      <c r="M932" s="350"/>
      <c r="P932" s="225"/>
      <c r="V932" s="315"/>
      <c r="W932" s="315"/>
    </row>
    <row r="933" spans="10:23" ht="16">
      <c r="J933" s="314"/>
      <c r="M933" s="350"/>
      <c r="P933" s="225"/>
      <c r="V933" s="315"/>
      <c r="W933" s="315"/>
    </row>
    <row r="934" spans="10:23" ht="16">
      <c r="J934" s="314"/>
      <c r="M934" s="350"/>
      <c r="P934" s="225"/>
      <c r="V934" s="315"/>
      <c r="W934" s="315"/>
    </row>
    <row r="935" spans="10:23" ht="16">
      <c r="J935" s="314"/>
      <c r="M935" s="350"/>
      <c r="P935" s="225"/>
      <c r="V935" s="315"/>
      <c r="W935" s="315"/>
    </row>
    <row r="936" spans="10:23" ht="16">
      <c r="J936" s="314"/>
      <c r="M936" s="350"/>
      <c r="P936" s="225"/>
      <c r="V936" s="315"/>
      <c r="W936" s="315"/>
    </row>
    <row r="937" spans="10:23" ht="16">
      <c r="J937" s="314"/>
      <c r="M937" s="350"/>
      <c r="P937" s="225"/>
      <c r="V937" s="315"/>
      <c r="W937" s="315"/>
    </row>
    <row r="938" spans="10:23" ht="16">
      <c r="J938" s="314"/>
      <c r="M938" s="350"/>
      <c r="P938" s="225"/>
      <c r="V938" s="315"/>
      <c r="W938" s="315"/>
    </row>
    <row r="939" spans="10:23" ht="16">
      <c r="J939" s="314"/>
      <c r="M939" s="350"/>
      <c r="P939" s="225"/>
      <c r="V939" s="315"/>
      <c r="W939" s="315"/>
    </row>
    <row r="940" spans="10:23" ht="16">
      <c r="J940" s="314"/>
      <c r="M940" s="350"/>
      <c r="P940" s="225"/>
      <c r="V940" s="315"/>
      <c r="W940" s="315"/>
    </row>
    <row r="941" spans="10:23" ht="16">
      <c r="J941" s="314"/>
      <c r="M941" s="350"/>
      <c r="P941" s="225"/>
      <c r="V941" s="315"/>
      <c r="W941" s="315"/>
    </row>
    <row r="942" spans="10:23" ht="16">
      <c r="J942" s="314"/>
      <c r="M942" s="350"/>
      <c r="P942" s="225"/>
      <c r="V942" s="315"/>
      <c r="W942" s="315"/>
    </row>
    <row r="943" spans="10:23" ht="16">
      <c r="J943" s="314"/>
      <c r="M943" s="350"/>
      <c r="P943" s="225"/>
      <c r="V943" s="315"/>
      <c r="W943" s="315"/>
    </row>
    <row r="944" spans="10:23" ht="16">
      <c r="J944" s="314"/>
      <c r="M944" s="350"/>
      <c r="P944" s="225"/>
      <c r="V944" s="315"/>
      <c r="W944" s="315"/>
    </row>
    <row r="945" spans="10:23" ht="16">
      <c r="J945" s="314"/>
      <c r="M945" s="350"/>
      <c r="P945" s="225"/>
      <c r="V945" s="315"/>
      <c r="W945" s="315"/>
    </row>
    <row r="946" spans="10:23" ht="16">
      <c r="J946" s="314"/>
      <c r="M946" s="350"/>
      <c r="P946" s="225"/>
      <c r="V946" s="315"/>
      <c r="W946" s="315"/>
    </row>
    <row r="947" spans="10:23" ht="16">
      <c r="J947" s="314"/>
      <c r="M947" s="350"/>
      <c r="P947" s="225"/>
      <c r="V947" s="315"/>
      <c r="W947" s="315"/>
    </row>
    <row r="948" spans="10:23" ht="16">
      <c r="J948" s="314"/>
      <c r="M948" s="350"/>
      <c r="P948" s="225"/>
      <c r="V948" s="315"/>
      <c r="W948" s="315"/>
    </row>
    <row r="949" spans="10:23" ht="16">
      <c r="J949" s="314"/>
      <c r="M949" s="350"/>
      <c r="P949" s="225"/>
      <c r="V949" s="315"/>
      <c r="W949" s="315"/>
    </row>
    <row r="950" spans="10:23" ht="16">
      <c r="J950" s="314"/>
      <c r="M950" s="350"/>
      <c r="P950" s="225"/>
      <c r="V950" s="315"/>
      <c r="W950" s="315"/>
    </row>
    <row r="951" spans="10:23" ht="16">
      <c r="J951" s="314"/>
      <c r="M951" s="350"/>
      <c r="P951" s="225"/>
      <c r="V951" s="315"/>
      <c r="W951" s="315"/>
    </row>
    <row r="952" spans="10:23" ht="16">
      <c r="J952" s="314"/>
      <c r="M952" s="350"/>
      <c r="P952" s="225"/>
      <c r="V952" s="315"/>
      <c r="W952" s="315"/>
    </row>
    <row r="953" spans="10:23" ht="16">
      <c r="J953" s="314"/>
      <c r="M953" s="350"/>
      <c r="P953" s="225"/>
      <c r="V953" s="315"/>
      <c r="W953" s="315"/>
    </row>
    <row r="954" spans="10:23" ht="16">
      <c r="J954" s="314"/>
      <c r="M954" s="350"/>
      <c r="P954" s="225"/>
      <c r="V954" s="315"/>
      <c r="W954" s="315"/>
    </row>
    <row r="955" spans="10:23" ht="16">
      <c r="J955" s="314"/>
      <c r="M955" s="350"/>
      <c r="P955" s="225"/>
      <c r="V955" s="315"/>
      <c r="W955" s="315"/>
    </row>
    <row r="956" spans="10:23" ht="16">
      <c r="J956" s="314"/>
      <c r="M956" s="350"/>
      <c r="P956" s="225"/>
      <c r="V956" s="315"/>
      <c r="W956" s="315"/>
    </row>
    <row r="957" spans="10:23" ht="16">
      <c r="J957" s="314"/>
      <c r="M957" s="350"/>
      <c r="P957" s="225"/>
      <c r="V957" s="315"/>
      <c r="W957" s="315"/>
    </row>
    <row r="958" spans="10:23" ht="16">
      <c r="J958" s="314"/>
      <c r="M958" s="350"/>
      <c r="P958" s="225"/>
      <c r="V958" s="315"/>
      <c r="W958" s="315"/>
    </row>
    <row r="959" spans="10:23" ht="16">
      <c r="J959" s="314"/>
      <c r="M959" s="350"/>
      <c r="P959" s="225"/>
      <c r="V959" s="315"/>
      <c r="W959" s="315"/>
    </row>
    <row r="960" spans="10:23" ht="16">
      <c r="J960" s="314"/>
      <c r="M960" s="350"/>
      <c r="P960" s="225"/>
      <c r="V960" s="315"/>
      <c r="W960" s="315"/>
    </row>
    <row r="961" spans="10:23" ht="16">
      <c r="J961" s="314"/>
      <c r="M961" s="350"/>
      <c r="P961" s="225"/>
      <c r="V961" s="315"/>
      <c r="W961" s="315"/>
    </row>
    <row r="962" spans="10:23" ht="16">
      <c r="J962" s="314"/>
      <c r="M962" s="350"/>
      <c r="P962" s="225"/>
      <c r="V962" s="315"/>
      <c r="W962" s="315"/>
    </row>
    <row r="963" spans="10:23" ht="16">
      <c r="J963" s="314"/>
      <c r="M963" s="350"/>
      <c r="P963" s="225"/>
      <c r="V963" s="315"/>
      <c r="W963" s="315"/>
    </row>
    <row r="964" spans="10:23" ht="16">
      <c r="J964" s="314"/>
      <c r="M964" s="350"/>
      <c r="P964" s="225"/>
      <c r="V964" s="315"/>
      <c r="W964" s="315"/>
    </row>
    <row r="965" spans="10:23" ht="16">
      <c r="J965" s="314"/>
      <c r="M965" s="350"/>
      <c r="P965" s="225"/>
      <c r="V965" s="315"/>
      <c r="W965" s="315"/>
    </row>
    <row r="966" spans="10:23" ht="16">
      <c r="J966" s="314"/>
      <c r="M966" s="350"/>
      <c r="P966" s="225"/>
      <c r="V966" s="315"/>
      <c r="W966" s="315"/>
    </row>
    <row r="967" spans="10:23" ht="16">
      <c r="J967" s="314"/>
      <c r="M967" s="350"/>
      <c r="P967" s="225"/>
      <c r="V967" s="315"/>
      <c r="W967" s="315"/>
    </row>
    <row r="968" spans="10:23" ht="16">
      <c r="J968" s="314"/>
      <c r="M968" s="350"/>
      <c r="P968" s="225"/>
      <c r="V968" s="315"/>
      <c r="W968" s="315"/>
    </row>
    <row r="969" spans="10:23" ht="16">
      <c r="J969" s="314"/>
      <c r="M969" s="350"/>
      <c r="P969" s="225"/>
      <c r="V969" s="315"/>
      <c r="W969" s="315"/>
    </row>
    <row r="970" spans="10:23" ht="16">
      <c r="J970" s="314"/>
      <c r="M970" s="350"/>
      <c r="P970" s="225"/>
      <c r="V970" s="315"/>
      <c r="W970" s="315"/>
    </row>
    <row r="971" spans="10:23" ht="16">
      <c r="J971" s="314"/>
      <c r="M971" s="350"/>
      <c r="P971" s="225"/>
      <c r="V971" s="315"/>
      <c r="W971" s="315"/>
    </row>
    <row r="972" spans="10:23" ht="16">
      <c r="J972" s="314"/>
      <c r="M972" s="350"/>
      <c r="P972" s="225"/>
      <c r="V972" s="315"/>
      <c r="W972" s="315"/>
    </row>
    <row r="973" spans="10:23" ht="16">
      <c r="J973" s="314"/>
      <c r="M973" s="350"/>
      <c r="P973" s="225"/>
      <c r="V973" s="315"/>
      <c r="W973" s="315"/>
    </row>
    <row r="974" spans="10:23" ht="16">
      <c r="J974" s="314"/>
      <c r="M974" s="350"/>
      <c r="P974" s="225"/>
      <c r="V974" s="315"/>
      <c r="W974" s="315"/>
    </row>
    <row r="975" spans="10:23" ht="16">
      <c r="J975" s="314"/>
      <c r="M975" s="350"/>
      <c r="P975" s="225"/>
      <c r="V975" s="315"/>
      <c r="W975" s="315"/>
    </row>
    <row r="976" spans="10:23" ht="16">
      <c r="J976" s="314"/>
      <c r="M976" s="350"/>
      <c r="P976" s="225"/>
      <c r="V976" s="315"/>
      <c r="W976" s="315"/>
    </row>
    <row r="977" spans="10:23" ht="16">
      <c r="J977" s="314"/>
      <c r="M977" s="350"/>
      <c r="P977" s="225"/>
      <c r="V977" s="315"/>
      <c r="W977" s="315"/>
    </row>
    <row r="978" spans="10:23" ht="16">
      <c r="J978" s="314"/>
      <c r="M978" s="350"/>
      <c r="P978" s="225"/>
      <c r="V978" s="315"/>
      <c r="W978" s="315"/>
    </row>
    <row r="979" spans="10:23" ht="16">
      <c r="J979" s="314"/>
      <c r="M979" s="350"/>
      <c r="P979" s="225"/>
      <c r="V979" s="315"/>
      <c r="W979" s="315"/>
    </row>
    <row r="980" spans="10:23" ht="16">
      <c r="J980" s="314"/>
      <c r="M980" s="350"/>
      <c r="P980" s="225"/>
      <c r="V980" s="315"/>
      <c r="W980" s="315"/>
    </row>
    <row r="981" spans="10:23" ht="16">
      <c r="J981" s="314"/>
      <c r="M981" s="350"/>
      <c r="P981" s="225"/>
      <c r="V981" s="315"/>
      <c r="W981" s="315"/>
    </row>
    <row r="982" spans="10:23" ht="16">
      <c r="J982" s="314"/>
      <c r="M982" s="350"/>
      <c r="P982" s="225"/>
      <c r="V982" s="315"/>
      <c r="W982" s="315"/>
    </row>
    <row r="983" spans="10:23" ht="16">
      <c r="J983" s="314"/>
      <c r="M983" s="350"/>
      <c r="P983" s="225"/>
      <c r="V983" s="315"/>
      <c r="W983" s="315"/>
    </row>
    <row r="984" spans="10:23" ht="16">
      <c r="J984" s="314"/>
      <c r="M984" s="350"/>
      <c r="P984" s="225"/>
      <c r="V984" s="315"/>
      <c r="W984" s="315"/>
    </row>
    <row r="985" spans="10:23" ht="16">
      <c r="J985" s="314"/>
      <c r="M985" s="350"/>
      <c r="P985" s="225"/>
      <c r="V985" s="315"/>
      <c r="W985" s="315"/>
    </row>
    <row r="986" spans="10:23" ht="16">
      <c r="J986" s="314"/>
      <c r="M986" s="350"/>
      <c r="P986" s="225"/>
      <c r="V986" s="315"/>
      <c r="W986" s="315"/>
    </row>
    <row r="987" spans="10:23" ht="16">
      <c r="J987" s="314"/>
      <c r="M987" s="350"/>
      <c r="P987" s="225"/>
      <c r="V987" s="315"/>
      <c r="W987" s="315"/>
    </row>
    <row r="988" spans="10:23" ht="16">
      <c r="J988" s="314"/>
      <c r="M988" s="350"/>
      <c r="P988" s="225"/>
      <c r="V988" s="315"/>
      <c r="W988" s="315"/>
    </row>
    <row r="989" spans="10:23" ht="16">
      <c r="J989" s="314"/>
      <c r="M989" s="350"/>
      <c r="P989" s="225"/>
      <c r="V989" s="315"/>
      <c r="W989" s="315"/>
    </row>
    <row r="990" spans="10:23" ht="16">
      <c r="J990" s="314"/>
      <c r="M990" s="350"/>
      <c r="P990" s="225"/>
      <c r="V990" s="315"/>
      <c r="W990" s="315"/>
    </row>
    <row r="991" spans="10:23" ht="16">
      <c r="J991" s="314"/>
      <c r="M991" s="350"/>
      <c r="P991" s="225"/>
      <c r="V991" s="315"/>
      <c r="W991" s="315"/>
    </row>
    <row r="992" spans="10:23" ht="16">
      <c r="J992" s="314"/>
      <c r="M992" s="350"/>
      <c r="P992" s="225"/>
      <c r="V992" s="315"/>
      <c r="W992" s="315"/>
    </row>
    <row r="993" spans="10:23" ht="16">
      <c r="J993" s="314"/>
      <c r="M993" s="350"/>
      <c r="P993" s="225"/>
      <c r="V993" s="315"/>
      <c r="W993" s="315"/>
    </row>
    <row r="994" spans="10:23" ht="16">
      <c r="J994" s="314"/>
      <c r="M994" s="350"/>
      <c r="P994" s="225"/>
      <c r="V994" s="315"/>
      <c r="W994" s="315"/>
    </row>
    <row r="995" spans="10:23" ht="16">
      <c r="J995" s="314"/>
      <c r="M995" s="350"/>
      <c r="P995" s="225"/>
      <c r="V995" s="315"/>
      <c r="W995" s="315"/>
    </row>
    <row r="996" spans="10:23" ht="16">
      <c r="J996" s="314"/>
      <c r="M996" s="350"/>
      <c r="P996" s="225"/>
      <c r="V996" s="315"/>
      <c r="W996" s="315"/>
    </row>
    <row r="997" spans="10:23" ht="16">
      <c r="J997" s="314"/>
      <c r="M997" s="350"/>
      <c r="P997" s="225"/>
      <c r="V997" s="315"/>
      <c r="W997" s="315"/>
    </row>
    <row r="998" spans="10:23" ht="16">
      <c r="J998" s="314"/>
      <c r="M998" s="350"/>
      <c r="P998" s="225"/>
      <c r="V998" s="315"/>
      <c r="W998" s="315"/>
    </row>
    <row r="999" spans="10:23" ht="16">
      <c r="J999" s="314"/>
      <c r="M999" s="350"/>
      <c r="P999" s="225"/>
      <c r="V999" s="315"/>
      <c r="W999" s="315"/>
    </row>
    <row r="1000" spans="10:23" ht="16">
      <c r="J1000" s="314"/>
      <c r="M1000" s="350"/>
      <c r="P1000" s="225"/>
      <c r="V1000" s="315"/>
      <c r="W1000" s="315"/>
    </row>
    <row r="1001" spans="10:23" ht="16">
      <c r="J1001" s="314"/>
      <c r="M1001" s="350"/>
      <c r="P1001" s="225"/>
      <c r="V1001" s="315"/>
      <c r="W1001" s="315"/>
    </row>
    <row r="1002" spans="10:23" ht="16">
      <c r="J1002" s="314"/>
      <c r="M1002" s="350"/>
      <c r="P1002" s="225"/>
      <c r="V1002" s="315"/>
      <c r="W1002" s="315"/>
    </row>
    <row r="1003" spans="10:23" ht="16">
      <c r="J1003" s="314"/>
      <c r="M1003" s="350"/>
      <c r="P1003" s="225"/>
      <c r="V1003" s="315"/>
      <c r="W1003" s="315"/>
    </row>
    <row r="1004" spans="10:23" ht="16">
      <c r="J1004" s="314"/>
      <c r="M1004" s="350"/>
      <c r="P1004" s="225"/>
      <c r="V1004" s="315"/>
      <c r="W1004" s="315"/>
    </row>
    <row r="1005" spans="10:23" ht="16">
      <c r="J1005" s="314"/>
      <c r="M1005" s="350"/>
      <c r="P1005" s="225"/>
      <c r="V1005" s="315"/>
      <c r="W1005" s="315"/>
    </row>
    <row r="1006" spans="10:23" ht="16">
      <c r="J1006" s="314"/>
      <c r="M1006" s="350"/>
      <c r="P1006" s="225"/>
      <c r="V1006" s="315"/>
      <c r="W1006" s="315"/>
    </row>
    <row r="1007" spans="10:23" ht="16">
      <c r="J1007" s="314"/>
      <c r="M1007" s="350"/>
      <c r="P1007" s="225"/>
      <c r="V1007" s="315"/>
      <c r="W1007" s="315"/>
    </row>
    <row r="1008" spans="10:23" ht="16">
      <c r="J1008" s="314"/>
      <c r="M1008" s="350"/>
      <c r="V1008" s="316"/>
      <c r="W1008" s="316"/>
    </row>
    <row r="1009" spans="10:23" ht="16">
      <c r="J1009" s="314"/>
      <c r="M1009" s="350"/>
      <c r="V1009" s="316"/>
      <c r="W1009" s="316"/>
    </row>
    <row r="1010" spans="10:23" ht="16">
      <c r="J1010" s="314"/>
      <c r="M1010" s="350"/>
      <c r="V1010" s="316"/>
      <c r="W1010" s="316"/>
    </row>
    <row r="1011" spans="10:23" ht="16">
      <c r="J1011" s="314"/>
      <c r="M1011" s="350"/>
      <c r="V1011" s="316"/>
      <c r="W1011" s="316"/>
    </row>
  </sheetData>
  <mergeCells count="3">
    <mergeCell ref="A1:W1"/>
    <mergeCell ref="B6:F6"/>
    <mergeCell ref="H7:I7"/>
  </mergeCells>
  <conditionalFormatting sqref="E2">
    <cfRule type="notContainsBlanks" dxfId="6" priority="1">
      <formula>LEN(TRIM(E2))&gt;0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W1011"/>
  <sheetViews>
    <sheetView workbookViewId="0">
      <pane ySplit="6" topLeftCell="A133" activePane="bottomLeft" state="frozen"/>
      <selection pane="bottomLeft" activeCell="M11" sqref="M11"/>
    </sheetView>
  </sheetViews>
  <sheetFormatPr baseColWidth="10" defaultColWidth="14.5" defaultRowHeight="15" customHeight="1"/>
  <cols>
    <col min="1" max="1" width="2" customWidth="1"/>
    <col min="2" max="2" width="13.6640625" customWidth="1"/>
    <col min="3" max="4" width="12.33203125" customWidth="1"/>
    <col min="5" max="5" width="21.1640625" customWidth="1"/>
    <col min="6" max="6" width="16.83203125" customWidth="1"/>
    <col min="7" max="7" width="68" customWidth="1"/>
    <col min="8" max="8" width="6.83203125" customWidth="1"/>
    <col min="9" max="9" width="5.5" customWidth="1"/>
    <col min="10" max="10" width="12.5" customWidth="1"/>
    <col min="11" max="11" width="10.6640625" customWidth="1"/>
    <col min="12" max="12" width="4.5" customWidth="1"/>
    <col min="13" max="13" width="12.33203125" customWidth="1"/>
    <col min="14" max="14" width="5.5" customWidth="1"/>
    <col min="15" max="15" width="4.5" customWidth="1"/>
    <col min="16" max="16" width="12.5" customWidth="1"/>
    <col min="17" max="17" width="4.83203125" customWidth="1"/>
    <col min="18" max="18" width="17.6640625" customWidth="1"/>
    <col min="19" max="19" width="20.1640625" customWidth="1"/>
    <col min="20" max="20" width="6.1640625" customWidth="1"/>
    <col min="21" max="22" width="23.33203125" customWidth="1"/>
  </cols>
  <sheetData>
    <row r="1" spans="1:23" ht="50.25" customHeight="1">
      <c r="A1" s="543"/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  <c r="O1" s="543"/>
      <c r="P1" s="543"/>
      <c r="Q1" s="543"/>
      <c r="R1" s="543"/>
      <c r="S1" s="543"/>
      <c r="T1" s="543"/>
      <c r="U1" s="543"/>
      <c r="V1" s="543"/>
      <c r="W1" s="1"/>
    </row>
    <row r="2" spans="1:23" ht="16">
      <c r="A2" s="1"/>
      <c r="B2" s="318" t="s">
        <v>1</v>
      </c>
      <c r="C2" s="319">
        <v>850000</v>
      </c>
      <c r="D2" s="319"/>
      <c r="E2" s="320">
        <f>C3/C2</f>
        <v>0.94605705882352942</v>
      </c>
      <c r="F2" s="405">
        <f ca="1">MONTH(TODAY())</f>
        <v>1</v>
      </c>
      <c r="G2" s="14"/>
      <c r="H2" s="90"/>
      <c r="I2" s="90"/>
      <c r="J2" s="90"/>
      <c r="K2" s="90"/>
      <c r="L2" s="90"/>
      <c r="M2" s="321"/>
      <c r="N2" s="90"/>
      <c r="O2" s="90"/>
      <c r="P2" s="90"/>
      <c r="Q2" s="90"/>
      <c r="R2" s="90"/>
      <c r="S2" s="90"/>
      <c r="T2" s="90"/>
      <c r="U2" s="90"/>
      <c r="V2" s="90"/>
      <c r="W2" s="1"/>
    </row>
    <row r="3" spans="1:23" ht="16">
      <c r="A3" s="1"/>
      <c r="B3" s="322" t="s">
        <v>2</v>
      </c>
      <c r="C3" s="319">
        <f>SUM(K8:K253)</f>
        <v>804148.5</v>
      </c>
      <c r="D3" s="319"/>
      <c r="E3" s="323" t="s">
        <v>3</v>
      </c>
      <c r="F3" s="406"/>
      <c r="G3" s="406"/>
      <c r="H3" s="299"/>
      <c r="I3" s="299"/>
      <c r="J3" s="299"/>
      <c r="K3" s="299"/>
      <c r="L3" s="299"/>
      <c r="M3" s="325"/>
      <c r="N3" s="299"/>
      <c r="O3" s="299"/>
      <c r="P3" s="299"/>
      <c r="Q3" s="299"/>
      <c r="R3" s="299"/>
      <c r="S3" s="299"/>
      <c r="T3" s="299"/>
      <c r="U3" s="299"/>
      <c r="V3" s="299"/>
      <c r="W3" s="1"/>
    </row>
    <row r="4" spans="1:23">
      <c r="A4" s="1"/>
      <c r="B4" s="326" t="s">
        <v>2218</v>
      </c>
      <c r="C4" s="326">
        <f ca="1">(E5-TODAY())</f>
        <v>-188</v>
      </c>
      <c r="D4" s="326"/>
      <c r="E4" s="17"/>
      <c r="F4" s="407"/>
      <c r="H4" s="90"/>
      <c r="I4" s="90"/>
      <c r="J4" s="90"/>
      <c r="K4" s="90"/>
      <c r="L4" s="90"/>
      <c r="M4" s="321"/>
      <c r="N4" s="90"/>
      <c r="O4" s="90"/>
      <c r="P4" s="90"/>
      <c r="Q4" s="90"/>
      <c r="R4" s="90"/>
      <c r="S4" s="90"/>
      <c r="T4" s="90"/>
      <c r="U4" s="90"/>
      <c r="V4" s="90"/>
      <c r="W4" s="1"/>
    </row>
    <row r="5" spans="1:23" ht="16">
      <c r="A5" s="1"/>
      <c r="B5" s="328" t="s">
        <v>6</v>
      </c>
      <c r="C5" s="329">
        <f ca="1">TODAY()</f>
        <v>46026</v>
      </c>
      <c r="D5" s="328"/>
      <c r="E5" s="330">
        <v>45838</v>
      </c>
      <c r="F5" s="408"/>
      <c r="G5" s="299"/>
      <c r="H5" s="90"/>
      <c r="I5" s="90"/>
      <c r="J5" s="300"/>
      <c r="K5" s="300"/>
      <c r="L5" s="90"/>
      <c r="M5" s="321"/>
      <c r="N5" s="301"/>
      <c r="O5" s="302"/>
      <c r="P5" s="303"/>
      <c r="Q5" s="90"/>
      <c r="R5" s="304"/>
      <c r="S5" s="304"/>
      <c r="T5" s="90"/>
      <c r="U5" s="305"/>
      <c r="V5" s="305"/>
      <c r="W5" s="1"/>
    </row>
    <row r="6" spans="1:23" ht="22">
      <c r="A6" s="1"/>
      <c r="B6" s="549" t="s">
        <v>2734</v>
      </c>
      <c r="C6" s="537"/>
      <c r="D6" s="537"/>
      <c r="E6" s="537"/>
      <c r="F6" s="537"/>
      <c r="G6" s="26"/>
      <c r="H6" s="23"/>
      <c r="I6" s="23"/>
      <c r="J6" s="23"/>
      <c r="K6" s="23"/>
      <c r="L6" s="23"/>
      <c r="M6" s="331"/>
      <c r="N6" s="23"/>
      <c r="O6" s="24"/>
      <c r="P6" s="211"/>
      <c r="Q6" s="23"/>
      <c r="R6" s="332"/>
      <c r="S6" s="127"/>
      <c r="T6" s="26"/>
      <c r="U6" s="306"/>
      <c r="V6" s="306"/>
      <c r="W6" s="1"/>
    </row>
    <row r="7" spans="1:23" ht="14.25" customHeight="1">
      <c r="A7" s="98"/>
      <c r="B7" s="38" t="s">
        <v>18</v>
      </c>
      <c r="C7" s="38" t="s">
        <v>3442</v>
      </c>
      <c r="D7" s="38" t="s">
        <v>19</v>
      </c>
      <c r="E7" s="38" t="s">
        <v>20</v>
      </c>
      <c r="F7" s="38" t="s">
        <v>21</v>
      </c>
      <c r="G7" s="38" t="s">
        <v>2018</v>
      </c>
      <c r="H7" s="538" t="s">
        <v>22</v>
      </c>
      <c r="I7" s="528"/>
      <c r="J7" s="40"/>
      <c r="K7" s="41" t="s">
        <v>23</v>
      </c>
      <c r="L7" s="42"/>
      <c r="M7" s="333"/>
      <c r="N7" s="43"/>
      <c r="O7" s="44"/>
      <c r="P7" s="213"/>
      <c r="Q7" s="45"/>
      <c r="R7" s="128"/>
      <c r="S7" s="307" t="s">
        <v>3443</v>
      </c>
      <c r="T7" s="47"/>
      <c r="U7" s="307"/>
      <c r="V7" s="307"/>
      <c r="W7" s="100" t="s">
        <v>24</v>
      </c>
    </row>
    <row r="8" spans="1:23" ht="16.5" customHeight="1">
      <c r="A8" s="1"/>
      <c r="B8" s="71" t="s">
        <v>5036</v>
      </c>
      <c r="C8" s="53" t="s">
        <v>4717</v>
      </c>
      <c r="D8" s="53" t="s">
        <v>51</v>
      </c>
      <c r="E8" s="53" t="s">
        <v>89</v>
      </c>
      <c r="F8" s="53" t="s">
        <v>1872</v>
      </c>
      <c r="G8" s="131" t="s">
        <v>5037</v>
      </c>
      <c r="H8" s="131" t="s">
        <v>30</v>
      </c>
      <c r="I8" s="69">
        <v>1</v>
      </c>
      <c r="J8" s="70">
        <v>10000</v>
      </c>
      <c r="K8" s="54">
        <f t="shared" ref="K8:K197" si="0">I8*J8</f>
        <v>10000</v>
      </c>
      <c r="L8" s="55" t="b">
        <v>1</v>
      </c>
      <c r="M8" s="56">
        <v>10520252047</v>
      </c>
      <c r="N8" s="57" t="b">
        <v>1</v>
      </c>
      <c r="O8" s="58" t="s">
        <v>529</v>
      </c>
      <c r="P8" s="215"/>
      <c r="Q8" s="191" t="b">
        <v>1</v>
      </c>
      <c r="R8" s="389" t="s">
        <v>4528</v>
      </c>
      <c r="S8" s="337"/>
      <c r="T8" s="57" t="b">
        <v>1</v>
      </c>
      <c r="U8" s="310" t="s">
        <v>4719</v>
      </c>
      <c r="V8" s="307"/>
      <c r="W8" s="54"/>
    </row>
    <row r="9" spans="1:23" ht="16.5" customHeight="1">
      <c r="A9" s="18"/>
      <c r="B9" s="71" t="s">
        <v>5038</v>
      </c>
      <c r="C9" s="151" t="s">
        <v>3521</v>
      </c>
      <c r="D9" s="151" t="s">
        <v>144</v>
      </c>
      <c r="E9" s="151" t="s">
        <v>5039</v>
      </c>
      <c r="F9" s="151" t="s">
        <v>5040</v>
      </c>
      <c r="G9" s="334" t="s">
        <v>5041</v>
      </c>
      <c r="H9" s="131" t="s">
        <v>30</v>
      </c>
      <c r="I9" s="334">
        <v>15</v>
      </c>
      <c r="J9" s="335">
        <v>625</v>
      </c>
      <c r="K9" s="54">
        <f t="shared" si="0"/>
        <v>9375</v>
      </c>
      <c r="L9" s="55" t="b">
        <v>1</v>
      </c>
      <c r="M9" s="409">
        <v>20620251119</v>
      </c>
      <c r="N9" s="57" t="b">
        <v>1</v>
      </c>
      <c r="O9" s="58"/>
      <c r="P9" s="226"/>
      <c r="Q9" s="191" t="b">
        <v>1</v>
      </c>
      <c r="R9" s="389" t="s">
        <v>4528</v>
      </c>
      <c r="S9" s="337" t="s">
        <v>5042</v>
      </c>
      <c r="T9" s="57" t="b">
        <v>1</v>
      </c>
      <c r="U9" s="310" t="s">
        <v>5043</v>
      </c>
      <c r="V9" s="345"/>
      <c r="W9" s="54"/>
    </row>
    <row r="10" spans="1:23" ht="16.5" customHeight="1">
      <c r="A10" s="18"/>
      <c r="B10" s="71" t="s">
        <v>5038</v>
      </c>
      <c r="C10" s="151" t="s">
        <v>4135</v>
      </c>
      <c r="D10" s="151" t="s">
        <v>26</v>
      </c>
      <c r="E10" s="151" t="s">
        <v>27</v>
      </c>
      <c r="F10" s="151" t="s">
        <v>1590</v>
      </c>
      <c r="G10" s="340" t="s">
        <v>429</v>
      </c>
      <c r="H10" s="131" t="s">
        <v>30</v>
      </c>
      <c r="I10" s="151">
        <v>10</v>
      </c>
      <c r="J10" s="364">
        <v>1750</v>
      </c>
      <c r="K10" s="54">
        <f t="shared" si="0"/>
        <v>17500</v>
      </c>
      <c r="L10" s="55" t="b">
        <v>1</v>
      </c>
      <c r="M10" s="409">
        <v>20620251202</v>
      </c>
      <c r="N10" s="57" t="b">
        <v>1</v>
      </c>
      <c r="O10" s="58"/>
      <c r="P10" s="215"/>
      <c r="Q10" s="191" t="b">
        <v>1</v>
      </c>
      <c r="R10" s="308" t="s">
        <v>3138</v>
      </c>
      <c r="S10" s="347"/>
      <c r="T10" s="57" t="b">
        <v>1</v>
      </c>
      <c r="U10" s="310" t="s">
        <v>5044</v>
      </c>
      <c r="V10" s="345" t="s">
        <v>5045</v>
      </c>
      <c r="W10" s="54"/>
    </row>
    <row r="11" spans="1:23" ht="16">
      <c r="A11" s="162"/>
      <c r="B11" s="71" t="s">
        <v>5038</v>
      </c>
      <c r="C11" s="151" t="s">
        <v>3601</v>
      </c>
      <c r="D11" s="151" t="s">
        <v>523</v>
      </c>
      <c r="E11" s="151" t="s">
        <v>524</v>
      </c>
      <c r="F11" s="151" t="s">
        <v>525</v>
      </c>
      <c r="G11" s="151" t="s">
        <v>677</v>
      </c>
      <c r="H11" s="131" t="s">
        <v>30</v>
      </c>
      <c r="I11" s="151">
        <v>15</v>
      </c>
      <c r="J11" s="335">
        <v>150</v>
      </c>
      <c r="K11" s="54">
        <f t="shared" si="0"/>
        <v>2250</v>
      </c>
      <c r="L11" s="55" t="b">
        <v>1</v>
      </c>
      <c r="M11" s="409">
        <v>20620261334</v>
      </c>
      <c r="N11" s="57" t="b">
        <v>1</v>
      </c>
      <c r="O11" s="58"/>
      <c r="P11" s="226"/>
      <c r="Q11" s="191" t="b">
        <v>1</v>
      </c>
      <c r="R11" s="308" t="s">
        <v>3138</v>
      </c>
      <c r="S11" s="337" t="s">
        <v>5046</v>
      </c>
      <c r="T11" s="57" t="b">
        <v>1</v>
      </c>
      <c r="U11" s="310" t="s">
        <v>5047</v>
      </c>
      <c r="V11" s="345"/>
      <c r="W11" s="54"/>
    </row>
    <row r="12" spans="1:23" ht="16">
      <c r="A12" s="162"/>
      <c r="B12" s="71" t="s">
        <v>5048</v>
      </c>
      <c r="C12" s="151" t="s">
        <v>3445</v>
      </c>
      <c r="D12" s="151" t="s">
        <v>262</v>
      </c>
      <c r="E12" s="151" t="s">
        <v>3446</v>
      </c>
      <c r="F12" s="151" t="s">
        <v>3447</v>
      </c>
      <c r="G12" s="151" t="s">
        <v>68</v>
      </c>
      <c r="H12" s="131" t="s">
        <v>30</v>
      </c>
      <c r="I12" s="151">
        <v>1</v>
      </c>
      <c r="J12" s="335">
        <v>2350</v>
      </c>
      <c r="K12" s="54">
        <f t="shared" si="0"/>
        <v>2350</v>
      </c>
      <c r="L12" s="55" t="b">
        <v>1</v>
      </c>
      <c r="M12" s="409">
        <v>30620251011</v>
      </c>
      <c r="N12" s="57" t="b">
        <v>1</v>
      </c>
      <c r="O12" s="58"/>
      <c r="P12" s="226"/>
      <c r="Q12" s="191" t="b">
        <v>1</v>
      </c>
      <c r="R12" s="389" t="s">
        <v>4528</v>
      </c>
      <c r="S12" s="337"/>
      <c r="T12" s="57" t="b">
        <v>1</v>
      </c>
      <c r="U12" s="310" t="s">
        <v>5049</v>
      </c>
      <c r="V12" s="345"/>
      <c r="W12" s="54"/>
    </row>
    <row r="13" spans="1:23" ht="16">
      <c r="A13" s="162"/>
      <c r="B13" s="71" t="s">
        <v>5048</v>
      </c>
      <c r="C13" s="151" t="s">
        <v>3458</v>
      </c>
      <c r="D13" s="151" t="s">
        <v>51</v>
      </c>
      <c r="E13" s="151" t="s">
        <v>201</v>
      </c>
      <c r="F13" s="151" t="s">
        <v>607</v>
      </c>
      <c r="G13" s="151" t="s">
        <v>4548</v>
      </c>
      <c r="H13" s="131" t="s">
        <v>30</v>
      </c>
      <c r="I13" s="151">
        <v>500</v>
      </c>
      <c r="J13" s="335">
        <v>22.5</v>
      </c>
      <c r="K13" s="54">
        <f t="shared" si="0"/>
        <v>11250</v>
      </c>
      <c r="L13" s="55" t="b">
        <v>1</v>
      </c>
      <c r="M13" s="409">
        <v>30620251036</v>
      </c>
      <c r="N13" s="57" t="b">
        <v>1</v>
      </c>
      <c r="O13" s="58"/>
      <c r="P13" s="215"/>
      <c r="Q13" s="191" t="b">
        <v>1</v>
      </c>
      <c r="R13" s="389" t="s">
        <v>4528</v>
      </c>
      <c r="S13" s="337" t="s">
        <v>5050</v>
      </c>
      <c r="T13" s="57" t="b">
        <v>1</v>
      </c>
      <c r="U13" s="310" t="s">
        <v>5051</v>
      </c>
      <c r="V13" s="345"/>
      <c r="W13" s="54"/>
    </row>
    <row r="14" spans="1:23" ht="16">
      <c r="A14" s="162"/>
      <c r="B14" s="71" t="s">
        <v>5048</v>
      </c>
      <c r="C14" s="151" t="s">
        <v>5052</v>
      </c>
      <c r="D14" s="151" t="s">
        <v>104</v>
      </c>
      <c r="E14" s="151" t="s">
        <v>1048</v>
      </c>
      <c r="F14" s="151" t="s">
        <v>5053</v>
      </c>
      <c r="G14" s="151" t="s">
        <v>5041</v>
      </c>
      <c r="H14" s="131" t="s">
        <v>30</v>
      </c>
      <c r="I14" s="151">
        <v>5</v>
      </c>
      <c r="J14" s="335">
        <v>650</v>
      </c>
      <c r="K14" s="54">
        <f t="shared" si="0"/>
        <v>3250</v>
      </c>
      <c r="L14" s="55" t="b">
        <v>1</v>
      </c>
      <c r="M14" s="409">
        <v>30620251155</v>
      </c>
      <c r="N14" s="57" t="b">
        <v>1</v>
      </c>
      <c r="O14" s="58"/>
      <c r="P14" s="215"/>
      <c r="Q14" s="191" t="b">
        <v>1</v>
      </c>
      <c r="R14" s="308" t="s">
        <v>3138</v>
      </c>
      <c r="S14" s="337" t="s">
        <v>5054</v>
      </c>
      <c r="T14" s="57" t="b">
        <v>1</v>
      </c>
      <c r="U14" s="310" t="s">
        <v>5055</v>
      </c>
      <c r="V14" s="345"/>
      <c r="W14" s="54"/>
    </row>
    <row r="15" spans="1:23" ht="14.25" customHeight="1">
      <c r="A15" s="162"/>
      <c r="B15" s="71" t="s">
        <v>5048</v>
      </c>
      <c r="C15" s="151" t="s">
        <v>5052</v>
      </c>
      <c r="D15" s="151" t="s">
        <v>104</v>
      </c>
      <c r="E15" s="151" t="s">
        <v>1048</v>
      </c>
      <c r="F15" s="151" t="s">
        <v>5053</v>
      </c>
      <c r="G15" s="151" t="s">
        <v>199</v>
      </c>
      <c r="H15" s="131" t="s">
        <v>30</v>
      </c>
      <c r="I15" s="151">
        <v>10</v>
      </c>
      <c r="J15" s="335">
        <v>75</v>
      </c>
      <c r="K15" s="54">
        <f t="shared" si="0"/>
        <v>750</v>
      </c>
      <c r="L15" s="55" t="b">
        <v>1</v>
      </c>
      <c r="M15" s="409">
        <v>30620251155</v>
      </c>
      <c r="N15" s="57" t="b">
        <v>1</v>
      </c>
      <c r="O15" s="58"/>
      <c r="P15" s="215"/>
      <c r="Q15" s="191" t="b">
        <v>1</v>
      </c>
      <c r="R15" s="308" t="s">
        <v>3138</v>
      </c>
      <c r="S15" s="337" t="s">
        <v>5054</v>
      </c>
      <c r="T15" s="57" t="b">
        <v>1</v>
      </c>
      <c r="U15" s="310" t="s">
        <v>5055</v>
      </c>
      <c r="V15" s="345"/>
      <c r="W15" s="54"/>
    </row>
    <row r="16" spans="1:23" ht="16">
      <c r="A16" s="162"/>
      <c r="B16" s="71" t="s">
        <v>5048</v>
      </c>
      <c r="C16" s="151" t="s">
        <v>5052</v>
      </c>
      <c r="D16" s="151" t="s">
        <v>104</v>
      </c>
      <c r="E16" s="151" t="s">
        <v>1048</v>
      </c>
      <c r="F16" s="151" t="s">
        <v>5053</v>
      </c>
      <c r="G16" s="151" t="s">
        <v>5056</v>
      </c>
      <c r="H16" s="131" t="s">
        <v>30</v>
      </c>
      <c r="I16" s="151">
        <v>20</v>
      </c>
      <c r="J16" s="335">
        <v>150</v>
      </c>
      <c r="K16" s="54">
        <f t="shared" si="0"/>
        <v>3000</v>
      </c>
      <c r="L16" s="55" t="b">
        <v>1</v>
      </c>
      <c r="M16" s="409">
        <v>30620251155</v>
      </c>
      <c r="N16" s="57" t="b">
        <v>1</v>
      </c>
      <c r="O16" s="58"/>
      <c r="P16" s="49"/>
      <c r="Q16" s="191" t="b">
        <v>1</v>
      </c>
      <c r="R16" s="308" t="s">
        <v>3138</v>
      </c>
      <c r="S16" s="337" t="s">
        <v>5054</v>
      </c>
      <c r="T16" s="57" t="b">
        <v>1</v>
      </c>
      <c r="U16" s="310" t="s">
        <v>5055</v>
      </c>
      <c r="V16" s="345"/>
      <c r="W16" s="54"/>
    </row>
    <row r="17" spans="1:23" ht="16">
      <c r="A17" s="162"/>
      <c r="B17" s="71" t="s">
        <v>5048</v>
      </c>
      <c r="C17" s="151" t="s">
        <v>5052</v>
      </c>
      <c r="D17" s="151" t="s">
        <v>104</v>
      </c>
      <c r="E17" s="151" t="s">
        <v>1048</v>
      </c>
      <c r="F17" s="151" t="s">
        <v>5053</v>
      </c>
      <c r="G17" s="151" t="s">
        <v>5057</v>
      </c>
      <c r="H17" s="131" t="s">
        <v>30</v>
      </c>
      <c r="I17" s="151">
        <v>10</v>
      </c>
      <c r="J17" s="335">
        <v>135</v>
      </c>
      <c r="K17" s="54">
        <f t="shared" si="0"/>
        <v>1350</v>
      </c>
      <c r="L17" s="55" t="b">
        <v>1</v>
      </c>
      <c r="M17" s="409">
        <v>30620251157</v>
      </c>
      <c r="N17" s="57" t="b">
        <v>1</v>
      </c>
      <c r="O17" s="58"/>
      <c r="P17" s="215"/>
      <c r="Q17" s="191" t="b">
        <v>1</v>
      </c>
      <c r="R17" s="308" t="s">
        <v>3138</v>
      </c>
      <c r="S17" s="337" t="s">
        <v>5054</v>
      </c>
      <c r="T17" s="57" t="b">
        <v>1</v>
      </c>
      <c r="U17" s="310" t="s">
        <v>5055</v>
      </c>
      <c r="V17" s="345"/>
      <c r="W17" s="54"/>
    </row>
    <row r="18" spans="1:23" ht="16">
      <c r="A18" s="162"/>
      <c r="B18" s="71" t="s">
        <v>5048</v>
      </c>
      <c r="C18" s="151" t="s">
        <v>4135</v>
      </c>
      <c r="D18" s="151" t="s">
        <v>26</v>
      </c>
      <c r="E18" s="151" t="s">
        <v>27</v>
      </c>
      <c r="F18" s="151" t="s">
        <v>28</v>
      </c>
      <c r="G18" s="151" t="s">
        <v>1952</v>
      </c>
      <c r="H18" s="131" t="s">
        <v>30</v>
      </c>
      <c r="I18" s="151">
        <v>10</v>
      </c>
      <c r="J18" s="335">
        <v>650</v>
      </c>
      <c r="K18" s="54">
        <f t="shared" si="0"/>
        <v>6500</v>
      </c>
      <c r="L18" s="55" t="b">
        <v>1</v>
      </c>
      <c r="M18" s="409">
        <v>30620251159</v>
      </c>
      <c r="N18" s="57" t="b">
        <v>1</v>
      </c>
      <c r="O18" s="58" t="s">
        <v>39</v>
      </c>
      <c r="P18" s="226">
        <v>45811</v>
      </c>
      <c r="Q18" s="191" t="b">
        <v>1</v>
      </c>
      <c r="R18" s="308" t="s">
        <v>3138</v>
      </c>
      <c r="S18" s="347"/>
      <c r="T18" s="57" t="b">
        <v>1</v>
      </c>
      <c r="U18" s="310" t="s">
        <v>5058</v>
      </c>
      <c r="V18" s="345"/>
      <c r="W18" s="54"/>
    </row>
    <row r="19" spans="1:23" ht="16">
      <c r="A19" s="162"/>
      <c r="B19" s="71" t="s">
        <v>5048</v>
      </c>
      <c r="C19" s="151" t="s">
        <v>3527</v>
      </c>
      <c r="D19" s="151" t="s">
        <v>51</v>
      </c>
      <c r="E19" s="151" t="s">
        <v>338</v>
      </c>
      <c r="F19" s="151" t="s">
        <v>3351</v>
      </c>
      <c r="G19" s="151" t="s">
        <v>139</v>
      </c>
      <c r="H19" s="131" t="s">
        <v>30</v>
      </c>
      <c r="I19" s="151">
        <v>30</v>
      </c>
      <c r="J19" s="335">
        <v>31</v>
      </c>
      <c r="K19" s="54">
        <f t="shared" si="0"/>
        <v>930</v>
      </c>
      <c r="L19" s="55" t="b">
        <v>1</v>
      </c>
      <c r="M19" s="409">
        <v>30620251227</v>
      </c>
      <c r="N19" s="57" t="b">
        <v>1</v>
      </c>
      <c r="O19" s="58"/>
      <c r="P19" s="215"/>
      <c r="Q19" s="191" t="b">
        <v>1</v>
      </c>
      <c r="R19" s="308" t="s">
        <v>3138</v>
      </c>
      <c r="S19" s="337" t="s">
        <v>5059</v>
      </c>
      <c r="T19" s="57" t="b">
        <v>1</v>
      </c>
      <c r="U19" s="310" t="s">
        <v>5060</v>
      </c>
      <c r="V19" s="345"/>
      <c r="W19" s="54"/>
    </row>
    <row r="20" spans="1:23" ht="16">
      <c r="A20" s="162"/>
      <c r="B20" s="71" t="s">
        <v>5048</v>
      </c>
      <c r="C20" s="151" t="s">
        <v>4135</v>
      </c>
      <c r="D20" s="151" t="s">
        <v>26</v>
      </c>
      <c r="E20" s="151" t="s">
        <v>27</v>
      </c>
      <c r="F20" s="151" t="s">
        <v>28</v>
      </c>
      <c r="G20" s="106" t="s">
        <v>5061</v>
      </c>
      <c r="H20" s="131" t="s">
        <v>30</v>
      </c>
      <c r="I20" s="151">
        <v>5</v>
      </c>
      <c r="J20" s="335">
        <v>2275</v>
      </c>
      <c r="K20" s="54">
        <f t="shared" si="0"/>
        <v>11375</v>
      </c>
      <c r="L20" s="55" t="b">
        <v>1</v>
      </c>
      <c r="M20" s="409">
        <v>30620251324</v>
      </c>
      <c r="N20" s="57" t="b">
        <v>1</v>
      </c>
      <c r="O20" s="58"/>
      <c r="P20" s="226"/>
      <c r="Q20" s="191" t="b">
        <v>1</v>
      </c>
      <c r="R20" s="308" t="s">
        <v>3138</v>
      </c>
      <c r="S20" s="337" t="s">
        <v>5062</v>
      </c>
      <c r="T20" s="57" t="b">
        <v>1</v>
      </c>
      <c r="U20" s="310" t="s">
        <v>5060</v>
      </c>
      <c r="V20" s="345"/>
      <c r="W20" s="54"/>
    </row>
    <row r="21" spans="1:23" ht="16">
      <c r="A21" s="162"/>
      <c r="B21" s="71" t="s">
        <v>5048</v>
      </c>
      <c r="C21" s="151" t="s">
        <v>4135</v>
      </c>
      <c r="D21" s="151" t="s">
        <v>26</v>
      </c>
      <c r="E21" s="151" t="s">
        <v>27</v>
      </c>
      <c r="F21" s="151" t="s">
        <v>28</v>
      </c>
      <c r="G21" s="151" t="s">
        <v>5063</v>
      </c>
      <c r="H21" s="131" t="s">
        <v>30</v>
      </c>
      <c r="I21" s="151">
        <v>100</v>
      </c>
      <c r="J21" s="335">
        <v>115</v>
      </c>
      <c r="K21" s="54">
        <f t="shared" si="0"/>
        <v>11500</v>
      </c>
      <c r="L21" s="55" t="b">
        <v>1</v>
      </c>
      <c r="M21" s="409">
        <v>30620251324</v>
      </c>
      <c r="N21" s="57" t="b">
        <v>1</v>
      </c>
      <c r="O21" s="58" t="s">
        <v>529</v>
      </c>
      <c r="P21" s="226">
        <v>45818</v>
      </c>
      <c r="Q21" s="191" t="b">
        <v>1</v>
      </c>
      <c r="R21" s="308" t="s">
        <v>3138</v>
      </c>
      <c r="S21" s="173" t="s">
        <v>5064</v>
      </c>
      <c r="T21" s="57" t="b">
        <v>1</v>
      </c>
      <c r="U21" s="310" t="s">
        <v>5065</v>
      </c>
      <c r="V21" s="345"/>
      <c r="W21" s="54"/>
    </row>
    <row r="22" spans="1:23" ht="16">
      <c r="A22" s="162"/>
      <c r="B22" s="71" t="s">
        <v>5048</v>
      </c>
      <c r="C22" s="151" t="s">
        <v>4135</v>
      </c>
      <c r="D22" s="151" t="s">
        <v>26</v>
      </c>
      <c r="E22" s="151" t="s">
        <v>27</v>
      </c>
      <c r="F22" s="151" t="s">
        <v>28</v>
      </c>
      <c r="G22" s="151" t="s">
        <v>5066</v>
      </c>
      <c r="H22" s="131" t="s">
        <v>30</v>
      </c>
      <c r="I22" s="151">
        <v>25</v>
      </c>
      <c r="J22" s="335">
        <v>125</v>
      </c>
      <c r="K22" s="54">
        <f t="shared" si="0"/>
        <v>3125</v>
      </c>
      <c r="L22" s="55" t="b">
        <v>1</v>
      </c>
      <c r="M22" s="409">
        <v>30620251324</v>
      </c>
      <c r="N22" s="57" t="b">
        <v>1</v>
      </c>
      <c r="O22" s="58" t="s">
        <v>529</v>
      </c>
      <c r="P22" s="226">
        <v>45818</v>
      </c>
      <c r="Q22" s="191" t="b">
        <v>1</v>
      </c>
      <c r="R22" s="308" t="s">
        <v>3138</v>
      </c>
      <c r="S22" s="173" t="s">
        <v>5064</v>
      </c>
      <c r="T22" s="57" t="b">
        <v>1</v>
      </c>
      <c r="U22" s="310" t="s">
        <v>5065</v>
      </c>
      <c r="V22" s="345"/>
      <c r="W22" s="54"/>
    </row>
    <row r="23" spans="1:23" ht="16">
      <c r="A23" s="162"/>
      <c r="B23" s="132" t="s">
        <v>5048</v>
      </c>
      <c r="C23" s="151" t="s">
        <v>4173</v>
      </c>
      <c r="D23" s="151" t="s">
        <v>149</v>
      </c>
      <c r="E23" s="151" t="s">
        <v>130</v>
      </c>
      <c r="F23" s="151" t="s">
        <v>150</v>
      </c>
      <c r="G23" s="151" t="s">
        <v>5067</v>
      </c>
      <c r="H23" s="131" t="s">
        <v>30</v>
      </c>
      <c r="I23" s="151">
        <v>5</v>
      </c>
      <c r="J23" s="335">
        <v>900</v>
      </c>
      <c r="K23" s="54">
        <f t="shared" si="0"/>
        <v>4500</v>
      </c>
      <c r="L23" s="55" t="b">
        <v>1</v>
      </c>
      <c r="M23" s="409">
        <v>30620251437</v>
      </c>
      <c r="N23" s="57" t="b">
        <v>1</v>
      </c>
      <c r="O23" s="58"/>
      <c r="P23" s="215"/>
      <c r="Q23" s="191" t="b">
        <v>1</v>
      </c>
      <c r="R23" s="308" t="s">
        <v>3138</v>
      </c>
      <c r="S23" s="337" t="s">
        <v>5068</v>
      </c>
      <c r="T23" s="57" t="b">
        <v>1</v>
      </c>
      <c r="U23" s="310" t="s">
        <v>5069</v>
      </c>
      <c r="V23" s="345"/>
      <c r="W23" s="54"/>
    </row>
    <row r="24" spans="1:23" ht="16">
      <c r="A24" s="162"/>
      <c r="B24" s="132" t="s">
        <v>5048</v>
      </c>
      <c r="C24" s="53" t="s">
        <v>4717</v>
      </c>
      <c r="D24" s="53" t="s">
        <v>51</v>
      </c>
      <c r="E24" s="53" t="s">
        <v>89</v>
      </c>
      <c r="F24" s="53" t="s">
        <v>1872</v>
      </c>
      <c r="G24" s="151" t="s">
        <v>1952</v>
      </c>
      <c r="H24" s="131" t="s">
        <v>30</v>
      </c>
      <c r="I24" s="151">
        <v>16</v>
      </c>
      <c r="J24" s="335">
        <v>625</v>
      </c>
      <c r="K24" s="54">
        <f t="shared" si="0"/>
        <v>10000</v>
      </c>
      <c r="L24" s="55" t="b">
        <v>1</v>
      </c>
      <c r="M24" s="409">
        <v>30620251200</v>
      </c>
      <c r="N24" s="57" t="b">
        <v>1</v>
      </c>
      <c r="O24" s="58"/>
      <c r="P24" s="215"/>
      <c r="Q24" s="191" t="b">
        <v>1</v>
      </c>
      <c r="R24" s="308" t="s">
        <v>3138</v>
      </c>
      <c r="S24" s="347"/>
      <c r="T24" s="57" t="b">
        <v>1</v>
      </c>
      <c r="U24" s="310" t="s">
        <v>5070</v>
      </c>
      <c r="V24" s="345" t="s">
        <v>5071</v>
      </c>
      <c r="W24" s="54"/>
    </row>
    <row r="25" spans="1:23" ht="16">
      <c r="A25" s="162"/>
      <c r="B25" s="132" t="s">
        <v>5048</v>
      </c>
      <c r="C25" s="53" t="s">
        <v>4717</v>
      </c>
      <c r="D25" s="53" t="s">
        <v>51</v>
      </c>
      <c r="E25" s="53" t="s">
        <v>89</v>
      </c>
      <c r="F25" s="53" t="s">
        <v>1872</v>
      </c>
      <c r="G25" s="151" t="s">
        <v>5072</v>
      </c>
      <c r="H25" s="131" t="s">
        <v>30</v>
      </c>
      <c r="I25" s="151">
        <v>50</v>
      </c>
      <c r="J25" s="335">
        <v>270</v>
      </c>
      <c r="K25" s="54">
        <f t="shared" si="0"/>
        <v>13500</v>
      </c>
      <c r="L25" s="55" t="b">
        <v>1</v>
      </c>
      <c r="M25" s="409">
        <v>30620251200</v>
      </c>
      <c r="N25" s="57" t="b">
        <v>1</v>
      </c>
      <c r="O25" s="58"/>
      <c r="P25" s="215"/>
      <c r="Q25" s="191" t="b">
        <v>1</v>
      </c>
      <c r="R25" s="308" t="s">
        <v>3138</v>
      </c>
      <c r="S25" s="347"/>
      <c r="T25" s="57" t="b">
        <v>1</v>
      </c>
      <c r="U25" s="310" t="s">
        <v>5073</v>
      </c>
      <c r="V25" s="345" t="s">
        <v>5071</v>
      </c>
      <c r="W25" s="54"/>
    </row>
    <row r="26" spans="1:23" ht="16">
      <c r="A26" s="162"/>
      <c r="B26" s="132" t="s">
        <v>5048</v>
      </c>
      <c r="C26" s="53" t="s">
        <v>4717</v>
      </c>
      <c r="D26" s="53" t="s">
        <v>51</v>
      </c>
      <c r="E26" s="53" t="s">
        <v>89</v>
      </c>
      <c r="F26" s="53" t="s">
        <v>1872</v>
      </c>
      <c r="G26" s="151" t="s">
        <v>5074</v>
      </c>
      <c r="H26" s="131" t="s">
        <v>30</v>
      </c>
      <c r="I26" s="151">
        <v>5</v>
      </c>
      <c r="J26" s="335">
        <v>300</v>
      </c>
      <c r="K26" s="54">
        <f t="shared" si="0"/>
        <v>1500</v>
      </c>
      <c r="L26" s="55" t="b">
        <v>1</v>
      </c>
      <c r="M26" s="409">
        <v>30620251200</v>
      </c>
      <c r="N26" s="57" t="b">
        <v>1</v>
      </c>
      <c r="O26" s="58"/>
      <c r="P26" s="215"/>
      <c r="Q26" s="191" t="b">
        <v>1</v>
      </c>
      <c r="R26" s="308" t="s">
        <v>3138</v>
      </c>
      <c r="S26" s="347"/>
      <c r="T26" s="57" t="b">
        <v>1</v>
      </c>
      <c r="U26" s="310" t="s">
        <v>5073</v>
      </c>
      <c r="V26" s="345" t="s">
        <v>5071</v>
      </c>
      <c r="W26" s="54"/>
    </row>
    <row r="27" spans="1:23" ht="13.5" customHeight="1">
      <c r="A27" s="162"/>
      <c r="B27" s="71" t="s">
        <v>5075</v>
      </c>
      <c r="C27" s="151" t="s">
        <v>3534</v>
      </c>
      <c r="D27" s="151" t="s">
        <v>418</v>
      </c>
      <c r="E27" s="151" t="s">
        <v>1069</v>
      </c>
      <c r="F27" s="151" t="s">
        <v>420</v>
      </c>
      <c r="G27" s="151" t="s">
        <v>2627</v>
      </c>
      <c r="H27" s="131" t="s">
        <v>30</v>
      </c>
      <c r="I27" s="151">
        <v>7</v>
      </c>
      <c r="J27" s="335">
        <v>775</v>
      </c>
      <c r="K27" s="54">
        <f t="shared" si="0"/>
        <v>5425</v>
      </c>
      <c r="L27" s="55" t="b">
        <v>1</v>
      </c>
      <c r="M27" s="409">
        <v>40620251309</v>
      </c>
      <c r="N27" s="57" t="b">
        <v>1</v>
      </c>
      <c r="O27" s="58"/>
      <c r="P27" s="215"/>
      <c r="Q27" s="191" t="b">
        <v>1</v>
      </c>
      <c r="R27" s="308" t="s">
        <v>3138</v>
      </c>
      <c r="S27" s="173" t="s">
        <v>5076</v>
      </c>
      <c r="T27" s="57" t="b">
        <v>1</v>
      </c>
      <c r="U27" s="310" t="s">
        <v>5077</v>
      </c>
      <c r="V27" s="345"/>
      <c r="W27" s="54"/>
    </row>
    <row r="28" spans="1:23" ht="16">
      <c r="A28" s="162"/>
      <c r="B28" s="71" t="s">
        <v>5075</v>
      </c>
      <c r="C28" s="151" t="s">
        <v>3534</v>
      </c>
      <c r="D28" s="151" t="s">
        <v>418</v>
      </c>
      <c r="E28" s="151" t="s">
        <v>1069</v>
      </c>
      <c r="F28" s="151" t="s">
        <v>420</v>
      </c>
      <c r="G28" s="151" t="s">
        <v>677</v>
      </c>
      <c r="H28" s="131" t="s">
        <v>30</v>
      </c>
      <c r="I28" s="151">
        <v>30</v>
      </c>
      <c r="J28" s="335">
        <v>150</v>
      </c>
      <c r="K28" s="54">
        <f t="shared" si="0"/>
        <v>4500</v>
      </c>
      <c r="L28" s="55" t="b">
        <v>1</v>
      </c>
      <c r="M28" s="409">
        <v>40620251311</v>
      </c>
      <c r="N28" s="57" t="b">
        <v>1</v>
      </c>
      <c r="O28" s="58"/>
      <c r="P28" s="215"/>
      <c r="Q28" s="191" t="b">
        <v>1</v>
      </c>
      <c r="R28" s="308" t="s">
        <v>3138</v>
      </c>
      <c r="S28" s="173" t="s">
        <v>5078</v>
      </c>
      <c r="T28" s="57" t="b">
        <v>1</v>
      </c>
      <c r="U28" s="310" t="s">
        <v>5079</v>
      </c>
      <c r="V28" s="345"/>
      <c r="W28" s="54"/>
    </row>
    <row r="29" spans="1:23" ht="16">
      <c r="A29" s="162"/>
      <c r="B29" s="71" t="s">
        <v>5075</v>
      </c>
      <c r="C29" s="151" t="s">
        <v>3445</v>
      </c>
      <c r="D29" s="151" t="s">
        <v>262</v>
      </c>
      <c r="E29" s="151" t="s">
        <v>3446</v>
      </c>
      <c r="F29" s="151" t="s">
        <v>3447</v>
      </c>
      <c r="G29" s="410" t="s">
        <v>5080</v>
      </c>
      <c r="H29" s="131" t="s">
        <v>30</v>
      </c>
      <c r="I29" s="151">
        <v>20</v>
      </c>
      <c r="J29" s="335">
        <v>250</v>
      </c>
      <c r="K29" s="54">
        <f t="shared" si="0"/>
        <v>5000</v>
      </c>
      <c r="L29" s="55" t="b">
        <v>1</v>
      </c>
      <c r="M29" s="409">
        <v>40620251642</v>
      </c>
      <c r="N29" s="57" t="b">
        <v>1</v>
      </c>
      <c r="O29" s="58" t="s">
        <v>2968</v>
      </c>
      <c r="P29" s="226">
        <v>45818</v>
      </c>
      <c r="Q29" s="191" t="b">
        <v>1</v>
      </c>
      <c r="R29" s="308" t="s">
        <v>3138</v>
      </c>
      <c r="S29" s="173" t="s">
        <v>5081</v>
      </c>
      <c r="T29" s="57" t="b">
        <v>1</v>
      </c>
      <c r="U29" s="310" t="s">
        <v>5082</v>
      </c>
      <c r="V29" s="345"/>
      <c r="W29" s="54"/>
    </row>
    <row r="30" spans="1:23" ht="16">
      <c r="A30" s="162"/>
      <c r="B30" s="71" t="s">
        <v>5083</v>
      </c>
      <c r="C30" s="151" t="s">
        <v>3589</v>
      </c>
      <c r="D30" s="151" t="s">
        <v>397</v>
      </c>
      <c r="E30" s="151" t="s">
        <v>213</v>
      </c>
      <c r="F30" s="151" t="s">
        <v>859</v>
      </c>
      <c r="G30" s="151" t="s">
        <v>4391</v>
      </c>
      <c r="H30" s="131" t="s">
        <v>30</v>
      </c>
      <c r="I30" s="151">
        <v>10</v>
      </c>
      <c r="J30" s="335">
        <v>650</v>
      </c>
      <c r="K30" s="54">
        <f t="shared" si="0"/>
        <v>6500</v>
      </c>
      <c r="L30" s="55" t="b">
        <v>1</v>
      </c>
      <c r="M30" s="409">
        <v>50620251110</v>
      </c>
      <c r="N30" s="57" t="b">
        <v>1</v>
      </c>
      <c r="O30" s="58" t="s">
        <v>39</v>
      </c>
      <c r="P30" s="226">
        <v>45818</v>
      </c>
      <c r="Q30" s="191" t="b">
        <v>1</v>
      </c>
      <c r="R30" s="308" t="s">
        <v>3138</v>
      </c>
      <c r="S30" s="347"/>
      <c r="T30" s="57" t="b">
        <v>1</v>
      </c>
      <c r="U30" s="310" t="s">
        <v>5084</v>
      </c>
      <c r="V30" s="345"/>
      <c r="W30" s="54"/>
    </row>
    <row r="31" spans="1:23" ht="15.75" customHeight="1">
      <c r="A31" s="162"/>
      <c r="B31" s="132" t="s">
        <v>5083</v>
      </c>
      <c r="C31" s="151" t="s">
        <v>3589</v>
      </c>
      <c r="D31" s="151" t="s">
        <v>397</v>
      </c>
      <c r="E31" s="151" t="s">
        <v>213</v>
      </c>
      <c r="F31" s="151" t="s">
        <v>859</v>
      </c>
      <c r="G31" s="151" t="s">
        <v>442</v>
      </c>
      <c r="H31" s="131" t="s">
        <v>30</v>
      </c>
      <c r="I31" s="151">
        <v>24</v>
      </c>
      <c r="J31" s="335">
        <v>60</v>
      </c>
      <c r="K31" s="54">
        <f t="shared" si="0"/>
        <v>1440</v>
      </c>
      <c r="L31" s="55" t="b">
        <v>1</v>
      </c>
      <c r="M31" s="409">
        <v>50620251110</v>
      </c>
      <c r="N31" s="57" t="b">
        <v>1</v>
      </c>
      <c r="O31" s="58"/>
      <c r="P31" s="215"/>
      <c r="Q31" s="191" t="b">
        <v>1</v>
      </c>
      <c r="R31" s="308" t="s">
        <v>3138</v>
      </c>
      <c r="S31" s="173" t="s">
        <v>5085</v>
      </c>
      <c r="T31" s="57" t="b">
        <v>1</v>
      </c>
      <c r="U31" s="310" t="s">
        <v>5086</v>
      </c>
      <c r="V31" s="345"/>
      <c r="W31" s="54"/>
    </row>
    <row r="32" spans="1:23" ht="15.75" customHeight="1">
      <c r="A32" s="162"/>
      <c r="B32" s="132" t="s">
        <v>5083</v>
      </c>
      <c r="C32" s="151" t="s">
        <v>3589</v>
      </c>
      <c r="D32" s="151" t="s">
        <v>397</v>
      </c>
      <c r="E32" s="151" t="s">
        <v>213</v>
      </c>
      <c r="F32" s="151" t="s">
        <v>859</v>
      </c>
      <c r="G32" s="151" t="s">
        <v>2285</v>
      </c>
      <c r="H32" s="131" t="s">
        <v>30</v>
      </c>
      <c r="I32" s="151">
        <v>50</v>
      </c>
      <c r="J32" s="335">
        <v>280</v>
      </c>
      <c r="K32" s="54">
        <f t="shared" si="0"/>
        <v>14000</v>
      </c>
      <c r="L32" s="55" t="b">
        <v>1</v>
      </c>
      <c r="M32" s="409">
        <v>50620251246</v>
      </c>
      <c r="N32" s="57" t="b">
        <v>1</v>
      </c>
      <c r="O32" s="58"/>
      <c r="P32" s="215"/>
      <c r="Q32" s="191" t="b">
        <v>1</v>
      </c>
      <c r="R32" s="308" t="s">
        <v>3138</v>
      </c>
      <c r="S32" s="347"/>
      <c r="T32" s="57" t="b">
        <v>1</v>
      </c>
      <c r="U32" s="310" t="s">
        <v>5087</v>
      </c>
      <c r="V32" s="345"/>
      <c r="W32" s="54"/>
    </row>
    <row r="33" spans="1:23" ht="15.75" customHeight="1">
      <c r="A33" s="162"/>
      <c r="B33" s="132" t="s">
        <v>5083</v>
      </c>
      <c r="C33" s="151" t="s">
        <v>3589</v>
      </c>
      <c r="D33" s="151" t="s">
        <v>397</v>
      </c>
      <c r="E33" s="151" t="s">
        <v>213</v>
      </c>
      <c r="F33" s="151" t="s">
        <v>859</v>
      </c>
      <c r="G33" s="151" t="s">
        <v>72</v>
      </c>
      <c r="H33" s="131" t="s">
        <v>30</v>
      </c>
      <c r="I33" s="151">
        <v>1</v>
      </c>
      <c r="J33" s="335">
        <v>750</v>
      </c>
      <c r="K33" s="54">
        <f t="shared" si="0"/>
        <v>750</v>
      </c>
      <c r="L33" s="55" t="b">
        <v>1</v>
      </c>
      <c r="M33" s="409">
        <v>50620251246</v>
      </c>
      <c r="N33" s="57" t="b">
        <v>1</v>
      </c>
      <c r="O33" s="58"/>
      <c r="P33" s="226"/>
      <c r="Q33" s="191" t="b">
        <v>1</v>
      </c>
      <c r="R33" s="308" t="s">
        <v>3138</v>
      </c>
      <c r="S33" s="411"/>
      <c r="T33" s="57" t="b">
        <v>1</v>
      </c>
      <c r="U33" s="310" t="s">
        <v>5087</v>
      </c>
      <c r="V33" s="345"/>
      <c r="W33" s="54"/>
    </row>
    <row r="34" spans="1:23" ht="15.75" customHeight="1">
      <c r="A34" s="162"/>
      <c r="B34" s="132" t="s">
        <v>5088</v>
      </c>
      <c r="C34" s="151" t="s">
        <v>5089</v>
      </c>
      <c r="D34" s="151" t="s">
        <v>104</v>
      </c>
      <c r="E34" s="151" t="s">
        <v>5090</v>
      </c>
      <c r="F34" s="151" t="s">
        <v>114</v>
      </c>
      <c r="G34" s="151" t="s">
        <v>4391</v>
      </c>
      <c r="H34" s="131" t="s">
        <v>30</v>
      </c>
      <c r="I34" s="151">
        <v>10</v>
      </c>
      <c r="J34" s="335">
        <v>650</v>
      </c>
      <c r="K34" s="54">
        <f t="shared" si="0"/>
        <v>6500</v>
      </c>
      <c r="L34" s="55" t="b">
        <v>1</v>
      </c>
      <c r="M34" s="409">
        <v>60620251743</v>
      </c>
      <c r="N34" s="57" t="b">
        <v>1</v>
      </c>
      <c r="O34" s="58" t="s">
        <v>39</v>
      </c>
      <c r="P34" s="226">
        <v>45818</v>
      </c>
      <c r="Q34" s="191" t="b">
        <v>1</v>
      </c>
      <c r="R34" s="308" t="s">
        <v>3138</v>
      </c>
      <c r="S34" s="411"/>
      <c r="T34" s="57" t="b">
        <v>1</v>
      </c>
      <c r="U34" s="310" t="s">
        <v>5091</v>
      </c>
      <c r="V34" s="345"/>
      <c r="W34" s="54"/>
    </row>
    <row r="35" spans="1:23" ht="15.75" customHeight="1">
      <c r="A35" s="162"/>
      <c r="B35" s="71" t="s">
        <v>5092</v>
      </c>
      <c r="C35" s="151" t="s">
        <v>4095</v>
      </c>
      <c r="D35" s="151" t="s">
        <v>345</v>
      </c>
      <c r="E35" s="151" t="s">
        <v>342</v>
      </c>
      <c r="F35" s="151" t="s">
        <v>2228</v>
      </c>
      <c r="G35" s="151" t="s">
        <v>5093</v>
      </c>
      <c r="H35" s="131" t="s">
        <v>30</v>
      </c>
      <c r="I35" s="151">
        <v>5</v>
      </c>
      <c r="J35" s="335">
        <v>150</v>
      </c>
      <c r="K35" s="54">
        <f t="shared" si="0"/>
        <v>750</v>
      </c>
      <c r="L35" s="55" t="b">
        <v>1</v>
      </c>
      <c r="M35" s="409">
        <v>90620251743</v>
      </c>
      <c r="N35" s="57" t="b">
        <v>1</v>
      </c>
      <c r="O35" s="58" t="s">
        <v>2968</v>
      </c>
      <c r="P35" s="226">
        <v>45818</v>
      </c>
      <c r="Q35" s="191" t="b">
        <v>1</v>
      </c>
      <c r="R35" s="308" t="s">
        <v>3138</v>
      </c>
      <c r="S35" s="347"/>
      <c r="T35" s="57" t="b">
        <v>1</v>
      </c>
      <c r="U35" s="310" t="s">
        <v>5094</v>
      </c>
      <c r="V35" s="345"/>
      <c r="W35" s="54"/>
    </row>
    <row r="36" spans="1:23" ht="15.75" customHeight="1">
      <c r="A36" s="162"/>
      <c r="B36" s="71" t="s">
        <v>5092</v>
      </c>
      <c r="C36" s="151" t="s">
        <v>4289</v>
      </c>
      <c r="D36" s="151" t="s">
        <v>104</v>
      </c>
      <c r="E36" s="151" t="s">
        <v>620</v>
      </c>
      <c r="F36" s="151" t="s">
        <v>621</v>
      </c>
      <c r="G36" s="53" t="s">
        <v>101</v>
      </c>
      <c r="H36" s="131" t="s">
        <v>30</v>
      </c>
      <c r="I36" s="53">
        <v>20</v>
      </c>
      <c r="J36" s="188">
        <v>975</v>
      </c>
      <c r="K36" s="54">
        <f t="shared" si="0"/>
        <v>19500</v>
      </c>
      <c r="L36" s="55" t="b">
        <v>1</v>
      </c>
      <c r="M36" s="409">
        <v>90620251743</v>
      </c>
      <c r="N36" s="57" t="b">
        <v>1</v>
      </c>
      <c r="O36" s="58" t="s">
        <v>529</v>
      </c>
      <c r="P36" s="226">
        <v>45818</v>
      </c>
      <c r="Q36" s="191" t="b">
        <v>1</v>
      </c>
      <c r="R36" s="357" t="s">
        <v>3138</v>
      </c>
      <c r="S36" s="173" t="s">
        <v>5095</v>
      </c>
      <c r="T36" s="57" t="b">
        <v>1</v>
      </c>
      <c r="U36" s="310" t="s">
        <v>5096</v>
      </c>
      <c r="V36" s="345"/>
      <c r="W36" s="54"/>
    </row>
    <row r="37" spans="1:23" ht="15.75" customHeight="1">
      <c r="A37" s="162"/>
      <c r="B37" s="71" t="s">
        <v>5092</v>
      </c>
      <c r="C37" s="151" t="s">
        <v>4289</v>
      </c>
      <c r="D37" s="151" t="s">
        <v>104</v>
      </c>
      <c r="E37" s="151" t="s">
        <v>620</v>
      </c>
      <c r="F37" s="151" t="s">
        <v>621</v>
      </c>
      <c r="G37" s="53" t="s">
        <v>72</v>
      </c>
      <c r="H37" s="131" t="s">
        <v>30</v>
      </c>
      <c r="I37" s="53">
        <v>1</v>
      </c>
      <c r="J37" s="188">
        <v>1500</v>
      </c>
      <c r="K37" s="54">
        <f t="shared" si="0"/>
        <v>1500</v>
      </c>
      <c r="L37" s="55" t="b">
        <v>1</v>
      </c>
      <c r="M37" s="409">
        <v>90620251743</v>
      </c>
      <c r="N37" s="57" t="b">
        <v>1</v>
      </c>
      <c r="O37" s="58"/>
      <c r="P37" s="226"/>
      <c r="Q37" s="191" t="b">
        <v>1</v>
      </c>
      <c r="R37" s="357" t="s">
        <v>3138</v>
      </c>
      <c r="S37" s="173"/>
      <c r="T37" s="57" t="b">
        <v>1</v>
      </c>
      <c r="U37" s="310" t="s">
        <v>5097</v>
      </c>
      <c r="V37" s="345"/>
      <c r="W37" s="54"/>
    </row>
    <row r="38" spans="1:23" ht="15.75" customHeight="1">
      <c r="A38" s="162"/>
      <c r="B38" s="71" t="s">
        <v>5092</v>
      </c>
      <c r="C38" s="151" t="s">
        <v>4289</v>
      </c>
      <c r="D38" s="151" t="s">
        <v>104</v>
      </c>
      <c r="E38" s="151" t="s">
        <v>620</v>
      </c>
      <c r="F38" s="151" t="s">
        <v>621</v>
      </c>
      <c r="G38" s="53" t="s">
        <v>5098</v>
      </c>
      <c r="H38" s="131" t="s">
        <v>30</v>
      </c>
      <c r="I38" s="53">
        <v>10</v>
      </c>
      <c r="J38" s="188">
        <v>350</v>
      </c>
      <c r="K38" s="54">
        <f t="shared" si="0"/>
        <v>3500</v>
      </c>
      <c r="L38" s="55" t="b">
        <v>1</v>
      </c>
      <c r="M38" s="409">
        <v>90620251743</v>
      </c>
      <c r="N38" s="57" t="b">
        <v>1</v>
      </c>
      <c r="O38" s="58" t="s">
        <v>529</v>
      </c>
      <c r="P38" s="226">
        <v>45818</v>
      </c>
      <c r="Q38" s="191" t="b">
        <v>1</v>
      </c>
      <c r="R38" s="308" t="s">
        <v>3138</v>
      </c>
      <c r="S38" s="173" t="s">
        <v>5099</v>
      </c>
      <c r="T38" s="57" t="b">
        <v>1</v>
      </c>
      <c r="U38" s="310" t="s">
        <v>5100</v>
      </c>
      <c r="V38" s="345"/>
      <c r="W38" s="54"/>
    </row>
    <row r="39" spans="1:23" ht="15.75" customHeight="1">
      <c r="A39" s="162"/>
      <c r="B39" s="71" t="s">
        <v>5092</v>
      </c>
      <c r="C39" s="151" t="s">
        <v>4289</v>
      </c>
      <c r="D39" s="151" t="s">
        <v>104</v>
      </c>
      <c r="E39" s="151" t="s">
        <v>620</v>
      </c>
      <c r="F39" s="151" t="s">
        <v>621</v>
      </c>
      <c r="G39" s="53" t="s">
        <v>5101</v>
      </c>
      <c r="H39" s="131" t="s">
        <v>30</v>
      </c>
      <c r="I39" s="53">
        <v>10</v>
      </c>
      <c r="J39" s="188">
        <v>375</v>
      </c>
      <c r="K39" s="54">
        <f t="shared" si="0"/>
        <v>3750</v>
      </c>
      <c r="L39" s="55" t="b">
        <v>1</v>
      </c>
      <c r="M39" s="409">
        <v>90620251743</v>
      </c>
      <c r="N39" s="57" t="b">
        <v>1</v>
      </c>
      <c r="O39" s="58" t="s">
        <v>529</v>
      </c>
      <c r="P39" s="226">
        <v>45818</v>
      </c>
      <c r="Q39" s="191" t="b">
        <v>1</v>
      </c>
      <c r="R39" s="308" t="s">
        <v>3138</v>
      </c>
      <c r="S39" s="173" t="s">
        <v>5099</v>
      </c>
      <c r="T39" s="57" t="b">
        <v>1</v>
      </c>
      <c r="U39" s="310" t="s">
        <v>5100</v>
      </c>
      <c r="V39" s="345"/>
      <c r="W39" s="54"/>
    </row>
    <row r="40" spans="1:23" ht="16">
      <c r="A40" s="162"/>
      <c r="B40" s="71" t="s">
        <v>5092</v>
      </c>
      <c r="C40" s="151" t="s">
        <v>4099</v>
      </c>
      <c r="D40" s="151" t="s">
        <v>51</v>
      </c>
      <c r="E40" s="151" t="s">
        <v>594</v>
      </c>
      <c r="F40" s="151" t="s">
        <v>595</v>
      </c>
      <c r="G40" s="151" t="s">
        <v>5102</v>
      </c>
      <c r="H40" s="131" t="s">
        <v>30</v>
      </c>
      <c r="I40" s="151">
        <v>24</v>
      </c>
      <c r="J40" s="335">
        <v>150</v>
      </c>
      <c r="K40" s="54">
        <f t="shared" si="0"/>
        <v>3600</v>
      </c>
      <c r="L40" s="55" t="b">
        <v>1</v>
      </c>
      <c r="M40" s="409">
        <v>90620251743</v>
      </c>
      <c r="N40" s="57" t="b">
        <v>1</v>
      </c>
      <c r="O40" s="58" t="s">
        <v>2968</v>
      </c>
      <c r="P40" s="226">
        <v>45818</v>
      </c>
      <c r="Q40" s="191" t="b">
        <v>1</v>
      </c>
      <c r="R40" s="308" t="s">
        <v>3138</v>
      </c>
      <c r="S40" s="347"/>
      <c r="T40" s="57" t="b">
        <v>1</v>
      </c>
      <c r="U40" s="310" t="s">
        <v>5103</v>
      </c>
      <c r="V40" s="345"/>
      <c r="W40" s="54"/>
    </row>
    <row r="41" spans="1:23" ht="16">
      <c r="A41" s="162"/>
      <c r="B41" s="71" t="s">
        <v>5104</v>
      </c>
      <c r="C41" s="151" t="s">
        <v>4742</v>
      </c>
      <c r="D41" s="151" t="s">
        <v>2152</v>
      </c>
      <c r="E41" s="151" t="s">
        <v>2153</v>
      </c>
      <c r="F41" s="151" t="s">
        <v>3853</v>
      </c>
      <c r="G41" s="151" t="s">
        <v>5105</v>
      </c>
      <c r="H41" s="131" t="s">
        <v>30</v>
      </c>
      <c r="I41" s="151">
        <v>10</v>
      </c>
      <c r="J41" s="335">
        <v>625</v>
      </c>
      <c r="K41" s="54">
        <f t="shared" si="0"/>
        <v>6250</v>
      </c>
      <c r="L41" s="55" t="b">
        <v>1</v>
      </c>
      <c r="M41" s="409">
        <v>100620251000</v>
      </c>
      <c r="N41" s="57" t="b">
        <v>1</v>
      </c>
      <c r="O41" s="58" t="s">
        <v>529</v>
      </c>
      <c r="P41" s="226">
        <v>45818</v>
      </c>
      <c r="Q41" s="191" t="b">
        <v>1</v>
      </c>
      <c r="R41" s="308" t="s">
        <v>3138</v>
      </c>
      <c r="S41" s="173" t="s">
        <v>5106</v>
      </c>
      <c r="T41" s="57" t="b">
        <v>1</v>
      </c>
      <c r="U41" s="310" t="s">
        <v>5107</v>
      </c>
      <c r="V41" s="345"/>
      <c r="W41" s="54"/>
    </row>
    <row r="42" spans="1:23" ht="16">
      <c r="A42" s="162"/>
      <c r="B42" s="71" t="s">
        <v>5104</v>
      </c>
      <c r="C42" s="151" t="s">
        <v>3476</v>
      </c>
      <c r="D42" s="151" t="s">
        <v>1886</v>
      </c>
      <c r="E42" s="151" t="s">
        <v>434</v>
      </c>
      <c r="F42" s="151" t="s">
        <v>1754</v>
      </c>
      <c r="G42" s="334" t="s">
        <v>300</v>
      </c>
      <c r="H42" s="131" t="s">
        <v>30</v>
      </c>
      <c r="I42" s="151">
        <v>10</v>
      </c>
      <c r="J42" s="335">
        <v>150</v>
      </c>
      <c r="K42" s="54">
        <f t="shared" si="0"/>
        <v>1500</v>
      </c>
      <c r="L42" s="55" t="b">
        <v>1</v>
      </c>
      <c r="M42" s="409">
        <v>100620251517</v>
      </c>
      <c r="N42" s="57" t="b">
        <v>1</v>
      </c>
      <c r="O42" s="58"/>
      <c r="P42" s="215"/>
      <c r="Q42" s="191" t="b">
        <v>1</v>
      </c>
      <c r="R42" s="308" t="s">
        <v>3138</v>
      </c>
      <c r="S42" s="173" t="s">
        <v>5108</v>
      </c>
      <c r="T42" s="57" t="b">
        <v>1</v>
      </c>
      <c r="U42" s="310" t="s">
        <v>5109</v>
      </c>
      <c r="V42" s="345"/>
      <c r="W42" s="54"/>
    </row>
    <row r="43" spans="1:23" ht="16">
      <c r="A43" s="162"/>
      <c r="B43" s="71" t="s">
        <v>5104</v>
      </c>
      <c r="C43" s="151" t="s">
        <v>3697</v>
      </c>
      <c r="D43" s="151" t="s">
        <v>194</v>
      </c>
      <c r="E43" s="151" t="s">
        <v>195</v>
      </c>
      <c r="F43" s="151" t="s">
        <v>196</v>
      </c>
      <c r="G43" s="151" t="s">
        <v>1952</v>
      </c>
      <c r="H43" s="131" t="s">
        <v>30</v>
      </c>
      <c r="I43" s="151">
        <v>10</v>
      </c>
      <c r="J43" s="335">
        <v>650</v>
      </c>
      <c r="K43" s="54">
        <f t="shared" si="0"/>
        <v>6500</v>
      </c>
      <c r="L43" s="55" t="b">
        <v>1</v>
      </c>
      <c r="M43" s="409">
        <v>100620252036</v>
      </c>
      <c r="N43" s="57" t="b">
        <v>1</v>
      </c>
      <c r="O43" s="58" t="s">
        <v>39</v>
      </c>
      <c r="P43" s="215"/>
      <c r="Q43" s="191" t="b">
        <v>1</v>
      </c>
      <c r="R43" s="308" t="s">
        <v>3138</v>
      </c>
      <c r="S43" s="347"/>
      <c r="T43" s="57" t="b">
        <v>1</v>
      </c>
      <c r="U43" s="310" t="s">
        <v>5110</v>
      </c>
      <c r="V43" s="345"/>
      <c r="W43" s="54"/>
    </row>
    <row r="44" spans="1:23" ht="16">
      <c r="A44" s="162"/>
      <c r="B44" s="71" t="s">
        <v>5104</v>
      </c>
      <c r="C44" s="151" t="s">
        <v>3697</v>
      </c>
      <c r="D44" s="151" t="s">
        <v>194</v>
      </c>
      <c r="E44" s="151" t="s">
        <v>195</v>
      </c>
      <c r="F44" s="151" t="s">
        <v>196</v>
      </c>
      <c r="G44" s="53" t="s">
        <v>3878</v>
      </c>
      <c r="H44" s="131" t="s">
        <v>30</v>
      </c>
      <c r="I44" s="151">
        <v>12</v>
      </c>
      <c r="J44" s="335">
        <v>290</v>
      </c>
      <c r="K44" s="54">
        <f t="shared" si="0"/>
        <v>3480</v>
      </c>
      <c r="L44" s="55" t="b">
        <v>1</v>
      </c>
      <c r="M44" s="409">
        <v>100620252036</v>
      </c>
      <c r="N44" s="57" t="b">
        <v>1</v>
      </c>
      <c r="O44" s="58" t="s">
        <v>3300</v>
      </c>
      <c r="P44" s="226">
        <v>45821</v>
      </c>
      <c r="Q44" s="191" t="b">
        <v>1</v>
      </c>
      <c r="R44" s="308" t="s">
        <v>3138</v>
      </c>
      <c r="S44" s="347"/>
      <c r="T44" s="57" t="b">
        <v>1</v>
      </c>
      <c r="U44" s="310" t="s">
        <v>5111</v>
      </c>
      <c r="V44" s="345"/>
      <c r="W44" s="54"/>
    </row>
    <row r="45" spans="1:23" ht="16">
      <c r="A45" s="162"/>
      <c r="B45" s="71" t="s">
        <v>5104</v>
      </c>
      <c r="C45" s="151" t="s">
        <v>4051</v>
      </c>
      <c r="D45" s="151" t="s">
        <v>418</v>
      </c>
      <c r="E45" s="151" t="s">
        <v>42</v>
      </c>
      <c r="F45" s="151" t="s">
        <v>4052</v>
      </c>
      <c r="G45" s="151" t="s">
        <v>5112</v>
      </c>
      <c r="H45" s="131" t="s">
        <v>30</v>
      </c>
      <c r="I45" s="151">
        <v>17</v>
      </c>
      <c r="J45" s="335">
        <v>150</v>
      </c>
      <c r="K45" s="54">
        <f t="shared" si="0"/>
        <v>2550</v>
      </c>
      <c r="L45" s="55" t="b">
        <v>1</v>
      </c>
      <c r="M45" s="409">
        <v>100620252036</v>
      </c>
      <c r="N45" s="57" t="b">
        <v>1</v>
      </c>
      <c r="O45" s="58"/>
      <c r="P45" s="226">
        <v>45819</v>
      </c>
      <c r="Q45" s="191" t="b">
        <v>1</v>
      </c>
      <c r="R45" s="308" t="s">
        <v>3138</v>
      </c>
      <c r="S45" s="347"/>
      <c r="T45" s="57" t="b">
        <v>1</v>
      </c>
      <c r="U45" s="310" t="s">
        <v>5113</v>
      </c>
      <c r="V45" s="345"/>
      <c r="W45" s="54"/>
    </row>
    <row r="46" spans="1:23" ht="16">
      <c r="A46" s="162"/>
      <c r="B46" s="71" t="s">
        <v>5104</v>
      </c>
      <c r="C46" s="151" t="s">
        <v>4051</v>
      </c>
      <c r="D46" s="151" t="s">
        <v>418</v>
      </c>
      <c r="E46" s="151" t="s">
        <v>42</v>
      </c>
      <c r="F46" s="151" t="s">
        <v>4052</v>
      </c>
      <c r="G46" s="151" t="s">
        <v>5057</v>
      </c>
      <c r="H46" s="131" t="s">
        <v>30</v>
      </c>
      <c r="I46" s="151">
        <v>20</v>
      </c>
      <c r="J46" s="335">
        <v>135</v>
      </c>
      <c r="K46" s="54">
        <f t="shared" si="0"/>
        <v>2700</v>
      </c>
      <c r="L46" s="55" t="b">
        <v>1</v>
      </c>
      <c r="M46" s="409">
        <v>100620252036</v>
      </c>
      <c r="N46" s="57" t="b">
        <v>1</v>
      </c>
      <c r="O46" s="58"/>
      <c r="P46" s="226"/>
      <c r="Q46" s="191" t="b">
        <v>1</v>
      </c>
      <c r="R46" s="308" t="s">
        <v>3138</v>
      </c>
      <c r="S46" s="347"/>
      <c r="T46" s="57" t="b">
        <v>1</v>
      </c>
      <c r="U46" s="310" t="s">
        <v>5113</v>
      </c>
      <c r="V46" s="345"/>
      <c r="W46" s="54"/>
    </row>
    <row r="47" spans="1:23" ht="16">
      <c r="A47" s="162"/>
      <c r="B47" s="71" t="s">
        <v>1489</v>
      </c>
      <c r="C47" s="151" t="s">
        <v>4120</v>
      </c>
      <c r="D47" s="151" t="s">
        <v>144</v>
      </c>
      <c r="E47" s="151" t="s">
        <v>1959</v>
      </c>
      <c r="F47" s="151" t="s">
        <v>1235</v>
      </c>
      <c r="G47" s="151" t="s">
        <v>68</v>
      </c>
      <c r="H47" s="131" t="s">
        <v>30</v>
      </c>
      <c r="I47" s="151">
        <v>2</v>
      </c>
      <c r="J47" s="335">
        <v>2350</v>
      </c>
      <c r="K47" s="54">
        <f t="shared" si="0"/>
        <v>4700</v>
      </c>
      <c r="L47" s="55" t="b">
        <v>1</v>
      </c>
      <c r="M47" s="409">
        <v>110620250848</v>
      </c>
      <c r="N47" s="57" t="b">
        <v>1</v>
      </c>
      <c r="O47" s="58"/>
      <c r="P47" s="226"/>
      <c r="Q47" s="191" t="b">
        <v>1</v>
      </c>
      <c r="R47" s="308" t="s">
        <v>3138</v>
      </c>
      <c r="S47" s="173" t="s">
        <v>5114</v>
      </c>
      <c r="T47" s="57" t="b">
        <v>1</v>
      </c>
      <c r="U47" s="310" t="s">
        <v>5115</v>
      </c>
      <c r="V47" s="345"/>
      <c r="W47" s="54"/>
    </row>
    <row r="48" spans="1:23" ht="16">
      <c r="A48" s="162"/>
      <c r="B48" s="71" t="s">
        <v>1489</v>
      </c>
      <c r="C48" s="151" t="s">
        <v>3713</v>
      </c>
      <c r="D48" s="151" t="s">
        <v>26</v>
      </c>
      <c r="E48" s="151" t="s">
        <v>220</v>
      </c>
      <c r="F48" s="151" t="s">
        <v>221</v>
      </c>
      <c r="G48" s="151" t="s">
        <v>1952</v>
      </c>
      <c r="H48" s="131" t="s">
        <v>30</v>
      </c>
      <c r="I48" s="151">
        <v>10</v>
      </c>
      <c r="J48" s="335">
        <v>650</v>
      </c>
      <c r="K48" s="54">
        <f t="shared" si="0"/>
        <v>6500</v>
      </c>
      <c r="L48" s="55" t="b">
        <v>1</v>
      </c>
      <c r="M48" s="409">
        <v>110620251511</v>
      </c>
      <c r="N48" s="57" t="b">
        <v>1</v>
      </c>
      <c r="O48" s="58" t="s">
        <v>39</v>
      </c>
      <c r="P48" s="226">
        <v>45819</v>
      </c>
      <c r="Q48" s="191" t="b">
        <v>1</v>
      </c>
      <c r="R48" s="308" t="s">
        <v>3138</v>
      </c>
      <c r="S48" s="347"/>
      <c r="T48" s="57" t="b">
        <v>1</v>
      </c>
      <c r="U48" s="310" t="s">
        <v>5116</v>
      </c>
      <c r="V48" s="345"/>
      <c r="W48" s="54"/>
    </row>
    <row r="49" spans="1:23" ht="16">
      <c r="A49" s="162"/>
      <c r="B49" s="71" t="s">
        <v>1489</v>
      </c>
      <c r="C49" s="151" t="s">
        <v>3458</v>
      </c>
      <c r="D49" s="151" t="s">
        <v>51</v>
      </c>
      <c r="E49" s="151" t="s">
        <v>201</v>
      </c>
      <c r="F49" s="151" t="s">
        <v>202</v>
      </c>
      <c r="G49" s="151" t="s">
        <v>5117</v>
      </c>
      <c r="H49" s="131" t="s">
        <v>30</v>
      </c>
      <c r="I49" s="151">
        <v>2</v>
      </c>
      <c r="J49" s="335">
        <v>325</v>
      </c>
      <c r="K49" s="54">
        <f t="shared" si="0"/>
        <v>650</v>
      </c>
      <c r="L49" s="55" t="b">
        <v>1</v>
      </c>
      <c r="M49" s="409">
        <v>110620251511</v>
      </c>
      <c r="N49" s="57" t="b">
        <v>1</v>
      </c>
      <c r="O49" s="58"/>
      <c r="P49" s="215"/>
      <c r="Q49" s="191" t="b">
        <v>1</v>
      </c>
      <c r="R49" s="308" t="s">
        <v>3138</v>
      </c>
      <c r="S49" s="173" t="s">
        <v>5118</v>
      </c>
      <c r="T49" s="57" t="b">
        <v>1</v>
      </c>
      <c r="U49" s="310" t="s">
        <v>5119</v>
      </c>
      <c r="V49" s="345"/>
      <c r="W49" s="54"/>
    </row>
    <row r="50" spans="1:23" ht="16">
      <c r="A50" s="162"/>
      <c r="B50" s="71" t="s">
        <v>1489</v>
      </c>
      <c r="C50" s="151" t="s">
        <v>4095</v>
      </c>
      <c r="D50" s="151" t="s">
        <v>345</v>
      </c>
      <c r="E50" s="151" t="s">
        <v>342</v>
      </c>
      <c r="F50" s="151" t="s">
        <v>927</v>
      </c>
      <c r="G50" s="151" t="s">
        <v>300</v>
      </c>
      <c r="H50" s="131" t="s">
        <v>30</v>
      </c>
      <c r="I50" s="151">
        <v>30</v>
      </c>
      <c r="J50" s="335">
        <v>150</v>
      </c>
      <c r="K50" s="54">
        <f t="shared" si="0"/>
        <v>4500</v>
      </c>
      <c r="L50" s="55" t="b">
        <v>1</v>
      </c>
      <c r="M50" s="409">
        <v>110620251532</v>
      </c>
      <c r="N50" s="57" t="b">
        <v>1</v>
      </c>
      <c r="O50" s="58"/>
      <c r="P50" s="215"/>
      <c r="Q50" s="191" t="b">
        <v>1</v>
      </c>
      <c r="R50" s="308" t="s">
        <v>3138</v>
      </c>
      <c r="S50" s="173" t="s">
        <v>5120</v>
      </c>
      <c r="T50" s="57" t="b">
        <v>1</v>
      </c>
      <c r="U50" s="310" t="s">
        <v>5121</v>
      </c>
      <c r="V50" s="345"/>
      <c r="W50" s="54"/>
    </row>
    <row r="51" spans="1:23" ht="16">
      <c r="A51" s="162">
        <v>66</v>
      </c>
      <c r="B51" s="71" t="s">
        <v>1489</v>
      </c>
      <c r="C51" s="151" t="s">
        <v>4135</v>
      </c>
      <c r="D51" s="151" t="s">
        <v>26</v>
      </c>
      <c r="E51" s="151" t="s">
        <v>27</v>
      </c>
      <c r="F51" s="151" t="s">
        <v>1590</v>
      </c>
      <c r="G51" s="151" t="s">
        <v>5122</v>
      </c>
      <c r="H51" s="131" t="s">
        <v>30</v>
      </c>
      <c r="I51" s="151">
        <v>2</v>
      </c>
      <c r="J51" s="335">
        <v>900</v>
      </c>
      <c r="K51" s="54">
        <f t="shared" si="0"/>
        <v>1800</v>
      </c>
      <c r="L51" s="55" t="b">
        <v>1</v>
      </c>
      <c r="M51" s="409">
        <v>110620251734</v>
      </c>
      <c r="N51" s="57" t="b">
        <v>1</v>
      </c>
      <c r="O51" s="58" t="s">
        <v>529</v>
      </c>
      <c r="P51" s="215"/>
      <c r="Q51" s="191" t="b">
        <v>1</v>
      </c>
      <c r="R51" s="308" t="s">
        <v>3138</v>
      </c>
      <c r="S51" s="347"/>
      <c r="T51" s="57" t="b">
        <v>1</v>
      </c>
      <c r="U51" s="310" t="s">
        <v>5123</v>
      </c>
      <c r="V51" s="345"/>
      <c r="W51" s="54"/>
    </row>
    <row r="52" spans="1:23" ht="16">
      <c r="A52" s="162"/>
      <c r="B52" s="71" t="s">
        <v>1489</v>
      </c>
      <c r="C52" s="151" t="s">
        <v>3527</v>
      </c>
      <c r="D52" s="151" t="s">
        <v>51</v>
      </c>
      <c r="E52" s="151" t="s">
        <v>338</v>
      </c>
      <c r="F52" s="151" t="s">
        <v>4487</v>
      </c>
      <c r="G52" s="151" t="s">
        <v>5124</v>
      </c>
      <c r="H52" s="131" t="s">
        <v>30</v>
      </c>
      <c r="I52" s="151">
        <v>4</v>
      </c>
      <c r="J52" s="335">
        <v>1875</v>
      </c>
      <c r="K52" s="54">
        <f t="shared" si="0"/>
        <v>7500</v>
      </c>
      <c r="L52" s="55" t="b">
        <v>1</v>
      </c>
      <c r="M52" s="409">
        <v>110620251734</v>
      </c>
      <c r="N52" s="57" t="b">
        <v>1</v>
      </c>
      <c r="O52" s="58"/>
      <c r="P52" s="215"/>
      <c r="Q52" s="191" t="b">
        <v>1</v>
      </c>
      <c r="R52" s="308" t="s">
        <v>3138</v>
      </c>
      <c r="S52" s="347"/>
      <c r="T52" s="57" t="b">
        <v>1</v>
      </c>
      <c r="U52" s="310" t="s">
        <v>5125</v>
      </c>
      <c r="V52" s="345"/>
      <c r="W52" s="54"/>
    </row>
    <row r="53" spans="1:23" ht="16">
      <c r="A53" s="162"/>
      <c r="B53" s="71" t="s">
        <v>1489</v>
      </c>
      <c r="C53" s="151" t="s">
        <v>3527</v>
      </c>
      <c r="D53" s="151" t="s">
        <v>51</v>
      </c>
      <c r="E53" s="151" t="s">
        <v>338</v>
      </c>
      <c r="F53" s="151" t="s">
        <v>4487</v>
      </c>
      <c r="G53" s="151" t="s">
        <v>5126</v>
      </c>
      <c r="H53" s="131" t="s">
        <v>30</v>
      </c>
      <c r="I53" s="151">
        <v>1</v>
      </c>
      <c r="J53" s="335">
        <v>10000</v>
      </c>
      <c r="K53" s="54">
        <f t="shared" si="0"/>
        <v>10000</v>
      </c>
      <c r="L53" s="55" t="b">
        <v>1</v>
      </c>
      <c r="M53" s="409">
        <v>110620251734</v>
      </c>
      <c r="N53" s="57" t="b">
        <v>1</v>
      </c>
      <c r="O53" s="58"/>
      <c r="P53" s="215"/>
      <c r="Q53" s="191" t="b">
        <v>1</v>
      </c>
      <c r="R53" s="308" t="s">
        <v>3138</v>
      </c>
      <c r="S53" s="347"/>
      <c r="T53" s="57" t="b">
        <v>1</v>
      </c>
      <c r="U53" s="310" t="s">
        <v>5125</v>
      </c>
      <c r="V53" s="345"/>
      <c r="W53" s="54"/>
    </row>
    <row r="54" spans="1:23" ht="16">
      <c r="A54" s="162"/>
      <c r="B54" s="71" t="s">
        <v>5127</v>
      </c>
      <c r="C54" s="151" t="s">
        <v>3577</v>
      </c>
      <c r="D54" s="151" t="s">
        <v>46</v>
      </c>
      <c r="E54" s="151" t="s">
        <v>47</v>
      </c>
      <c r="F54" s="151" t="s">
        <v>48</v>
      </c>
      <c r="G54" s="151" t="s">
        <v>5128</v>
      </c>
      <c r="H54" s="131" t="s">
        <v>30</v>
      </c>
      <c r="I54" s="334">
        <v>5</v>
      </c>
      <c r="J54" s="335">
        <v>155</v>
      </c>
      <c r="K54" s="54">
        <f t="shared" si="0"/>
        <v>775</v>
      </c>
      <c r="L54" s="55" t="b">
        <v>1</v>
      </c>
      <c r="M54" s="409">
        <v>120620251538</v>
      </c>
      <c r="N54" s="57" t="b">
        <v>1</v>
      </c>
      <c r="O54" s="58"/>
      <c r="P54" s="215"/>
      <c r="Q54" s="191" t="b">
        <v>1</v>
      </c>
      <c r="R54" s="308" t="s">
        <v>3138</v>
      </c>
      <c r="S54" s="173" t="s">
        <v>5129</v>
      </c>
      <c r="T54" s="57" t="b">
        <v>1</v>
      </c>
      <c r="U54" s="310" t="s">
        <v>5130</v>
      </c>
      <c r="V54" s="345"/>
      <c r="W54" s="54"/>
    </row>
    <row r="55" spans="1:23" ht="16">
      <c r="A55" s="162"/>
      <c r="B55" s="71" t="s">
        <v>5127</v>
      </c>
      <c r="C55" s="151" t="s">
        <v>3577</v>
      </c>
      <c r="D55" s="151" t="s">
        <v>46</v>
      </c>
      <c r="E55" s="151" t="s">
        <v>47</v>
      </c>
      <c r="F55" s="151" t="s">
        <v>48</v>
      </c>
      <c r="G55" s="151" t="s">
        <v>5131</v>
      </c>
      <c r="H55" s="131" t="s">
        <v>30</v>
      </c>
      <c r="I55" s="151">
        <v>4</v>
      </c>
      <c r="J55" s="335">
        <v>165</v>
      </c>
      <c r="K55" s="54">
        <f t="shared" si="0"/>
        <v>660</v>
      </c>
      <c r="L55" s="55" t="b">
        <v>1</v>
      </c>
      <c r="M55" s="409">
        <v>120620251538</v>
      </c>
      <c r="N55" s="57" t="b">
        <v>1</v>
      </c>
      <c r="O55" s="58"/>
      <c r="P55" s="215"/>
      <c r="Q55" s="191" t="b">
        <v>1</v>
      </c>
      <c r="R55" s="308" t="s">
        <v>3138</v>
      </c>
      <c r="S55" s="173" t="s">
        <v>5132</v>
      </c>
      <c r="T55" s="57" t="b">
        <v>1</v>
      </c>
      <c r="U55" s="310" t="s">
        <v>5133</v>
      </c>
      <c r="V55" s="345"/>
      <c r="W55" s="54"/>
    </row>
    <row r="56" spans="1:23" ht="16">
      <c r="A56" s="162"/>
      <c r="B56" s="71" t="s">
        <v>5127</v>
      </c>
      <c r="C56" s="151" t="s">
        <v>3577</v>
      </c>
      <c r="D56" s="151" t="s">
        <v>46</v>
      </c>
      <c r="E56" s="151" t="s">
        <v>47</v>
      </c>
      <c r="F56" s="151" t="s">
        <v>48</v>
      </c>
      <c r="G56" s="151" t="s">
        <v>1952</v>
      </c>
      <c r="H56" s="131" t="s">
        <v>30</v>
      </c>
      <c r="I56" s="151">
        <v>20</v>
      </c>
      <c r="J56" s="335">
        <v>650</v>
      </c>
      <c r="K56" s="54">
        <f t="shared" si="0"/>
        <v>13000</v>
      </c>
      <c r="L56" s="55" t="b">
        <v>1</v>
      </c>
      <c r="M56" s="409">
        <v>120620251538</v>
      </c>
      <c r="N56" s="57" t="b">
        <v>1</v>
      </c>
      <c r="O56" s="58" t="s">
        <v>39</v>
      </c>
      <c r="P56" s="226">
        <v>45456</v>
      </c>
      <c r="Q56" s="191" t="b">
        <v>1</v>
      </c>
      <c r="R56" s="308" t="s">
        <v>3138</v>
      </c>
      <c r="S56" s="411"/>
      <c r="T56" s="57" t="b">
        <v>1</v>
      </c>
      <c r="U56" s="310" t="s">
        <v>5134</v>
      </c>
      <c r="V56" s="345"/>
      <c r="W56" s="54"/>
    </row>
    <row r="57" spans="1:23" ht="16">
      <c r="A57" s="162"/>
      <c r="B57" s="71" t="s">
        <v>5127</v>
      </c>
      <c r="C57" s="151" t="s">
        <v>3577</v>
      </c>
      <c r="D57" s="151" t="s">
        <v>46</v>
      </c>
      <c r="E57" s="151" t="s">
        <v>47</v>
      </c>
      <c r="F57" s="151" t="s">
        <v>48</v>
      </c>
      <c r="G57" s="334" t="s">
        <v>5135</v>
      </c>
      <c r="H57" s="131" t="s">
        <v>30</v>
      </c>
      <c r="I57" s="151">
        <v>2</v>
      </c>
      <c r="J57" s="335">
        <v>875</v>
      </c>
      <c r="K57" s="54">
        <f t="shared" si="0"/>
        <v>1750</v>
      </c>
      <c r="L57" s="55" t="b">
        <v>1</v>
      </c>
      <c r="M57" s="409">
        <v>120620251538</v>
      </c>
      <c r="N57" s="57" t="b">
        <v>1</v>
      </c>
      <c r="O57" s="58"/>
      <c r="P57" s="215"/>
      <c r="Q57" s="191" t="b">
        <v>1</v>
      </c>
      <c r="R57" s="308" t="s">
        <v>3138</v>
      </c>
      <c r="S57" s="173" t="s">
        <v>5132</v>
      </c>
      <c r="T57" s="57" t="b">
        <v>1</v>
      </c>
      <c r="U57" s="310" t="s">
        <v>5133</v>
      </c>
      <c r="V57" s="345"/>
      <c r="W57" s="54"/>
    </row>
    <row r="58" spans="1:23" ht="16">
      <c r="A58" s="162"/>
      <c r="B58" s="71" t="s">
        <v>5127</v>
      </c>
      <c r="C58" s="151" t="s">
        <v>3577</v>
      </c>
      <c r="D58" s="151" t="s">
        <v>46</v>
      </c>
      <c r="E58" s="151" t="s">
        <v>47</v>
      </c>
      <c r="F58" s="151" t="s">
        <v>48</v>
      </c>
      <c r="G58" s="151" t="s">
        <v>574</v>
      </c>
      <c r="H58" s="131" t="s">
        <v>30</v>
      </c>
      <c r="I58" s="151">
        <v>4</v>
      </c>
      <c r="J58" s="335">
        <v>755</v>
      </c>
      <c r="K58" s="54">
        <f t="shared" si="0"/>
        <v>3020</v>
      </c>
      <c r="L58" s="55" t="b">
        <v>1</v>
      </c>
      <c r="M58" s="409">
        <v>120620251538</v>
      </c>
      <c r="N58" s="57" t="b">
        <v>1</v>
      </c>
      <c r="O58" s="58"/>
      <c r="P58" s="215"/>
      <c r="Q58" s="191" t="b">
        <v>1</v>
      </c>
      <c r="R58" s="308" t="s">
        <v>3138</v>
      </c>
      <c r="S58" s="173" t="s">
        <v>5132</v>
      </c>
      <c r="T58" s="57" t="b">
        <v>1</v>
      </c>
      <c r="U58" s="310" t="s">
        <v>5133</v>
      </c>
      <c r="V58" s="345"/>
      <c r="W58" s="54"/>
    </row>
    <row r="59" spans="1:23" ht="16">
      <c r="A59" s="162"/>
      <c r="B59" s="71" t="s">
        <v>5127</v>
      </c>
      <c r="C59" s="151" t="s">
        <v>3577</v>
      </c>
      <c r="D59" s="151" t="s">
        <v>46</v>
      </c>
      <c r="E59" s="151" t="s">
        <v>47</v>
      </c>
      <c r="F59" s="151" t="s">
        <v>48</v>
      </c>
      <c r="G59" s="151" t="s">
        <v>574</v>
      </c>
      <c r="H59" s="131" t="s">
        <v>30</v>
      </c>
      <c r="I59" s="151">
        <v>1</v>
      </c>
      <c r="J59" s="335">
        <v>755</v>
      </c>
      <c r="K59" s="54">
        <f t="shared" si="0"/>
        <v>755</v>
      </c>
      <c r="L59" s="55" t="b">
        <v>1</v>
      </c>
      <c r="M59" s="409">
        <v>120620251538</v>
      </c>
      <c r="N59" s="57" t="b">
        <v>1</v>
      </c>
      <c r="O59" s="58"/>
      <c r="P59" s="215"/>
      <c r="Q59" s="191" t="b">
        <v>1</v>
      </c>
      <c r="R59" s="308" t="s">
        <v>3138</v>
      </c>
      <c r="S59" s="173"/>
      <c r="T59" s="57" t="b">
        <v>1</v>
      </c>
      <c r="U59" s="310" t="s">
        <v>5136</v>
      </c>
      <c r="V59" s="345"/>
      <c r="W59" s="54"/>
    </row>
    <row r="60" spans="1:23" ht="16">
      <c r="A60" s="162"/>
      <c r="B60" s="71" t="s">
        <v>5127</v>
      </c>
      <c r="C60" s="151" t="s">
        <v>5137</v>
      </c>
      <c r="D60" s="151" t="s">
        <v>93</v>
      </c>
      <c r="E60" s="151" t="s">
        <v>94</v>
      </c>
      <c r="F60" s="151" t="s">
        <v>268</v>
      </c>
      <c r="G60" s="151" t="s">
        <v>1952</v>
      </c>
      <c r="H60" s="131" t="s">
        <v>30</v>
      </c>
      <c r="I60" s="151">
        <v>10</v>
      </c>
      <c r="J60" s="335">
        <v>650</v>
      </c>
      <c r="K60" s="54">
        <f t="shared" si="0"/>
        <v>6500</v>
      </c>
      <c r="L60" s="55" t="b">
        <v>1</v>
      </c>
      <c r="M60" s="409">
        <v>120620251538</v>
      </c>
      <c r="N60" s="57" t="b">
        <v>1</v>
      </c>
      <c r="O60" s="58" t="s">
        <v>39</v>
      </c>
      <c r="P60" s="226">
        <v>45456</v>
      </c>
      <c r="Q60" s="191" t="b">
        <v>1</v>
      </c>
      <c r="R60" s="308" t="s">
        <v>3138</v>
      </c>
      <c r="S60" s="411"/>
      <c r="T60" s="57" t="b">
        <v>1</v>
      </c>
      <c r="U60" s="310" t="s">
        <v>5138</v>
      </c>
      <c r="V60" s="345"/>
      <c r="W60" s="54"/>
    </row>
    <row r="61" spans="1:23" ht="16">
      <c r="A61" s="162"/>
      <c r="B61" s="71" t="s">
        <v>5127</v>
      </c>
      <c r="C61" s="151" t="s">
        <v>4717</v>
      </c>
      <c r="D61" s="151" t="s">
        <v>51</v>
      </c>
      <c r="E61" s="151" t="s">
        <v>475</v>
      </c>
      <c r="F61" s="151" t="s">
        <v>3234</v>
      </c>
      <c r="G61" s="151" t="s">
        <v>5135</v>
      </c>
      <c r="H61" s="131" t="s">
        <v>30</v>
      </c>
      <c r="I61" s="151">
        <v>2</v>
      </c>
      <c r="J61" s="335">
        <v>875</v>
      </c>
      <c r="K61" s="54">
        <f t="shared" si="0"/>
        <v>1750</v>
      </c>
      <c r="L61" s="55" t="b">
        <v>1</v>
      </c>
      <c r="M61" s="409">
        <v>120620252034</v>
      </c>
      <c r="N61" s="57" t="b">
        <v>1</v>
      </c>
      <c r="O61" s="58"/>
      <c r="P61" s="215"/>
      <c r="Q61" s="191" t="b">
        <v>1</v>
      </c>
      <c r="R61" s="308" t="s">
        <v>3138</v>
      </c>
      <c r="S61" s="173" t="s">
        <v>5139</v>
      </c>
      <c r="T61" s="57" t="b">
        <v>1</v>
      </c>
      <c r="U61" s="310" t="s">
        <v>5140</v>
      </c>
      <c r="V61" s="345"/>
      <c r="W61" s="54"/>
    </row>
    <row r="62" spans="1:23" ht="16">
      <c r="A62" s="162"/>
      <c r="B62" s="71" t="s">
        <v>5127</v>
      </c>
      <c r="C62" s="151" t="s">
        <v>3541</v>
      </c>
      <c r="D62" s="151" t="s">
        <v>51</v>
      </c>
      <c r="E62" s="151" t="s">
        <v>372</v>
      </c>
      <c r="F62" s="151" t="s">
        <v>1035</v>
      </c>
      <c r="G62" s="53" t="s">
        <v>3512</v>
      </c>
      <c r="H62" s="131" t="s">
        <v>30</v>
      </c>
      <c r="I62" s="151">
        <v>2</v>
      </c>
      <c r="J62" s="335">
        <v>2100</v>
      </c>
      <c r="K62" s="54">
        <f t="shared" si="0"/>
        <v>4200</v>
      </c>
      <c r="L62" s="55" t="b">
        <v>1</v>
      </c>
      <c r="M62" s="409">
        <v>120620252034</v>
      </c>
      <c r="N62" s="57" t="b">
        <v>1</v>
      </c>
      <c r="O62" s="58"/>
      <c r="P62" s="215"/>
      <c r="Q62" s="191" t="b">
        <v>1</v>
      </c>
      <c r="R62" s="308" t="s">
        <v>3138</v>
      </c>
      <c r="S62" s="173" t="s">
        <v>5141</v>
      </c>
      <c r="T62" s="57" t="b">
        <v>1</v>
      </c>
      <c r="U62" s="310" t="s">
        <v>5142</v>
      </c>
      <c r="V62" s="345"/>
      <c r="W62" s="54"/>
    </row>
    <row r="63" spans="1:23" ht="16">
      <c r="A63" s="101"/>
      <c r="B63" s="71" t="s">
        <v>5127</v>
      </c>
      <c r="C63" s="151" t="s">
        <v>3445</v>
      </c>
      <c r="D63" s="151" t="s">
        <v>262</v>
      </c>
      <c r="E63" s="151" t="s">
        <v>3446</v>
      </c>
      <c r="F63" s="151" t="s">
        <v>3447</v>
      </c>
      <c r="G63" s="151" t="s">
        <v>5143</v>
      </c>
      <c r="H63" s="131" t="s">
        <v>30</v>
      </c>
      <c r="I63" s="151">
        <v>1</v>
      </c>
      <c r="J63" s="335">
        <v>625</v>
      </c>
      <c r="K63" s="54">
        <f t="shared" si="0"/>
        <v>625</v>
      </c>
      <c r="L63" s="55" t="b">
        <v>1</v>
      </c>
      <c r="M63" s="409">
        <v>120620252034</v>
      </c>
      <c r="N63" s="57" t="b">
        <v>1</v>
      </c>
      <c r="O63" s="58"/>
      <c r="P63" s="215"/>
      <c r="Q63" s="191" t="b">
        <v>1</v>
      </c>
      <c r="R63" s="308" t="s">
        <v>3138</v>
      </c>
      <c r="S63" s="173" t="s">
        <v>5144</v>
      </c>
      <c r="T63" s="57" t="b">
        <v>1</v>
      </c>
      <c r="U63" s="310" t="s">
        <v>5145</v>
      </c>
      <c r="V63" s="345"/>
      <c r="W63" s="54"/>
    </row>
    <row r="64" spans="1:23" ht="16">
      <c r="A64" s="101"/>
      <c r="B64" s="71" t="s">
        <v>5146</v>
      </c>
      <c r="C64" s="151" t="s">
        <v>3534</v>
      </c>
      <c r="D64" s="151" t="s">
        <v>418</v>
      </c>
      <c r="E64" s="151" t="s">
        <v>1069</v>
      </c>
      <c r="F64" s="151" t="s">
        <v>420</v>
      </c>
      <c r="G64" s="151" t="s">
        <v>5147</v>
      </c>
      <c r="H64" s="131" t="s">
        <v>30</v>
      </c>
      <c r="I64" s="151">
        <v>1</v>
      </c>
      <c r="J64" s="335">
        <v>325</v>
      </c>
      <c r="K64" s="54">
        <f t="shared" si="0"/>
        <v>325</v>
      </c>
      <c r="L64" s="55" t="b">
        <v>1</v>
      </c>
      <c r="M64" s="409">
        <v>130620251114</v>
      </c>
      <c r="N64" s="57" t="b">
        <v>1</v>
      </c>
      <c r="O64" s="58" t="s">
        <v>2968</v>
      </c>
      <c r="P64" s="215"/>
      <c r="Q64" s="191" t="b">
        <v>1</v>
      </c>
      <c r="R64" s="308" t="s">
        <v>3138</v>
      </c>
      <c r="S64" s="173" t="s">
        <v>5148</v>
      </c>
      <c r="T64" s="57" t="b">
        <v>1</v>
      </c>
      <c r="U64" s="310" t="s">
        <v>5149</v>
      </c>
      <c r="V64" s="345"/>
      <c r="W64" s="54"/>
    </row>
    <row r="65" spans="1:23" ht="16">
      <c r="A65" s="162"/>
      <c r="B65" s="71" t="s">
        <v>5146</v>
      </c>
      <c r="C65" s="151" t="s">
        <v>4099</v>
      </c>
      <c r="D65" s="151" t="s">
        <v>51</v>
      </c>
      <c r="E65" s="151" t="s">
        <v>594</v>
      </c>
      <c r="F65" s="151" t="s">
        <v>595</v>
      </c>
      <c r="G65" s="151" t="s">
        <v>5150</v>
      </c>
      <c r="H65" s="131" t="s">
        <v>30</v>
      </c>
      <c r="I65" s="151">
        <v>2</v>
      </c>
      <c r="J65" s="335">
        <v>500</v>
      </c>
      <c r="K65" s="54">
        <f t="shared" si="0"/>
        <v>1000</v>
      </c>
      <c r="L65" s="55" t="b">
        <v>1</v>
      </c>
      <c r="M65" s="409">
        <v>130620251118</v>
      </c>
      <c r="N65" s="57" t="b">
        <v>1</v>
      </c>
      <c r="O65" s="58"/>
      <c r="P65" s="215"/>
      <c r="Q65" s="191" t="b">
        <v>1</v>
      </c>
      <c r="R65" s="308" t="s">
        <v>3138</v>
      </c>
      <c r="S65" s="347"/>
      <c r="T65" s="57" t="b">
        <v>1</v>
      </c>
      <c r="U65" s="310" t="s">
        <v>5151</v>
      </c>
      <c r="V65" s="345"/>
      <c r="W65" s="54"/>
    </row>
    <row r="66" spans="1:23" ht="16">
      <c r="A66" s="162"/>
      <c r="B66" s="71" t="s">
        <v>5146</v>
      </c>
      <c r="C66" s="151" t="s">
        <v>5152</v>
      </c>
      <c r="D66" s="151" t="s">
        <v>104</v>
      </c>
      <c r="E66" s="151" t="s">
        <v>3755</v>
      </c>
      <c r="F66" s="151" t="s">
        <v>2446</v>
      </c>
      <c r="G66" s="53" t="s">
        <v>1952</v>
      </c>
      <c r="H66" s="131" t="s">
        <v>30</v>
      </c>
      <c r="I66" s="151">
        <v>10</v>
      </c>
      <c r="J66" s="335">
        <v>650</v>
      </c>
      <c r="K66" s="54">
        <f t="shared" si="0"/>
        <v>6500</v>
      </c>
      <c r="L66" s="55" t="b">
        <v>1</v>
      </c>
      <c r="M66" s="409">
        <v>130620251509</v>
      </c>
      <c r="N66" s="57" t="b">
        <v>1</v>
      </c>
      <c r="O66" s="58" t="s">
        <v>39</v>
      </c>
      <c r="P66" s="226">
        <v>45823</v>
      </c>
      <c r="Q66" s="191" t="b">
        <v>1</v>
      </c>
      <c r="R66" s="308" t="s">
        <v>3138</v>
      </c>
      <c r="S66" s="347"/>
      <c r="T66" s="57" t="b">
        <v>1</v>
      </c>
      <c r="U66" s="310" t="s">
        <v>5153</v>
      </c>
      <c r="V66" s="345"/>
      <c r="W66" s="54"/>
    </row>
    <row r="67" spans="1:23" ht="16">
      <c r="A67" s="162"/>
      <c r="B67" s="71" t="s">
        <v>5146</v>
      </c>
      <c r="C67" s="151" t="s">
        <v>4095</v>
      </c>
      <c r="D67" s="151" t="s">
        <v>345</v>
      </c>
      <c r="E67" s="151" t="s">
        <v>342</v>
      </c>
      <c r="F67" s="151" t="s">
        <v>927</v>
      </c>
      <c r="G67" s="151" t="s">
        <v>1024</v>
      </c>
      <c r="H67" s="131" t="s">
        <v>30</v>
      </c>
      <c r="I67" s="151">
        <v>5</v>
      </c>
      <c r="J67" s="335">
        <v>165</v>
      </c>
      <c r="K67" s="54">
        <f t="shared" si="0"/>
        <v>825</v>
      </c>
      <c r="L67" s="55" t="b">
        <v>1</v>
      </c>
      <c r="M67" s="409">
        <v>130620251612</v>
      </c>
      <c r="N67" s="57" t="b">
        <v>1</v>
      </c>
      <c r="O67" s="58"/>
      <c r="P67" s="215"/>
      <c r="Q67" s="191" t="b">
        <v>1</v>
      </c>
      <c r="R67" s="308" t="s">
        <v>3138</v>
      </c>
      <c r="S67" s="173" t="s">
        <v>5154</v>
      </c>
      <c r="T67" s="57" t="b">
        <v>1</v>
      </c>
      <c r="U67" s="310" t="s">
        <v>5155</v>
      </c>
      <c r="V67" s="345"/>
      <c r="W67" s="54"/>
    </row>
    <row r="68" spans="1:23" ht="16">
      <c r="A68" s="162"/>
      <c r="B68" s="71" t="s">
        <v>5156</v>
      </c>
      <c r="C68" s="151" t="s">
        <v>4153</v>
      </c>
      <c r="D68" s="151" t="s">
        <v>262</v>
      </c>
      <c r="E68" s="151" t="s">
        <v>263</v>
      </c>
      <c r="F68" s="151" t="s">
        <v>2855</v>
      </c>
      <c r="G68" s="151" t="s">
        <v>5157</v>
      </c>
      <c r="H68" s="131" t="s">
        <v>30</v>
      </c>
      <c r="I68" s="151">
        <v>840</v>
      </c>
      <c r="J68" s="335">
        <v>42.5</v>
      </c>
      <c r="K68" s="54">
        <f t="shared" si="0"/>
        <v>35700</v>
      </c>
      <c r="L68" s="55" t="b">
        <v>1</v>
      </c>
      <c r="M68" s="409">
        <v>140620251111</v>
      </c>
      <c r="N68" s="57" t="b">
        <v>1</v>
      </c>
      <c r="O68" s="58" t="s">
        <v>529</v>
      </c>
      <c r="P68" s="226">
        <v>45824</v>
      </c>
      <c r="Q68" s="191" t="b">
        <v>1</v>
      </c>
      <c r="R68" s="308" t="s">
        <v>3138</v>
      </c>
      <c r="S68" s="347"/>
      <c r="T68" s="57" t="b">
        <v>1</v>
      </c>
      <c r="U68" s="310" t="s">
        <v>5158</v>
      </c>
      <c r="V68" s="345"/>
      <c r="W68" s="54"/>
    </row>
    <row r="69" spans="1:23" ht="16">
      <c r="A69" s="162"/>
      <c r="B69" s="71" t="s">
        <v>5156</v>
      </c>
      <c r="C69" s="151" t="s">
        <v>4153</v>
      </c>
      <c r="D69" s="151" t="s">
        <v>262</v>
      </c>
      <c r="E69" s="151" t="s">
        <v>263</v>
      </c>
      <c r="F69" s="151" t="s">
        <v>2855</v>
      </c>
      <c r="G69" s="53" t="s">
        <v>72</v>
      </c>
      <c r="H69" s="131" t="s">
        <v>30</v>
      </c>
      <c r="I69" s="151">
        <v>1</v>
      </c>
      <c r="J69" s="335">
        <v>3500</v>
      </c>
      <c r="K69" s="54">
        <f t="shared" si="0"/>
        <v>3500</v>
      </c>
      <c r="L69" s="55" t="b">
        <v>1</v>
      </c>
      <c r="M69" s="409">
        <v>140620251111</v>
      </c>
      <c r="N69" s="57" t="b">
        <v>1</v>
      </c>
      <c r="O69" s="58"/>
      <c r="P69" s="226"/>
      <c r="Q69" s="191" t="b">
        <v>1</v>
      </c>
      <c r="R69" s="308" t="s">
        <v>3138</v>
      </c>
      <c r="S69" s="347"/>
      <c r="T69" s="57" t="b">
        <v>1</v>
      </c>
      <c r="U69" s="310" t="s">
        <v>5159</v>
      </c>
      <c r="V69" s="345"/>
      <c r="W69" s="54"/>
    </row>
    <row r="70" spans="1:23" ht="16">
      <c r="A70" s="162"/>
      <c r="B70" s="71" t="s">
        <v>5156</v>
      </c>
      <c r="C70" s="151" t="s">
        <v>4153</v>
      </c>
      <c r="D70" s="151" t="s">
        <v>262</v>
      </c>
      <c r="E70" s="151" t="s">
        <v>263</v>
      </c>
      <c r="F70" s="151" t="s">
        <v>2855</v>
      </c>
      <c r="G70" s="53" t="s">
        <v>1952</v>
      </c>
      <c r="H70" s="131" t="s">
        <v>30</v>
      </c>
      <c r="I70" s="151">
        <v>10</v>
      </c>
      <c r="J70" s="335">
        <v>650</v>
      </c>
      <c r="K70" s="54">
        <f t="shared" si="0"/>
        <v>6500</v>
      </c>
      <c r="L70" s="55" t="b">
        <v>1</v>
      </c>
      <c r="M70" s="409">
        <v>140620251111</v>
      </c>
      <c r="N70" s="57" t="b">
        <v>1</v>
      </c>
      <c r="O70" s="58" t="s">
        <v>39</v>
      </c>
      <c r="P70" s="226">
        <v>45823</v>
      </c>
      <c r="Q70" s="191" t="b">
        <v>1</v>
      </c>
      <c r="R70" s="308" t="s">
        <v>3138</v>
      </c>
      <c r="S70" s="347"/>
      <c r="T70" s="57" t="b">
        <v>1</v>
      </c>
      <c r="U70" s="310" t="s">
        <v>5160</v>
      </c>
      <c r="V70" s="345"/>
      <c r="W70" s="54"/>
    </row>
    <row r="71" spans="1:23" ht="16">
      <c r="A71" s="162"/>
      <c r="B71" s="71" t="s">
        <v>5156</v>
      </c>
      <c r="C71" s="151" t="s">
        <v>4153</v>
      </c>
      <c r="D71" s="151" t="s">
        <v>262</v>
      </c>
      <c r="E71" s="151" t="s">
        <v>263</v>
      </c>
      <c r="F71" s="151" t="s">
        <v>2855</v>
      </c>
      <c r="G71" s="151" t="s">
        <v>442</v>
      </c>
      <c r="H71" s="131" t="s">
        <v>30</v>
      </c>
      <c r="I71" s="151">
        <v>24</v>
      </c>
      <c r="J71" s="335">
        <v>60</v>
      </c>
      <c r="K71" s="54">
        <f t="shared" si="0"/>
        <v>1440</v>
      </c>
      <c r="L71" s="55" t="b">
        <v>1</v>
      </c>
      <c r="M71" s="409">
        <v>140620251111</v>
      </c>
      <c r="N71" s="57" t="b">
        <v>1</v>
      </c>
      <c r="O71" s="58"/>
      <c r="P71" s="215"/>
      <c r="Q71" s="191" t="b">
        <v>1</v>
      </c>
      <c r="R71" s="308" t="s">
        <v>3138</v>
      </c>
      <c r="S71" s="173" t="s">
        <v>5161</v>
      </c>
      <c r="T71" s="57" t="b">
        <v>1</v>
      </c>
      <c r="U71" s="310" t="s">
        <v>5162</v>
      </c>
      <c r="V71" s="345"/>
      <c r="W71" s="54"/>
    </row>
    <row r="72" spans="1:23" ht="15.75" customHeight="1">
      <c r="A72" s="162"/>
      <c r="B72" s="71" t="s">
        <v>5156</v>
      </c>
      <c r="C72" s="151" t="s">
        <v>4153</v>
      </c>
      <c r="D72" s="151" t="s">
        <v>262</v>
      </c>
      <c r="E72" s="151" t="s">
        <v>263</v>
      </c>
      <c r="F72" s="151" t="s">
        <v>2855</v>
      </c>
      <c r="G72" s="151" t="s">
        <v>68</v>
      </c>
      <c r="H72" s="131" t="s">
        <v>30</v>
      </c>
      <c r="I72" s="151">
        <v>1</v>
      </c>
      <c r="J72" s="335">
        <v>2299</v>
      </c>
      <c r="K72" s="54">
        <f t="shared" si="0"/>
        <v>2299</v>
      </c>
      <c r="L72" s="55" t="b">
        <v>1</v>
      </c>
      <c r="M72" s="409">
        <v>140620251215</v>
      </c>
      <c r="N72" s="57" t="b">
        <v>1</v>
      </c>
      <c r="O72" s="58"/>
      <c r="P72" s="215"/>
      <c r="Q72" s="191" t="b">
        <v>1</v>
      </c>
      <c r="R72" s="308" t="s">
        <v>3138</v>
      </c>
      <c r="S72" s="173" t="s">
        <v>5161</v>
      </c>
      <c r="T72" s="57" t="b">
        <v>1</v>
      </c>
      <c r="U72" s="310" t="s">
        <v>5162</v>
      </c>
      <c r="V72" s="345"/>
      <c r="W72" s="54"/>
    </row>
    <row r="73" spans="1:23" ht="16">
      <c r="A73" s="162"/>
      <c r="B73" s="71" t="s">
        <v>5156</v>
      </c>
      <c r="C73" s="151" t="s">
        <v>3663</v>
      </c>
      <c r="D73" s="151" t="s">
        <v>2152</v>
      </c>
      <c r="E73" s="151" t="s">
        <v>137</v>
      </c>
      <c r="F73" s="151" t="s">
        <v>3664</v>
      </c>
      <c r="G73" s="151" t="s">
        <v>68</v>
      </c>
      <c r="H73" s="131" t="s">
        <v>30</v>
      </c>
      <c r="I73" s="151">
        <v>2</v>
      </c>
      <c r="J73" s="335">
        <v>2299</v>
      </c>
      <c r="K73" s="54">
        <f t="shared" si="0"/>
        <v>4598</v>
      </c>
      <c r="L73" s="55" t="b">
        <v>1</v>
      </c>
      <c r="M73" s="409">
        <v>140620251540</v>
      </c>
      <c r="N73" s="57" t="b">
        <v>1</v>
      </c>
      <c r="O73" s="58"/>
      <c r="P73" s="215"/>
      <c r="Q73" s="191" t="b">
        <v>1</v>
      </c>
      <c r="R73" s="308" t="s">
        <v>3138</v>
      </c>
      <c r="S73" s="173" t="s">
        <v>5163</v>
      </c>
      <c r="T73" s="57" t="b">
        <v>1</v>
      </c>
      <c r="U73" s="310" t="s">
        <v>5164</v>
      </c>
      <c r="V73" s="345"/>
      <c r="W73" s="54"/>
    </row>
    <row r="74" spans="1:23" ht="14.25" customHeight="1">
      <c r="A74" s="162"/>
      <c r="B74" s="71" t="s">
        <v>5156</v>
      </c>
      <c r="C74" s="151" t="s">
        <v>3663</v>
      </c>
      <c r="D74" s="151" t="s">
        <v>2152</v>
      </c>
      <c r="E74" s="151" t="s">
        <v>137</v>
      </c>
      <c r="F74" s="151" t="s">
        <v>3664</v>
      </c>
      <c r="G74" s="53" t="s">
        <v>1952</v>
      </c>
      <c r="H74" s="131" t="s">
        <v>30</v>
      </c>
      <c r="I74" s="151">
        <v>20</v>
      </c>
      <c r="J74" s="335">
        <v>650</v>
      </c>
      <c r="K74" s="54">
        <f t="shared" si="0"/>
        <v>13000</v>
      </c>
      <c r="L74" s="55" t="b">
        <v>1</v>
      </c>
      <c r="M74" s="409">
        <v>140620251540</v>
      </c>
      <c r="N74" s="57" t="b">
        <v>1</v>
      </c>
      <c r="O74" s="58" t="s">
        <v>39</v>
      </c>
      <c r="P74" s="226"/>
      <c r="Q74" s="191" t="b">
        <v>1</v>
      </c>
      <c r="R74" s="308" t="s">
        <v>3138</v>
      </c>
      <c r="S74" s="347"/>
      <c r="T74" s="57" t="b">
        <v>1</v>
      </c>
      <c r="U74" s="310" t="s">
        <v>5165</v>
      </c>
      <c r="V74" s="345"/>
      <c r="W74" s="359"/>
    </row>
    <row r="75" spans="1:23" ht="16">
      <c r="A75" s="162"/>
      <c r="B75" s="71" t="s">
        <v>5156</v>
      </c>
      <c r="C75" s="151" t="s">
        <v>3458</v>
      </c>
      <c r="D75" s="151" t="s">
        <v>51</v>
      </c>
      <c r="E75" s="151" t="s">
        <v>201</v>
      </c>
      <c r="F75" s="151" t="s">
        <v>202</v>
      </c>
      <c r="G75" s="396" t="s">
        <v>5166</v>
      </c>
      <c r="H75" s="412" t="s">
        <v>30</v>
      </c>
      <c r="I75" s="396">
        <v>2</v>
      </c>
      <c r="J75" s="413">
        <v>12250</v>
      </c>
      <c r="K75" s="414">
        <f t="shared" si="0"/>
        <v>24500</v>
      </c>
      <c r="L75" s="55" t="b">
        <v>1</v>
      </c>
      <c r="M75" s="409">
        <v>140620251540</v>
      </c>
      <c r="N75" s="57" t="b">
        <v>1</v>
      </c>
      <c r="O75" s="58"/>
      <c r="P75" s="215"/>
      <c r="Q75" s="191" t="b">
        <v>1</v>
      </c>
      <c r="R75" s="308" t="s">
        <v>3138</v>
      </c>
      <c r="S75" s="347"/>
      <c r="T75" s="57" t="b">
        <v>1</v>
      </c>
      <c r="U75" s="310" t="s">
        <v>5167</v>
      </c>
      <c r="V75" s="297" t="s">
        <v>5168</v>
      </c>
      <c r="W75" s="54"/>
    </row>
    <row r="76" spans="1:23" ht="16">
      <c r="A76" s="162"/>
      <c r="B76" s="71" t="s">
        <v>5156</v>
      </c>
      <c r="C76" s="151" t="s">
        <v>3458</v>
      </c>
      <c r="D76" s="151" t="s">
        <v>51</v>
      </c>
      <c r="E76" s="151" t="s">
        <v>201</v>
      </c>
      <c r="F76" s="151" t="s">
        <v>202</v>
      </c>
      <c r="G76" s="396" t="s">
        <v>5169</v>
      </c>
      <c r="H76" s="412" t="s">
        <v>30</v>
      </c>
      <c r="I76" s="396">
        <v>2</v>
      </c>
      <c r="J76" s="413">
        <v>4500</v>
      </c>
      <c r="K76" s="414">
        <f t="shared" si="0"/>
        <v>9000</v>
      </c>
      <c r="L76" s="55" t="b">
        <v>1</v>
      </c>
      <c r="M76" s="409">
        <v>140620251540</v>
      </c>
      <c r="N76" s="57" t="b">
        <v>1</v>
      </c>
      <c r="O76" s="58"/>
      <c r="P76" s="215"/>
      <c r="Q76" s="191" t="b">
        <v>1</v>
      </c>
      <c r="R76" s="308" t="s">
        <v>3138</v>
      </c>
      <c r="S76" s="347"/>
      <c r="T76" s="57" t="b">
        <v>1</v>
      </c>
      <c r="U76" s="310" t="s">
        <v>5170</v>
      </c>
      <c r="V76" s="297" t="s">
        <v>5171</v>
      </c>
      <c r="W76" s="54"/>
    </row>
    <row r="77" spans="1:23" ht="16">
      <c r="A77" s="162"/>
      <c r="B77" s="71" t="s">
        <v>5156</v>
      </c>
      <c r="C77" s="151" t="s">
        <v>3527</v>
      </c>
      <c r="D77" s="151" t="s">
        <v>51</v>
      </c>
      <c r="E77" s="151" t="s">
        <v>338</v>
      </c>
      <c r="F77" s="151" t="s">
        <v>3528</v>
      </c>
      <c r="G77" s="151" t="s">
        <v>5172</v>
      </c>
      <c r="H77" s="131" t="s">
        <v>30</v>
      </c>
      <c r="I77" s="151"/>
      <c r="J77" s="335">
        <v>1850</v>
      </c>
      <c r="K77" s="54">
        <f t="shared" si="0"/>
        <v>0</v>
      </c>
      <c r="L77" s="55" t="b">
        <v>1</v>
      </c>
      <c r="M77" s="409">
        <v>140620251540</v>
      </c>
      <c r="N77" s="57" t="b">
        <v>1</v>
      </c>
      <c r="O77" s="58"/>
      <c r="P77" s="215"/>
      <c r="Q77" s="191" t="b">
        <v>1</v>
      </c>
      <c r="R77" s="308" t="s">
        <v>3138</v>
      </c>
      <c r="S77" s="347" t="s">
        <v>5173</v>
      </c>
      <c r="T77" s="57" t="b">
        <v>1</v>
      </c>
      <c r="U77" s="403" t="s">
        <v>5173</v>
      </c>
      <c r="V77" s="345"/>
      <c r="W77" s="54"/>
    </row>
    <row r="78" spans="1:23" ht="16">
      <c r="A78" s="162"/>
      <c r="B78" s="71" t="s">
        <v>5156</v>
      </c>
      <c r="C78" s="151" t="s">
        <v>5174</v>
      </c>
      <c r="D78" s="151" t="s">
        <v>832</v>
      </c>
      <c r="E78" s="151" t="s">
        <v>137</v>
      </c>
      <c r="F78" s="151" t="s">
        <v>834</v>
      </c>
      <c r="G78" s="151" t="s">
        <v>3512</v>
      </c>
      <c r="H78" s="131" t="s">
        <v>30</v>
      </c>
      <c r="I78" s="151">
        <v>2</v>
      </c>
      <c r="J78" s="335">
        <v>2100</v>
      </c>
      <c r="K78" s="54">
        <f t="shared" si="0"/>
        <v>4200</v>
      </c>
      <c r="L78" s="55" t="b">
        <v>1</v>
      </c>
      <c r="M78" s="409">
        <v>140620251540</v>
      </c>
      <c r="N78" s="57" t="b">
        <v>1</v>
      </c>
      <c r="O78" s="58"/>
      <c r="P78" s="215"/>
      <c r="Q78" s="191" t="b">
        <v>1</v>
      </c>
      <c r="R78" s="308" t="s">
        <v>3138</v>
      </c>
      <c r="S78" s="173" t="s">
        <v>5175</v>
      </c>
      <c r="T78" s="57" t="b">
        <v>1</v>
      </c>
      <c r="U78" s="310" t="s">
        <v>5176</v>
      </c>
      <c r="V78" s="345"/>
      <c r="W78" s="54"/>
    </row>
    <row r="79" spans="1:23" ht="16">
      <c r="A79" s="162"/>
      <c r="B79" s="132" t="s">
        <v>5156</v>
      </c>
      <c r="C79" s="151" t="s">
        <v>3641</v>
      </c>
      <c r="D79" s="151" t="s">
        <v>51</v>
      </c>
      <c r="E79" s="151" t="s">
        <v>335</v>
      </c>
      <c r="F79" s="151" t="s">
        <v>339</v>
      </c>
      <c r="G79" s="340" t="s">
        <v>5177</v>
      </c>
      <c r="H79" s="131" t="s">
        <v>30</v>
      </c>
      <c r="I79" s="151">
        <v>1</v>
      </c>
      <c r="J79" s="335">
        <v>1400</v>
      </c>
      <c r="K79" s="54">
        <f t="shared" si="0"/>
        <v>1400</v>
      </c>
      <c r="L79" s="55" t="b">
        <v>1</v>
      </c>
      <c r="M79" s="409">
        <v>140620251553</v>
      </c>
      <c r="N79" s="57" t="b">
        <v>1</v>
      </c>
      <c r="O79" s="58" t="s">
        <v>1581</v>
      </c>
      <c r="P79" s="215"/>
      <c r="Q79" s="191" t="b">
        <v>1</v>
      </c>
      <c r="R79" s="308" t="s">
        <v>3138</v>
      </c>
      <c r="S79" s="347"/>
      <c r="T79" s="57" t="b">
        <v>1</v>
      </c>
      <c r="U79" s="310" t="s">
        <v>5178</v>
      </c>
      <c r="V79" s="345"/>
      <c r="W79" s="54"/>
    </row>
    <row r="80" spans="1:23" ht="16">
      <c r="A80" s="162"/>
      <c r="B80" s="132" t="s">
        <v>5156</v>
      </c>
      <c r="C80" s="151" t="s">
        <v>3487</v>
      </c>
      <c r="D80" s="151" t="s">
        <v>51</v>
      </c>
      <c r="E80" s="151" t="s">
        <v>89</v>
      </c>
      <c r="F80" s="151" t="s">
        <v>1699</v>
      </c>
      <c r="G80" s="151" t="s">
        <v>5179</v>
      </c>
      <c r="H80" s="131" t="s">
        <v>30</v>
      </c>
      <c r="I80" s="151">
        <v>20</v>
      </c>
      <c r="J80" s="335">
        <v>145</v>
      </c>
      <c r="K80" s="54">
        <f t="shared" si="0"/>
        <v>2900</v>
      </c>
      <c r="L80" s="55" t="b">
        <v>1</v>
      </c>
      <c r="M80" s="409">
        <v>140620251819</v>
      </c>
      <c r="N80" s="57" t="b">
        <v>1</v>
      </c>
      <c r="O80" s="58"/>
      <c r="P80" s="226"/>
      <c r="Q80" s="191" t="b">
        <v>1</v>
      </c>
      <c r="R80" s="308" t="s">
        <v>3138</v>
      </c>
      <c r="S80" s="347"/>
      <c r="T80" s="57" t="b">
        <v>1</v>
      </c>
      <c r="U80" s="310" t="s">
        <v>5180</v>
      </c>
      <c r="V80" s="345"/>
      <c r="W80" s="54"/>
    </row>
    <row r="81" spans="1:23" ht="16">
      <c r="A81" s="162"/>
      <c r="B81" s="132" t="s">
        <v>5156</v>
      </c>
      <c r="C81" s="151" t="s">
        <v>3595</v>
      </c>
      <c r="D81" s="151" t="s">
        <v>55</v>
      </c>
      <c r="E81" s="151" t="s">
        <v>56</v>
      </c>
      <c r="F81" s="151" t="s">
        <v>303</v>
      </c>
      <c r="G81" s="151" t="s">
        <v>1266</v>
      </c>
      <c r="H81" s="131" t="s">
        <v>30</v>
      </c>
      <c r="I81" s="151">
        <v>2</v>
      </c>
      <c r="J81" s="335">
        <v>7000</v>
      </c>
      <c r="K81" s="54">
        <f t="shared" si="0"/>
        <v>14000</v>
      </c>
      <c r="L81" s="55" t="b">
        <v>1</v>
      </c>
      <c r="M81" s="409">
        <v>140620251824</v>
      </c>
      <c r="N81" s="57" t="b">
        <v>1</v>
      </c>
      <c r="O81" s="58"/>
      <c r="P81" s="226"/>
      <c r="Q81" s="191" t="b">
        <v>1</v>
      </c>
      <c r="R81" s="308" t="s">
        <v>3138</v>
      </c>
      <c r="S81" s="173" t="s">
        <v>5181</v>
      </c>
      <c r="T81" s="57" t="b">
        <v>1</v>
      </c>
      <c r="U81" s="310" t="s">
        <v>5182</v>
      </c>
      <c r="V81" s="345"/>
      <c r="W81" s="54"/>
    </row>
    <row r="82" spans="1:23" ht="16">
      <c r="A82" s="162"/>
      <c r="B82" s="132" t="s">
        <v>5156</v>
      </c>
      <c r="C82" s="151" t="s">
        <v>3595</v>
      </c>
      <c r="D82" s="151" t="s">
        <v>55</v>
      </c>
      <c r="E82" s="151" t="s">
        <v>56</v>
      </c>
      <c r="F82" s="151" t="s">
        <v>303</v>
      </c>
      <c r="G82" s="151" t="s">
        <v>72</v>
      </c>
      <c r="H82" s="131" t="s">
        <v>30</v>
      </c>
      <c r="I82" s="151">
        <v>1</v>
      </c>
      <c r="J82" s="335">
        <v>2750</v>
      </c>
      <c r="K82" s="54">
        <f t="shared" si="0"/>
        <v>2750</v>
      </c>
      <c r="L82" s="55" t="b">
        <v>1</v>
      </c>
      <c r="M82" s="409">
        <v>140620251824</v>
      </c>
      <c r="N82" s="57" t="b">
        <v>1</v>
      </c>
      <c r="O82" s="58"/>
      <c r="P82" s="226"/>
      <c r="Q82" s="191" t="b">
        <v>1</v>
      </c>
      <c r="R82" s="308" t="s">
        <v>3138</v>
      </c>
      <c r="S82" s="173" t="s">
        <v>5181</v>
      </c>
      <c r="T82" s="57" t="b">
        <v>1</v>
      </c>
      <c r="U82" s="310" t="s">
        <v>5183</v>
      </c>
      <c r="V82" s="345"/>
      <c r="W82" s="54"/>
    </row>
    <row r="83" spans="1:23" ht="16">
      <c r="A83" s="162"/>
      <c r="B83" s="132" t="s">
        <v>5156</v>
      </c>
      <c r="C83" s="151" t="s">
        <v>3595</v>
      </c>
      <c r="D83" s="151" t="s">
        <v>55</v>
      </c>
      <c r="E83" s="151" t="s">
        <v>56</v>
      </c>
      <c r="F83" s="151" t="s">
        <v>303</v>
      </c>
      <c r="G83" s="151" t="s">
        <v>5184</v>
      </c>
      <c r="H83" s="131" t="s">
        <v>30</v>
      </c>
      <c r="I83" s="151">
        <v>8</v>
      </c>
      <c r="J83" s="335">
        <v>595</v>
      </c>
      <c r="K83" s="54">
        <f t="shared" si="0"/>
        <v>4760</v>
      </c>
      <c r="L83" s="55" t="b">
        <v>1</v>
      </c>
      <c r="M83" s="409">
        <v>140620251824</v>
      </c>
      <c r="N83" s="57" t="b">
        <v>1</v>
      </c>
      <c r="O83" s="58"/>
      <c r="P83" s="226"/>
      <c r="Q83" s="191" t="b">
        <v>1</v>
      </c>
      <c r="R83" s="308" t="s">
        <v>3138</v>
      </c>
      <c r="S83" s="173" t="s">
        <v>5181</v>
      </c>
      <c r="T83" s="57" t="b">
        <v>1</v>
      </c>
      <c r="U83" s="310" t="s">
        <v>5182</v>
      </c>
      <c r="V83" s="345"/>
      <c r="W83" s="54"/>
    </row>
    <row r="84" spans="1:23" ht="16">
      <c r="A84" s="162"/>
      <c r="B84" s="132" t="s">
        <v>5185</v>
      </c>
      <c r="C84" s="151" t="s">
        <v>3487</v>
      </c>
      <c r="D84" s="151" t="s">
        <v>51</v>
      </c>
      <c r="E84" s="151" t="s">
        <v>89</v>
      </c>
      <c r="F84" s="151" t="s">
        <v>2090</v>
      </c>
      <c r="G84" s="151" t="s">
        <v>760</v>
      </c>
      <c r="H84" s="131" t="s">
        <v>30</v>
      </c>
      <c r="I84" s="151">
        <v>20</v>
      </c>
      <c r="J84" s="335">
        <v>150</v>
      </c>
      <c r="K84" s="54">
        <f t="shared" si="0"/>
        <v>3000</v>
      </c>
      <c r="L84" s="55" t="b">
        <v>1</v>
      </c>
      <c r="M84" s="409">
        <v>160620250905</v>
      </c>
      <c r="N84" s="57" t="b">
        <v>1</v>
      </c>
      <c r="O84" s="58"/>
      <c r="P84" s="226"/>
      <c r="Q84" s="191" t="b">
        <v>1</v>
      </c>
      <c r="R84" s="308" t="s">
        <v>3138</v>
      </c>
      <c r="S84" s="173" t="s">
        <v>5186</v>
      </c>
      <c r="T84" s="57" t="b">
        <v>1</v>
      </c>
      <c r="U84" s="310" t="s">
        <v>5187</v>
      </c>
      <c r="V84" s="345"/>
      <c r="W84" s="54"/>
    </row>
    <row r="85" spans="1:23" ht="16">
      <c r="A85" s="162"/>
      <c r="B85" s="132" t="s">
        <v>5185</v>
      </c>
      <c r="C85" s="151" t="s">
        <v>3487</v>
      </c>
      <c r="D85" s="151" t="s">
        <v>51</v>
      </c>
      <c r="E85" s="151" t="s">
        <v>89</v>
      </c>
      <c r="F85" s="151" t="s">
        <v>2090</v>
      </c>
      <c r="G85" s="334" t="s">
        <v>5074</v>
      </c>
      <c r="H85" s="131" t="s">
        <v>30</v>
      </c>
      <c r="I85" s="151">
        <v>20</v>
      </c>
      <c r="J85" s="335">
        <v>300</v>
      </c>
      <c r="K85" s="54">
        <f t="shared" si="0"/>
        <v>6000</v>
      </c>
      <c r="L85" s="55" t="b">
        <v>1</v>
      </c>
      <c r="M85" s="409">
        <v>160620250905</v>
      </c>
      <c r="N85" s="57" t="b">
        <v>1</v>
      </c>
      <c r="O85" s="58"/>
      <c r="P85" s="215"/>
      <c r="Q85" s="191" t="b">
        <v>1</v>
      </c>
      <c r="R85" s="308" t="s">
        <v>3138</v>
      </c>
      <c r="S85" s="173" t="s">
        <v>5186</v>
      </c>
      <c r="T85" s="57" t="b">
        <v>1</v>
      </c>
      <c r="U85" s="310" t="s">
        <v>5187</v>
      </c>
      <c r="V85" s="345"/>
      <c r="W85" s="54"/>
    </row>
    <row r="86" spans="1:23" ht="16">
      <c r="A86" s="162"/>
      <c r="B86" s="132" t="s">
        <v>5185</v>
      </c>
      <c r="C86" s="151" t="s">
        <v>3487</v>
      </c>
      <c r="D86" s="151" t="s">
        <v>51</v>
      </c>
      <c r="E86" s="151" t="s">
        <v>89</v>
      </c>
      <c r="F86" s="151" t="s">
        <v>2090</v>
      </c>
      <c r="G86" s="151" t="s">
        <v>5135</v>
      </c>
      <c r="H86" s="131" t="s">
        <v>30</v>
      </c>
      <c r="I86" s="151">
        <v>2</v>
      </c>
      <c r="J86" s="335">
        <v>875</v>
      </c>
      <c r="K86" s="54">
        <f t="shared" si="0"/>
        <v>1750</v>
      </c>
      <c r="L86" s="55" t="b">
        <v>1</v>
      </c>
      <c r="M86" s="409">
        <v>160620250905</v>
      </c>
      <c r="N86" s="57" t="b">
        <v>1</v>
      </c>
      <c r="O86" s="58"/>
      <c r="P86" s="215"/>
      <c r="Q86" s="191" t="b">
        <v>1</v>
      </c>
      <c r="R86" s="308" t="s">
        <v>3138</v>
      </c>
      <c r="S86" s="173" t="s">
        <v>5186</v>
      </c>
      <c r="T86" s="57" t="b">
        <v>1</v>
      </c>
      <c r="U86" s="310" t="s">
        <v>5187</v>
      </c>
      <c r="V86" s="345"/>
      <c r="W86" s="54"/>
    </row>
    <row r="87" spans="1:23" ht="16">
      <c r="A87" s="162"/>
      <c r="B87" s="132" t="s">
        <v>5185</v>
      </c>
      <c r="C87" s="151" t="s">
        <v>3487</v>
      </c>
      <c r="D87" s="151" t="s">
        <v>51</v>
      </c>
      <c r="E87" s="151" t="s">
        <v>89</v>
      </c>
      <c r="F87" s="151" t="s">
        <v>2090</v>
      </c>
      <c r="G87" s="53" t="s">
        <v>1952</v>
      </c>
      <c r="H87" s="131" t="s">
        <v>30</v>
      </c>
      <c r="I87" s="151">
        <v>20</v>
      </c>
      <c r="J87" s="335">
        <v>650</v>
      </c>
      <c r="K87" s="54">
        <f t="shared" si="0"/>
        <v>13000</v>
      </c>
      <c r="L87" s="55" t="b">
        <v>1</v>
      </c>
      <c r="M87" s="409">
        <v>160620250905</v>
      </c>
      <c r="N87" s="57" t="b">
        <v>1</v>
      </c>
      <c r="O87" s="58" t="s">
        <v>39</v>
      </c>
      <c r="P87" s="226">
        <v>45793</v>
      </c>
      <c r="Q87" s="191" t="b">
        <v>1</v>
      </c>
      <c r="R87" s="308" t="s">
        <v>3138</v>
      </c>
      <c r="S87" s="347"/>
      <c r="T87" s="57" t="b">
        <v>1</v>
      </c>
      <c r="U87" s="310" t="s">
        <v>5188</v>
      </c>
      <c r="V87" s="345"/>
      <c r="W87" s="54"/>
    </row>
    <row r="88" spans="1:23" ht="16">
      <c r="A88" s="162"/>
      <c r="B88" s="132" t="s">
        <v>5185</v>
      </c>
      <c r="C88" s="151" t="s">
        <v>3506</v>
      </c>
      <c r="D88" s="151" t="s">
        <v>55</v>
      </c>
      <c r="E88" s="151">
        <v>41</v>
      </c>
      <c r="F88" s="151" t="s">
        <v>1552</v>
      </c>
      <c r="G88" s="151" t="s">
        <v>3512</v>
      </c>
      <c r="H88" s="131" t="s">
        <v>30</v>
      </c>
      <c r="I88" s="151">
        <v>2</v>
      </c>
      <c r="J88" s="335">
        <v>2100</v>
      </c>
      <c r="K88" s="54">
        <f t="shared" si="0"/>
        <v>4200</v>
      </c>
      <c r="L88" s="55" t="b">
        <v>1</v>
      </c>
      <c r="M88" s="409">
        <v>160620250930</v>
      </c>
      <c r="N88" s="57" t="b">
        <v>1</v>
      </c>
      <c r="O88" s="58"/>
      <c r="P88" s="226"/>
      <c r="Q88" s="191" t="b">
        <v>1</v>
      </c>
      <c r="R88" s="308" t="s">
        <v>3138</v>
      </c>
      <c r="S88" s="173" t="s">
        <v>5189</v>
      </c>
      <c r="T88" s="57" t="b">
        <v>1</v>
      </c>
      <c r="U88" s="310" t="s">
        <v>5190</v>
      </c>
      <c r="V88" s="345"/>
      <c r="W88" s="54"/>
    </row>
    <row r="89" spans="1:23" ht="16">
      <c r="A89" s="162"/>
      <c r="B89" s="132" t="s">
        <v>5185</v>
      </c>
      <c r="C89" s="151" t="s">
        <v>3506</v>
      </c>
      <c r="D89" s="151" t="s">
        <v>55</v>
      </c>
      <c r="E89" s="151">
        <v>41</v>
      </c>
      <c r="F89" s="151" t="s">
        <v>1552</v>
      </c>
      <c r="G89" s="151" t="s">
        <v>3156</v>
      </c>
      <c r="H89" s="131" t="s">
        <v>30</v>
      </c>
      <c r="I89" s="151">
        <v>400</v>
      </c>
      <c r="J89" s="335">
        <v>16.5</v>
      </c>
      <c r="K89" s="54">
        <f t="shared" si="0"/>
        <v>6600</v>
      </c>
      <c r="L89" s="55" t="b">
        <v>1</v>
      </c>
      <c r="M89" s="409">
        <v>160620250930</v>
      </c>
      <c r="N89" s="57" t="b">
        <v>1</v>
      </c>
      <c r="O89" s="58"/>
      <c r="P89" s="226"/>
      <c r="Q89" s="191" t="b">
        <v>1</v>
      </c>
      <c r="R89" s="308" t="s">
        <v>3138</v>
      </c>
      <c r="S89" s="173" t="s">
        <v>5189</v>
      </c>
      <c r="T89" s="57" t="b">
        <v>1</v>
      </c>
      <c r="U89" s="310" t="s">
        <v>5190</v>
      </c>
      <c r="V89" s="345"/>
      <c r="W89" s="54"/>
    </row>
    <row r="90" spans="1:23" ht="16">
      <c r="A90" s="162"/>
      <c r="B90" s="132" t="s">
        <v>5185</v>
      </c>
      <c r="C90" s="151" t="s">
        <v>3506</v>
      </c>
      <c r="D90" s="151" t="s">
        <v>55</v>
      </c>
      <c r="E90" s="151">
        <v>41</v>
      </c>
      <c r="F90" s="151" t="s">
        <v>1552</v>
      </c>
      <c r="G90" s="53" t="s">
        <v>1966</v>
      </c>
      <c r="H90" s="131" t="s">
        <v>30</v>
      </c>
      <c r="I90" s="151">
        <v>20</v>
      </c>
      <c r="J90" s="335">
        <v>650</v>
      </c>
      <c r="K90" s="54">
        <f t="shared" si="0"/>
        <v>13000</v>
      </c>
      <c r="L90" s="55" t="b">
        <v>1</v>
      </c>
      <c r="M90" s="409">
        <v>160620250936</v>
      </c>
      <c r="N90" s="57" t="b">
        <v>1</v>
      </c>
      <c r="O90" s="58" t="s">
        <v>39</v>
      </c>
      <c r="P90" s="226">
        <v>45824</v>
      </c>
      <c r="Q90" s="191" t="b">
        <v>1</v>
      </c>
      <c r="R90" s="308" t="s">
        <v>3138</v>
      </c>
      <c r="S90" s="347"/>
      <c r="T90" s="57" t="b">
        <v>1</v>
      </c>
      <c r="U90" s="310" t="s">
        <v>5191</v>
      </c>
      <c r="V90" s="345"/>
      <c r="W90" s="54"/>
    </row>
    <row r="91" spans="1:23" ht="16">
      <c r="A91" s="162"/>
      <c r="B91" s="132" t="s">
        <v>5185</v>
      </c>
      <c r="C91" s="151" t="s">
        <v>3521</v>
      </c>
      <c r="D91" s="151" t="s">
        <v>144</v>
      </c>
      <c r="E91" s="151" t="s">
        <v>1602</v>
      </c>
      <c r="F91" s="151" t="s">
        <v>3522</v>
      </c>
      <c r="G91" s="151" t="s">
        <v>4548</v>
      </c>
      <c r="H91" s="131" t="s">
        <v>30</v>
      </c>
      <c r="I91" s="151">
        <v>150</v>
      </c>
      <c r="J91" s="335">
        <v>22.5</v>
      </c>
      <c r="K91" s="54">
        <f t="shared" si="0"/>
        <v>3375</v>
      </c>
      <c r="L91" s="55" t="b">
        <v>1</v>
      </c>
      <c r="M91" s="409">
        <v>160620251003</v>
      </c>
      <c r="N91" s="57" t="b">
        <v>1</v>
      </c>
      <c r="O91" s="58"/>
      <c r="P91" s="215"/>
      <c r="Q91" s="191" t="b">
        <v>1</v>
      </c>
      <c r="R91" s="308" t="s">
        <v>3138</v>
      </c>
      <c r="S91" s="173" t="s">
        <v>5192</v>
      </c>
      <c r="T91" s="57" t="b">
        <v>1</v>
      </c>
      <c r="U91" s="310" t="s">
        <v>5193</v>
      </c>
      <c r="V91" s="345"/>
      <c r="W91" s="54"/>
    </row>
    <row r="92" spans="1:23" ht="16">
      <c r="A92" s="162"/>
      <c r="B92" s="132" t="s">
        <v>5185</v>
      </c>
      <c r="C92" s="151" t="s">
        <v>4165</v>
      </c>
      <c r="D92" s="151" t="s">
        <v>104</v>
      </c>
      <c r="E92" s="151" t="s">
        <v>2273</v>
      </c>
      <c r="F92" s="151" t="s">
        <v>1314</v>
      </c>
      <c r="G92" s="340" t="s">
        <v>5177</v>
      </c>
      <c r="H92" s="131" t="s">
        <v>30</v>
      </c>
      <c r="I92" s="151">
        <v>1</v>
      </c>
      <c r="J92" s="335">
        <v>1400</v>
      </c>
      <c r="K92" s="54">
        <f t="shared" si="0"/>
        <v>1400</v>
      </c>
      <c r="L92" s="55" t="b">
        <v>1</v>
      </c>
      <c r="M92" s="409">
        <v>160620251003</v>
      </c>
      <c r="N92" s="57" t="b">
        <v>1</v>
      </c>
      <c r="O92" s="58" t="s">
        <v>1581</v>
      </c>
      <c r="P92" s="215"/>
      <c r="Q92" s="191" t="b">
        <v>1</v>
      </c>
      <c r="R92" s="308" t="s">
        <v>3138</v>
      </c>
      <c r="S92" s="173" t="s">
        <v>5194</v>
      </c>
      <c r="T92" s="57" t="b">
        <v>1</v>
      </c>
      <c r="U92" s="310" t="s">
        <v>5195</v>
      </c>
      <c r="V92" s="345"/>
      <c r="W92" s="54"/>
    </row>
    <row r="93" spans="1:23" ht="16">
      <c r="A93" s="162"/>
      <c r="B93" s="71" t="s">
        <v>5185</v>
      </c>
      <c r="C93" s="151" t="s">
        <v>3568</v>
      </c>
      <c r="D93" s="151" t="s">
        <v>438</v>
      </c>
      <c r="E93" s="151" t="s">
        <v>439</v>
      </c>
      <c r="F93" s="151" t="s">
        <v>944</v>
      </c>
      <c r="G93" s="340" t="s">
        <v>5177</v>
      </c>
      <c r="H93" s="131" t="s">
        <v>30</v>
      </c>
      <c r="I93" s="151">
        <v>1</v>
      </c>
      <c r="J93" s="335">
        <v>1400</v>
      </c>
      <c r="K93" s="54">
        <f t="shared" si="0"/>
        <v>1400</v>
      </c>
      <c r="L93" s="55" t="b">
        <v>1</v>
      </c>
      <c r="M93" s="409">
        <v>160620251003</v>
      </c>
      <c r="N93" s="57" t="b">
        <v>1</v>
      </c>
      <c r="O93" s="58" t="s">
        <v>1581</v>
      </c>
      <c r="P93" s="215"/>
      <c r="Q93" s="191" t="b">
        <v>1</v>
      </c>
      <c r="R93" s="308" t="s">
        <v>3138</v>
      </c>
      <c r="S93" s="173" t="s">
        <v>5196</v>
      </c>
      <c r="T93" s="57" t="b">
        <v>1</v>
      </c>
      <c r="U93" s="310" t="s">
        <v>5197</v>
      </c>
      <c r="V93" s="345"/>
      <c r="W93" s="54"/>
    </row>
    <row r="94" spans="1:23" ht="16">
      <c r="A94" s="162"/>
      <c r="B94" s="71" t="s">
        <v>5185</v>
      </c>
      <c r="C94" s="151" t="s">
        <v>4095</v>
      </c>
      <c r="D94" s="151" t="s">
        <v>345</v>
      </c>
      <c r="E94" s="151" t="s">
        <v>342</v>
      </c>
      <c r="F94" s="151" t="s">
        <v>5198</v>
      </c>
      <c r="G94" s="340" t="s">
        <v>5177</v>
      </c>
      <c r="H94" s="131" t="s">
        <v>30</v>
      </c>
      <c r="I94" s="151">
        <v>1</v>
      </c>
      <c r="J94" s="335">
        <v>1400</v>
      </c>
      <c r="K94" s="54">
        <f t="shared" si="0"/>
        <v>1400</v>
      </c>
      <c r="L94" s="55" t="b">
        <v>1</v>
      </c>
      <c r="M94" s="409">
        <v>160620251003</v>
      </c>
      <c r="N94" s="57" t="b">
        <v>1</v>
      </c>
      <c r="O94" s="58" t="s">
        <v>1581</v>
      </c>
      <c r="P94" s="215"/>
      <c r="Q94" s="191" t="b">
        <v>1</v>
      </c>
      <c r="R94" s="308" t="s">
        <v>3138</v>
      </c>
      <c r="S94" s="173" t="s">
        <v>5199</v>
      </c>
      <c r="T94" s="57" t="b">
        <v>1</v>
      </c>
      <c r="U94" s="310" t="s">
        <v>5200</v>
      </c>
      <c r="V94" s="345"/>
      <c r="W94" s="54"/>
    </row>
    <row r="95" spans="1:23" ht="16">
      <c r="A95" s="162"/>
      <c r="B95" s="71" t="s">
        <v>5185</v>
      </c>
      <c r="C95" s="151" t="s">
        <v>3527</v>
      </c>
      <c r="D95" s="151" t="s">
        <v>51</v>
      </c>
      <c r="E95" s="151" t="s">
        <v>338</v>
      </c>
      <c r="F95" s="151" t="s">
        <v>4487</v>
      </c>
      <c r="G95" s="340" t="s">
        <v>5177</v>
      </c>
      <c r="H95" s="131" t="s">
        <v>30</v>
      </c>
      <c r="I95" s="151"/>
      <c r="J95" s="335">
        <v>1400</v>
      </c>
      <c r="K95" s="54">
        <f t="shared" si="0"/>
        <v>0</v>
      </c>
      <c r="L95" s="55" t="b">
        <v>1</v>
      </c>
      <c r="M95" s="409">
        <v>160620251029</v>
      </c>
      <c r="N95" s="57" t="b">
        <v>1</v>
      </c>
      <c r="O95" s="58" t="s">
        <v>1581</v>
      </c>
      <c r="P95" s="226"/>
      <c r="Q95" s="191" t="b">
        <v>1</v>
      </c>
      <c r="R95" s="308" t="s">
        <v>3138</v>
      </c>
      <c r="S95" s="173" t="s">
        <v>5201</v>
      </c>
      <c r="T95" s="57" t="b">
        <v>0</v>
      </c>
      <c r="U95" s="349" t="s">
        <v>3434</v>
      </c>
      <c r="V95" s="345"/>
      <c r="W95" s="54"/>
    </row>
    <row r="96" spans="1:23" ht="16">
      <c r="A96" s="162"/>
      <c r="B96" s="71" t="s">
        <v>5202</v>
      </c>
      <c r="C96" s="151" t="s">
        <v>4149</v>
      </c>
      <c r="D96" s="151" t="s">
        <v>144</v>
      </c>
      <c r="E96" s="151" t="s">
        <v>4503</v>
      </c>
      <c r="F96" s="151" t="s">
        <v>582</v>
      </c>
      <c r="G96" s="151" t="s">
        <v>1966</v>
      </c>
      <c r="H96" s="131" t="s">
        <v>30</v>
      </c>
      <c r="I96" s="151">
        <v>10</v>
      </c>
      <c r="J96" s="335">
        <v>650</v>
      </c>
      <c r="K96" s="54">
        <f t="shared" si="0"/>
        <v>6500</v>
      </c>
      <c r="L96" s="55" t="b">
        <v>1</v>
      </c>
      <c r="M96" s="409">
        <v>160620251124</v>
      </c>
      <c r="N96" s="57" t="b">
        <v>1</v>
      </c>
      <c r="O96" s="58" t="s">
        <v>39</v>
      </c>
      <c r="P96" s="226">
        <v>45824</v>
      </c>
      <c r="Q96" s="191" t="b">
        <v>1</v>
      </c>
      <c r="R96" s="308" t="s">
        <v>3138</v>
      </c>
      <c r="S96" s="347"/>
      <c r="T96" s="57" t="b">
        <v>1</v>
      </c>
      <c r="U96" s="310" t="s">
        <v>5203</v>
      </c>
      <c r="V96" s="345"/>
      <c r="W96" s="54"/>
    </row>
    <row r="97" spans="1:23" ht="13.5" customHeight="1">
      <c r="A97" s="162"/>
      <c r="B97" s="71" t="s">
        <v>5185</v>
      </c>
      <c r="C97" s="151" t="s">
        <v>3690</v>
      </c>
      <c r="D97" s="151" t="s">
        <v>104</v>
      </c>
      <c r="E97" s="151" t="s">
        <v>516</v>
      </c>
      <c r="F97" s="151" t="s">
        <v>517</v>
      </c>
      <c r="G97" s="151" t="s">
        <v>1966</v>
      </c>
      <c r="H97" s="131" t="s">
        <v>30</v>
      </c>
      <c r="I97" s="151">
        <v>10</v>
      </c>
      <c r="J97" s="335">
        <v>650</v>
      </c>
      <c r="K97" s="54">
        <f t="shared" si="0"/>
        <v>6500</v>
      </c>
      <c r="L97" s="55" t="b">
        <v>1</v>
      </c>
      <c r="M97" s="409">
        <v>160620251146</v>
      </c>
      <c r="N97" s="57" t="b">
        <v>1</v>
      </c>
      <c r="O97" s="58" t="s">
        <v>39</v>
      </c>
      <c r="P97" s="226">
        <v>45824</v>
      </c>
      <c r="Q97" s="191" t="b">
        <v>1</v>
      </c>
      <c r="R97" s="308" t="s">
        <v>3138</v>
      </c>
      <c r="S97" s="411"/>
      <c r="T97" s="57" t="b">
        <v>1</v>
      </c>
      <c r="U97" s="310" t="s">
        <v>5204</v>
      </c>
      <c r="V97" s="345"/>
      <c r="W97" s="54"/>
    </row>
    <row r="98" spans="1:23" ht="16">
      <c r="A98" s="162"/>
      <c r="B98" s="71" t="s">
        <v>5185</v>
      </c>
      <c r="C98" s="151" t="s">
        <v>5205</v>
      </c>
      <c r="D98" s="151" t="s">
        <v>5206</v>
      </c>
      <c r="E98" s="151" t="s">
        <v>5206</v>
      </c>
      <c r="F98" s="151" t="s">
        <v>131</v>
      </c>
      <c r="G98" s="334" t="s">
        <v>1966</v>
      </c>
      <c r="H98" s="131" t="s">
        <v>30</v>
      </c>
      <c r="I98" s="151">
        <v>10</v>
      </c>
      <c r="J98" s="335">
        <v>650</v>
      </c>
      <c r="K98" s="54">
        <f t="shared" si="0"/>
        <v>6500</v>
      </c>
      <c r="L98" s="55" t="b">
        <v>1</v>
      </c>
      <c r="M98" s="409">
        <v>160620251221</v>
      </c>
      <c r="N98" s="57" t="b">
        <v>1</v>
      </c>
      <c r="O98" s="58" t="s">
        <v>39</v>
      </c>
      <c r="P98" s="226">
        <v>45824</v>
      </c>
      <c r="Q98" s="191" t="b">
        <v>1</v>
      </c>
      <c r="R98" s="308" t="s">
        <v>3138</v>
      </c>
      <c r="S98" s="347"/>
      <c r="T98" s="57" t="b">
        <v>1</v>
      </c>
      <c r="U98" s="310" t="s">
        <v>5207</v>
      </c>
      <c r="V98" s="345"/>
      <c r="W98" s="54"/>
    </row>
    <row r="99" spans="1:23" ht="16">
      <c r="A99" s="162"/>
      <c r="B99" s="71" t="s">
        <v>5185</v>
      </c>
      <c r="C99" s="151" t="s">
        <v>5205</v>
      </c>
      <c r="D99" s="151" t="s">
        <v>5206</v>
      </c>
      <c r="E99" s="151" t="s">
        <v>5206</v>
      </c>
      <c r="F99" s="151" t="s">
        <v>131</v>
      </c>
      <c r="G99" s="151" t="s">
        <v>68</v>
      </c>
      <c r="H99" s="131" t="s">
        <v>30</v>
      </c>
      <c r="I99" s="151">
        <v>1</v>
      </c>
      <c r="J99" s="335">
        <v>2299</v>
      </c>
      <c r="K99" s="54">
        <f t="shared" si="0"/>
        <v>2299</v>
      </c>
      <c r="L99" s="55" t="b">
        <v>1</v>
      </c>
      <c r="M99" s="409">
        <v>160620251222</v>
      </c>
      <c r="N99" s="57" t="b">
        <v>1</v>
      </c>
      <c r="O99" s="58"/>
      <c r="P99" s="215"/>
      <c r="Q99" s="191" t="b">
        <v>1</v>
      </c>
      <c r="R99" s="308" t="s">
        <v>3138</v>
      </c>
      <c r="S99" s="173" t="s">
        <v>5208</v>
      </c>
      <c r="T99" s="57" t="b">
        <v>1</v>
      </c>
      <c r="U99" s="310" t="s">
        <v>5209</v>
      </c>
      <c r="V99" s="345"/>
      <c r="W99" s="54"/>
    </row>
    <row r="100" spans="1:23" ht="16">
      <c r="A100" s="162"/>
      <c r="B100" s="71" t="s">
        <v>4911</v>
      </c>
      <c r="C100" s="151" t="s">
        <v>4173</v>
      </c>
      <c r="D100" s="151" t="s">
        <v>149</v>
      </c>
      <c r="E100" s="151" t="s">
        <v>130</v>
      </c>
      <c r="F100" s="151" t="s">
        <v>150</v>
      </c>
      <c r="G100" s="151" t="s">
        <v>5067</v>
      </c>
      <c r="H100" s="131" t="s">
        <v>30</v>
      </c>
      <c r="I100" s="151">
        <v>5</v>
      </c>
      <c r="J100" s="335">
        <v>900</v>
      </c>
      <c r="K100" s="54">
        <f t="shared" si="0"/>
        <v>4500</v>
      </c>
      <c r="L100" s="55" t="b">
        <v>1</v>
      </c>
      <c r="M100" s="409">
        <v>160620251815</v>
      </c>
      <c r="N100" s="57" t="b">
        <v>1</v>
      </c>
      <c r="O100" s="58"/>
      <c r="P100" s="226"/>
      <c r="Q100" s="191" t="b">
        <v>1</v>
      </c>
      <c r="R100" s="308" t="s">
        <v>3138</v>
      </c>
      <c r="S100" s="347"/>
      <c r="T100" s="57" t="b">
        <v>1</v>
      </c>
      <c r="U100" s="310" t="s">
        <v>5210</v>
      </c>
      <c r="V100" s="345"/>
      <c r="W100" s="54"/>
    </row>
    <row r="101" spans="1:23" ht="16.5" customHeight="1">
      <c r="A101" s="162"/>
      <c r="B101" s="71" t="s">
        <v>5185</v>
      </c>
      <c r="C101" s="151" t="s">
        <v>5052</v>
      </c>
      <c r="D101" s="151" t="s">
        <v>104</v>
      </c>
      <c r="E101" s="151" t="s">
        <v>1048</v>
      </c>
      <c r="F101" s="151" t="s">
        <v>5053</v>
      </c>
      <c r="G101" s="151" t="s">
        <v>5179</v>
      </c>
      <c r="H101" s="131" t="s">
        <v>30</v>
      </c>
      <c r="I101" s="151">
        <v>60</v>
      </c>
      <c r="J101" s="335">
        <v>145</v>
      </c>
      <c r="K101" s="54">
        <f t="shared" si="0"/>
        <v>8700</v>
      </c>
      <c r="L101" s="55" t="b">
        <v>1</v>
      </c>
      <c r="M101" s="409">
        <v>160620251930</v>
      </c>
      <c r="N101" s="57" t="b">
        <v>1</v>
      </c>
      <c r="O101" s="58"/>
      <c r="P101" s="215"/>
      <c r="Q101" s="191" t="b">
        <v>1</v>
      </c>
      <c r="R101" s="308" t="s">
        <v>3138</v>
      </c>
      <c r="S101" s="173" t="s">
        <v>5211</v>
      </c>
      <c r="T101" s="57" t="b">
        <v>1</v>
      </c>
      <c r="U101" s="310" t="s">
        <v>5212</v>
      </c>
      <c r="V101" s="345"/>
      <c r="W101" s="54"/>
    </row>
    <row r="102" spans="1:23" ht="16">
      <c r="A102" s="162"/>
      <c r="B102" s="71" t="s">
        <v>5213</v>
      </c>
      <c r="C102" s="53" t="s">
        <v>3619</v>
      </c>
      <c r="D102" s="53" t="s">
        <v>433</v>
      </c>
      <c r="E102" s="53" t="s">
        <v>751</v>
      </c>
      <c r="F102" s="53" t="s">
        <v>2538</v>
      </c>
      <c r="G102" s="53" t="s">
        <v>5214</v>
      </c>
      <c r="H102" s="131" t="s">
        <v>30</v>
      </c>
      <c r="I102" s="151">
        <v>2</v>
      </c>
      <c r="J102" s="335">
        <v>900</v>
      </c>
      <c r="K102" s="54">
        <f t="shared" si="0"/>
        <v>1800</v>
      </c>
      <c r="L102" s="55" t="b">
        <v>1</v>
      </c>
      <c r="M102" s="409">
        <v>170620250914</v>
      </c>
      <c r="N102" s="57" t="b">
        <v>1</v>
      </c>
      <c r="O102" s="58"/>
      <c r="P102" s="226"/>
      <c r="Q102" s="191" t="b">
        <v>1</v>
      </c>
      <c r="R102" s="308" t="s">
        <v>3138</v>
      </c>
      <c r="S102" s="297" t="s">
        <v>5215</v>
      </c>
      <c r="T102" s="57" t="b">
        <v>1</v>
      </c>
      <c r="U102" s="310" t="s">
        <v>5216</v>
      </c>
      <c r="V102" s="345"/>
      <c r="W102" s="54"/>
    </row>
    <row r="103" spans="1:23" ht="16">
      <c r="A103" s="162"/>
      <c r="B103" s="71" t="s">
        <v>5213</v>
      </c>
      <c r="C103" s="151" t="s">
        <v>3445</v>
      </c>
      <c r="D103" s="151" t="s">
        <v>262</v>
      </c>
      <c r="E103" s="151" t="s">
        <v>3446</v>
      </c>
      <c r="F103" s="151" t="s">
        <v>3447</v>
      </c>
      <c r="G103" s="151" t="s">
        <v>1966</v>
      </c>
      <c r="H103" s="131" t="s">
        <v>30</v>
      </c>
      <c r="I103" s="151">
        <v>10</v>
      </c>
      <c r="J103" s="335">
        <v>650</v>
      </c>
      <c r="K103" s="54">
        <f t="shared" si="0"/>
        <v>6500</v>
      </c>
      <c r="L103" s="55" t="b">
        <v>1</v>
      </c>
      <c r="M103" s="409">
        <v>170620251401</v>
      </c>
      <c r="N103" s="57" t="b">
        <v>1</v>
      </c>
      <c r="O103" s="58" t="s">
        <v>39</v>
      </c>
      <c r="P103" s="226">
        <v>45825</v>
      </c>
      <c r="Q103" s="191" t="b">
        <v>1</v>
      </c>
      <c r="R103" s="308" t="s">
        <v>3138</v>
      </c>
      <c r="S103" s="347"/>
      <c r="T103" s="57" t="b">
        <v>1</v>
      </c>
      <c r="U103" s="310" t="s">
        <v>5217</v>
      </c>
      <c r="V103" s="345"/>
      <c r="W103" s="54"/>
    </row>
    <row r="104" spans="1:23" ht="16">
      <c r="A104" s="162"/>
      <c r="B104" s="71" t="s">
        <v>5213</v>
      </c>
      <c r="C104" s="151" t="s">
        <v>3445</v>
      </c>
      <c r="D104" s="151" t="s">
        <v>262</v>
      </c>
      <c r="E104" s="151" t="s">
        <v>3446</v>
      </c>
      <c r="F104" s="151" t="s">
        <v>3447</v>
      </c>
      <c r="G104" s="151" t="s">
        <v>5218</v>
      </c>
      <c r="H104" s="131" t="s">
        <v>30</v>
      </c>
      <c r="I104" s="151">
        <v>10</v>
      </c>
      <c r="J104" s="335">
        <v>125</v>
      </c>
      <c r="K104" s="54">
        <f t="shared" si="0"/>
        <v>1250</v>
      </c>
      <c r="L104" s="55" t="b">
        <v>1</v>
      </c>
      <c r="M104" s="409">
        <v>170620251401</v>
      </c>
      <c r="N104" s="57" t="b">
        <v>1</v>
      </c>
      <c r="O104" s="58"/>
      <c r="P104" s="215"/>
      <c r="Q104" s="191" t="b">
        <v>1</v>
      </c>
      <c r="R104" s="308" t="s">
        <v>3138</v>
      </c>
      <c r="S104" s="173" t="s">
        <v>5219</v>
      </c>
      <c r="T104" s="57" t="b">
        <v>1</v>
      </c>
      <c r="U104" s="310" t="s">
        <v>5220</v>
      </c>
      <c r="V104" s="345"/>
      <c r="W104" s="54"/>
    </row>
    <row r="105" spans="1:23" ht="16">
      <c r="A105" s="162"/>
      <c r="B105" s="71" t="s">
        <v>5221</v>
      </c>
      <c r="C105" s="151" t="s">
        <v>5222</v>
      </c>
      <c r="D105" s="151" t="s">
        <v>397</v>
      </c>
      <c r="E105" s="151" t="s">
        <v>5223</v>
      </c>
      <c r="F105" s="151" t="s">
        <v>5224</v>
      </c>
      <c r="G105" s="151" t="s">
        <v>1024</v>
      </c>
      <c r="H105" s="131" t="s">
        <v>30</v>
      </c>
      <c r="I105" s="151">
        <v>5</v>
      </c>
      <c r="J105" s="335">
        <v>180</v>
      </c>
      <c r="K105" s="54">
        <f t="shared" si="0"/>
        <v>900</v>
      </c>
      <c r="L105" s="55" t="b">
        <v>1</v>
      </c>
      <c r="M105" s="409">
        <v>180620251259</v>
      </c>
      <c r="N105" s="57" t="b">
        <v>1</v>
      </c>
      <c r="O105" s="58"/>
      <c r="P105" s="215"/>
      <c r="Q105" s="191" t="b">
        <v>1</v>
      </c>
      <c r="R105" s="308" t="s">
        <v>3138</v>
      </c>
      <c r="S105" s="347"/>
      <c r="T105" s="57" t="b">
        <v>1</v>
      </c>
      <c r="U105" s="310" t="s">
        <v>5225</v>
      </c>
      <c r="V105" s="345"/>
      <c r="W105" s="54"/>
    </row>
    <row r="106" spans="1:23" ht="13.5" customHeight="1">
      <c r="A106" s="162"/>
      <c r="B106" s="71" t="s">
        <v>5221</v>
      </c>
      <c r="C106" s="151" t="s">
        <v>5052</v>
      </c>
      <c r="D106" s="151" t="s">
        <v>104</v>
      </c>
      <c r="E106" s="151" t="s">
        <v>1048</v>
      </c>
      <c r="F106" s="151" t="s">
        <v>5053</v>
      </c>
      <c r="G106" s="151" t="s">
        <v>5226</v>
      </c>
      <c r="H106" s="131" t="s">
        <v>30</v>
      </c>
      <c r="I106" s="151">
        <v>2</v>
      </c>
      <c r="J106" s="335">
        <v>325</v>
      </c>
      <c r="K106" s="54">
        <f t="shared" si="0"/>
        <v>650</v>
      </c>
      <c r="L106" s="55" t="b">
        <v>1</v>
      </c>
      <c r="M106" s="409">
        <v>180620251650</v>
      </c>
      <c r="N106" s="57" t="b">
        <v>1</v>
      </c>
      <c r="O106" s="58"/>
      <c r="P106" s="215"/>
      <c r="Q106" s="191" t="b">
        <v>1</v>
      </c>
      <c r="R106" s="308" t="s">
        <v>3138</v>
      </c>
      <c r="S106" s="173" t="s">
        <v>5227</v>
      </c>
      <c r="T106" s="57" t="b">
        <v>1</v>
      </c>
      <c r="U106" s="310" t="s">
        <v>5228</v>
      </c>
      <c r="V106" s="345"/>
      <c r="W106" s="54"/>
    </row>
    <row r="107" spans="1:23" ht="16">
      <c r="A107" s="162"/>
      <c r="B107" s="71" t="s">
        <v>5221</v>
      </c>
      <c r="C107" s="151" t="s">
        <v>5052</v>
      </c>
      <c r="D107" s="151" t="s">
        <v>104</v>
      </c>
      <c r="E107" s="151" t="s">
        <v>1048</v>
      </c>
      <c r="F107" s="151" t="s">
        <v>5053</v>
      </c>
      <c r="G107" s="151" t="s">
        <v>5229</v>
      </c>
      <c r="H107" s="131" t="s">
        <v>30</v>
      </c>
      <c r="I107" s="151">
        <v>2</v>
      </c>
      <c r="J107" s="335">
        <v>350</v>
      </c>
      <c r="K107" s="54">
        <f t="shared" si="0"/>
        <v>700</v>
      </c>
      <c r="L107" s="55" t="b">
        <v>1</v>
      </c>
      <c r="M107" s="409">
        <v>180620251650</v>
      </c>
      <c r="N107" s="57" t="b">
        <v>1</v>
      </c>
      <c r="O107" s="58"/>
      <c r="P107" s="215"/>
      <c r="Q107" s="191" t="b">
        <v>1</v>
      </c>
      <c r="R107" s="308" t="s">
        <v>3138</v>
      </c>
      <c r="S107" s="173" t="s">
        <v>5227</v>
      </c>
      <c r="T107" s="57" t="b">
        <v>1</v>
      </c>
      <c r="U107" s="310" t="s">
        <v>5228</v>
      </c>
      <c r="V107" s="345"/>
      <c r="W107" s="54"/>
    </row>
    <row r="108" spans="1:23" ht="14.25" customHeight="1">
      <c r="A108" s="162"/>
      <c r="B108" s="71" t="s">
        <v>5221</v>
      </c>
      <c r="C108" s="151" t="s">
        <v>4330</v>
      </c>
      <c r="D108" s="151" t="s">
        <v>212</v>
      </c>
      <c r="E108" s="151" t="s">
        <v>213</v>
      </c>
      <c r="F108" s="151" t="s">
        <v>4331</v>
      </c>
      <c r="G108" s="151" t="s">
        <v>5230</v>
      </c>
      <c r="H108" s="131" t="s">
        <v>30</v>
      </c>
      <c r="I108" s="151">
        <v>3</v>
      </c>
      <c r="J108" s="335">
        <v>2100</v>
      </c>
      <c r="K108" s="54">
        <f t="shared" si="0"/>
        <v>6300</v>
      </c>
      <c r="L108" s="55" t="b">
        <v>1</v>
      </c>
      <c r="M108" s="409">
        <v>180620251650</v>
      </c>
      <c r="N108" s="57" t="b">
        <v>1</v>
      </c>
      <c r="O108" s="58" t="s">
        <v>3300</v>
      </c>
      <c r="P108" s="215"/>
      <c r="Q108" s="191" t="b">
        <v>1</v>
      </c>
      <c r="R108" s="308" t="s">
        <v>3138</v>
      </c>
      <c r="S108" s="173" t="s">
        <v>5231</v>
      </c>
      <c r="T108" s="57" t="b">
        <v>1</v>
      </c>
      <c r="U108" s="310" t="s">
        <v>5232</v>
      </c>
      <c r="V108" s="345"/>
      <c r="W108" s="54"/>
    </row>
    <row r="109" spans="1:23" ht="16">
      <c r="A109" s="162" t="s">
        <v>3293</v>
      </c>
      <c r="B109" s="71" t="s">
        <v>5221</v>
      </c>
      <c r="C109" s="151" t="s">
        <v>4330</v>
      </c>
      <c r="D109" s="151" t="s">
        <v>212</v>
      </c>
      <c r="E109" s="151" t="s">
        <v>213</v>
      </c>
      <c r="F109" s="151" t="s">
        <v>4331</v>
      </c>
      <c r="G109" s="151" t="s">
        <v>236</v>
      </c>
      <c r="H109" s="131" t="s">
        <v>30</v>
      </c>
      <c r="I109" s="151">
        <v>30</v>
      </c>
      <c r="J109" s="335">
        <v>225</v>
      </c>
      <c r="K109" s="54">
        <f t="shared" si="0"/>
        <v>6750</v>
      </c>
      <c r="L109" s="55" t="b">
        <v>1</v>
      </c>
      <c r="M109" s="409">
        <v>180620251650</v>
      </c>
      <c r="N109" s="57" t="b">
        <v>1</v>
      </c>
      <c r="O109" s="58" t="s">
        <v>3300</v>
      </c>
      <c r="P109" s="215"/>
      <c r="Q109" s="191" t="b">
        <v>1</v>
      </c>
      <c r="R109" s="308" t="s">
        <v>3138</v>
      </c>
      <c r="S109" s="173" t="s">
        <v>5233</v>
      </c>
      <c r="T109" s="57" t="b">
        <v>1</v>
      </c>
      <c r="U109" s="310" t="s">
        <v>5234</v>
      </c>
      <c r="V109" s="345"/>
      <c r="W109" s="54"/>
    </row>
    <row r="110" spans="1:23" ht="16">
      <c r="A110" s="162"/>
      <c r="B110" s="71" t="s">
        <v>5221</v>
      </c>
      <c r="C110" s="151" t="s">
        <v>4135</v>
      </c>
      <c r="D110" s="151" t="s">
        <v>26</v>
      </c>
      <c r="E110" s="151" t="s">
        <v>27</v>
      </c>
      <c r="F110" s="151" t="s">
        <v>28</v>
      </c>
      <c r="G110" s="151" t="s">
        <v>5235</v>
      </c>
      <c r="H110" s="131" t="s">
        <v>30</v>
      </c>
      <c r="I110" s="151">
        <v>1</v>
      </c>
      <c r="J110" s="335">
        <v>375</v>
      </c>
      <c r="K110" s="54">
        <f t="shared" si="0"/>
        <v>375</v>
      </c>
      <c r="L110" s="55" t="b">
        <v>1</v>
      </c>
      <c r="M110" s="409">
        <v>180620251650</v>
      </c>
      <c r="N110" s="57" t="b">
        <v>1</v>
      </c>
      <c r="O110" s="58"/>
      <c r="P110" s="215"/>
      <c r="Q110" s="191" t="b">
        <v>1</v>
      </c>
      <c r="R110" s="308" t="s">
        <v>3138</v>
      </c>
      <c r="S110" s="173" t="s">
        <v>5236</v>
      </c>
      <c r="T110" s="57" t="b">
        <v>1</v>
      </c>
      <c r="U110" s="310" t="s">
        <v>5237</v>
      </c>
      <c r="V110" s="345"/>
      <c r="W110" s="54"/>
    </row>
    <row r="111" spans="1:23" ht="16">
      <c r="A111" s="162"/>
      <c r="B111" s="71" t="s">
        <v>5221</v>
      </c>
      <c r="C111" s="151" t="s">
        <v>4292</v>
      </c>
      <c r="D111" s="151" t="s">
        <v>98</v>
      </c>
      <c r="E111" s="151" t="s">
        <v>99</v>
      </c>
      <c r="F111" s="151" t="s">
        <v>4667</v>
      </c>
      <c r="G111" s="151" t="s">
        <v>236</v>
      </c>
      <c r="H111" s="131" t="s">
        <v>30</v>
      </c>
      <c r="I111" s="151">
        <v>30</v>
      </c>
      <c r="J111" s="335">
        <v>225</v>
      </c>
      <c r="K111" s="54">
        <f t="shared" si="0"/>
        <v>6750</v>
      </c>
      <c r="L111" s="55" t="b">
        <v>1</v>
      </c>
      <c r="M111" s="409">
        <v>180620251659</v>
      </c>
      <c r="N111" s="57" t="b">
        <v>1</v>
      </c>
      <c r="O111" s="58" t="s">
        <v>3300</v>
      </c>
      <c r="P111" s="215"/>
      <c r="Q111" s="191" t="b">
        <v>1</v>
      </c>
      <c r="R111" s="308" t="s">
        <v>3138</v>
      </c>
      <c r="S111" s="173" t="s">
        <v>5238</v>
      </c>
      <c r="T111" s="57" t="b">
        <v>1</v>
      </c>
      <c r="U111" s="310" t="s">
        <v>5239</v>
      </c>
      <c r="V111" s="345"/>
      <c r="W111" s="54"/>
    </row>
    <row r="112" spans="1:23" ht="16">
      <c r="A112" s="162"/>
      <c r="B112" s="71" t="s">
        <v>5240</v>
      </c>
      <c r="C112" s="151" t="s">
        <v>3589</v>
      </c>
      <c r="D112" s="151" t="s">
        <v>397</v>
      </c>
      <c r="E112" s="151" t="s">
        <v>213</v>
      </c>
      <c r="F112" s="151" t="s">
        <v>859</v>
      </c>
      <c r="G112" s="151" t="s">
        <v>4718</v>
      </c>
      <c r="H112" s="131" t="s">
        <v>30</v>
      </c>
      <c r="I112" s="151">
        <v>100</v>
      </c>
      <c r="J112" s="335">
        <v>270</v>
      </c>
      <c r="K112" s="54">
        <f t="shared" si="0"/>
        <v>27000</v>
      </c>
      <c r="L112" s="55" t="b">
        <v>1</v>
      </c>
      <c r="M112" s="409">
        <v>190620251559</v>
      </c>
      <c r="N112" s="57" t="b">
        <v>1</v>
      </c>
      <c r="O112" s="58" t="s">
        <v>1581</v>
      </c>
      <c r="P112" s="215"/>
      <c r="Q112" s="191" t="b">
        <v>1</v>
      </c>
      <c r="R112" s="308" t="s">
        <v>3138</v>
      </c>
      <c r="S112" s="297" t="s">
        <v>5241</v>
      </c>
      <c r="T112" s="57" t="b">
        <v>1</v>
      </c>
      <c r="U112" s="310" t="s">
        <v>5242</v>
      </c>
      <c r="V112" s="345"/>
      <c r="W112" s="54"/>
    </row>
    <row r="113" spans="1:23" ht="16">
      <c r="A113" s="162"/>
      <c r="B113" s="71" t="s">
        <v>5240</v>
      </c>
      <c r="C113" s="151" t="s">
        <v>3589</v>
      </c>
      <c r="D113" s="151" t="s">
        <v>397</v>
      </c>
      <c r="E113" s="151" t="s">
        <v>213</v>
      </c>
      <c r="F113" s="151" t="s">
        <v>859</v>
      </c>
      <c r="G113" s="151" t="s">
        <v>5243</v>
      </c>
      <c r="H113" s="131" t="s">
        <v>30</v>
      </c>
      <c r="I113" s="151">
        <v>1</v>
      </c>
      <c r="J113" s="335">
        <v>1250</v>
      </c>
      <c r="K113" s="54">
        <f t="shared" si="0"/>
        <v>1250</v>
      </c>
      <c r="L113" s="55" t="b">
        <v>1</v>
      </c>
      <c r="M113" s="409">
        <v>190620251601</v>
      </c>
      <c r="N113" s="57" t="b">
        <v>1</v>
      </c>
      <c r="O113" s="58"/>
      <c r="P113" s="215"/>
      <c r="Q113" s="191" t="b">
        <v>1</v>
      </c>
      <c r="R113" s="308" t="s">
        <v>3138</v>
      </c>
      <c r="S113" s="347"/>
      <c r="T113" s="57" t="b">
        <v>1</v>
      </c>
      <c r="U113" s="310" t="s">
        <v>5244</v>
      </c>
      <c r="V113" s="345"/>
      <c r="W113" s="54"/>
    </row>
    <row r="114" spans="1:23" ht="16">
      <c r="A114" s="162"/>
      <c r="B114" s="71" t="s">
        <v>5240</v>
      </c>
      <c r="C114" s="151" t="s">
        <v>3601</v>
      </c>
      <c r="D114" s="151" t="s">
        <v>523</v>
      </c>
      <c r="E114" s="151" t="s">
        <v>524</v>
      </c>
      <c r="F114" s="151" t="s">
        <v>525</v>
      </c>
      <c r="G114" s="151" t="s">
        <v>374</v>
      </c>
      <c r="H114" s="131" t="s">
        <v>30</v>
      </c>
      <c r="I114" s="151">
        <v>50</v>
      </c>
      <c r="J114" s="335">
        <v>30</v>
      </c>
      <c r="K114" s="54">
        <f t="shared" si="0"/>
        <v>1500</v>
      </c>
      <c r="L114" s="55" t="b">
        <v>1</v>
      </c>
      <c r="M114" s="409">
        <v>190620251725</v>
      </c>
      <c r="N114" s="57" t="b">
        <v>1</v>
      </c>
      <c r="O114" s="58"/>
      <c r="P114" s="215"/>
      <c r="Q114" s="191" t="b">
        <v>1</v>
      </c>
      <c r="R114" s="308" t="s">
        <v>3138</v>
      </c>
      <c r="S114" s="173" t="s">
        <v>5245</v>
      </c>
      <c r="T114" s="57" t="b">
        <v>1</v>
      </c>
      <c r="U114" s="310" t="s">
        <v>5246</v>
      </c>
      <c r="V114" s="345"/>
      <c r="W114" s="54"/>
    </row>
    <row r="115" spans="1:23" ht="16">
      <c r="A115" s="162"/>
      <c r="B115" s="71" t="s">
        <v>5240</v>
      </c>
      <c r="C115" s="151" t="s">
        <v>4266</v>
      </c>
      <c r="D115" s="151" t="s">
        <v>463</v>
      </c>
      <c r="E115" s="151" t="s">
        <v>463</v>
      </c>
      <c r="F115" s="151" t="s">
        <v>5247</v>
      </c>
      <c r="G115" s="151" t="s">
        <v>300</v>
      </c>
      <c r="H115" s="131" t="s">
        <v>30</v>
      </c>
      <c r="I115" s="151">
        <v>10</v>
      </c>
      <c r="J115" s="335">
        <v>150</v>
      </c>
      <c r="K115" s="54">
        <f t="shared" si="0"/>
        <v>1500</v>
      </c>
      <c r="L115" s="55" t="b">
        <v>1</v>
      </c>
      <c r="M115" s="409">
        <v>190620251725</v>
      </c>
      <c r="N115" s="57" t="b">
        <v>1</v>
      </c>
      <c r="O115" s="58"/>
      <c r="P115" s="215"/>
      <c r="Q115" s="191" t="b">
        <v>1</v>
      </c>
      <c r="R115" s="308" t="s">
        <v>3138</v>
      </c>
      <c r="S115" s="173" t="s">
        <v>5248</v>
      </c>
      <c r="T115" s="57" t="b">
        <v>1</v>
      </c>
      <c r="U115" s="310" t="s">
        <v>5249</v>
      </c>
      <c r="V115" s="345"/>
      <c r="W115" s="54"/>
    </row>
    <row r="116" spans="1:23" ht="16">
      <c r="A116" s="162"/>
      <c r="B116" s="71" t="s">
        <v>5250</v>
      </c>
      <c r="C116" s="151" t="s">
        <v>3483</v>
      </c>
      <c r="D116" s="151" t="s">
        <v>26</v>
      </c>
      <c r="E116" s="151" t="s">
        <v>1976</v>
      </c>
      <c r="F116" s="151" t="s">
        <v>2124</v>
      </c>
      <c r="G116" s="151" t="s">
        <v>5251</v>
      </c>
      <c r="H116" s="131" t="s">
        <v>30</v>
      </c>
      <c r="I116" s="151">
        <v>3</v>
      </c>
      <c r="J116" s="335">
        <v>2100</v>
      </c>
      <c r="K116" s="54">
        <f t="shared" si="0"/>
        <v>6300</v>
      </c>
      <c r="L116" s="55" t="b">
        <v>1</v>
      </c>
      <c r="M116" s="409">
        <v>200620251350</v>
      </c>
      <c r="N116" s="57" t="b">
        <v>1</v>
      </c>
      <c r="O116" s="58" t="s">
        <v>3300</v>
      </c>
      <c r="P116" s="215"/>
      <c r="Q116" s="191" t="b">
        <v>1</v>
      </c>
      <c r="R116" s="308" t="s">
        <v>3138</v>
      </c>
      <c r="S116" s="173" t="s">
        <v>5252</v>
      </c>
      <c r="T116" s="57" t="b">
        <v>1</v>
      </c>
      <c r="U116" s="310" t="s">
        <v>5253</v>
      </c>
      <c r="V116" s="345"/>
      <c r="W116" s="54"/>
    </row>
    <row r="117" spans="1:23" ht="16">
      <c r="A117" s="162"/>
      <c r="B117" s="71" t="s">
        <v>5250</v>
      </c>
      <c r="C117" s="151" t="s">
        <v>3483</v>
      </c>
      <c r="D117" s="151" t="s">
        <v>26</v>
      </c>
      <c r="E117" s="151" t="s">
        <v>1976</v>
      </c>
      <c r="F117" s="151" t="s">
        <v>2124</v>
      </c>
      <c r="G117" s="151" t="s">
        <v>5254</v>
      </c>
      <c r="H117" s="131" t="s">
        <v>30</v>
      </c>
      <c r="I117" s="151">
        <v>150</v>
      </c>
      <c r="J117" s="335">
        <v>22.5</v>
      </c>
      <c r="K117" s="54">
        <f t="shared" si="0"/>
        <v>3375</v>
      </c>
      <c r="L117" s="55" t="b">
        <v>1</v>
      </c>
      <c r="M117" s="409">
        <v>200620251350</v>
      </c>
      <c r="N117" s="57" t="b">
        <v>1</v>
      </c>
      <c r="O117" s="58"/>
      <c r="P117" s="215"/>
      <c r="Q117" s="191" t="b">
        <v>1</v>
      </c>
      <c r="R117" s="308" t="s">
        <v>3138</v>
      </c>
      <c r="S117" s="173" t="s">
        <v>5255</v>
      </c>
      <c r="T117" s="57" t="b">
        <v>1</v>
      </c>
      <c r="U117" s="310" t="s">
        <v>5256</v>
      </c>
      <c r="V117" s="345"/>
      <c r="W117" s="54"/>
    </row>
    <row r="118" spans="1:23" ht="16">
      <c r="A118" s="162"/>
      <c r="B118" s="71" t="s">
        <v>5250</v>
      </c>
      <c r="C118" s="151" t="s">
        <v>3517</v>
      </c>
      <c r="D118" s="151" t="s">
        <v>51</v>
      </c>
      <c r="E118" s="151" t="s">
        <v>61</v>
      </c>
      <c r="F118" s="151" t="s">
        <v>476</v>
      </c>
      <c r="G118" s="151" t="s">
        <v>1966</v>
      </c>
      <c r="H118" s="131" t="s">
        <v>30</v>
      </c>
      <c r="I118" s="151">
        <v>10</v>
      </c>
      <c r="J118" s="335">
        <v>650</v>
      </c>
      <c r="K118" s="54">
        <f t="shared" si="0"/>
        <v>6500</v>
      </c>
      <c r="L118" s="55" t="b">
        <v>1</v>
      </c>
      <c r="M118" s="409">
        <v>200620251350</v>
      </c>
      <c r="N118" s="57" t="b">
        <v>1</v>
      </c>
      <c r="O118" s="58" t="s">
        <v>39</v>
      </c>
      <c r="P118" s="215"/>
      <c r="Q118" s="191" t="b">
        <v>1</v>
      </c>
      <c r="R118" s="308" t="s">
        <v>3138</v>
      </c>
      <c r="S118" s="347"/>
      <c r="T118" s="57" t="b">
        <v>1</v>
      </c>
      <c r="U118" s="310" t="s">
        <v>5257</v>
      </c>
      <c r="V118" s="345"/>
      <c r="W118" s="54"/>
    </row>
    <row r="119" spans="1:23" ht="16">
      <c r="A119" s="162"/>
      <c r="B119" s="71" t="s">
        <v>5258</v>
      </c>
      <c r="C119" s="151" t="s">
        <v>4138</v>
      </c>
      <c r="D119" s="151" t="s">
        <v>144</v>
      </c>
      <c r="E119" s="151" t="s">
        <v>980</v>
      </c>
      <c r="F119" s="151" t="s">
        <v>4139</v>
      </c>
      <c r="G119" s="340" t="s">
        <v>5259</v>
      </c>
      <c r="H119" s="131" t="s">
        <v>30</v>
      </c>
      <c r="I119" s="151">
        <v>2</v>
      </c>
      <c r="J119" s="335">
        <v>350</v>
      </c>
      <c r="K119" s="54">
        <f t="shared" si="0"/>
        <v>700</v>
      </c>
      <c r="L119" s="55" t="b">
        <v>1</v>
      </c>
      <c r="M119" s="409">
        <v>210620251024</v>
      </c>
      <c r="N119" s="57" t="b">
        <v>1</v>
      </c>
      <c r="O119" s="58"/>
      <c r="P119" s="226"/>
      <c r="Q119" s="191" t="b">
        <v>1</v>
      </c>
      <c r="R119" s="308" t="s">
        <v>3138</v>
      </c>
      <c r="S119" s="173" t="s">
        <v>5260</v>
      </c>
      <c r="T119" s="57" t="b">
        <v>1</v>
      </c>
      <c r="U119" s="310" t="s">
        <v>5261</v>
      </c>
      <c r="V119" s="345"/>
      <c r="W119" s="54"/>
    </row>
    <row r="120" spans="1:23" ht="16">
      <c r="A120" s="162"/>
      <c r="B120" s="71" t="s">
        <v>5258</v>
      </c>
      <c r="C120" s="151" t="s">
        <v>3458</v>
      </c>
      <c r="D120" s="151" t="s">
        <v>51</v>
      </c>
      <c r="E120" s="151" t="s">
        <v>201</v>
      </c>
      <c r="F120" s="151" t="s">
        <v>202</v>
      </c>
      <c r="G120" s="80" t="s">
        <v>3459</v>
      </c>
      <c r="H120" s="131" t="s">
        <v>30</v>
      </c>
      <c r="I120" s="151">
        <v>10</v>
      </c>
      <c r="J120" s="335">
        <v>775</v>
      </c>
      <c r="K120" s="54">
        <f t="shared" si="0"/>
        <v>7750</v>
      </c>
      <c r="L120" s="55" t="b">
        <v>1</v>
      </c>
      <c r="M120" s="409">
        <v>210620251025</v>
      </c>
      <c r="N120" s="57" t="b">
        <v>1</v>
      </c>
      <c r="O120" s="58" t="s">
        <v>529</v>
      </c>
      <c r="P120" s="226"/>
      <c r="Q120" s="191" t="b">
        <v>1</v>
      </c>
      <c r="R120" s="308" t="s">
        <v>3138</v>
      </c>
      <c r="S120" s="347"/>
      <c r="T120" s="57" t="b">
        <v>1</v>
      </c>
      <c r="U120" s="310" t="s">
        <v>5262</v>
      </c>
      <c r="V120" s="345"/>
      <c r="W120" s="54"/>
    </row>
    <row r="121" spans="1:23" ht="16">
      <c r="A121" s="162"/>
      <c r="B121" s="71" t="s">
        <v>5258</v>
      </c>
      <c r="C121" s="151" t="s">
        <v>3458</v>
      </c>
      <c r="D121" s="151" t="s">
        <v>51</v>
      </c>
      <c r="E121" s="151" t="s">
        <v>201</v>
      </c>
      <c r="F121" s="151" t="s">
        <v>202</v>
      </c>
      <c r="G121" s="151" t="s">
        <v>236</v>
      </c>
      <c r="H121" s="131" t="s">
        <v>30</v>
      </c>
      <c r="I121" s="151">
        <v>12</v>
      </c>
      <c r="J121" s="335">
        <v>225</v>
      </c>
      <c r="K121" s="54">
        <f t="shared" si="0"/>
        <v>2700</v>
      </c>
      <c r="L121" s="55" t="b">
        <v>1</v>
      </c>
      <c r="M121" s="409">
        <v>210620251025</v>
      </c>
      <c r="N121" s="57" t="b">
        <v>1</v>
      </c>
      <c r="O121" s="58" t="s">
        <v>3300</v>
      </c>
      <c r="P121" s="215"/>
      <c r="Q121" s="191" t="b">
        <v>1</v>
      </c>
      <c r="R121" s="308" t="s">
        <v>3138</v>
      </c>
      <c r="S121" s="173" t="s">
        <v>5263</v>
      </c>
      <c r="T121" s="57" t="b">
        <v>1</v>
      </c>
      <c r="U121" s="310" t="s">
        <v>5264</v>
      </c>
      <c r="V121" s="345"/>
      <c r="W121" s="54"/>
    </row>
    <row r="122" spans="1:23" ht="16">
      <c r="A122" s="162"/>
      <c r="B122" s="71" t="s">
        <v>5265</v>
      </c>
      <c r="C122" s="343" t="s">
        <v>4076</v>
      </c>
      <c r="D122" s="343" t="s">
        <v>569</v>
      </c>
      <c r="E122" s="151" t="s">
        <v>130</v>
      </c>
      <c r="F122" s="151" t="s">
        <v>4078</v>
      </c>
      <c r="G122" s="151" t="s">
        <v>1966</v>
      </c>
      <c r="H122" s="131" t="s">
        <v>30</v>
      </c>
      <c r="I122" s="151">
        <v>10</v>
      </c>
      <c r="J122" s="335">
        <v>650</v>
      </c>
      <c r="K122" s="54">
        <f t="shared" si="0"/>
        <v>6500</v>
      </c>
      <c r="L122" s="55" t="b">
        <v>1</v>
      </c>
      <c r="M122" s="409">
        <v>230620250838</v>
      </c>
      <c r="N122" s="57" t="b">
        <v>1</v>
      </c>
      <c r="O122" s="58" t="s">
        <v>39</v>
      </c>
      <c r="P122" s="226">
        <v>45831</v>
      </c>
      <c r="Q122" s="191" t="b">
        <v>1</v>
      </c>
      <c r="R122" s="308" t="s">
        <v>3138</v>
      </c>
      <c r="S122" s="347"/>
      <c r="T122" s="57" t="b">
        <v>1</v>
      </c>
      <c r="U122" s="310" t="s">
        <v>5266</v>
      </c>
      <c r="V122" s="345"/>
      <c r="W122" s="54"/>
    </row>
    <row r="123" spans="1:23" ht="16">
      <c r="A123" s="162"/>
      <c r="B123" s="71" t="s">
        <v>5265</v>
      </c>
      <c r="C123" s="151" t="s">
        <v>3641</v>
      </c>
      <c r="D123" s="151" t="s">
        <v>51</v>
      </c>
      <c r="E123" s="151" t="s">
        <v>335</v>
      </c>
      <c r="F123" s="151" t="s">
        <v>457</v>
      </c>
      <c r="G123" s="151" t="s">
        <v>5012</v>
      </c>
      <c r="H123" s="131" t="s">
        <v>30</v>
      </c>
      <c r="I123" s="151">
        <v>1</v>
      </c>
      <c r="J123" s="335">
        <v>3750</v>
      </c>
      <c r="K123" s="54">
        <f t="shared" si="0"/>
        <v>3750</v>
      </c>
      <c r="L123" s="55" t="b">
        <v>1</v>
      </c>
      <c r="M123" s="409">
        <v>230620251059</v>
      </c>
      <c r="N123" s="57" t="b">
        <v>1</v>
      </c>
      <c r="O123" s="58"/>
      <c r="P123" s="215"/>
      <c r="Q123" s="191" t="b">
        <v>1</v>
      </c>
      <c r="R123" s="308" t="s">
        <v>3138</v>
      </c>
      <c r="S123" s="347"/>
      <c r="T123" s="57" t="b">
        <v>1</v>
      </c>
      <c r="U123" s="310" t="s">
        <v>5267</v>
      </c>
      <c r="V123" s="345"/>
      <c r="W123" s="54"/>
    </row>
    <row r="124" spans="1:23" ht="16">
      <c r="A124" s="162"/>
      <c r="B124" s="71" t="s">
        <v>5265</v>
      </c>
      <c r="C124" s="151" t="s">
        <v>4107</v>
      </c>
      <c r="D124" s="151" t="s">
        <v>282</v>
      </c>
      <c r="E124" s="151" t="s">
        <v>282</v>
      </c>
      <c r="F124" s="151" t="s">
        <v>365</v>
      </c>
      <c r="G124" s="151" t="s">
        <v>1966</v>
      </c>
      <c r="H124" s="131" t="s">
        <v>30</v>
      </c>
      <c r="I124" s="151">
        <v>10</v>
      </c>
      <c r="J124" s="335">
        <v>650</v>
      </c>
      <c r="K124" s="54">
        <f t="shared" si="0"/>
        <v>6500</v>
      </c>
      <c r="L124" s="55" t="b">
        <v>1</v>
      </c>
      <c r="M124" s="409">
        <v>230620251123</v>
      </c>
      <c r="N124" s="57" t="b">
        <v>1</v>
      </c>
      <c r="O124" s="58" t="s">
        <v>39</v>
      </c>
      <c r="P124" s="226">
        <v>45831</v>
      </c>
      <c r="Q124" s="191" t="b">
        <v>1</v>
      </c>
      <c r="R124" s="308" t="s">
        <v>3138</v>
      </c>
      <c r="S124" s="347"/>
      <c r="T124" s="57" t="b">
        <v>1</v>
      </c>
      <c r="U124" s="310" t="s">
        <v>5268</v>
      </c>
      <c r="V124" s="345"/>
      <c r="W124" s="54"/>
    </row>
    <row r="125" spans="1:23" ht="16">
      <c r="A125" s="162"/>
      <c r="B125" s="71" t="s">
        <v>5265</v>
      </c>
      <c r="C125" s="151" t="s">
        <v>4107</v>
      </c>
      <c r="D125" s="151" t="s">
        <v>282</v>
      </c>
      <c r="E125" s="151" t="s">
        <v>282</v>
      </c>
      <c r="F125" s="151" t="s">
        <v>365</v>
      </c>
      <c r="G125" s="151" t="s">
        <v>5269</v>
      </c>
      <c r="H125" s="131" t="s">
        <v>30</v>
      </c>
      <c r="I125" s="151">
        <v>2</v>
      </c>
      <c r="J125" s="335">
        <v>150</v>
      </c>
      <c r="K125" s="54">
        <f t="shared" si="0"/>
        <v>300</v>
      </c>
      <c r="L125" s="55" t="b">
        <v>1</v>
      </c>
      <c r="M125" s="409">
        <v>230620251123</v>
      </c>
      <c r="N125" s="57" t="b">
        <v>1</v>
      </c>
      <c r="O125" s="58"/>
      <c r="P125" s="215"/>
      <c r="Q125" s="191" t="b">
        <v>1</v>
      </c>
      <c r="R125" s="308" t="s">
        <v>3138</v>
      </c>
      <c r="S125" s="173" t="s">
        <v>5270</v>
      </c>
      <c r="T125" s="57" t="b">
        <v>1</v>
      </c>
      <c r="U125" s="310" t="s">
        <v>5271</v>
      </c>
      <c r="V125" s="345"/>
      <c r="W125" s="54"/>
    </row>
    <row r="126" spans="1:23" ht="16">
      <c r="A126" s="162"/>
      <c r="B126" s="71" t="s">
        <v>5265</v>
      </c>
      <c r="C126" s="151" t="s">
        <v>3483</v>
      </c>
      <c r="D126" s="151" t="s">
        <v>26</v>
      </c>
      <c r="E126" s="151" t="s">
        <v>1976</v>
      </c>
      <c r="F126" s="151" t="s">
        <v>4309</v>
      </c>
      <c r="G126" s="151" t="s">
        <v>5272</v>
      </c>
      <c r="H126" s="131" t="s">
        <v>30</v>
      </c>
      <c r="I126" s="151">
        <v>8</v>
      </c>
      <c r="J126" s="335">
        <v>230</v>
      </c>
      <c r="K126" s="54">
        <f t="shared" si="0"/>
        <v>1840</v>
      </c>
      <c r="L126" s="55" t="b">
        <v>1</v>
      </c>
      <c r="M126" s="409">
        <v>230620251156</v>
      </c>
      <c r="N126" s="57" t="b">
        <v>1</v>
      </c>
      <c r="O126" s="58"/>
      <c r="P126" s="215"/>
      <c r="Q126" s="191" t="b">
        <v>1</v>
      </c>
      <c r="R126" s="308" t="s">
        <v>3138</v>
      </c>
      <c r="S126" s="173" t="s">
        <v>5273</v>
      </c>
      <c r="T126" s="57" t="b">
        <v>1</v>
      </c>
      <c r="U126" s="310" t="s">
        <v>5274</v>
      </c>
      <c r="V126" s="345"/>
      <c r="W126" s="54"/>
    </row>
    <row r="127" spans="1:23" ht="16">
      <c r="A127" s="162"/>
      <c r="B127" s="71" t="s">
        <v>5265</v>
      </c>
      <c r="C127" s="151" t="s">
        <v>4325</v>
      </c>
      <c r="D127" s="151" t="s">
        <v>3242</v>
      </c>
      <c r="E127" s="151" t="s">
        <v>2296</v>
      </c>
      <c r="F127" s="151" t="s">
        <v>2601</v>
      </c>
      <c r="G127" s="151" t="s">
        <v>366</v>
      </c>
      <c r="H127" s="131" t="s">
        <v>30</v>
      </c>
      <c r="I127" s="151">
        <v>24</v>
      </c>
      <c r="J127" s="335">
        <v>225</v>
      </c>
      <c r="K127" s="54">
        <f t="shared" si="0"/>
        <v>5400</v>
      </c>
      <c r="L127" s="55" t="b">
        <v>1</v>
      </c>
      <c r="M127" s="409">
        <v>230620251409</v>
      </c>
      <c r="N127" s="57" t="b">
        <v>1</v>
      </c>
      <c r="O127" s="58"/>
      <c r="P127" s="215"/>
      <c r="Q127" s="191" t="b">
        <v>1</v>
      </c>
      <c r="R127" s="308" t="s">
        <v>3138</v>
      </c>
      <c r="S127" s="173" t="s">
        <v>5275</v>
      </c>
      <c r="T127" s="57" t="b">
        <v>1</v>
      </c>
      <c r="U127" s="310" t="s">
        <v>5276</v>
      </c>
      <c r="V127" s="345"/>
      <c r="W127" s="75"/>
    </row>
    <row r="128" spans="1:23" ht="16">
      <c r="A128" s="162"/>
      <c r="B128" s="132" t="s">
        <v>5265</v>
      </c>
      <c r="C128" s="151" t="s">
        <v>4820</v>
      </c>
      <c r="D128" s="151" t="s">
        <v>397</v>
      </c>
      <c r="E128" s="151" t="s">
        <v>646</v>
      </c>
      <c r="F128" s="151" t="s">
        <v>2260</v>
      </c>
      <c r="G128" s="151" t="s">
        <v>5277</v>
      </c>
      <c r="H128" s="131" t="s">
        <v>30</v>
      </c>
      <c r="I128" s="151">
        <v>45</v>
      </c>
      <c r="J128" s="335">
        <v>150</v>
      </c>
      <c r="K128" s="54">
        <f t="shared" si="0"/>
        <v>6750</v>
      </c>
      <c r="L128" s="55" t="b">
        <v>1</v>
      </c>
      <c r="M128" s="409">
        <v>230720251557</v>
      </c>
      <c r="N128" s="57" t="b">
        <v>1</v>
      </c>
      <c r="O128" s="58"/>
      <c r="P128" s="215"/>
      <c r="Q128" s="191" t="b">
        <v>1</v>
      </c>
      <c r="R128" s="308" t="s">
        <v>3138</v>
      </c>
      <c r="S128" s="173" t="s">
        <v>5278</v>
      </c>
      <c r="T128" s="57" t="b">
        <v>1</v>
      </c>
      <c r="U128" s="310" t="s">
        <v>5279</v>
      </c>
      <c r="V128" s="345"/>
      <c r="W128" s="75"/>
    </row>
    <row r="129" spans="1:23" ht="16">
      <c r="A129" s="162"/>
      <c r="B129" s="132" t="s">
        <v>5265</v>
      </c>
      <c r="C129" s="151" t="s">
        <v>3632</v>
      </c>
      <c r="D129" s="151" t="s">
        <v>104</v>
      </c>
      <c r="E129" s="151" t="s">
        <v>486</v>
      </c>
      <c r="F129" s="151" t="s">
        <v>5280</v>
      </c>
      <c r="G129" s="151" t="s">
        <v>5281</v>
      </c>
      <c r="H129" s="131" t="s">
        <v>30</v>
      </c>
      <c r="I129" s="151">
        <v>6</v>
      </c>
      <c r="J129" s="335">
        <v>165</v>
      </c>
      <c r="K129" s="54">
        <f t="shared" si="0"/>
        <v>990</v>
      </c>
      <c r="L129" s="55" t="b">
        <v>1</v>
      </c>
      <c r="M129" s="409">
        <v>230620252128</v>
      </c>
      <c r="N129" s="57" t="b">
        <v>1</v>
      </c>
      <c r="O129" s="58"/>
      <c r="P129" s="215"/>
      <c r="Q129" s="191" t="b">
        <v>1</v>
      </c>
      <c r="R129" s="308" t="s">
        <v>3138</v>
      </c>
      <c r="S129" s="173" t="s">
        <v>5282</v>
      </c>
      <c r="T129" s="57" t="b">
        <v>1</v>
      </c>
      <c r="U129" s="310" t="s">
        <v>5283</v>
      </c>
      <c r="V129" s="345"/>
      <c r="W129" s="54"/>
    </row>
    <row r="130" spans="1:23" ht="16">
      <c r="A130" s="162"/>
      <c r="B130" s="132" t="s">
        <v>5265</v>
      </c>
      <c r="C130" s="151" t="s">
        <v>3632</v>
      </c>
      <c r="D130" s="151" t="s">
        <v>104</v>
      </c>
      <c r="E130" s="151" t="s">
        <v>486</v>
      </c>
      <c r="F130" s="151" t="s">
        <v>5280</v>
      </c>
      <c r="G130" s="151" t="s">
        <v>1966</v>
      </c>
      <c r="H130" s="131" t="s">
        <v>30</v>
      </c>
      <c r="I130" s="151">
        <v>10</v>
      </c>
      <c r="J130" s="335">
        <v>650</v>
      </c>
      <c r="K130" s="54">
        <f t="shared" si="0"/>
        <v>6500</v>
      </c>
      <c r="L130" s="55" t="b">
        <v>1</v>
      </c>
      <c r="M130" s="409">
        <v>230620252128</v>
      </c>
      <c r="N130" s="57" t="b">
        <v>1</v>
      </c>
      <c r="O130" s="58" t="s">
        <v>39</v>
      </c>
      <c r="P130" s="226">
        <v>45832</v>
      </c>
      <c r="Q130" s="191" t="b">
        <v>1</v>
      </c>
      <c r="R130" s="308" t="s">
        <v>3138</v>
      </c>
      <c r="S130" s="173" t="s">
        <v>5284</v>
      </c>
      <c r="T130" s="57" t="b">
        <v>1</v>
      </c>
      <c r="U130" s="310" t="s">
        <v>5285</v>
      </c>
      <c r="V130" s="345"/>
      <c r="W130" s="54"/>
    </row>
    <row r="131" spans="1:23" ht="16">
      <c r="A131" s="162"/>
      <c r="B131" s="132" t="s">
        <v>5265</v>
      </c>
      <c r="C131" s="151" t="s">
        <v>3632</v>
      </c>
      <c r="D131" s="151" t="s">
        <v>104</v>
      </c>
      <c r="E131" s="151" t="s">
        <v>486</v>
      </c>
      <c r="F131" s="151" t="s">
        <v>5280</v>
      </c>
      <c r="G131" s="334" t="s">
        <v>5286</v>
      </c>
      <c r="H131" s="131" t="s">
        <v>30</v>
      </c>
      <c r="I131" s="151">
        <v>10</v>
      </c>
      <c r="J131" s="335">
        <v>595</v>
      </c>
      <c r="K131" s="54">
        <f t="shared" si="0"/>
        <v>5950</v>
      </c>
      <c r="L131" s="55" t="b">
        <v>1</v>
      </c>
      <c r="M131" s="409">
        <v>230620252128</v>
      </c>
      <c r="N131" s="57" t="b">
        <v>1</v>
      </c>
      <c r="O131" s="58"/>
      <c r="P131" s="215"/>
      <c r="Q131" s="191" t="b">
        <v>1</v>
      </c>
      <c r="R131" s="308" t="s">
        <v>3138</v>
      </c>
      <c r="S131" s="173" t="s">
        <v>5287</v>
      </c>
      <c r="T131" s="57" t="b">
        <v>1</v>
      </c>
      <c r="U131" s="310" t="s">
        <v>5288</v>
      </c>
      <c r="V131" s="345"/>
      <c r="W131" s="54"/>
    </row>
    <row r="132" spans="1:23" ht="16">
      <c r="A132" s="162"/>
      <c r="B132" s="71" t="s">
        <v>5265</v>
      </c>
      <c r="C132" s="151" t="s">
        <v>4289</v>
      </c>
      <c r="D132" s="151" t="s">
        <v>104</v>
      </c>
      <c r="E132" s="151" t="s">
        <v>620</v>
      </c>
      <c r="F132" s="151" t="s">
        <v>621</v>
      </c>
      <c r="G132" s="334" t="s">
        <v>5286</v>
      </c>
      <c r="H132" s="131" t="s">
        <v>30</v>
      </c>
      <c r="I132" s="151">
        <v>15</v>
      </c>
      <c r="J132" s="335">
        <v>595</v>
      </c>
      <c r="K132" s="54">
        <f t="shared" si="0"/>
        <v>8925</v>
      </c>
      <c r="L132" s="55" t="b">
        <v>1</v>
      </c>
      <c r="M132" s="409">
        <v>230620252156</v>
      </c>
      <c r="N132" s="57" t="b">
        <v>1</v>
      </c>
      <c r="O132" s="58"/>
      <c r="P132" s="215"/>
      <c r="Q132" s="191" t="b">
        <v>1</v>
      </c>
      <c r="R132" s="308" t="s">
        <v>3138</v>
      </c>
      <c r="S132" s="173" t="s">
        <v>5289</v>
      </c>
      <c r="T132" s="57" t="b">
        <v>1</v>
      </c>
      <c r="U132" s="310" t="s">
        <v>5290</v>
      </c>
      <c r="V132" s="345"/>
      <c r="W132" s="54"/>
    </row>
    <row r="133" spans="1:23" ht="16">
      <c r="A133" s="162"/>
      <c r="B133" s="71" t="s">
        <v>5265</v>
      </c>
      <c r="C133" s="151" t="s">
        <v>4289</v>
      </c>
      <c r="D133" s="151" t="s">
        <v>104</v>
      </c>
      <c r="E133" s="151" t="s">
        <v>620</v>
      </c>
      <c r="F133" s="151" t="s">
        <v>621</v>
      </c>
      <c r="G133" s="53" t="s">
        <v>5291</v>
      </c>
      <c r="H133" s="131" t="s">
        <v>30</v>
      </c>
      <c r="I133" s="151">
        <v>1</v>
      </c>
      <c r="J133" s="335">
        <v>1575</v>
      </c>
      <c r="K133" s="54">
        <f t="shared" si="0"/>
        <v>1575</v>
      </c>
      <c r="L133" s="55" t="b">
        <v>1</v>
      </c>
      <c r="M133" s="409">
        <v>230620252156</v>
      </c>
      <c r="N133" s="57" t="b">
        <v>1</v>
      </c>
      <c r="O133" s="58"/>
      <c r="P133" s="215"/>
      <c r="Q133" s="191" t="b">
        <v>1</v>
      </c>
      <c r="R133" s="308" t="s">
        <v>3138</v>
      </c>
      <c r="S133" s="173" t="s">
        <v>5289</v>
      </c>
      <c r="T133" s="57" t="b">
        <v>1</v>
      </c>
      <c r="U133" s="310" t="s">
        <v>5290</v>
      </c>
      <c r="V133" s="345"/>
      <c r="W133" s="54"/>
    </row>
    <row r="134" spans="1:23" ht="16">
      <c r="A134" s="162"/>
      <c r="B134" s="71" t="s">
        <v>5265</v>
      </c>
      <c r="C134" s="151" t="s">
        <v>4289</v>
      </c>
      <c r="D134" s="151" t="s">
        <v>104</v>
      </c>
      <c r="E134" s="151" t="s">
        <v>620</v>
      </c>
      <c r="F134" s="151" t="s">
        <v>621</v>
      </c>
      <c r="G134" s="53" t="s">
        <v>5291</v>
      </c>
      <c r="H134" s="131" t="s">
        <v>30</v>
      </c>
      <c r="I134" s="151">
        <v>1</v>
      </c>
      <c r="J134" s="335">
        <v>1575</v>
      </c>
      <c r="K134" s="54">
        <f t="shared" si="0"/>
        <v>1575</v>
      </c>
      <c r="L134" s="55" t="b">
        <v>1</v>
      </c>
      <c r="M134" s="409">
        <v>230620252156</v>
      </c>
      <c r="N134" s="57" t="b">
        <v>1</v>
      </c>
      <c r="O134" s="58"/>
      <c r="P134" s="215"/>
      <c r="Q134" s="191" t="b">
        <v>1</v>
      </c>
      <c r="R134" s="308" t="s">
        <v>3138</v>
      </c>
      <c r="S134" s="173"/>
      <c r="T134" s="57" t="b">
        <v>1</v>
      </c>
      <c r="U134" s="310" t="s">
        <v>5292</v>
      </c>
      <c r="V134" s="345"/>
      <c r="W134" s="54"/>
    </row>
    <row r="135" spans="1:23" ht="16">
      <c r="A135" s="162"/>
      <c r="B135" s="71" t="s">
        <v>5293</v>
      </c>
      <c r="C135" s="151" t="s">
        <v>3663</v>
      </c>
      <c r="D135" s="151" t="s">
        <v>2152</v>
      </c>
      <c r="E135" s="151" t="s">
        <v>137</v>
      </c>
      <c r="F135" s="151" t="s">
        <v>3664</v>
      </c>
      <c r="G135" s="151" t="s">
        <v>139</v>
      </c>
      <c r="H135" s="131" t="s">
        <v>30</v>
      </c>
      <c r="I135" s="151">
        <v>100</v>
      </c>
      <c r="J135" s="335">
        <v>31</v>
      </c>
      <c r="K135" s="54">
        <f t="shared" si="0"/>
        <v>3100</v>
      </c>
      <c r="L135" s="55" t="b">
        <v>1</v>
      </c>
      <c r="M135" s="409">
        <v>240620251334</v>
      </c>
      <c r="N135" s="57" t="b">
        <v>1</v>
      </c>
      <c r="O135" s="58"/>
      <c r="P135" s="215"/>
      <c r="Q135" s="191" t="b">
        <v>1</v>
      </c>
      <c r="R135" s="308" t="s">
        <v>3138</v>
      </c>
      <c r="S135" s="173" t="s">
        <v>5294</v>
      </c>
      <c r="T135" s="57" t="b">
        <v>1</v>
      </c>
      <c r="U135" s="310" t="s">
        <v>5295</v>
      </c>
      <c r="V135" s="345"/>
      <c r="W135" s="54"/>
    </row>
    <row r="136" spans="1:23" ht="16">
      <c r="A136" s="162"/>
      <c r="B136" s="71" t="s">
        <v>5293</v>
      </c>
      <c r="C136" s="151" t="s">
        <v>5296</v>
      </c>
      <c r="D136" s="151" t="s">
        <v>194</v>
      </c>
      <c r="E136" s="151" t="s">
        <v>137</v>
      </c>
      <c r="F136" s="151" t="s">
        <v>5297</v>
      </c>
      <c r="G136" s="151" t="s">
        <v>58</v>
      </c>
      <c r="H136" s="131" t="s">
        <v>30</v>
      </c>
      <c r="I136" s="151">
        <v>252</v>
      </c>
      <c r="J136" s="335">
        <v>42.5</v>
      </c>
      <c r="K136" s="54">
        <f t="shared" si="0"/>
        <v>10710</v>
      </c>
      <c r="L136" s="55" t="b">
        <v>1</v>
      </c>
      <c r="M136" s="409">
        <v>240620251345</v>
      </c>
      <c r="N136" s="57" t="b">
        <v>1</v>
      </c>
      <c r="O136" s="58"/>
      <c r="P136" s="215"/>
      <c r="Q136" s="191" t="b">
        <v>1</v>
      </c>
      <c r="R136" s="308" t="s">
        <v>3138</v>
      </c>
      <c r="S136" s="347"/>
      <c r="T136" s="57" t="b">
        <v>1</v>
      </c>
      <c r="U136" s="310" t="s">
        <v>5298</v>
      </c>
      <c r="V136" s="345"/>
      <c r="W136" s="54"/>
    </row>
    <row r="137" spans="1:23" ht="16">
      <c r="A137" s="162"/>
      <c r="B137" s="71" t="s">
        <v>5293</v>
      </c>
      <c r="C137" s="151" t="s">
        <v>4717</v>
      </c>
      <c r="D137" s="151" t="s">
        <v>51</v>
      </c>
      <c r="E137" s="151" t="s">
        <v>475</v>
      </c>
      <c r="F137" s="151" t="s">
        <v>2120</v>
      </c>
      <c r="G137" s="151" t="s">
        <v>58</v>
      </c>
      <c r="H137" s="131" t="s">
        <v>30</v>
      </c>
      <c r="I137" s="151">
        <v>84</v>
      </c>
      <c r="J137" s="335">
        <v>42.5</v>
      </c>
      <c r="K137" s="54">
        <f t="shared" si="0"/>
        <v>3570</v>
      </c>
      <c r="L137" s="55" t="b">
        <v>1</v>
      </c>
      <c r="M137" s="409">
        <v>240620251724</v>
      </c>
      <c r="N137" s="57" t="b">
        <v>1</v>
      </c>
      <c r="O137" s="58"/>
      <c r="P137" s="215"/>
      <c r="Q137" s="191" t="b">
        <v>1</v>
      </c>
      <c r="R137" s="308" t="s">
        <v>3138</v>
      </c>
      <c r="S137" s="173" t="s">
        <v>5299</v>
      </c>
      <c r="T137" s="57" t="b">
        <v>1</v>
      </c>
      <c r="U137" s="310" t="s">
        <v>5300</v>
      </c>
      <c r="V137" s="345"/>
      <c r="W137" s="54"/>
    </row>
    <row r="138" spans="1:23" ht="16">
      <c r="A138" s="162"/>
      <c r="B138" s="71" t="s">
        <v>5293</v>
      </c>
      <c r="C138" s="151" t="s">
        <v>4717</v>
      </c>
      <c r="D138" s="151" t="s">
        <v>51</v>
      </c>
      <c r="E138" s="151" t="s">
        <v>475</v>
      </c>
      <c r="F138" s="151" t="s">
        <v>2120</v>
      </c>
      <c r="G138" s="151" t="s">
        <v>5301</v>
      </c>
      <c r="H138" s="131" t="s">
        <v>30</v>
      </c>
      <c r="I138" s="151">
        <v>84</v>
      </c>
      <c r="J138" s="335">
        <v>42.5</v>
      </c>
      <c r="K138" s="54">
        <f t="shared" si="0"/>
        <v>3570</v>
      </c>
      <c r="L138" s="55" t="b">
        <v>1</v>
      </c>
      <c r="M138" s="409">
        <v>240620251724</v>
      </c>
      <c r="N138" s="57" t="b">
        <v>1</v>
      </c>
      <c r="O138" s="58"/>
      <c r="P138" s="215"/>
      <c r="Q138" s="191" t="b">
        <v>1</v>
      </c>
      <c r="R138" s="308" t="s">
        <v>3138</v>
      </c>
      <c r="S138" s="173" t="s">
        <v>5299</v>
      </c>
      <c r="T138" s="57" t="b">
        <v>1</v>
      </c>
      <c r="U138" s="310" t="s">
        <v>5300</v>
      </c>
      <c r="V138" s="345"/>
      <c r="W138" s="54"/>
    </row>
    <row r="139" spans="1:23" ht="16">
      <c r="A139" s="162"/>
      <c r="B139" s="71" t="s">
        <v>5302</v>
      </c>
      <c r="C139" s="151" t="s">
        <v>5052</v>
      </c>
      <c r="D139" s="151" t="s">
        <v>225</v>
      </c>
      <c r="E139" s="151" t="s">
        <v>5303</v>
      </c>
      <c r="F139" s="151" t="s">
        <v>5053</v>
      </c>
      <c r="G139" s="151" t="s">
        <v>1024</v>
      </c>
      <c r="H139" s="131" t="s">
        <v>30</v>
      </c>
      <c r="I139" s="151">
        <v>5</v>
      </c>
      <c r="J139" s="335">
        <v>165</v>
      </c>
      <c r="K139" s="54">
        <f t="shared" si="0"/>
        <v>825</v>
      </c>
      <c r="L139" s="55" t="b">
        <v>1</v>
      </c>
      <c r="M139" s="409">
        <v>250620250946</v>
      </c>
      <c r="N139" s="57" t="b">
        <v>1</v>
      </c>
      <c r="O139" s="58"/>
      <c r="P139" s="215"/>
      <c r="Q139" s="191" t="b">
        <v>1</v>
      </c>
      <c r="R139" s="308" t="s">
        <v>3138</v>
      </c>
      <c r="S139" s="173" t="s">
        <v>5304</v>
      </c>
      <c r="T139" s="57" t="b">
        <v>1</v>
      </c>
      <c r="U139" s="310" t="s">
        <v>5305</v>
      </c>
      <c r="V139" s="345"/>
      <c r="W139" s="54"/>
    </row>
    <row r="140" spans="1:23" ht="16">
      <c r="A140" s="162"/>
      <c r="B140" s="71" t="s">
        <v>5302</v>
      </c>
      <c r="C140" s="151" t="s">
        <v>4153</v>
      </c>
      <c r="D140" s="151" t="s">
        <v>262</v>
      </c>
      <c r="E140" s="151" t="s">
        <v>263</v>
      </c>
      <c r="F140" s="151" t="s">
        <v>2855</v>
      </c>
      <c r="G140" s="151" t="s">
        <v>5306</v>
      </c>
      <c r="H140" s="131" t="s">
        <v>30</v>
      </c>
      <c r="I140" s="151">
        <v>1</v>
      </c>
      <c r="J140" s="335">
        <v>375</v>
      </c>
      <c r="K140" s="54">
        <f t="shared" si="0"/>
        <v>375</v>
      </c>
      <c r="L140" s="55" t="b">
        <v>1</v>
      </c>
      <c r="M140" s="409">
        <v>250620250953</v>
      </c>
      <c r="N140" s="57" t="b">
        <v>1</v>
      </c>
      <c r="O140" s="58"/>
      <c r="P140" s="215"/>
      <c r="Q140" s="191" t="b">
        <v>1</v>
      </c>
      <c r="R140" s="308" t="s">
        <v>3138</v>
      </c>
      <c r="S140" s="173" t="s">
        <v>5307</v>
      </c>
      <c r="T140" s="57" t="b">
        <v>1</v>
      </c>
      <c r="U140" s="310" t="s">
        <v>5308</v>
      </c>
      <c r="V140" s="345"/>
      <c r="W140" s="54"/>
    </row>
    <row r="141" spans="1:23" ht="16">
      <c r="A141" s="162"/>
      <c r="B141" s="71" t="s">
        <v>5302</v>
      </c>
      <c r="C141" s="151" t="s">
        <v>4153</v>
      </c>
      <c r="D141" s="53" t="s">
        <v>262</v>
      </c>
      <c r="E141" s="53" t="s">
        <v>263</v>
      </c>
      <c r="F141" s="53" t="s">
        <v>2855</v>
      </c>
      <c r="G141" s="53" t="s">
        <v>5309</v>
      </c>
      <c r="H141" s="131" t="s">
        <v>30</v>
      </c>
      <c r="I141" s="151">
        <v>100</v>
      </c>
      <c r="J141" s="335">
        <v>9</v>
      </c>
      <c r="K141" s="54">
        <f t="shared" si="0"/>
        <v>900</v>
      </c>
      <c r="L141" s="55" t="b">
        <v>1</v>
      </c>
      <c r="M141" s="56">
        <v>250620250953</v>
      </c>
      <c r="N141" s="57" t="b">
        <v>1</v>
      </c>
      <c r="O141" s="58"/>
      <c r="P141" s="215"/>
      <c r="Q141" s="191" t="b">
        <v>1</v>
      </c>
      <c r="R141" s="308" t="s">
        <v>3138</v>
      </c>
      <c r="S141" s="173" t="s">
        <v>5307</v>
      </c>
      <c r="T141" s="57" t="b">
        <v>1</v>
      </c>
      <c r="U141" s="310" t="s">
        <v>5308</v>
      </c>
      <c r="V141" s="345"/>
      <c r="W141" s="54"/>
    </row>
    <row r="142" spans="1:23" ht="16">
      <c r="A142" s="162"/>
      <c r="B142" s="71" t="s">
        <v>5302</v>
      </c>
      <c r="C142" s="53" t="s">
        <v>4268</v>
      </c>
      <c r="D142" s="53" t="s">
        <v>1155</v>
      </c>
      <c r="E142" s="53" t="s">
        <v>1756</v>
      </c>
      <c r="F142" s="53" t="s">
        <v>5310</v>
      </c>
      <c r="G142" s="53" t="s">
        <v>308</v>
      </c>
      <c r="H142" s="131" t="s">
        <v>30</v>
      </c>
      <c r="I142" s="151">
        <v>6</v>
      </c>
      <c r="J142" s="335">
        <v>895</v>
      </c>
      <c r="K142" s="54">
        <f t="shared" si="0"/>
        <v>5370</v>
      </c>
      <c r="L142" s="55" t="b">
        <v>1</v>
      </c>
      <c r="M142" s="56">
        <v>250620251202</v>
      </c>
      <c r="N142" s="57" t="b">
        <v>1</v>
      </c>
      <c r="O142" s="58"/>
      <c r="P142" s="215" t="s">
        <v>5311</v>
      </c>
      <c r="Q142" s="191" t="b">
        <v>1</v>
      </c>
      <c r="R142" s="308" t="s">
        <v>3138</v>
      </c>
      <c r="S142" s="173" t="s">
        <v>5312</v>
      </c>
      <c r="T142" s="57" t="b">
        <v>1</v>
      </c>
      <c r="U142" s="310" t="s">
        <v>5313</v>
      </c>
      <c r="V142" s="345"/>
      <c r="W142" s="54"/>
    </row>
    <row r="143" spans="1:23" ht="16">
      <c r="A143" s="162"/>
      <c r="B143" s="373" t="s">
        <v>5314</v>
      </c>
      <c r="C143" s="374" t="s">
        <v>4742</v>
      </c>
      <c r="D143" s="374" t="s">
        <v>2153</v>
      </c>
      <c r="E143" s="374" t="s">
        <v>2153</v>
      </c>
      <c r="F143" s="374" t="s">
        <v>4882</v>
      </c>
      <c r="G143" s="374" t="s">
        <v>4883</v>
      </c>
      <c r="H143" s="415" t="s">
        <v>30</v>
      </c>
      <c r="I143" s="374">
        <v>2</v>
      </c>
      <c r="J143" s="416">
        <v>9250</v>
      </c>
      <c r="K143" s="375">
        <f t="shared" si="0"/>
        <v>18500</v>
      </c>
      <c r="L143" s="376" t="b">
        <v>1</v>
      </c>
      <c r="M143" s="377">
        <v>260620251353</v>
      </c>
      <c r="N143" s="378" t="b">
        <v>0</v>
      </c>
      <c r="O143" s="417"/>
      <c r="P143" s="418"/>
      <c r="Q143" s="191" t="b">
        <v>1</v>
      </c>
      <c r="R143" s="308" t="s">
        <v>3138</v>
      </c>
      <c r="S143" s="173" t="s">
        <v>5315</v>
      </c>
      <c r="T143" s="57" t="b">
        <v>1</v>
      </c>
      <c r="U143" s="310" t="s">
        <v>5316</v>
      </c>
      <c r="V143" s="345"/>
      <c r="W143" s="54"/>
    </row>
    <row r="144" spans="1:23" ht="16">
      <c r="A144" s="162"/>
      <c r="B144" s="373" t="s">
        <v>5314</v>
      </c>
      <c r="C144" s="374" t="s">
        <v>4742</v>
      </c>
      <c r="D144" s="374" t="s">
        <v>2153</v>
      </c>
      <c r="E144" s="374" t="s">
        <v>2153</v>
      </c>
      <c r="F144" s="374" t="s">
        <v>4882</v>
      </c>
      <c r="G144" s="374" t="s">
        <v>72</v>
      </c>
      <c r="H144" s="415" t="s">
        <v>30</v>
      </c>
      <c r="I144" s="374">
        <v>1</v>
      </c>
      <c r="J144" s="416">
        <v>5950</v>
      </c>
      <c r="K144" s="375">
        <f t="shared" si="0"/>
        <v>5950</v>
      </c>
      <c r="L144" s="376" t="b">
        <v>1</v>
      </c>
      <c r="M144" s="377">
        <v>260620251353</v>
      </c>
      <c r="N144" s="378" t="b">
        <v>0</v>
      </c>
      <c r="O144" s="417"/>
      <c r="P144" s="418"/>
      <c r="Q144" s="191" t="b">
        <v>1</v>
      </c>
      <c r="R144" s="308" t="s">
        <v>3138</v>
      </c>
      <c r="S144" s="173" t="s">
        <v>5315</v>
      </c>
      <c r="T144" s="57" t="b">
        <v>1</v>
      </c>
      <c r="U144" s="310" t="s">
        <v>5316</v>
      </c>
      <c r="V144" s="345"/>
      <c r="W144" s="54"/>
    </row>
    <row r="145" spans="1:23" ht="16">
      <c r="A145" s="162"/>
      <c r="B145" s="373" t="s">
        <v>5314</v>
      </c>
      <c r="C145" s="374" t="s">
        <v>4742</v>
      </c>
      <c r="D145" s="374" t="s">
        <v>2153</v>
      </c>
      <c r="E145" s="374" t="s">
        <v>2153</v>
      </c>
      <c r="F145" s="374" t="s">
        <v>4882</v>
      </c>
      <c r="G145" s="374" t="s">
        <v>4755</v>
      </c>
      <c r="H145" s="415" t="s">
        <v>30</v>
      </c>
      <c r="I145" s="374">
        <v>8</v>
      </c>
      <c r="J145" s="416">
        <v>625</v>
      </c>
      <c r="K145" s="375">
        <f t="shared" si="0"/>
        <v>5000</v>
      </c>
      <c r="L145" s="376" t="b">
        <v>1</v>
      </c>
      <c r="M145" s="377">
        <v>260620251353</v>
      </c>
      <c r="N145" s="378" t="b">
        <v>0</v>
      </c>
      <c r="O145" s="417"/>
      <c r="P145" s="418"/>
      <c r="Q145" s="191" t="b">
        <v>1</v>
      </c>
      <c r="R145" s="308" t="s">
        <v>3138</v>
      </c>
      <c r="S145" s="173" t="s">
        <v>5315</v>
      </c>
      <c r="T145" s="57" t="b">
        <v>1</v>
      </c>
      <c r="U145" s="310" t="s">
        <v>5316</v>
      </c>
      <c r="V145" s="345"/>
      <c r="W145" s="54"/>
    </row>
    <row r="146" spans="1:23" ht="16">
      <c r="A146" s="162"/>
      <c r="B146" s="71" t="s">
        <v>5314</v>
      </c>
      <c r="C146" s="53" t="s">
        <v>3445</v>
      </c>
      <c r="D146" s="53" t="s">
        <v>262</v>
      </c>
      <c r="E146" s="53" t="s">
        <v>3446</v>
      </c>
      <c r="F146" s="53" t="s">
        <v>3447</v>
      </c>
      <c r="G146" s="53" t="s">
        <v>5317</v>
      </c>
      <c r="H146" s="131" t="s">
        <v>30</v>
      </c>
      <c r="I146" s="151">
        <v>5</v>
      </c>
      <c r="J146" s="335">
        <v>1400</v>
      </c>
      <c r="K146" s="54">
        <f t="shared" si="0"/>
        <v>7000</v>
      </c>
      <c r="L146" s="55" t="b">
        <v>1</v>
      </c>
      <c r="M146" s="56">
        <v>260620251916</v>
      </c>
      <c r="N146" s="57" t="b">
        <v>1</v>
      </c>
      <c r="O146" s="58"/>
      <c r="P146" s="215"/>
      <c r="Q146" s="191" t="b">
        <v>1</v>
      </c>
      <c r="R146" s="308" t="s">
        <v>3138</v>
      </c>
      <c r="S146" s="347"/>
      <c r="T146" s="57" t="b">
        <v>1</v>
      </c>
      <c r="U146" s="310" t="s">
        <v>5318</v>
      </c>
      <c r="V146" s="345"/>
      <c r="W146" s="54"/>
    </row>
    <row r="147" spans="1:23" ht="16">
      <c r="A147" s="162"/>
      <c r="B147" s="71" t="s">
        <v>5314</v>
      </c>
      <c r="C147" s="53" t="s">
        <v>3577</v>
      </c>
      <c r="D147" s="53" t="s">
        <v>46</v>
      </c>
      <c r="E147" s="53" t="s">
        <v>47</v>
      </c>
      <c r="F147" s="53" t="s">
        <v>48</v>
      </c>
      <c r="G147" s="53" t="s">
        <v>5319</v>
      </c>
      <c r="H147" s="131" t="s">
        <v>30</v>
      </c>
      <c r="I147" s="151">
        <v>15</v>
      </c>
      <c r="J147" s="335">
        <v>270</v>
      </c>
      <c r="K147" s="54">
        <f t="shared" si="0"/>
        <v>4050</v>
      </c>
      <c r="L147" s="55" t="b">
        <v>1</v>
      </c>
      <c r="M147" s="56">
        <v>260620251916</v>
      </c>
      <c r="N147" s="57" t="b">
        <v>1</v>
      </c>
      <c r="O147" s="58" t="s">
        <v>2968</v>
      </c>
      <c r="P147" s="226">
        <v>45835</v>
      </c>
      <c r="Q147" s="191" t="b">
        <v>1</v>
      </c>
      <c r="R147" s="308" t="s">
        <v>3138</v>
      </c>
      <c r="S147" s="173" t="s">
        <v>5320</v>
      </c>
      <c r="T147" s="57" t="b">
        <v>1</v>
      </c>
      <c r="U147" s="310" t="s">
        <v>5321</v>
      </c>
      <c r="V147" s="345"/>
      <c r="W147" s="54"/>
    </row>
    <row r="148" spans="1:23" ht="16">
      <c r="A148" s="162"/>
      <c r="B148" s="71" t="s">
        <v>5322</v>
      </c>
      <c r="C148" s="53" t="s">
        <v>4281</v>
      </c>
      <c r="D148" s="53" t="s">
        <v>108</v>
      </c>
      <c r="E148" s="53" t="s">
        <v>109</v>
      </c>
      <c r="F148" s="53" t="s">
        <v>110</v>
      </c>
      <c r="G148" s="53" t="s">
        <v>677</v>
      </c>
      <c r="H148" s="131" t="s">
        <v>30</v>
      </c>
      <c r="I148" s="151">
        <v>20</v>
      </c>
      <c r="J148" s="335">
        <v>150</v>
      </c>
      <c r="K148" s="54">
        <f t="shared" si="0"/>
        <v>3000</v>
      </c>
      <c r="L148" s="55" t="b">
        <v>1</v>
      </c>
      <c r="M148" s="56">
        <v>270620250931</v>
      </c>
      <c r="N148" s="57" t="b">
        <v>1</v>
      </c>
      <c r="O148" s="58"/>
      <c r="P148" s="215"/>
      <c r="Q148" s="191" t="b">
        <v>1</v>
      </c>
      <c r="R148" s="308" t="s">
        <v>3138</v>
      </c>
      <c r="S148" s="173" t="s">
        <v>5323</v>
      </c>
      <c r="T148" s="57" t="b">
        <v>1</v>
      </c>
      <c r="U148" s="310" t="s">
        <v>5324</v>
      </c>
      <c r="V148" s="345"/>
      <c r="W148" s="54"/>
    </row>
    <row r="149" spans="1:23" ht="16">
      <c r="A149" s="162"/>
      <c r="B149" s="71" t="s">
        <v>5322</v>
      </c>
      <c r="C149" s="53" t="s">
        <v>4268</v>
      </c>
      <c r="D149" s="53" t="s">
        <v>345</v>
      </c>
      <c r="E149" s="53" t="s">
        <v>1756</v>
      </c>
      <c r="F149" s="53" t="s">
        <v>5310</v>
      </c>
      <c r="G149" s="53" t="s">
        <v>1700</v>
      </c>
      <c r="H149" s="131" t="s">
        <v>30</v>
      </c>
      <c r="I149" s="151">
        <v>100</v>
      </c>
      <c r="J149" s="335">
        <v>15</v>
      </c>
      <c r="K149" s="54">
        <f t="shared" si="0"/>
        <v>1500</v>
      </c>
      <c r="L149" s="55" t="b">
        <v>1</v>
      </c>
      <c r="M149" s="56">
        <v>270620251004</v>
      </c>
      <c r="N149" s="57" t="b">
        <v>1</v>
      </c>
      <c r="O149" s="58" t="s">
        <v>1581</v>
      </c>
      <c r="P149" s="215"/>
      <c r="Q149" s="191" t="b">
        <v>1</v>
      </c>
      <c r="R149" s="308" t="s">
        <v>3138</v>
      </c>
      <c r="S149" s="173" t="s">
        <v>5325</v>
      </c>
      <c r="T149" s="57" t="b">
        <v>1</v>
      </c>
      <c r="U149" s="310" t="s">
        <v>5326</v>
      </c>
      <c r="V149" s="345"/>
      <c r="W149" s="54"/>
    </row>
    <row r="150" spans="1:23" ht="16">
      <c r="A150" s="162"/>
      <c r="B150" s="71" t="s">
        <v>5322</v>
      </c>
      <c r="C150" s="53" t="s">
        <v>4135</v>
      </c>
      <c r="D150" s="53" t="s">
        <v>26</v>
      </c>
      <c r="E150" s="53" t="s">
        <v>27</v>
      </c>
      <c r="F150" s="53" t="s">
        <v>28</v>
      </c>
      <c r="G150" s="53" t="s">
        <v>5184</v>
      </c>
      <c r="H150" s="131" t="s">
        <v>30</v>
      </c>
      <c r="I150" s="151">
        <v>16</v>
      </c>
      <c r="J150" s="335">
        <v>625</v>
      </c>
      <c r="K150" s="54">
        <f t="shared" si="0"/>
        <v>10000</v>
      </c>
      <c r="L150" s="55" t="b">
        <v>1</v>
      </c>
      <c r="M150" s="56">
        <v>270620251106</v>
      </c>
      <c r="N150" s="57" t="b">
        <v>1</v>
      </c>
      <c r="O150" s="58"/>
      <c r="P150" s="215"/>
      <c r="Q150" s="191" t="b">
        <v>1</v>
      </c>
      <c r="R150" s="308" t="s">
        <v>3138</v>
      </c>
      <c r="S150" s="173" t="s">
        <v>5327</v>
      </c>
      <c r="T150" s="57" t="b">
        <v>1</v>
      </c>
      <c r="U150" s="310" t="s">
        <v>5328</v>
      </c>
      <c r="V150" s="345"/>
      <c r="W150" s="54"/>
    </row>
    <row r="151" spans="1:23" ht="16">
      <c r="A151" s="162"/>
      <c r="B151" s="71" t="s">
        <v>5329</v>
      </c>
      <c r="C151" s="53" t="s">
        <v>4173</v>
      </c>
      <c r="D151" s="53" t="s">
        <v>149</v>
      </c>
      <c r="E151" s="53" t="s">
        <v>130</v>
      </c>
      <c r="F151" s="53" t="s">
        <v>150</v>
      </c>
      <c r="G151" s="53" t="s">
        <v>5330</v>
      </c>
      <c r="H151" s="131" t="s">
        <v>30</v>
      </c>
      <c r="I151" s="151">
        <v>2</v>
      </c>
      <c r="J151" s="335">
        <v>6950</v>
      </c>
      <c r="K151" s="54">
        <f t="shared" si="0"/>
        <v>13900</v>
      </c>
      <c r="L151" s="55" t="b">
        <v>1</v>
      </c>
      <c r="M151" s="56">
        <v>280620251204</v>
      </c>
      <c r="N151" s="57" t="b">
        <v>1</v>
      </c>
      <c r="O151" s="58"/>
      <c r="P151" s="215"/>
      <c r="Q151" s="191" t="b">
        <v>1</v>
      </c>
      <c r="R151" s="308" t="s">
        <v>3138</v>
      </c>
      <c r="S151" s="173" t="s">
        <v>5331</v>
      </c>
      <c r="T151" s="57" t="b">
        <v>1</v>
      </c>
      <c r="U151" s="310" t="s">
        <v>5332</v>
      </c>
      <c r="V151" s="345"/>
      <c r="W151" s="54"/>
    </row>
    <row r="152" spans="1:23" ht="16">
      <c r="A152" s="162"/>
      <c r="B152" s="71" t="s">
        <v>5329</v>
      </c>
      <c r="C152" s="53" t="s">
        <v>4173</v>
      </c>
      <c r="D152" s="53" t="s">
        <v>149</v>
      </c>
      <c r="E152" s="53" t="s">
        <v>130</v>
      </c>
      <c r="F152" s="53" t="s">
        <v>150</v>
      </c>
      <c r="G152" s="53" t="s">
        <v>72</v>
      </c>
      <c r="H152" s="131" t="s">
        <v>30</v>
      </c>
      <c r="I152" s="151">
        <v>1</v>
      </c>
      <c r="J152" s="335">
        <v>2250</v>
      </c>
      <c r="K152" s="54">
        <f t="shared" si="0"/>
        <v>2250</v>
      </c>
      <c r="L152" s="55" t="b">
        <v>1</v>
      </c>
      <c r="M152" s="56">
        <v>280620251204</v>
      </c>
      <c r="N152" s="57" t="b">
        <v>1</v>
      </c>
      <c r="O152" s="58"/>
      <c r="P152" s="215"/>
      <c r="Q152" s="191" t="b">
        <v>1</v>
      </c>
      <c r="R152" s="308" t="s">
        <v>3138</v>
      </c>
      <c r="S152" s="173" t="s">
        <v>5331</v>
      </c>
      <c r="T152" s="57" t="b">
        <v>1</v>
      </c>
      <c r="U152" s="310" t="s">
        <v>5332</v>
      </c>
      <c r="V152" s="345"/>
      <c r="W152" s="54"/>
    </row>
    <row r="153" spans="1:23" ht="16">
      <c r="A153" s="162"/>
      <c r="B153" s="71" t="s">
        <v>5329</v>
      </c>
      <c r="C153" s="53" t="s">
        <v>3458</v>
      </c>
      <c r="D153" s="53" t="s">
        <v>51</v>
      </c>
      <c r="E153" s="53" t="s">
        <v>201</v>
      </c>
      <c r="F153" s="53" t="s">
        <v>202</v>
      </c>
      <c r="G153" s="53" t="s">
        <v>5333</v>
      </c>
      <c r="H153" s="131" t="s">
        <v>30</v>
      </c>
      <c r="I153" s="151">
        <v>1</v>
      </c>
      <c r="J153" s="335">
        <v>1550</v>
      </c>
      <c r="K153" s="54">
        <f t="shared" si="0"/>
        <v>1550</v>
      </c>
      <c r="L153" s="55" t="b">
        <v>1</v>
      </c>
      <c r="M153" s="56">
        <v>280620251207</v>
      </c>
      <c r="N153" s="57" t="b">
        <v>1</v>
      </c>
      <c r="O153" s="58"/>
      <c r="P153" s="215"/>
      <c r="Q153" s="191" t="b">
        <v>1</v>
      </c>
      <c r="R153" s="308" t="s">
        <v>3138</v>
      </c>
      <c r="S153" s="347"/>
      <c r="T153" s="57" t="b">
        <v>1</v>
      </c>
      <c r="U153" s="310" t="s">
        <v>5334</v>
      </c>
      <c r="V153" s="345"/>
      <c r="W153" s="54"/>
    </row>
    <row r="154" spans="1:23" ht="14.25" customHeight="1">
      <c r="A154" s="162"/>
      <c r="B154" s="71" t="s">
        <v>5329</v>
      </c>
      <c r="C154" s="53" t="s">
        <v>5335</v>
      </c>
      <c r="D154" s="53" t="s">
        <v>104</v>
      </c>
      <c r="E154" s="53" t="s">
        <v>5336</v>
      </c>
      <c r="F154" s="53" t="s">
        <v>2450</v>
      </c>
      <c r="G154" s="53" t="s">
        <v>5337</v>
      </c>
      <c r="H154" s="131" t="s">
        <v>30</v>
      </c>
      <c r="I154" s="151">
        <v>1</v>
      </c>
      <c r="J154" s="335">
        <v>2200</v>
      </c>
      <c r="K154" s="54">
        <f t="shared" si="0"/>
        <v>2200</v>
      </c>
      <c r="L154" s="55" t="b">
        <v>1</v>
      </c>
      <c r="M154" s="56">
        <v>280620251210</v>
      </c>
      <c r="N154" s="57" t="b">
        <v>1</v>
      </c>
      <c r="O154" s="58"/>
      <c r="P154" s="215"/>
      <c r="Q154" s="191" t="b">
        <v>1</v>
      </c>
      <c r="R154" s="308" t="s">
        <v>3138</v>
      </c>
      <c r="S154" s="173" t="s">
        <v>5338</v>
      </c>
      <c r="T154" s="57" t="b">
        <v>1</v>
      </c>
      <c r="U154" s="310" t="s">
        <v>5339</v>
      </c>
      <c r="V154" s="345"/>
      <c r="W154" s="54"/>
    </row>
    <row r="155" spans="1:23" ht="16">
      <c r="A155" s="162"/>
      <c r="B155" s="71" t="s">
        <v>5340</v>
      </c>
      <c r="C155" s="53" t="s">
        <v>3495</v>
      </c>
      <c r="D155" s="53" t="s">
        <v>104</v>
      </c>
      <c r="E155" s="53" t="s">
        <v>158</v>
      </c>
      <c r="F155" s="53" t="s">
        <v>3496</v>
      </c>
      <c r="G155" s="53" t="s">
        <v>1966</v>
      </c>
      <c r="H155" s="131" t="s">
        <v>30</v>
      </c>
      <c r="I155" s="151">
        <v>10</v>
      </c>
      <c r="J155" s="335">
        <v>650</v>
      </c>
      <c r="K155" s="54">
        <f t="shared" si="0"/>
        <v>6500</v>
      </c>
      <c r="L155" s="55" t="b">
        <v>1</v>
      </c>
      <c r="M155" s="56">
        <v>300620251037</v>
      </c>
      <c r="N155" s="57" t="b">
        <v>1</v>
      </c>
      <c r="O155" s="58"/>
      <c r="P155" s="215"/>
      <c r="Q155" s="191" t="b">
        <v>1</v>
      </c>
      <c r="R155" s="308" t="s">
        <v>3138</v>
      </c>
      <c r="S155" s="347"/>
      <c r="T155" s="57" t="b">
        <v>1</v>
      </c>
      <c r="U155" s="310" t="s">
        <v>5341</v>
      </c>
      <c r="V155" s="345"/>
      <c r="W155" s="54"/>
    </row>
    <row r="156" spans="1:23" ht="16">
      <c r="A156" s="162"/>
      <c r="B156" s="71" t="s">
        <v>5340</v>
      </c>
      <c r="C156" s="53" t="s">
        <v>3495</v>
      </c>
      <c r="D156" s="53" t="s">
        <v>104</v>
      </c>
      <c r="E156" s="53" t="s">
        <v>158</v>
      </c>
      <c r="F156" s="53" t="s">
        <v>3496</v>
      </c>
      <c r="G156" s="53" t="s">
        <v>5157</v>
      </c>
      <c r="H156" s="131" t="s">
        <v>30</v>
      </c>
      <c r="I156" s="151">
        <v>84</v>
      </c>
      <c r="J156" s="335">
        <v>42.5</v>
      </c>
      <c r="K156" s="54">
        <f t="shared" si="0"/>
        <v>3570</v>
      </c>
      <c r="L156" s="55" t="b">
        <v>1</v>
      </c>
      <c r="M156" s="56">
        <v>300620251037</v>
      </c>
      <c r="N156" s="57" t="b">
        <v>1</v>
      </c>
      <c r="O156" s="58"/>
      <c r="P156" s="215"/>
      <c r="Q156" s="191" t="b">
        <v>1</v>
      </c>
      <c r="R156" s="308" t="s">
        <v>3138</v>
      </c>
      <c r="S156" s="173" t="s">
        <v>5342</v>
      </c>
      <c r="T156" s="57" t="b">
        <v>1</v>
      </c>
      <c r="U156" s="310" t="s">
        <v>5343</v>
      </c>
      <c r="V156" s="345"/>
      <c r="W156" s="54"/>
    </row>
    <row r="157" spans="1:23" ht="16">
      <c r="A157" s="162"/>
      <c r="B157" s="71" t="s">
        <v>5340</v>
      </c>
      <c r="C157" s="53" t="s">
        <v>3495</v>
      </c>
      <c r="D157" s="53" t="s">
        <v>104</v>
      </c>
      <c r="E157" s="53" t="s">
        <v>158</v>
      </c>
      <c r="F157" s="53" t="s">
        <v>3496</v>
      </c>
      <c r="G157" s="53" t="s">
        <v>86</v>
      </c>
      <c r="H157" s="131" t="s">
        <v>30</v>
      </c>
      <c r="I157" s="151">
        <v>4</v>
      </c>
      <c r="J157" s="335">
        <v>800</v>
      </c>
      <c r="K157" s="54">
        <f t="shared" si="0"/>
        <v>3200</v>
      </c>
      <c r="L157" s="55" t="b">
        <v>1</v>
      </c>
      <c r="M157" s="56">
        <v>300620251037</v>
      </c>
      <c r="N157" s="57" t="b">
        <v>1</v>
      </c>
      <c r="O157" s="58"/>
      <c r="P157" s="215"/>
      <c r="Q157" s="191" t="b">
        <v>1</v>
      </c>
      <c r="R157" s="308" t="s">
        <v>3138</v>
      </c>
      <c r="S157" s="173" t="s">
        <v>5342</v>
      </c>
      <c r="T157" s="57" t="b">
        <v>1</v>
      </c>
      <c r="U157" s="310" t="s">
        <v>5343</v>
      </c>
      <c r="V157" s="345"/>
      <c r="W157" s="54"/>
    </row>
    <row r="158" spans="1:23" ht="16">
      <c r="A158" s="162"/>
      <c r="B158" s="71" t="s">
        <v>5340</v>
      </c>
      <c r="C158" s="53" t="s">
        <v>5344</v>
      </c>
      <c r="D158" s="53" t="s">
        <v>104</v>
      </c>
      <c r="E158" s="53" t="s">
        <v>342</v>
      </c>
      <c r="F158" s="53" t="s">
        <v>866</v>
      </c>
      <c r="G158" s="53" t="s">
        <v>3512</v>
      </c>
      <c r="H158" s="131" t="s">
        <v>30</v>
      </c>
      <c r="I158" s="151">
        <v>3</v>
      </c>
      <c r="J158" s="335">
        <v>2100</v>
      </c>
      <c r="K158" s="54">
        <f t="shared" si="0"/>
        <v>6300</v>
      </c>
      <c r="L158" s="55" t="b">
        <v>1</v>
      </c>
      <c r="M158" s="56">
        <v>300620251046</v>
      </c>
      <c r="N158" s="57" t="b">
        <v>1</v>
      </c>
      <c r="O158" s="58"/>
      <c r="P158" s="215"/>
      <c r="Q158" s="191" t="b">
        <v>1</v>
      </c>
      <c r="R158" s="308" t="s">
        <v>3138</v>
      </c>
      <c r="S158" s="173" t="s">
        <v>5345</v>
      </c>
      <c r="T158" s="57" t="b">
        <v>1</v>
      </c>
      <c r="U158" s="310" t="s">
        <v>5346</v>
      </c>
      <c r="V158" s="345"/>
      <c r="W158" s="54"/>
    </row>
    <row r="159" spans="1:23" ht="16">
      <c r="A159" s="162"/>
      <c r="B159" s="71" t="s">
        <v>5340</v>
      </c>
      <c r="C159" s="53" t="s">
        <v>4761</v>
      </c>
      <c r="D159" s="53" t="s">
        <v>26</v>
      </c>
      <c r="E159" s="53" t="s">
        <v>386</v>
      </c>
      <c r="F159" s="53" t="s">
        <v>2935</v>
      </c>
      <c r="G159" s="53" t="s">
        <v>5157</v>
      </c>
      <c r="H159" s="131" t="s">
        <v>30</v>
      </c>
      <c r="I159" s="151">
        <v>84</v>
      </c>
      <c r="J159" s="335">
        <v>42.5</v>
      </c>
      <c r="K159" s="54">
        <f t="shared" si="0"/>
        <v>3570</v>
      </c>
      <c r="L159" s="55" t="b">
        <v>1</v>
      </c>
      <c r="M159" s="56">
        <v>300620251102</v>
      </c>
      <c r="N159" s="57" t="b">
        <v>1</v>
      </c>
      <c r="O159" s="58"/>
      <c r="P159" s="215"/>
      <c r="Q159" s="191" t="b">
        <v>1</v>
      </c>
      <c r="R159" s="308" t="s">
        <v>3138</v>
      </c>
      <c r="S159" s="173" t="s">
        <v>5347</v>
      </c>
      <c r="T159" s="57" t="b">
        <v>1</v>
      </c>
      <c r="U159" s="310" t="s">
        <v>5348</v>
      </c>
      <c r="V159" s="345"/>
      <c r="W159" s="54"/>
    </row>
    <row r="160" spans="1:23" ht="16">
      <c r="A160" s="162"/>
      <c r="B160" s="71" t="s">
        <v>5340</v>
      </c>
      <c r="C160" s="53" t="s">
        <v>3487</v>
      </c>
      <c r="D160" s="53" t="s">
        <v>51</v>
      </c>
      <c r="E160" s="53" t="s">
        <v>89</v>
      </c>
      <c r="F160" s="53" t="s">
        <v>2090</v>
      </c>
      <c r="G160" s="53" t="s">
        <v>5157</v>
      </c>
      <c r="H160" s="131" t="s">
        <v>30</v>
      </c>
      <c r="I160" s="151">
        <v>23</v>
      </c>
      <c r="J160" s="335">
        <v>42.5</v>
      </c>
      <c r="K160" s="54">
        <f t="shared" si="0"/>
        <v>977.5</v>
      </c>
      <c r="L160" s="55" t="b">
        <v>1</v>
      </c>
      <c r="M160" s="56">
        <v>300620251111</v>
      </c>
      <c r="N160" s="57" t="b">
        <v>1</v>
      </c>
      <c r="O160" s="58"/>
      <c r="P160" s="215"/>
      <c r="Q160" s="191" t="b">
        <v>1</v>
      </c>
      <c r="R160" s="308" t="s">
        <v>3138</v>
      </c>
      <c r="S160" s="347"/>
      <c r="T160" s="57" t="b">
        <v>1</v>
      </c>
      <c r="U160" s="310" t="s">
        <v>5349</v>
      </c>
      <c r="V160" s="345"/>
      <c r="W160" s="54"/>
    </row>
    <row r="161" spans="1:23" ht="16">
      <c r="A161" s="162"/>
      <c r="B161" s="71" t="s">
        <v>5340</v>
      </c>
      <c r="C161" s="53" t="s">
        <v>3483</v>
      </c>
      <c r="D161" s="53" t="s">
        <v>26</v>
      </c>
      <c r="E161" s="53" t="s">
        <v>1976</v>
      </c>
      <c r="F161" s="53" t="s">
        <v>2124</v>
      </c>
      <c r="G161" s="53" t="s">
        <v>68</v>
      </c>
      <c r="H161" s="131" t="s">
        <v>30</v>
      </c>
      <c r="I161" s="151">
        <v>1</v>
      </c>
      <c r="J161" s="335">
        <v>2350</v>
      </c>
      <c r="K161" s="54">
        <f t="shared" si="0"/>
        <v>2350</v>
      </c>
      <c r="L161" s="55" t="b">
        <v>1</v>
      </c>
      <c r="M161" s="56">
        <v>300620251130</v>
      </c>
      <c r="N161" s="57" t="b">
        <v>1</v>
      </c>
      <c r="O161" s="58"/>
      <c r="P161" s="215"/>
      <c r="Q161" s="191" t="b">
        <v>1</v>
      </c>
      <c r="R161" s="308" t="s">
        <v>3138</v>
      </c>
      <c r="S161" s="347"/>
      <c r="T161" s="57" t="b">
        <v>1</v>
      </c>
      <c r="U161" s="310" t="s">
        <v>5350</v>
      </c>
      <c r="V161" s="345"/>
      <c r="W161" s="54"/>
    </row>
    <row r="162" spans="1:23" ht="16">
      <c r="A162" s="162"/>
      <c r="B162" s="71" t="s">
        <v>5340</v>
      </c>
      <c r="C162" s="53" t="s">
        <v>3483</v>
      </c>
      <c r="D162" s="53" t="s">
        <v>26</v>
      </c>
      <c r="E162" s="53" t="s">
        <v>1976</v>
      </c>
      <c r="F162" s="53" t="s">
        <v>2124</v>
      </c>
      <c r="G162" s="53" t="s">
        <v>5351</v>
      </c>
      <c r="H162" s="131" t="s">
        <v>30</v>
      </c>
      <c r="I162" s="151">
        <v>1</v>
      </c>
      <c r="J162" s="335">
        <v>1500</v>
      </c>
      <c r="K162" s="54">
        <f t="shared" si="0"/>
        <v>1500</v>
      </c>
      <c r="L162" s="55" t="b">
        <v>1</v>
      </c>
      <c r="M162" s="56">
        <v>300620251130</v>
      </c>
      <c r="N162" s="57" t="b">
        <v>1</v>
      </c>
      <c r="O162" s="58"/>
      <c r="P162" s="215"/>
      <c r="Q162" s="191" t="b">
        <v>1</v>
      </c>
      <c r="R162" s="308" t="s">
        <v>3138</v>
      </c>
      <c r="S162" s="173" t="s">
        <v>5352</v>
      </c>
      <c r="T162" s="57" t="b">
        <v>1</v>
      </c>
      <c r="U162" s="310" t="s">
        <v>5353</v>
      </c>
      <c r="V162" s="345"/>
      <c r="W162" s="54"/>
    </row>
    <row r="163" spans="1:23" ht="16">
      <c r="A163" s="162"/>
      <c r="B163" s="71" t="s">
        <v>5340</v>
      </c>
      <c r="C163" s="53" t="s">
        <v>3589</v>
      </c>
      <c r="D163" s="53" t="s">
        <v>397</v>
      </c>
      <c r="E163" s="53" t="s">
        <v>213</v>
      </c>
      <c r="F163" s="53" t="s">
        <v>859</v>
      </c>
      <c r="G163" s="53" t="s">
        <v>236</v>
      </c>
      <c r="H163" s="131" t="s">
        <v>30</v>
      </c>
      <c r="I163" s="151">
        <v>18</v>
      </c>
      <c r="J163" s="335">
        <v>225</v>
      </c>
      <c r="K163" s="54">
        <f t="shared" si="0"/>
        <v>4050</v>
      </c>
      <c r="L163" s="55" t="b">
        <v>1</v>
      </c>
      <c r="M163" s="56">
        <v>300620251705</v>
      </c>
      <c r="N163" s="57" t="b">
        <v>1</v>
      </c>
      <c r="O163" s="58"/>
      <c r="P163" s="215"/>
      <c r="Q163" s="191" t="b">
        <v>1</v>
      </c>
      <c r="R163" s="308" t="s">
        <v>3138</v>
      </c>
      <c r="S163" s="347"/>
      <c r="T163" s="57" t="b">
        <v>1</v>
      </c>
      <c r="U163" s="310" t="s">
        <v>5354</v>
      </c>
      <c r="V163" s="345"/>
      <c r="W163" s="54"/>
    </row>
    <row r="164" spans="1:23" ht="16">
      <c r="A164" s="162"/>
      <c r="B164" s="71"/>
      <c r="C164" s="53"/>
      <c r="D164" s="53"/>
      <c r="E164" s="53"/>
      <c r="F164" s="53"/>
      <c r="G164" s="53"/>
      <c r="H164" s="131" t="s">
        <v>30</v>
      </c>
      <c r="I164" s="151"/>
      <c r="J164" s="335"/>
      <c r="K164" s="54">
        <f t="shared" si="0"/>
        <v>0</v>
      </c>
      <c r="L164" s="55" t="b">
        <v>0</v>
      </c>
      <c r="M164" s="56"/>
      <c r="N164" s="57" t="b">
        <v>0</v>
      </c>
      <c r="O164" s="58"/>
      <c r="P164" s="215"/>
      <c r="Q164" s="191" t="b">
        <v>0</v>
      </c>
      <c r="R164" s="346"/>
      <c r="S164" s="347"/>
      <c r="T164" s="57" t="b">
        <v>0</v>
      </c>
      <c r="U164" s="349"/>
      <c r="V164" s="345"/>
      <c r="W164" s="54"/>
    </row>
    <row r="165" spans="1:23" ht="16">
      <c r="A165" s="162"/>
      <c r="B165" s="71"/>
      <c r="C165" s="53"/>
      <c r="D165" s="53"/>
      <c r="E165" s="53"/>
      <c r="F165" s="53"/>
      <c r="G165" s="53"/>
      <c r="H165" s="131" t="s">
        <v>30</v>
      </c>
      <c r="I165" s="151"/>
      <c r="J165" s="335"/>
      <c r="K165" s="54">
        <f t="shared" si="0"/>
        <v>0</v>
      </c>
      <c r="L165" s="55" t="b">
        <v>0</v>
      </c>
      <c r="M165" s="56"/>
      <c r="N165" s="57" t="b">
        <v>0</v>
      </c>
      <c r="O165" s="58"/>
      <c r="P165" s="215"/>
      <c r="Q165" s="191" t="b">
        <v>0</v>
      </c>
      <c r="R165" s="346"/>
      <c r="S165" s="347"/>
      <c r="T165" s="57" t="b">
        <v>0</v>
      </c>
      <c r="U165" s="349"/>
      <c r="V165" s="345"/>
      <c r="W165" s="54"/>
    </row>
    <row r="166" spans="1:23" ht="16">
      <c r="A166" s="162"/>
      <c r="B166" s="71"/>
      <c r="C166" s="53"/>
      <c r="D166" s="53"/>
      <c r="E166" s="53"/>
      <c r="F166" s="53"/>
      <c r="G166" s="53"/>
      <c r="H166" s="131" t="s">
        <v>30</v>
      </c>
      <c r="I166" s="151"/>
      <c r="J166" s="335"/>
      <c r="K166" s="54">
        <f t="shared" si="0"/>
        <v>0</v>
      </c>
      <c r="L166" s="55" t="b">
        <v>0</v>
      </c>
      <c r="M166" s="56"/>
      <c r="N166" s="57" t="b">
        <v>0</v>
      </c>
      <c r="O166" s="58"/>
      <c r="P166" s="215"/>
      <c r="Q166" s="191" t="b">
        <v>0</v>
      </c>
      <c r="R166" s="346"/>
      <c r="S166" s="173"/>
      <c r="T166" s="57" t="b">
        <v>0</v>
      </c>
      <c r="U166" s="349"/>
      <c r="V166" s="345"/>
      <c r="W166" s="54"/>
    </row>
    <row r="167" spans="1:23" ht="16">
      <c r="A167" s="162"/>
      <c r="B167" s="71"/>
      <c r="C167" s="53"/>
      <c r="D167" s="53"/>
      <c r="E167" s="53"/>
      <c r="F167" s="53"/>
      <c r="G167" s="53"/>
      <c r="H167" s="131" t="s">
        <v>30</v>
      </c>
      <c r="I167" s="151"/>
      <c r="J167" s="335"/>
      <c r="K167" s="54">
        <f t="shared" si="0"/>
        <v>0</v>
      </c>
      <c r="L167" s="55" t="b">
        <v>0</v>
      </c>
      <c r="M167" s="56"/>
      <c r="N167" s="57" t="b">
        <v>0</v>
      </c>
      <c r="O167" s="58"/>
      <c r="P167" s="215"/>
      <c r="Q167" s="191" t="b">
        <v>0</v>
      </c>
      <c r="R167" s="346"/>
      <c r="S167" s="347"/>
      <c r="T167" s="57" t="b">
        <v>0</v>
      </c>
      <c r="U167" s="349"/>
      <c r="V167" s="345"/>
      <c r="W167" s="54"/>
    </row>
    <row r="168" spans="1:23" ht="16">
      <c r="A168" s="162"/>
      <c r="B168" s="71"/>
      <c r="C168" s="53"/>
      <c r="D168" s="53"/>
      <c r="E168" s="53"/>
      <c r="F168" s="53"/>
      <c r="G168" s="53"/>
      <c r="H168" s="131" t="s">
        <v>30</v>
      </c>
      <c r="I168" s="151"/>
      <c r="J168" s="335"/>
      <c r="K168" s="54">
        <f t="shared" si="0"/>
        <v>0</v>
      </c>
      <c r="L168" s="55" t="b">
        <v>0</v>
      </c>
      <c r="M168" s="56"/>
      <c r="N168" s="57" t="b">
        <v>0</v>
      </c>
      <c r="O168" s="58"/>
      <c r="P168" s="215"/>
      <c r="Q168" s="191" t="b">
        <v>0</v>
      </c>
      <c r="R168" s="346"/>
      <c r="S168" s="347"/>
      <c r="T168" s="57" t="b">
        <v>0</v>
      </c>
      <c r="U168" s="349"/>
      <c r="V168" s="345"/>
      <c r="W168" s="54"/>
    </row>
    <row r="169" spans="1:23" ht="16">
      <c r="A169" s="162"/>
      <c r="B169" s="71"/>
      <c r="C169" s="53"/>
      <c r="D169" s="53"/>
      <c r="E169" s="53"/>
      <c r="F169" s="53"/>
      <c r="G169" s="53"/>
      <c r="H169" s="131" t="s">
        <v>30</v>
      </c>
      <c r="I169" s="151"/>
      <c r="J169" s="335"/>
      <c r="K169" s="54">
        <f t="shared" si="0"/>
        <v>0</v>
      </c>
      <c r="L169" s="55" t="b">
        <v>0</v>
      </c>
      <c r="M169" s="56"/>
      <c r="N169" s="57" t="b">
        <v>0</v>
      </c>
      <c r="O169" s="58"/>
      <c r="P169" s="215"/>
      <c r="Q169" s="191" t="b">
        <v>0</v>
      </c>
      <c r="R169" s="346"/>
      <c r="S169" s="347"/>
      <c r="T169" s="57" t="b">
        <v>0</v>
      </c>
      <c r="U169" s="349"/>
      <c r="V169" s="345"/>
      <c r="W169" s="54"/>
    </row>
    <row r="170" spans="1:23" ht="16">
      <c r="A170" s="162"/>
      <c r="B170" s="132"/>
      <c r="C170" s="53"/>
      <c r="D170" s="53"/>
      <c r="E170" s="53"/>
      <c r="F170" s="53"/>
      <c r="G170" s="53"/>
      <c r="H170" s="131" t="s">
        <v>30</v>
      </c>
      <c r="I170" s="151"/>
      <c r="J170" s="335"/>
      <c r="K170" s="54">
        <f t="shared" si="0"/>
        <v>0</v>
      </c>
      <c r="L170" s="55" t="b">
        <v>0</v>
      </c>
      <c r="M170" s="56"/>
      <c r="N170" s="57" t="b">
        <v>0</v>
      </c>
      <c r="O170" s="58"/>
      <c r="P170" s="215"/>
      <c r="Q170" s="191" t="b">
        <v>0</v>
      </c>
      <c r="R170" s="346"/>
      <c r="S170" s="347"/>
      <c r="T170" s="57" t="b">
        <v>0</v>
      </c>
      <c r="U170" s="349"/>
      <c r="V170" s="345"/>
      <c r="W170" s="54"/>
    </row>
    <row r="171" spans="1:23" ht="16">
      <c r="A171" s="162"/>
      <c r="B171" s="132"/>
      <c r="C171" s="53"/>
      <c r="D171" s="53"/>
      <c r="E171" s="53"/>
      <c r="F171" s="53"/>
      <c r="G171" s="53"/>
      <c r="H171" s="131" t="s">
        <v>30</v>
      </c>
      <c r="I171" s="151"/>
      <c r="J171" s="335"/>
      <c r="K171" s="54">
        <f t="shared" si="0"/>
        <v>0</v>
      </c>
      <c r="L171" s="55" t="b">
        <v>0</v>
      </c>
      <c r="M171" s="56"/>
      <c r="N171" s="57" t="b">
        <v>0</v>
      </c>
      <c r="O171" s="58"/>
      <c r="P171" s="215"/>
      <c r="Q171" s="191" t="b">
        <v>0</v>
      </c>
      <c r="R171" s="346"/>
      <c r="S171" s="347"/>
      <c r="T171" s="57" t="b">
        <v>0</v>
      </c>
      <c r="U171" s="349"/>
      <c r="V171" s="345"/>
      <c r="W171" s="54"/>
    </row>
    <row r="172" spans="1:23" ht="16">
      <c r="A172" s="162"/>
      <c r="B172" s="132"/>
      <c r="C172" s="53"/>
      <c r="D172" s="53"/>
      <c r="E172" s="53"/>
      <c r="F172" s="53"/>
      <c r="G172" s="53"/>
      <c r="H172" s="131" t="s">
        <v>30</v>
      </c>
      <c r="I172" s="151"/>
      <c r="J172" s="335"/>
      <c r="K172" s="54">
        <f t="shared" si="0"/>
        <v>0</v>
      </c>
      <c r="L172" s="55" t="b">
        <v>0</v>
      </c>
      <c r="M172" s="56"/>
      <c r="N172" s="57" t="b">
        <v>0</v>
      </c>
      <c r="O172" s="58"/>
      <c r="P172" s="215"/>
      <c r="Q172" s="191" t="b">
        <v>0</v>
      </c>
      <c r="R172" s="346"/>
      <c r="S172" s="347"/>
      <c r="T172" s="57" t="b">
        <v>0</v>
      </c>
      <c r="U172" s="349"/>
      <c r="V172" s="345"/>
      <c r="W172" s="54"/>
    </row>
    <row r="173" spans="1:23" ht="16">
      <c r="A173" s="162"/>
      <c r="B173" s="132"/>
      <c r="C173" s="53"/>
      <c r="D173" s="53"/>
      <c r="E173" s="53"/>
      <c r="F173" s="53"/>
      <c r="G173" s="53"/>
      <c r="H173" s="131" t="s">
        <v>30</v>
      </c>
      <c r="I173" s="151"/>
      <c r="J173" s="335"/>
      <c r="K173" s="54">
        <f t="shared" si="0"/>
        <v>0</v>
      </c>
      <c r="L173" s="55" t="b">
        <v>0</v>
      </c>
      <c r="M173" s="56"/>
      <c r="N173" s="57" t="b">
        <v>0</v>
      </c>
      <c r="O173" s="58"/>
      <c r="P173" s="215"/>
      <c r="Q173" s="191" t="b">
        <v>0</v>
      </c>
      <c r="R173" s="346"/>
      <c r="S173" s="347"/>
      <c r="T173" s="57" t="b">
        <v>0</v>
      </c>
      <c r="U173" s="349"/>
      <c r="V173" s="345"/>
      <c r="W173" s="54"/>
    </row>
    <row r="174" spans="1:23" ht="16">
      <c r="A174" s="162"/>
      <c r="B174" s="132"/>
      <c r="C174" s="53"/>
      <c r="D174" s="53"/>
      <c r="E174" s="53"/>
      <c r="F174" s="53"/>
      <c r="G174" s="53"/>
      <c r="H174" s="131" t="s">
        <v>30</v>
      </c>
      <c r="I174" s="151"/>
      <c r="J174" s="335"/>
      <c r="K174" s="54">
        <f t="shared" si="0"/>
        <v>0</v>
      </c>
      <c r="L174" s="55" t="b">
        <v>0</v>
      </c>
      <c r="M174" s="56"/>
      <c r="N174" s="57" t="b">
        <v>0</v>
      </c>
      <c r="O174" s="58"/>
      <c r="P174" s="215"/>
      <c r="Q174" s="191" t="b">
        <v>0</v>
      </c>
      <c r="R174" s="346"/>
      <c r="S174" s="347"/>
      <c r="T174" s="57" t="b">
        <v>0</v>
      </c>
      <c r="U174" s="349"/>
      <c r="V174" s="345"/>
      <c r="W174" s="54"/>
    </row>
    <row r="175" spans="1:23" ht="16">
      <c r="A175" s="162"/>
      <c r="B175" s="132"/>
      <c r="C175" s="53"/>
      <c r="D175" s="53"/>
      <c r="E175" s="53"/>
      <c r="F175" s="53"/>
      <c r="G175" s="53"/>
      <c r="H175" s="131" t="s">
        <v>30</v>
      </c>
      <c r="I175" s="151"/>
      <c r="J175" s="335"/>
      <c r="K175" s="54">
        <f t="shared" si="0"/>
        <v>0</v>
      </c>
      <c r="L175" s="55" t="b">
        <v>0</v>
      </c>
      <c r="M175" s="56"/>
      <c r="N175" s="57" t="b">
        <v>0</v>
      </c>
      <c r="O175" s="58"/>
      <c r="P175" s="215"/>
      <c r="Q175" s="191" t="b">
        <v>0</v>
      </c>
      <c r="R175" s="346"/>
      <c r="S175" s="347"/>
      <c r="T175" s="348"/>
      <c r="U175" s="349"/>
      <c r="V175" s="345"/>
      <c r="W175" s="54"/>
    </row>
    <row r="176" spans="1:23" ht="16">
      <c r="A176" s="162"/>
      <c r="B176" s="132"/>
      <c r="C176" s="53"/>
      <c r="D176" s="53"/>
      <c r="E176" s="53"/>
      <c r="F176" s="53"/>
      <c r="G176" s="53"/>
      <c r="H176" s="131" t="s">
        <v>30</v>
      </c>
      <c r="I176" s="151"/>
      <c r="J176" s="335"/>
      <c r="K176" s="54">
        <f t="shared" si="0"/>
        <v>0</v>
      </c>
      <c r="L176" s="55" t="b">
        <v>0</v>
      </c>
      <c r="M176" s="56"/>
      <c r="N176" s="57" t="b">
        <v>0</v>
      </c>
      <c r="O176" s="58"/>
      <c r="P176" s="215"/>
      <c r="Q176" s="191" t="b">
        <v>0</v>
      </c>
      <c r="R176" s="346"/>
      <c r="S176" s="347"/>
      <c r="T176" s="348"/>
      <c r="U176" s="349"/>
      <c r="V176" s="345"/>
      <c r="W176" s="54"/>
    </row>
    <row r="177" spans="1:23" ht="16">
      <c r="A177" s="162"/>
      <c r="B177" s="132"/>
      <c r="C177" s="53"/>
      <c r="D177" s="53"/>
      <c r="E177" s="53"/>
      <c r="F177" s="53"/>
      <c r="G177" s="53"/>
      <c r="H177" s="131" t="s">
        <v>30</v>
      </c>
      <c r="I177" s="151"/>
      <c r="J177" s="335"/>
      <c r="K177" s="54">
        <f t="shared" si="0"/>
        <v>0</v>
      </c>
      <c r="L177" s="55" t="b">
        <v>0</v>
      </c>
      <c r="M177" s="56"/>
      <c r="N177" s="57" t="b">
        <v>0</v>
      </c>
      <c r="O177" s="58"/>
      <c r="P177" s="215"/>
      <c r="Q177" s="191" t="b">
        <v>0</v>
      </c>
      <c r="R177" s="346"/>
      <c r="S177" s="347"/>
      <c r="T177" s="348"/>
      <c r="U177" s="349"/>
      <c r="V177" s="345"/>
      <c r="W177" s="54"/>
    </row>
    <row r="178" spans="1:23" ht="16">
      <c r="A178" s="162"/>
      <c r="B178" s="132"/>
      <c r="C178" s="53"/>
      <c r="D178" s="53"/>
      <c r="E178" s="53"/>
      <c r="F178" s="53"/>
      <c r="G178" s="53"/>
      <c r="H178" s="131" t="s">
        <v>30</v>
      </c>
      <c r="I178" s="151"/>
      <c r="J178" s="335"/>
      <c r="K178" s="54">
        <f t="shared" si="0"/>
        <v>0</v>
      </c>
      <c r="L178" s="55" t="b">
        <v>0</v>
      </c>
      <c r="M178" s="56"/>
      <c r="N178" s="57" t="b">
        <v>0</v>
      </c>
      <c r="O178" s="58"/>
      <c r="P178" s="215"/>
      <c r="Q178" s="191" t="b">
        <v>0</v>
      </c>
      <c r="R178" s="346"/>
      <c r="S178" s="347"/>
      <c r="T178" s="348"/>
      <c r="U178" s="349"/>
      <c r="V178" s="345"/>
      <c r="W178" s="54"/>
    </row>
    <row r="179" spans="1:23" ht="16">
      <c r="A179" s="162"/>
      <c r="B179" s="132"/>
      <c r="C179" s="53"/>
      <c r="D179" s="53"/>
      <c r="E179" s="53"/>
      <c r="F179" s="53"/>
      <c r="G179" s="53"/>
      <c r="H179" s="131" t="s">
        <v>30</v>
      </c>
      <c r="I179" s="151"/>
      <c r="J179" s="335"/>
      <c r="K179" s="54">
        <f t="shared" si="0"/>
        <v>0</v>
      </c>
      <c r="L179" s="55" t="b">
        <v>0</v>
      </c>
      <c r="M179" s="56"/>
      <c r="N179" s="57" t="b">
        <v>0</v>
      </c>
      <c r="O179" s="58"/>
      <c r="P179" s="215"/>
      <c r="Q179" s="191" t="b">
        <v>0</v>
      </c>
      <c r="R179" s="346"/>
      <c r="S179" s="347"/>
      <c r="T179" s="348"/>
      <c r="U179" s="349"/>
      <c r="V179" s="345"/>
      <c r="W179" s="54"/>
    </row>
    <row r="180" spans="1:23" ht="16">
      <c r="A180" s="162"/>
      <c r="B180" s="132"/>
      <c r="C180" s="53"/>
      <c r="D180" s="53"/>
      <c r="E180" s="53"/>
      <c r="F180" s="53"/>
      <c r="G180" s="53"/>
      <c r="H180" s="131" t="s">
        <v>30</v>
      </c>
      <c r="I180" s="151"/>
      <c r="J180" s="335"/>
      <c r="K180" s="54">
        <f t="shared" si="0"/>
        <v>0</v>
      </c>
      <c r="L180" s="55" t="b">
        <v>0</v>
      </c>
      <c r="M180" s="56"/>
      <c r="N180" s="57" t="b">
        <v>0</v>
      </c>
      <c r="O180" s="58"/>
      <c r="P180" s="215"/>
      <c r="Q180" s="191" t="b">
        <v>0</v>
      </c>
      <c r="R180" s="346"/>
      <c r="S180" s="347"/>
      <c r="T180" s="348"/>
      <c r="U180" s="349"/>
      <c r="V180" s="345"/>
      <c r="W180" s="54"/>
    </row>
    <row r="181" spans="1:23" ht="16">
      <c r="A181" s="162"/>
      <c r="B181" s="132"/>
      <c r="C181" s="53"/>
      <c r="D181" s="53"/>
      <c r="E181" s="53"/>
      <c r="F181" s="53"/>
      <c r="G181" s="53"/>
      <c r="H181" s="131" t="s">
        <v>30</v>
      </c>
      <c r="I181" s="151"/>
      <c r="J181" s="335"/>
      <c r="K181" s="54">
        <f t="shared" si="0"/>
        <v>0</v>
      </c>
      <c r="L181" s="55" t="b">
        <v>0</v>
      </c>
      <c r="M181" s="56"/>
      <c r="N181" s="57" t="b">
        <v>0</v>
      </c>
      <c r="O181" s="58"/>
      <c r="P181" s="215"/>
      <c r="Q181" s="191" t="b">
        <v>0</v>
      </c>
      <c r="R181" s="346"/>
      <c r="S181" s="347"/>
      <c r="T181" s="348"/>
      <c r="U181" s="349"/>
      <c r="V181" s="345"/>
      <c r="W181" s="54"/>
    </row>
    <row r="182" spans="1:23" ht="16">
      <c r="A182" s="162"/>
      <c r="B182" s="132"/>
      <c r="C182" s="53"/>
      <c r="D182" s="53"/>
      <c r="E182" s="53"/>
      <c r="F182" s="53"/>
      <c r="G182" s="53"/>
      <c r="H182" s="131" t="s">
        <v>30</v>
      </c>
      <c r="I182" s="151"/>
      <c r="J182" s="335"/>
      <c r="K182" s="54">
        <f t="shared" si="0"/>
        <v>0</v>
      </c>
      <c r="L182" s="55" t="b">
        <v>0</v>
      </c>
      <c r="M182" s="56"/>
      <c r="N182" s="57" t="b">
        <v>0</v>
      </c>
      <c r="O182" s="58"/>
      <c r="P182" s="215"/>
      <c r="Q182" s="191" t="b">
        <v>0</v>
      </c>
      <c r="R182" s="346"/>
      <c r="S182" s="347"/>
      <c r="T182" s="348"/>
      <c r="U182" s="349"/>
      <c r="V182" s="345"/>
      <c r="W182" s="54"/>
    </row>
    <row r="183" spans="1:23" ht="16">
      <c r="A183" s="162"/>
      <c r="B183" s="132"/>
      <c r="C183" s="53"/>
      <c r="D183" s="53"/>
      <c r="E183" s="53"/>
      <c r="F183" s="53"/>
      <c r="G183" s="53"/>
      <c r="H183" s="131" t="s">
        <v>30</v>
      </c>
      <c r="I183" s="151"/>
      <c r="J183" s="335"/>
      <c r="K183" s="54">
        <f t="shared" si="0"/>
        <v>0</v>
      </c>
      <c r="L183" s="55" t="b">
        <v>0</v>
      </c>
      <c r="M183" s="56"/>
      <c r="N183" s="57" t="b">
        <v>0</v>
      </c>
      <c r="O183" s="58"/>
      <c r="P183" s="215"/>
      <c r="Q183" s="191" t="b">
        <v>0</v>
      </c>
      <c r="R183" s="346"/>
      <c r="S183" s="347"/>
      <c r="T183" s="348"/>
      <c r="U183" s="349"/>
      <c r="V183" s="345"/>
      <c r="W183" s="54"/>
    </row>
    <row r="184" spans="1:23" ht="16">
      <c r="A184" s="162"/>
      <c r="B184" s="132"/>
      <c r="C184" s="53"/>
      <c r="D184" s="53"/>
      <c r="E184" s="53"/>
      <c r="F184" s="53"/>
      <c r="G184" s="53"/>
      <c r="H184" s="131" t="s">
        <v>30</v>
      </c>
      <c r="I184" s="151"/>
      <c r="J184" s="335"/>
      <c r="K184" s="54">
        <f t="shared" si="0"/>
        <v>0</v>
      </c>
      <c r="L184" s="55" t="b">
        <v>0</v>
      </c>
      <c r="M184" s="56"/>
      <c r="N184" s="57" t="b">
        <v>0</v>
      </c>
      <c r="O184" s="58"/>
      <c r="P184" s="215"/>
      <c r="Q184" s="191" t="b">
        <v>0</v>
      </c>
      <c r="R184" s="346"/>
      <c r="S184" s="347"/>
      <c r="T184" s="348"/>
      <c r="U184" s="349"/>
      <c r="V184" s="345"/>
      <c r="W184" s="54" t="s">
        <v>4013</v>
      </c>
    </row>
    <row r="185" spans="1:23" ht="16">
      <c r="A185" s="162"/>
      <c r="B185" s="132"/>
      <c r="C185" s="53"/>
      <c r="D185" s="53"/>
      <c r="E185" s="53"/>
      <c r="F185" s="53"/>
      <c r="G185" s="53"/>
      <c r="H185" s="131" t="s">
        <v>30</v>
      </c>
      <c r="I185" s="151"/>
      <c r="J185" s="335"/>
      <c r="K185" s="54">
        <f t="shared" si="0"/>
        <v>0</v>
      </c>
      <c r="L185" s="55" t="b">
        <v>0</v>
      </c>
      <c r="M185" s="56"/>
      <c r="N185" s="57" t="b">
        <v>0</v>
      </c>
      <c r="O185" s="58"/>
      <c r="P185" s="215"/>
      <c r="Q185" s="191" t="b">
        <v>0</v>
      </c>
      <c r="R185" s="346"/>
      <c r="S185" s="347"/>
      <c r="T185" s="348"/>
      <c r="U185" s="349"/>
      <c r="V185" s="345"/>
      <c r="W185" s="54"/>
    </row>
    <row r="186" spans="1:23" ht="16">
      <c r="A186" s="162"/>
      <c r="B186" s="132"/>
      <c r="C186" s="53"/>
      <c r="D186" s="53"/>
      <c r="E186" s="53"/>
      <c r="F186" s="53"/>
      <c r="G186" s="53"/>
      <c r="H186" s="131" t="s">
        <v>30</v>
      </c>
      <c r="I186" s="151"/>
      <c r="J186" s="335"/>
      <c r="K186" s="54">
        <f t="shared" si="0"/>
        <v>0</v>
      </c>
      <c r="L186" s="55" t="b">
        <v>0</v>
      </c>
      <c r="M186" s="56"/>
      <c r="N186" s="57" t="b">
        <v>0</v>
      </c>
      <c r="O186" s="58"/>
      <c r="P186" s="215"/>
      <c r="Q186" s="191" t="b">
        <v>0</v>
      </c>
      <c r="R186" s="346"/>
      <c r="S186" s="347"/>
      <c r="T186" s="348"/>
      <c r="U186" s="349"/>
      <c r="V186" s="345"/>
      <c r="W186" s="54"/>
    </row>
    <row r="187" spans="1:23" ht="16">
      <c r="A187" s="162"/>
      <c r="B187" s="132"/>
      <c r="C187" s="53"/>
      <c r="D187" s="53"/>
      <c r="E187" s="53"/>
      <c r="F187" s="53"/>
      <c r="G187" s="53"/>
      <c r="H187" s="131" t="s">
        <v>30</v>
      </c>
      <c r="I187" s="151"/>
      <c r="J187" s="335"/>
      <c r="K187" s="54">
        <f t="shared" si="0"/>
        <v>0</v>
      </c>
      <c r="L187" s="55" t="b">
        <v>0</v>
      </c>
      <c r="M187" s="56"/>
      <c r="N187" s="57" t="b">
        <v>0</v>
      </c>
      <c r="O187" s="58"/>
      <c r="P187" s="215"/>
      <c r="Q187" s="191" t="b">
        <v>0</v>
      </c>
      <c r="R187" s="346"/>
      <c r="S187" s="347"/>
      <c r="T187" s="348"/>
      <c r="U187" s="349"/>
      <c r="V187" s="345"/>
      <c r="W187" s="54"/>
    </row>
    <row r="188" spans="1:23" ht="16">
      <c r="A188" s="162"/>
      <c r="B188" s="132"/>
      <c r="C188" s="53"/>
      <c r="D188" s="53"/>
      <c r="E188" s="53"/>
      <c r="F188" s="53"/>
      <c r="G188" s="53"/>
      <c r="H188" s="131" t="s">
        <v>30</v>
      </c>
      <c r="I188" s="151"/>
      <c r="J188" s="335"/>
      <c r="K188" s="54">
        <f t="shared" si="0"/>
        <v>0</v>
      </c>
      <c r="L188" s="55" t="b">
        <v>0</v>
      </c>
      <c r="M188" s="56"/>
      <c r="N188" s="57" t="b">
        <v>0</v>
      </c>
      <c r="O188" s="58"/>
      <c r="P188" s="215"/>
      <c r="Q188" s="191" t="b">
        <v>0</v>
      </c>
      <c r="R188" s="346"/>
      <c r="S188" s="347"/>
      <c r="T188" s="348"/>
      <c r="U188" s="349"/>
      <c r="V188" s="345"/>
      <c r="W188" s="54"/>
    </row>
    <row r="189" spans="1:23" ht="16">
      <c r="A189" s="162"/>
      <c r="B189" s="132"/>
      <c r="C189" s="53"/>
      <c r="D189" s="53"/>
      <c r="E189" s="53"/>
      <c r="F189" s="53"/>
      <c r="G189" s="53"/>
      <c r="H189" s="131" t="s">
        <v>30</v>
      </c>
      <c r="I189" s="151"/>
      <c r="J189" s="335"/>
      <c r="K189" s="54">
        <f t="shared" si="0"/>
        <v>0</v>
      </c>
      <c r="L189" s="55" t="b">
        <v>0</v>
      </c>
      <c r="M189" s="56"/>
      <c r="N189" s="57" t="b">
        <v>0</v>
      </c>
      <c r="O189" s="58"/>
      <c r="P189" s="215"/>
      <c r="Q189" s="191" t="b">
        <v>0</v>
      </c>
      <c r="R189" s="346"/>
      <c r="S189" s="347"/>
      <c r="T189" s="348"/>
      <c r="U189" s="349"/>
      <c r="V189" s="345"/>
      <c r="W189" s="54"/>
    </row>
    <row r="190" spans="1:23" ht="16">
      <c r="A190" s="162"/>
      <c r="B190" s="132"/>
      <c r="C190" s="53"/>
      <c r="D190" s="53"/>
      <c r="E190" s="53"/>
      <c r="F190" s="53"/>
      <c r="G190" s="53"/>
      <c r="H190" s="131" t="s">
        <v>30</v>
      </c>
      <c r="I190" s="151"/>
      <c r="J190" s="335"/>
      <c r="K190" s="54">
        <f t="shared" si="0"/>
        <v>0</v>
      </c>
      <c r="L190" s="55" t="b">
        <v>0</v>
      </c>
      <c r="M190" s="56"/>
      <c r="N190" s="57" t="b">
        <v>0</v>
      </c>
      <c r="O190" s="58"/>
      <c r="P190" s="215"/>
      <c r="Q190" s="191" t="b">
        <v>0</v>
      </c>
      <c r="R190" s="346"/>
      <c r="S190" s="347"/>
      <c r="T190" s="348"/>
      <c r="U190" s="349"/>
      <c r="V190" s="345"/>
      <c r="W190" s="54"/>
    </row>
    <row r="191" spans="1:23" ht="16">
      <c r="A191" s="162"/>
      <c r="B191" s="132"/>
      <c r="C191" s="53"/>
      <c r="D191" s="53"/>
      <c r="E191" s="53"/>
      <c r="F191" s="53"/>
      <c r="G191" s="53"/>
      <c r="H191" s="131" t="s">
        <v>30</v>
      </c>
      <c r="I191" s="151"/>
      <c r="J191" s="335"/>
      <c r="K191" s="54">
        <f t="shared" si="0"/>
        <v>0</v>
      </c>
      <c r="L191" s="55" t="b">
        <v>0</v>
      </c>
      <c r="M191" s="56"/>
      <c r="N191" s="57" t="b">
        <v>0</v>
      </c>
      <c r="O191" s="58"/>
      <c r="P191" s="215"/>
      <c r="Q191" s="191" t="b">
        <v>0</v>
      </c>
      <c r="R191" s="346"/>
      <c r="S191" s="347"/>
      <c r="T191" s="348"/>
      <c r="U191" s="349"/>
      <c r="V191" s="345"/>
      <c r="W191" s="54"/>
    </row>
    <row r="192" spans="1:23" ht="16">
      <c r="A192" s="162"/>
      <c r="B192" s="132"/>
      <c r="C192" s="53"/>
      <c r="D192" s="53"/>
      <c r="E192" s="53"/>
      <c r="F192" s="53"/>
      <c r="G192" s="53"/>
      <c r="H192" s="131" t="s">
        <v>30</v>
      </c>
      <c r="I192" s="151"/>
      <c r="J192" s="335"/>
      <c r="K192" s="54">
        <f t="shared" si="0"/>
        <v>0</v>
      </c>
      <c r="L192" s="55" t="b">
        <v>0</v>
      </c>
      <c r="M192" s="56"/>
      <c r="N192" s="57" t="b">
        <v>0</v>
      </c>
      <c r="O192" s="58"/>
      <c r="P192" s="215"/>
      <c r="Q192" s="191" t="b">
        <v>0</v>
      </c>
      <c r="R192" s="346"/>
      <c r="S192" s="347"/>
      <c r="T192" s="348"/>
      <c r="U192" s="349"/>
      <c r="V192" s="345"/>
      <c r="W192" s="54"/>
    </row>
    <row r="193" spans="1:23" ht="16">
      <c r="A193" s="162"/>
      <c r="B193" s="132"/>
      <c r="C193" s="53"/>
      <c r="D193" s="53"/>
      <c r="E193" s="53"/>
      <c r="F193" s="53"/>
      <c r="G193" s="53"/>
      <c r="H193" s="131" t="s">
        <v>30</v>
      </c>
      <c r="I193" s="151"/>
      <c r="J193" s="335"/>
      <c r="K193" s="54">
        <f t="shared" si="0"/>
        <v>0</v>
      </c>
      <c r="L193" s="55" t="b">
        <v>0</v>
      </c>
      <c r="M193" s="56"/>
      <c r="N193" s="57" t="b">
        <v>0</v>
      </c>
      <c r="O193" s="58"/>
      <c r="P193" s="215"/>
      <c r="Q193" s="191" t="b">
        <v>0</v>
      </c>
      <c r="R193" s="346"/>
      <c r="S193" s="347"/>
      <c r="T193" s="348"/>
      <c r="U193" s="349"/>
      <c r="V193" s="345"/>
      <c r="W193" s="54"/>
    </row>
    <row r="194" spans="1:23" ht="16">
      <c r="A194" s="162"/>
      <c r="B194" s="132"/>
      <c r="C194" s="53"/>
      <c r="D194" s="53"/>
      <c r="E194" s="53"/>
      <c r="F194" s="53"/>
      <c r="G194" s="53"/>
      <c r="H194" s="131" t="s">
        <v>30</v>
      </c>
      <c r="I194" s="151"/>
      <c r="J194" s="335"/>
      <c r="K194" s="54">
        <f t="shared" si="0"/>
        <v>0</v>
      </c>
      <c r="L194" s="55" t="b">
        <v>0</v>
      </c>
      <c r="M194" s="56"/>
      <c r="N194" s="57" t="b">
        <v>0</v>
      </c>
      <c r="O194" s="58"/>
      <c r="P194" s="215"/>
      <c r="Q194" s="191" t="b">
        <v>0</v>
      </c>
      <c r="R194" s="346"/>
      <c r="S194" s="347"/>
      <c r="T194" s="348"/>
      <c r="U194" s="349"/>
      <c r="V194" s="345"/>
      <c r="W194" s="54"/>
    </row>
    <row r="195" spans="1:23" ht="16">
      <c r="A195" s="162"/>
      <c r="B195" s="132"/>
      <c r="C195" s="53"/>
      <c r="D195" s="53"/>
      <c r="E195" s="53"/>
      <c r="F195" s="53"/>
      <c r="G195" s="53"/>
      <c r="H195" s="131" t="s">
        <v>30</v>
      </c>
      <c r="I195" s="151"/>
      <c r="J195" s="335"/>
      <c r="K195" s="54">
        <f t="shared" si="0"/>
        <v>0</v>
      </c>
      <c r="L195" s="55" t="b">
        <v>0</v>
      </c>
      <c r="M195" s="56"/>
      <c r="N195" s="57" t="b">
        <v>0</v>
      </c>
      <c r="O195" s="58"/>
      <c r="P195" s="215"/>
      <c r="Q195" s="191" t="b">
        <v>0</v>
      </c>
      <c r="R195" s="346"/>
      <c r="S195" s="347"/>
      <c r="T195" s="348"/>
      <c r="U195" s="349"/>
      <c r="V195" s="345"/>
      <c r="W195" s="54"/>
    </row>
    <row r="196" spans="1:23" ht="16">
      <c r="A196" s="162"/>
      <c r="B196" s="132"/>
      <c r="C196" s="53"/>
      <c r="D196" s="53"/>
      <c r="E196" s="53"/>
      <c r="F196" s="53"/>
      <c r="G196" s="53"/>
      <c r="H196" s="131" t="s">
        <v>30</v>
      </c>
      <c r="I196" s="151"/>
      <c r="J196" s="335"/>
      <c r="K196" s="54">
        <f t="shared" si="0"/>
        <v>0</v>
      </c>
      <c r="L196" s="55" t="b">
        <v>0</v>
      </c>
      <c r="M196" s="56"/>
      <c r="N196" s="57" t="b">
        <v>0</v>
      </c>
      <c r="O196" s="58"/>
      <c r="P196" s="215"/>
      <c r="Q196" s="191"/>
      <c r="R196" s="346"/>
      <c r="S196" s="347"/>
      <c r="T196" s="348"/>
      <c r="U196" s="349"/>
      <c r="V196" s="345"/>
      <c r="W196" s="54"/>
    </row>
    <row r="197" spans="1:23" ht="16">
      <c r="A197" s="162"/>
      <c r="B197" s="132"/>
      <c r="C197" s="53"/>
      <c r="D197" s="53"/>
      <c r="E197" s="53"/>
      <c r="F197" s="53"/>
      <c r="G197" s="53"/>
      <c r="H197" s="131" t="s">
        <v>30</v>
      </c>
      <c r="I197" s="151"/>
      <c r="J197" s="335"/>
      <c r="K197" s="54">
        <f t="shared" si="0"/>
        <v>0</v>
      </c>
      <c r="L197" s="55" t="b">
        <v>0</v>
      </c>
      <c r="M197" s="56"/>
      <c r="N197" s="57" t="b">
        <v>0</v>
      </c>
      <c r="O197" s="58"/>
      <c r="P197" s="215"/>
      <c r="Q197" s="191"/>
      <c r="R197" s="346"/>
      <c r="S197" s="347"/>
      <c r="T197" s="348"/>
      <c r="U197" s="349"/>
      <c r="V197" s="345"/>
      <c r="W197" s="54"/>
    </row>
    <row r="198" spans="1:23" ht="16">
      <c r="A198" s="162"/>
      <c r="B198" s="132"/>
      <c r="C198" s="53"/>
      <c r="D198" s="53"/>
      <c r="E198" s="53"/>
      <c r="F198" s="53"/>
      <c r="G198" s="53"/>
      <c r="H198" s="131"/>
      <c r="I198" s="53"/>
      <c r="J198" s="188"/>
      <c r="K198" s="54"/>
      <c r="L198" s="55"/>
      <c r="M198" s="56"/>
      <c r="N198" s="57"/>
      <c r="O198" s="58"/>
      <c r="P198" s="215"/>
      <c r="Q198" s="191"/>
      <c r="R198" s="346"/>
      <c r="S198" s="347"/>
      <c r="T198" s="348"/>
      <c r="U198" s="349"/>
      <c r="V198" s="345"/>
      <c r="W198" s="54"/>
    </row>
    <row r="199" spans="1:23" ht="16">
      <c r="A199" s="162"/>
      <c r="B199" s="132"/>
      <c r="C199" s="53"/>
      <c r="D199" s="53"/>
      <c r="E199" s="53"/>
      <c r="F199" s="53"/>
      <c r="G199" s="53"/>
      <c r="H199" s="131"/>
      <c r="I199" s="53"/>
      <c r="J199" s="188"/>
      <c r="K199" s="54"/>
      <c r="L199" s="55"/>
      <c r="M199" s="56"/>
      <c r="N199" s="57"/>
      <c r="O199" s="58"/>
      <c r="P199" s="215"/>
      <c r="Q199" s="191"/>
      <c r="R199" s="346"/>
      <c r="S199" s="347"/>
      <c r="T199" s="348"/>
      <c r="U199" s="349"/>
      <c r="V199" s="345"/>
      <c r="W199" s="58"/>
    </row>
    <row r="200" spans="1:23" ht="16">
      <c r="A200" s="162"/>
      <c r="B200" s="132"/>
      <c r="C200" s="53"/>
      <c r="D200" s="53"/>
      <c r="E200" s="53"/>
      <c r="F200" s="53"/>
      <c r="G200" s="53"/>
      <c r="H200" s="131"/>
      <c r="I200" s="53"/>
      <c r="J200" s="188"/>
      <c r="K200" s="54"/>
      <c r="L200" s="55"/>
      <c r="M200" s="56"/>
      <c r="N200" s="57"/>
      <c r="O200" s="58"/>
      <c r="P200" s="215"/>
      <c r="Q200" s="191"/>
      <c r="R200" s="346"/>
      <c r="S200" s="347"/>
      <c r="T200" s="348"/>
      <c r="U200" s="349"/>
      <c r="V200" s="345"/>
      <c r="W200" s="54"/>
    </row>
    <row r="201" spans="1:23" ht="16">
      <c r="A201" s="162"/>
      <c r="B201" s="132"/>
      <c r="C201" s="53"/>
      <c r="D201" s="53"/>
      <c r="E201" s="53"/>
      <c r="F201" s="53"/>
      <c r="G201" s="53"/>
      <c r="H201" s="131"/>
      <c r="I201" s="53"/>
      <c r="J201" s="188"/>
      <c r="K201" s="54"/>
      <c r="L201" s="55"/>
      <c r="M201" s="56"/>
      <c r="N201" s="57"/>
      <c r="O201" s="58"/>
      <c r="P201" s="215"/>
      <c r="Q201" s="191"/>
      <c r="R201" s="346"/>
      <c r="S201" s="347"/>
      <c r="T201" s="348"/>
      <c r="U201" s="349"/>
      <c r="V201" s="345"/>
      <c r="W201" s="54"/>
    </row>
    <row r="202" spans="1:23" ht="16">
      <c r="A202" s="162"/>
      <c r="B202" s="132"/>
      <c r="C202" s="53"/>
      <c r="D202" s="53"/>
      <c r="E202" s="53"/>
      <c r="F202" s="53"/>
      <c r="G202" s="53"/>
      <c r="H202" s="131"/>
      <c r="I202" s="53"/>
      <c r="J202" s="188"/>
      <c r="K202" s="54"/>
      <c r="L202" s="55"/>
      <c r="M202" s="56"/>
      <c r="N202" s="57"/>
      <c r="O202" s="58"/>
      <c r="P202" s="215"/>
      <c r="Q202" s="191"/>
      <c r="R202" s="346"/>
      <c r="S202" s="347"/>
      <c r="T202" s="348"/>
      <c r="U202" s="349"/>
      <c r="V202" s="345"/>
      <c r="W202" s="54"/>
    </row>
    <row r="203" spans="1:23" ht="16">
      <c r="A203" s="162"/>
      <c r="B203" s="132"/>
      <c r="C203" s="53"/>
      <c r="D203" s="53"/>
      <c r="E203" s="53"/>
      <c r="F203" s="53"/>
      <c r="G203" s="53"/>
      <c r="H203" s="131"/>
      <c r="I203" s="53"/>
      <c r="J203" s="188"/>
      <c r="K203" s="54"/>
      <c r="L203" s="55"/>
      <c r="M203" s="56"/>
      <c r="N203" s="57"/>
      <c r="O203" s="58"/>
      <c r="P203" s="215"/>
      <c r="Q203" s="191"/>
      <c r="R203" s="346"/>
      <c r="S203" s="347"/>
      <c r="T203" s="348"/>
      <c r="U203" s="349"/>
      <c r="V203" s="345"/>
      <c r="W203" s="54"/>
    </row>
    <row r="204" spans="1:23" ht="16">
      <c r="A204" s="162"/>
      <c r="B204" s="132"/>
      <c r="C204" s="53"/>
      <c r="D204" s="53"/>
      <c r="E204" s="53"/>
      <c r="F204" s="53"/>
      <c r="G204" s="53"/>
      <c r="H204" s="131"/>
      <c r="I204" s="53"/>
      <c r="J204" s="188"/>
      <c r="K204" s="54"/>
      <c r="L204" s="55"/>
      <c r="M204" s="56"/>
      <c r="N204" s="57"/>
      <c r="O204" s="58"/>
      <c r="P204" s="215"/>
      <c r="Q204" s="191"/>
      <c r="R204" s="346"/>
      <c r="S204" s="347"/>
      <c r="T204" s="348"/>
      <c r="U204" s="349"/>
      <c r="V204" s="345"/>
      <c r="W204" s="54"/>
    </row>
    <row r="205" spans="1:23" ht="16">
      <c r="A205" s="162"/>
      <c r="B205" s="132"/>
      <c r="C205" s="53"/>
      <c r="D205" s="53"/>
      <c r="E205" s="53"/>
      <c r="F205" s="53"/>
      <c r="G205" s="53"/>
      <c r="H205" s="131"/>
      <c r="I205" s="53"/>
      <c r="J205" s="188"/>
      <c r="K205" s="54"/>
      <c r="L205" s="55"/>
      <c r="M205" s="56"/>
      <c r="N205" s="57"/>
      <c r="O205" s="58"/>
      <c r="P205" s="215"/>
      <c r="Q205" s="191"/>
      <c r="R205" s="346"/>
      <c r="S205" s="347"/>
      <c r="T205" s="348"/>
      <c r="U205" s="349"/>
      <c r="V205" s="345"/>
      <c r="W205" s="54"/>
    </row>
    <row r="206" spans="1:23" ht="16">
      <c r="A206" s="162"/>
      <c r="B206" s="132"/>
      <c r="C206" s="53"/>
      <c r="D206" s="53"/>
      <c r="E206" s="53"/>
      <c r="F206" s="53"/>
      <c r="G206" s="53"/>
      <c r="H206" s="131"/>
      <c r="I206" s="53"/>
      <c r="J206" s="188"/>
      <c r="K206" s="54"/>
      <c r="L206" s="55"/>
      <c r="M206" s="56"/>
      <c r="N206" s="57"/>
      <c r="O206" s="58"/>
      <c r="P206" s="215"/>
      <c r="Q206" s="191"/>
      <c r="R206" s="346"/>
      <c r="S206" s="347"/>
      <c r="T206" s="348"/>
      <c r="U206" s="349"/>
      <c r="V206" s="345"/>
      <c r="W206" s="54"/>
    </row>
    <row r="207" spans="1:23" ht="16">
      <c r="A207" s="162"/>
      <c r="B207" s="132"/>
      <c r="C207" s="53"/>
      <c r="D207" s="53"/>
      <c r="E207" s="53"/>
      <c r="F207" s="53"/>
      <c r="G207" s="53"/>
      <c r="H207" s="131"/>
      <c r="I207" s="53"/>
      <c r="J207" s="188"/>
      <c r="K207" s="54"/>
      <c r="L207" s="55"/>
      <c r="M207" s="56"/>
      <c r="N207" s="57"/>
      <c r="O207" s="58"/>
      <c r="P207" s="215"/>
      <c r="Q207" s="191"/>
      <c r="R207" s="346"/>
      <c r="S207" s="347"/>
      <c r="T207" s="348"/>
      <c r="U207" s="349"/>
      <c r="V207" s="345"/>
      <c r="W207" s="54"/>
    </row>
    <row r="208" spans="1:23" ht="16">
      <c r="A208" s="162"/>
      <c r="B208" s="132"/>
      <c r="C208" s="53"/>
      <c r="D208" s="53"/>
      <c r="E208" s="53"/>
      <c r="F208" s="53"/>
      <c r="G208" s="53"/>
      <c r="H208" s="131"/>
      <c r="I208" s="53"/>
      <c r="J208" s="188"/>
      <c r="K208" s="54"/>
      <c r="L208" s="55"/>
      <c r="M208" s="56"/>
      <c r="N208" s="57"/>
      <c r="O208" s="58"/>
      <c r="P208" s="215"/>
      <c r="Q208" s="191"/>
      <c r="R208" s="346"/>
      <c r="S208" s="347"/>
      <c r="T208" s="348"/>
      <c r="U208" s="349"/>
      <c r="V208" s="345"/>
      <c r="W208" s="54"/>
    </row>
    <row r="209" spans="1:23" ht="16">
      <c r="A209" s="162"/>
      <c r="B209" s="132"/>
      <c r="C209" s="53"/>
      <c r="D209" s="53"/>
      <c r="E209" s="53"/>
      <c r="F209" s="53"/>
      <c r="G209" s="53"/>
      <c r="H209" s="131"/>
      <c r="I209" s="53"/>
      <c r="J209" s="188"/>
      <c r="K209" s="54"/>
      <c r="L209" s="55"/>
      <c r="M209" s="56"/>
      <c r="N209" s="57"/>
      <c r="O209" s="58"/>
      <c r="P209" s="215"/>
      <c r="Q209" s="191"/>
      <c r="R209" s="346"/>
      <c r="S209" s="347"/>
      <c r="T209" s="348"/>
      <c r="U209" s="349"/>
      <c r="V209" s="345"/>
      <c r="W209" s="54"/>
    </row>
    <row r="210" spans="1:23" ht="16">
      <c r="A210" s="162"/>
      <c r="B210" s="132"/>
      <c r="C210" s="53"/>
      <c r="D210" s="53"/>
      <c r="E210" s="53"/>
      <c r="F210" s="53"/>
      <c r="G210" s="53"/>
      <c r="H210" s="131"/>
      <c r="I210" s="53"/>
      <c r="J210" s="188"/>
      <c r="K210" s="54"/>
      <c r="L210" s="55"/>
      <c r="M210" s="56"/>
      <c r="N210" s="57"/>
      <c r="O210" s="58"/>
      <c r="P210" s="215"/>
      <c r="Q210" s="191"/>
      <c r="R210" s="346"/>
      <c r="S210" s="347"/>
      <c r="T210" s="348"/>
      <c r="U210" s="349"/>
      <c r="V210" s="345"/>
      <c r="W210" s="54"/>
    </row>
    <row r="211" spans="1:23" ht="16">
      <c r="A211" s="162"/>
      <c r="B211" s="132"/>
      <c r="C211" s="53"/>
      <c r="D211" s="53"/>
      <c r="E211" s="53"/>
      <c r="F211" s="53"/>
      <c r="G211" s="53"/>
      <c r="H211" s="131"/>
      <c r="I211" s="53"/>
      <c r="J211" s="188"/>
      <c r="K211" s="54"/>
      <c r="L211" s="55"/>
      <c r="M211" s="56"/>
      <c r="N211" s="57"/>
      <c r="O211" s="58"/>
      <c r="P211" s="215"/>
      <c r="Q211" s="191"/>
      <c r="R211" s="346"/>
      <c r="S211" s="347"/>
      <c r="T211" s="348"/>
      <c r="U211" s="349"/>
      <c r="V211" s="345"/>
      <c r="W211" s="54"/>
    </row>
    <row r="212" spans="1:23" ht="16">
      <c r="A212" s="162"/>
      <c r="B212" s="132"/>
      <c r="C212" s="53"/>
      <c r="D212" s="53"/>
      <c r="E212" s="53"/>
      <c r="F212" s="53"/>
      <c r="G212" s="53"/>
      <c r="H212" s="131"/>
      <c r="I212" s="53"/>
      <c r="J212" s="188"/>
      <c r="K212" s="54"/>
      <c r="L212" s="55"/>
      <c r="M212" s="56"/>
      <c r="N212" s="57"/>
      <c r="O212" s="58"/>
      <c r="P212" s="215"/>
      <c r="Q212" s="191"/>
      <c r="R212" s="346"/>
      <c r="S212" s="347"/>
      <c r="T212" s="348"/>
      <c r="U212" s="349"/>
      <c r="V212" s="345"/>
      <c r="W212" s="54"/>
    </row>
    <row r="213" spans="1:23" ht="16">
      <c r="A213" s="162"/>
      <c r="B213" s="132"/>
      <c r="C213" s="53"/>
      <c r="D213" s="53"/>
      <c r="E213" s="53"/>
      <c r="F213" s="53"/>
      <c r="G213" s="53"/>
      <c r="H213" s="131"/>
      <c r="I213" s="53"/>
      <c r="J213" s="188"/>
      <c r="K213" s="54"/>
      <c r="L213" s="55"/>
      <c r="M213" s="56"/>
      <c r="N213" s="57"/>
      <c r="O213" s="58"/>
      <c r="P213" s="215"/>
      <c r="Q213" s="191"/>
      <c r="R213" s="346"/>
      <c r="S213" s="347"/>
      <c r="T213" s="348"/>
      <c r="U213" s="349"/>
      <c r="V213" s="345"/>
      <c r="W213" s="54"/>
    </row>
    <row r="214" spans="1:23" ht="16">
      <c r="A214" s="162"/>
      <c r="B214" s="132"/>
      <c r="C214" s="53"/>
      <c r="D214" s="53"/>
      <c r="E214" s="53"/>
      <c r="F214" s="53"/>
      <c r="G214" s="53"/>
      <c r="H214" s="131"/>
      <c r="I214" s="53"/>
      <c r="J214" s="188"/>
      <c r="K214" s="54"/>
      <c r="L214" s="55"/>
      <c r="M214" s="56"/>
      <c r="N214" s="57"/>
      <c r="O214" s="58"/>
      <c r="P214" s="215"/>
      <c r="Q214" s="191"/>
      <c r="R214" s="346"/>
      <c r="S214" s="347"/>
      <c r="T214" s="348"/>
      <c r="U214" s="349"/>
      <c r="V214" s="345"/>
      <c r="W214" s="54"/>
    </row>
    <row r="215" spans="1:23" ht="16">
      <c r="A215" s="162"/>
      <c r="B215" s="132"/>
      <c r="C215" s="53"/>
      <c r="D215" s="53"/>
      <c r="E215" s="53"/>
      <c r="F215" s="53"/>
      <c r="G215" s="53"/>
      <c r="H215" s="131"/>
      <c r="I215" s="53"/>
      <c r="J215" s="188"/>
      <c r="K215" s="75"/>
      <c r="L215" s="55"/>
      <c r="M215" s="56"/>
      <c r="N215" s="57"/>
      <c r="O215" s="58"/>
      <c r="P215" s="215"/>
      <c r="Q215" s="191"/>
      <c r="R215" s="346"/>
      <c r="S215" s="347"/>
      <c r="T215" s="348"/>
      <c r="U215" s="349"/>
      <c r="V215" s="345"/>
      <c r="W215" s="54"/>
    </row>
    <row r="216" spans="1:23" ht="16">
      <c r="A216" s="162"/>
      <c r="B216" s="132"/>
      <c r="C216" s="53"/>
      <c r="D216" s="53"/>
      <c r="E216" s="53"/>
      <c r="F216" s="53"/>
      <c r="G216" s="53"/>
      <c r="H216" s="131"/>
      <c r="I216" s="53"/>
      <c r="J216" s="188"/>
      <c r="K216" s="75"/>
      <c r="L216" s="55"/>
      <c r="M216" s="56"/>
      <c r="N216" s="57"/>
      <c r="O216" s="58"/>
      <c r="P216" s="215"/>
      <c r="Q216" s="191"/>
      <c r="R216" s="346"/>
      <c r="S216" s="347"/>
      <c r="T216" s="348"/>
      <c r="U216" s="349"/>
      <c r="V216" s="345"/>
      <c r="W216" s="54"/>
    </row>
    <row r="217" spans="1:23" ht="16">
      <c r="A217" s="162"/>
      <c r="B217" s="132"/>
      <c r="C217" s="53"/>
      <c r="D217" s="53"/>
      <c r="E217" s="53"/>
      <c r="F217" s="53"/>
      <c r="G217" s="53"/>
      <c r="H217" s="131"/>
      <c r="I217" s="53"/>
      <c r="J217" s="188"/>
      <c r="K217" s="75"/>
      <c r="L217" s="55"/>
      <c r="M217" s="56"/>
      <c r="N217" s="57"/>
      <c r="O217" s="58"/>
      <c r="P217" s="215"/>
      <c r="Q217" s="191"/>
      <c r="R217" s="346"/>
      <c r="S217" s="347"/>
      <c r="T217" s="348"/>
      <c r="U217" s="349"/>
      <c r="V217" s="345"/>
      <c r="W217" s="54"/>
    </row>
    <row r="218" spans="1:23" ht="16">
      <c r="A218" s="162"/>
      <c r="B218" s="132"/>
      <c r="C218" s="53"/>
      <c r="D218" s="53"/>
      <c r="E218" s="53"/>
      <c r="F218" s="53"/>
      <c r="G218" s="53"/>
      <c r="H218" s="131"/>
      <c r="I218" s="53"/>
      <c r="J218" s="188"/>
      <c r="K218" s="75"/>
      <c r="L218" s="55"/>
      <c r="M218" s="56"/>
      <c r="N218" s="57"/>
      <c r="O218" s="58"/>
      <c r="P218" s="215"/>
      <c r="Q218" s="191"/>
      <c r="R218" s="346"/>
      <c r="S218" s="347"/>
      <c r="T218" s="348"/>
      <c r="U218" s="349"/>
      <c r="V218" s="345"/>
      <c r="W218" s="54"/>
    </row>
    <row r="219" spans="1:23" ht="16">
      <c r="A219" s="162"/>
      <c r="B219" s="132"/>
      <c r="C219" s="53"/>
      <c r="D219" s="53"/>
      <c r="E219" s="53"/>
      <c r="F219" s="53"/>
      <c r="G219" s="53"/>
      <c r="H219" s="131"/>
      <c r="I219" s="53"/>
      <c r="J219" s="188"/>
      <c r="K219" s="75"/>
      <c r="L219" s="55"/>
      <c r="M219" s="56"/>
      <c r="N219" s="57"/>
      <c r="O219" s="58"/>
      <c r="P219" s="215"/>
      <c r="Q219" s="191"/>
      <c r="R219" s="346"/>
      <c r="S219" s="347"/>
      <c r="T219" s="348"/>
      <c r="U219" s="349"/>
      <c r="V219" s="345"/>
      <c r="W219" s="54"/>
    </row>
    <row r="220" spans="1:23" ht="16">
      <c r="A220" s="162"/>
      <c r="B220" s="132"/>
      <c r="C220" s="53"/>
      <c r="D220" s="53"/>
      <c r="E220" s="53"/>
      <c r="F220" s="53"/>
      <c r="G220" s="53"/>
      <c r="H220" s="131"/>
      <c r="I220" s="53"/>
      <c r="J220" s="188"/>
      <c r="K220" s="75"/>
      <c r="L220" s="55"/>
      <c r="M220" s="56"/>
      <c r="N220" s="57"/>
      <c r="O220" s="58"/>
      <c r="P220" s="215"/>
      <c r="Q220" s="191"/>
      <c r="R220" s="346"/>
      <c r="S220" s="347"/>
      <c r="T220" s="348"/>
      <c r="U220" s="349"/>
      <c r="V220" s="345"/>
      <c r="W220" s="54"/>
    </row>
    <row r="221" spans="1:23" ht="16">
      <c r="A221" s="162"/>
      <c r="B221" s="132"/>
      <c r="C221" s="53"/>
      <c r="D221" s="53"/>
      <c r="E221" s="53"/>
      <c r="F221" s="53"/>
      <c r="G221" s="53"/>
      <c r="H221" s="131"/>
      <c r="I221" s="53"/>
      <c r="J221" s="188"/>
      <c r="K221" s="75"/>
      <c r="L221" s="55"/>
      <c r="M221" s="56"/>
      <c r="N221" s="57"/>
      <c r="O221" s="58"/>
      <c r="P221" s="215"/>
      <c r="Q221" s="191"/>
      <c r="R221" s="346"/>
      <c r="S221" s="347"/>
      <c r="T221" s="348"/>
      <c r="U221" s="349"/>
      <c r="V221" s="345"/>
      <c r="W221" s="54"/>
    </row>
    <row r="222" spans="1:23" ht="16">
      <c r="A222" s="162"/>
      <c r="B222" s="132"/>
      <c r="C222" s="53"/>
      <c r="D222" s="53"/>
      <c r="E222" s="53"/>
      <c r="F222" s="53"/>
      <c r="G222" s="53"/>
      <c r="H222" s="131"/>
      <c r="I222" s="53"/>
      <c r="J222" s="188"/>
      <c r="K222" s="75"/>
      <c r="L222" s="55"/>
      <c r="M222" s="56"/>
      <c r="N222" s="57"/>
      <c r="O222" s="58"/>
      <c r="P222" s="215"/>
      <c r="Q222" s="191"/>
      <c r="R222" s="346"/>
      <c r="S222" s="347"/>
      <c r="T222" s="348"/>
      <c r="U222" s="349"/>
      <c r="V222" s="345"/>
      <c r="W222" s="54"/>
    </row>
    <row r="223" spans="1:23" ht="16">
      <c r="A223" s="162"/>
      <c r="B223" s="132"/>
      <c r="C223" s="53"/>
      <c r="D223" s="53"/>
      <c r="E223" s="53"/>
      <c r="F223" s="53"/>
      <c r="G223" s="53"/>
      <c r="H223" s="131"/>
      <c r="I223" s="53"/>
      <c r="J223" s="188"/>
      <c r="K223" s="75"/>
      <c r="L223" s="55"/>
      <c r="M223" s="56"/>
      <c r="N223" s="57"/>
      <c r="O223" s="58"/>
      <c r="P223" s="215"/>
      <c r="Q223" s="191"/>
      <c r="R223" s="346"/>
      <c r="S223" s="347"/>
      <c r="T223" s="348"/>
      <c r="U223" s="349"/>
      <c r="V223" s="345"/>
      <c r="W223" s="54"/>
    </row>
    <row r="224" spans="1:23" ht="16">
      <c r="A224" s="162"/>
      <c r="B224" s="132"/>
      <c r="C224" s="53"/>
      <c r="D224" s="53"/>
      <c r="E224" s="53"/>
      <c r="F224" s="53"/>
      <c r="G224" s="53"/>
      <c r="H224" s="131"/>
      <c r="I224" s="53"/>
      <c r="J224" s="188"/>
      <c r="K224" s="75"/>
      <c r="L224" s="55"/>
      <c r="M224" s="56"/>
      <c r="N224" s="57"/>
      <c r="O224" s="58"/>
      <c r="P224" s="215"/>
      <c r="Q224" s="191"/>
      <c r="R224" s="346"/>
      <c r="S224" s="347"/>
      <c r="T224" s="348"/>
      <c r="U224" s="349"/>
      <c r="V224" s="345"/>
      <c r="W224" s="54"/>
    </row>
    <row r="225" spans="1:23" ht="16">
      <c r="A225" s="162"/>
      <c r="B225" s="132"/>
      <c r="C225" s="53"/>
      <c r="D225" s="53"/>
      <c r="E225" s="53"/>
      <c r="F225" s="53"/>
      <c r="G225" s="53"/>
      <c r="H225" s="131"/>
      <c r="I225" s="53"/>
      <c r="J225" s="188"/>
      <c r="K225" s="75"/>
      <c r="L225" s="55"/>
      <c r="M225" s="56"/>
      <c r="N225" s="57"/>
      <c r="O225" s="58"/>
      <c r="P225" s="215"/>
      <c r="Q225" s="191"/>
      <c r="R225" s="346"/>
      <c r="S225" s="347"/>
      <c r="T225" s="348"/>
      <c r="U225" s="349"/>
      <c r="V225" s="345"/>
      <c r="W225" s="54"/>
    </row>
    <row r="226" spans="1:23" ht="16">
      <c r="A226" s="162"/>
      <c r="B226" s="132"/>
      <c r="C226" s="53"/>
      <c r="D226" s="53"/>
      <c r="E226" s="53"/>
      <c r="F226" s="53"/>
      <c r="G226" s="53"/>
      <c r="H226" s="131"/>
      <c r="I226" s="53"/>
      <c r="J226" s="188"/>
      <c r="K226" s="75"/>
      <c r="L226" s="55"/>
      <c r="M226" s="56"/>
      <c r="N226" s="57"/>
      <c r="O226" s="58"/>
      <c r="P226" s="215"/>
      <c r="Q226" s="191"/>
      <c r="R226" s="346"/>
      <c r="S226" s="347"/>
      <c r="T226" s="348"/>
      <c r="U226" s="349"/>
      <c r="V226" s="345"/>
      <c r="W226" s="54"/>
    </row>
    <row r="227" spans="1:23" ht="16">
      <c r="A227" s="162"/>
      <c r="B227" s="132"/>
      <c r="C227" s="53"/>
      <c r="D227" s="53"/>
      <c r="E227" s="53"/>
      <c r="F227" s="53"/>
      <c r="G227" s="53"/>
      <c r="H227" s="131"/>
      <c r="I227" s="53"/>
      <c r="J227" s="188"/>
      <c r="K227" s="75"/>
      <c r="L227" s="55"/>
      <c r="M227" s="56"/>
      <c r="N227" s="57"/>
      <c r="O227" s="58"/>
      <c r="P227" s="215"/>
      <c r="Q227" s="191"/>
      <c r="R227" s="346"/>
      <c r="S227" s="347"/>
      <c r="T227" s="348"/>
      <c r="U227" s="349"/>
      <c r="V227" s="345"/>
      <c r="W227" s="54"/>
    </row>
    <row r="228" spans="1:23" ht="16">
      <c r="A228" s="162"/>
      <c r="B228" s="132"/>
      <c r="C228" s="53"/>
      <c r="D228" s="53"/>
      <c r="E228" s="53"/>
      <c r="F228" s="53"/>
      <c r="G228" s="53"/>
      <c r="H228" s="131"/>
      <c r="I228" s="53"/>
      <c r="J228" s="188"/>
      <c r="K228" s="75"/>
      <c r="L228" s="55"/>
      <c r="M228" s="56"/>
      <c r="N228" s="57"/>
      <c r="O228" s="58"/>
      <c r="P228" s="215"/>
      <c r="Q228" s="191"/>
      <c r="R228" s="346"/>
      <c r="S228" s="347"/>
      <c r="T228" s="348"/>
      <c r="U228" s="349"/>
      <c r="V228" s="345"/>
      <c r="W228" s="54"/>
    </row>
    <row r="229" spans="1:23" ht="16">
      <c r="A229" s="162"/>
      <c r="B229" s="132"/>
      <c r="C229" s="53"/>
      <c r="D229" s="53"/>
      <c r="E229" s="53"/>
      <c r="F229" s="53"/>
      <c r="G229" s="53"/>
      <c r="H229" s="131"/>
      <c r="I229" s="53"/>
      <c r="J229" s="188"/>
      <c r="K229" s="75"/>
      <c r="L229" s="55"/>
      <c r="M229" s="56"/>
      <c r="N229" s="57"/>
      <c r="O229" s="58"/>
      <c r="P229" s="215"/>
      <c r="Q229" s="191"/>
      <c r="R229" s="346"/>
      <c r="S229" s="347"/>
      <c r="T229" s="348"/>
      <c r="U229" s="349"/>
      <c r="V229" s="345"/>
      <c r="W229" s="54"/>
    </row>
    <row r="230" spans="1:23" ht="16">
      <c r="A230" s="162"/>
      <c r="B230" s="132"/>
      <c r="C230" s="53"/>
      <c r="D230" s="53"/>
      <c r="E230" s="53"/>
      <c r="F230" s="53"/>
      <c r="G230" s="53"/>
      <c r="H230" s="131"/>
      <c r="I230" s="53"/>
      <c r="J230" s="188"/>
      <c r="K230" s="75"/>
      <c r="L230" s="55"/>
      <c r="M230" s="56"/>
      <c r="N230" s="57"/>
      <c r="O230" s="58"/>
      <c r="P230" s="215"/>
      <c r="Q230" s="191"/>
      <c r="R230" s="346"/>
      <c r="S230" s="347"/>
      <c r="T230" s="348"/>
      <c r="U230" s="349"/>
      <c r="V230" s="345"/>
      <c r="W230" s="54"/>
    </row>
    <row r="231" spans="1:23" ht="16">
      <c r="A231" s="162"/>
      <c r="B231" s="132"/>
      <c r="C231" s="53"/>
      <c r="D231" s="53"/>
      <c r="E231" s="53"/>
      <c r="F231" s="53"/>
      <c r="G231" s="53"/>
      <c r="H231" s="131"/>
      <c r="I231" s="53"/>
      <c r="J231" s="188"/>
      <c r="K231" s="75"/>
      <c r="L231" s="55"/>
      <c r="M231" s="56"/>
      <c r="N231" s="57"/>
      <c r="O231" s="58"/>
      <c r="P231" s="215"/>
      <c r="Q231" s="191"/>
      <c r="R231" s="346"/>
      <c r="S231" s="347"/>
      <c r="T231" s="348"/>
      <c r="U231" s="349"/>
      <c r="V231" s="345"/>
      <c r="W231" s="54"/>
    </row>
    <row r="232" spans="1:23" ht="16">
      <c r="A232" s="162"/>
      <c r="B232" s="132"/>
      <c r="C232" s="53"/>
      <c r="D232" s="53"/>
      <c r="E232" s="53"/>
      <c r="F232" s="53"/>
      <c r="G232" s="53"/>
      <c r="H232" s="131"/>
      <c r="I232" s="53"/>
      <c r="J232" s="188"/>
      <c r="K232" s="75"/>
      <c r="L232" s="55"/>
      <c r="M232" s="56"/>
      <c r="N232" s="57"/>
      <c r="O232" s="58"/>
      <c r="P232" s="215"/>
      <c r="Q232" s="191"/>
      <c r="R232" s="346"/>
      <c r="S232" s="347"/>
      <c r="T232" s="348"/>
      <c r="U232" s="349"/>
      <c r="V232" s="345"/>
      <c r="W232" s="54"/>
    </row>
    <row r="233" spans="1:23" ht="16">
      <c r="A233" s="162"/>
      <c r="B233" s="132"/>
      <c r="C233" s="53"/>
      <c r="D233" s="53"/>
      <c r="E233" s="53"/>
      <c r="F233" s="53"/>
      <c r="G233" s="53"/>
      <c r="H233" s="131"/>
      <c r="I233" s="53"/>
      <c r="J233" s="188"/>
      <c r="K233" s="75"/>
      <c r="L233" s="55"/>
      <c r="M233" s="56"/>
      <c r="N233" s="57"/>
      <c r="O233" s="58"/>
      <c r="P233" s="215"/>
      <c r="Q233" s="191"/>
      <c r="R233" s="346"/>
      <c r="S233" s="347"/>
      <c r="T233" s="348"/>
      <c r="U233" s="349"/>
      <c r="V233" s="345"/>
      <c r="W233" s="54"/>
    </row>
    <row r="234" spans="1:23" ht="16">
      <c r="A234" s="162"/>
      <c r="B234" s="132"/>
      <c r="C234" s="53"/>
      <c r="D234" s="53"/>
      <c r="E234" s="53"/>
      <c r="F234" s="53"/>
      <c r="G234" s="53"/>
      <c r="H234" s="131"/>
      <c r="I234" s="53"/>
      <c r="J234" s="188"/>
      <c r="K234" s="75"/>
      <c r="L234" s="55"/>
      <c r="M234" s="56"/>
      <c r="N234" s="57"/>
      <c r="O234" s="58"/>
      <c r="P234" s="215"/>
      <c r="Q234" s="191"/>
      <c r="R234" s="346"/>
      <c r="S234" s="347"/>
      <c r="T234" s="348"/>
      <c r="U234" s="349"/>
      <c r="V234" s="345"/>
      <c r="W234" s="54"/>
    </row>
    <row r="235" spans="1:23" ht="16">
      <c r="A235" s="162"/>
      <c r="B235" s="132"/>
      <c r="C235" s="53"/>
      <c r="D235" s="53"/>
      <c r="E235" s="53"/>
      <c r="F235" s="53"/>
      <c r="G235" s="53"/>
      <c r="H235" s="131"/>
      <c r="I235" s="53"/>
      <c r="J235" s="188"/>
      <c r="K235" s="75"/>
      <c r="L235" s="55"/>
      <c r="M235" s="56"/>
      <c r="N235" s="57"/>
      <c r="O235" s="58"/>
      <c r="P235" s="215"/>
      <c r="Q235" s="191"/>
      <c r="R235" s="346"/>
      <c r="S235" s="347"/>
      <c r="T235" s="348"/>
      <c r="U235" s="349"/>
      <c r="V235" s="345"/>
      <c r="W235" s="54"/>
    </row>
    <row r="236" spans="1:23" ht="16">
      <c r="J236" s="314"/>
      <c r="M236" s="350"/>
      <c r="P236" s="225"/>
      <c r="U236" s="315"/>
      <c r="V236" s="315"/>
    </row>
    <row r="237" spans="1:23" ht="16">
      <c r="J237" s="314"/>
      <c r="M237" s="350"/>
      <c r="P237" s="225"/>
      <c r="U237" s="315"/>
      <c r="V237" s="315"/>
    </row>
    <row r="238" spans="1:23" ht="16">
      <c r="J238" s="314"/>
      <c r="M238" s="350"/>
      <c r="P238" s="225"/>
      <c r="U238" s="315"/>
      <c r="V238" s="315"/>
    </row>
    <row r="239" spans="1:23" ht="16">
      <c r="J239" s="314"/>
      <c r="M239" s="350"/>
      <c r="P239" s="225"/>
      <c r="U239" s="315"/>
      <c r="V239" s="315"/>
    </row>
    <row r="240" spans="1:23" ht="16">
      <c r="J240" s="314"/>
      <c r="M240" s="350"/>
      <c r="P240" s="225"/>
      <c r="U240" s="315"/>
      <c r="V240" s="315"/>
    </row>
    <row r="241" spans="10:22" ht="16">
      <c r="J241" s="314"/>
      <c r="M241" s="350"/>
      <c r="P241" s="225"/>
      <c r="U241" s="315"/>
      <c r="V241" s="315"/>
    </row>
    <row r="242" spans="10:22" ht="16">
      <c r="J242" s="314"/>
      <c r="M242" s="350"/>
      <c r="P242" s="225"/>
      <c r="U242" s="315"/>
      <c r="V242" s="315"/>
    </row>
    <row r="243" spans="10:22" ht="16">
      <c r="J243" s="314"/>
      <c r="M243" s="350"/>
      <c r="P243" s="225"/>
      <c r="U243" s="315"/>
      <c r="V243" s="315"/>
    </row>
    <row r="244" spans="10:22" ht="16">
      <c r="J244" s="314"/>
      <c r="M244" s="350"/>
      <c r="P244" s="225"/>
      <c r="U244" s="315"/>
      <c r="V244" s="315"/>
    </row>
    <row r="245" spans="10:22" ht="16">
      <c r="J245" s="314"/>
      <c r="M245" s="350"/>
      <c r="P245" s="225"/>
      <c r="U245" s="315"/>
      <c r="V245" s="315"/>
    </row>
    <row r="246" spans="10:22" ht="16">
      <c r="J246" s="314"/>
      <c r="M246" s="350"/>
      <c r="P246" s="225"/>
      <c r="U246" s="315"/>
      <c r="V246" s="315"/>
    </row>
    <row r="247" spans="10:22" ht="16">
      <c r="J247" s="314"/>
      <c r="M247" s="350"/>
      <c r="P247" s="225"/>
      <c r="U247" s="315"/>
      <c r="V247" s="315"/>
    </row>
    <row r="248" spans="10:22" ht="16">
      <c r="J248" s="314"/>
      <c r="M248" s="350"/>
      <c r="P248" s="225"/>
      <c r="U248" s="315"/>
      <c r="V248" s="315"/>
    </row>
    <row r="249" spans="10:22" ht="16">
      <c r="J249" s="314"/>
      <c r="M249" s="350"/>
      <c r="P249" s="225"/>
      <c r="U249" s="315"/>
      <c r="V249" s="315"/>
    </row>
    <row r="250" spans="10:22" ht="16">
      <c r="J250" s="314"/>
      <c r="M250" s="350"/>
      <c r="P250" s="225"/>
      <c r="U250" s="315"/>
      <c r="V250" s="315"/>
    </row>
    <row r="251" spans="10:22" ht="16">
      <c r="J251" s="314"/>
      <c r="M251" s="350"/>
      <c r="P251" s="225"/>
      <c r="U251" s="315"/>
      <c r="V251" s="315"/>
    </row>
    <row r="252" spans="10:22" ht="16">
      <c r="J252" s="314"/>
      <c r="M252" s="350"/>
      <c r="P252" s="225"/>
      <c r="U252" s="315"/>
      <c r="V252" s="315"/>
    </row>
    <row r="253" spans="10:22" ht="16">
      <c r="J253" s="314"/>
      <c r="M253" s="350"/>
      <c r="P253" s="225"/>
      <c r="U253" s="315"/>
      <c r="V253" s="315"/>
    </row>
    <row r="254" spans="10:22" ht="16">
      <c r="J254" s="314"/>
      <c r="M254" s="350"/>
      <c r="P254" s="225"/>
      <c r="U254" s="315"/>
      <c r="V254" s="315"/>
    </row>
    <row r="255" spans="10:22" ht="16">
      <c r="J255" s="314"/>
      <c r="M255" s="350"/>
      <c r="P255" s="225"/>
      <c r="U255" s="315"/>
      <c r="V255" s="315"/>
    </row>
    <row r="256" spans="10:22" ht="16">
      <c r="J256" s="314"/>
      <c r="M256" s="350"/>
      <c r="P256" s="225"/>
      <c r="U256" s="315"/>
      <c r="V256" s="315"/>
    </row>
    <row r="257" spans="10:22" ht="16">
      <c r="J257" s="314"/>
      <c r="M257" s="350"/>
      <c r="P257" s="225"/>
      <c r="U257" s="315"/>
      <c r="V257" s="315"/>
    </row>
    <row r="258" spans="10:22" ht="16">
      <c r="J258" s="314"/>
      <c r="M258" s="350"/>
      <c r="P258" s="225"/>
      <c r="U258" s="315"/>
      <c r="V258" s="315"/>
    </row>
    <row r="259" spans="10:22" ht="16">
      <c r="J259" s="314"/>
      <c r="M259" s="350"/>
      <c r="P259" s="225"/>
      <c r="U259" s="315"/>
      <c r="V259" s="315"/>
    </row>
    <row r="260" spans="10:22" ht="16">
      <c r="J260" s="314"/>
      <c r="M260" s="350"/>
      <c r="P260" s="225"/>
      <c r="U260" s="315"/>
      <c r="V260" s="315"/>
    </row>
    <row r="261" spans="10:22" ht="16">
      <c r="J261" s="314"/>
      <c r="M261" s="350"/>
      <c r="P261" s="225"/>
      <c r="U261" s="315"/>
      <c r="V261" s="315"/>
    </row>
    <row r="262" spans="10:22" ht="16">
      <c r="J262" s="314"/>
      <c r="M262" s="350"/>
      <c r="P262" s="225"/>
      <c r="U262" s="315"/>
      <c r="V262" s="315"/>
    </row>
    <row r="263" spans="10:22" ht="16">
      <c r="J263" s="314"/>
      <c r="M263" s="350"/>
      <c r="P263" s="225"/>
      <c r="U263" s="315"/>
      <c r="V263" s="315"/>
    </row>
    <row r="264" spans="10:22" ht="16">
      <c r="J264" s="314"/>
      <c r="M264" s="350"/>
      <c r="P264" s="225"/>
      <c r="U264" s="315"/>
      <c r="V264" s="315"/>
    </row>
    <row r="265" spans="10:22" ht="16">
      <c r="J265" s="314"/>
      <c r="M265" s="350"/>
      <c r="P265" s="225"/>
      <c r="U265" s="315"/>
      <c r="V265" s="315"/>
    </row>
    <row r="266" spans="10:22" ht="16">
      <c r="J266" s="314"/>
      <c r="M266" s="350"/>
      <c r="P266" s="225"/>
      <c r="U266" s="315"/>
      <c r="V266" s="315"/>
    </row>
    <row r="267" spans="10:22" ht="16">
      <c r="J267" s="314"/>
      <c r="M267" s="350"/>
      <c r="P267" s="225"/>
      <c r="U267" s="315"/>
      <c r="V267" s="315"/>
    </row>
    <row r="268" spans="10:22" ht="16">
      <c r="J268" s="314"/>
      <c r="M268" s="350"/>
      <c r="P268" s="225"/>
      <c r="U268" s="315"/>
      <c r="V268" s="315"/>
    </row>
    <row r="269" spans="10:22" ht="16">
      <c r="J269" s="314"/>
      <c r="M269" s="350"/>
      <c r="P269" s="225"/>
      <c r="U269" s="315"/>
      <c r="V269" s="315"/>
    </row>
    <row r="270" spans="10:22" ht="16">
      <c r="J270" s="314"/>
      <c r="M270" s="350"/>
      <c r="P270" s="225"/>
      <c r="U270" s="315"/>
      <c r="V270" s="315"/>
    </row>
    <row r="271" spans="10:22" ht="16">
      <c r="J271" s="314"/>
      <c r="M271" s="350"/>
      <c r="P271" s="225"/>
      <c r="U271" s="315"/>
      <c r="V271" s="315"/>
    </row>
    <row r="272" spans="10:22" ht="16">
      <c r="J272" s="314"/>
      <c r="M272" s="350"/>
      <c r="P272" s="225"/>
      <c r="U272" s="315"/>
      <c r="V272" s="315"/>
    </row>
    <row r="273" spans="10:22" ht="16">
      <c r="J273" s="314"/>
      <c r="M273" s="350"/>
      <c r="P273" s="225"/>
      <c r="U273" s="315"/>
      <c r="V273" s="315"/>
    </row>
    <row r="274" spans="10:22" ht="16">
      <c r="J274" s="314"/>
      <c r="M274" s="350"/>
      <c r="P274" s="225"/>
      <c r="U274" s="315"/>
      <c r="V274" s="315"/>
    </row>
    <row r="275" spans="10:22" ht="16">
      <c r="J275" s="314"/>
      <c r="M275" s="350"/>
      <c r="P275" s="225"/>
      <c r="U275" s="315"/>
      <c r="V275" s="315"/>
    </row>
    <row r="276" spans="10:22" ht="16">
      <c r="J276" s="314"/>
      <c r="M276" s="350"/>
      <c r="P276" s="225"/>
      <c r="U276" s="315"/>
      <c r="V276" s="315"/>
    </row>
    <row r="277" spans="10:22" ht="16">
      <c r="J277" s="314"/>
      <c r="M277" s="350"/>
      <c r="P277" s="225"/>
      <c r="U277" s="315"/>
      <c r="V277" s="315"/>
    </row>
    <row r="278" spans="10:22" ht="16">
      <c r="J278" s="314"/>
      <c r="M278" s="350"/>
      <c r="P278" s="225"/>
      <c r="U278" s="315"/>
      <c r="V278" s="315"/>
    </row>
    <row r="279" spans="10:22" ht="16">
      <c r="J279" s="314"/>
      <c r="M279" s="350"/>
      <c r="P279" s="225"/>
      <c r="U279" s="315"/>
      <c r="V279" s="315"/>
    </row>
    <row r="280" spans="10:22" ht="16">
      <c r="J280" s="314"/>
      <c r="M280" s="350"/>
      <c r="P280" s="225"/>
      <c r="U280" s="315"/>
      <c r="V280" s="315"/>
    </row>
    <row r="281" spans="10:22" ht="16">
      <c r="J281" s="314"/>
      <c r="M281" s="350"/>
      <c r="P281" s="225"/>
      <c r="U281" s="315"/>
      <c r="V281" s="315"/>
    </row>
    <row r="282" spans="10:22" ht="16">
      <c r="J282" s="314"/>
      <c r="M282" s="350"/>
      <c r="P282" s="225"/>
      <c r="U282" s="315"/>
      <c r="V282" s="315"/>
    </row>
    <row r="283" spans="10:22" ht="16">
      <c r="J283" s="314"/>
      <c r="M283" s="350"/>
      <c r="P283" s="225"/>
      <c r="U283" s="315"/>
      <c r="V283" s="315"/>
    </row>
    <row r="284" spans="10:22" ht="16">
      <c r="J284" s="314"/>
      <c r="M284" s="350"/>
      <c r="P284" s="225"/>
      <c r="U284" s="315"/>
      <c r="V284" s="315"/>
    </row>
    <row r="285" spans="10:22" ht="16">
      <c r="J285" s="314"/>
      <c r="M285" s="350"/>
      <c r="P285" s="225"/>
      <c r="U285" s="315"/>
      <c r="V285" s="315"/>
    </row>
    <row r="286" spans="10:22" ht="16">
      <c r="J286" s="314"/>
      <c r="M286" s="350"/>
      <c r="P286" s="225"/>
      <c r="U286" s="315"/>
      <c r="V286" s="315"/>
    </row>
    <row r="287" spans="10:22" ht="16">
      <c r="J287" s="314"/>
      <c r="M287" s="350"/>
      <c r="P287" s="225"/>
      <c r="U287" s="315"/>
      <c r="V287" s="315"/>
    </row>
    <row r="288" spans="10:22" ht="16">
      <c r="J288" s="314"/>
      <c r="M288" s="350"/>
      <c r="P288" s="225"/>
      <c r="U288" s="315"/>
      <c r="V288" s="315"/>
    </row>
    <row r="289" spans="10:22" ht="16">
      <c r="J289" s="314"/>
      <c r="M289" s="350"/>
      <c r="P289" s="225"/>
      <c r="U289" s="315"/>
      <c r="V289" s="315"/>
    </row>
    <row r="290" spans="10:22" ht="16">
      <c r="J290" s="314"/>
      <c r="M290" s="350"/>
      <c r="P290" s="225"/>
      <c r="U290" s="315"/>
      <c r="V290" s="315"/>
    </row>
    <row r="291" spans="10:22" ht="16">
      <c r="J291" s="314"/>
      <c r="M291" s="350"/>
      <c r="P291" s="225"/>
      <c r="U291" s="315"/>
      <c r="V291" s="315"/>
    </row>
    <row r="292" spans="10:22" ht="16">
      <c r="J292" s="314"/>
      <c r="M292" s="350"/>
      <c r="P292" s="225"/>
      <c r="U292" s="315"/>
      <c r="V292" s="315"/>
    </row>
    <row r="293" spans="10:22" ht="16">
      <c r="J293" s="314"/>
      <c r="M293" s="350"/>
      <c r="P293" s="225"/>
      <c r="U293" s="315"/>
      <c r="V293" s="315"/>
    </row>
    <row r="294" spans="10:22" ht="16">
      <c r="J294" s="314"/>
      <c r="M294" s="350"/>
      <c r="P294" s="225"/>
      <c r="U294" s="315"/>
      <c r="V294" s="315"/>
    </row>
    <row r="295" spans="10:22" ht="16">
      <c r="J295" s="314"/>
      <c r="M295" s="350"/>
      <c r="P295" s="225"/>
      <c r="U295" s="315"/>
      <c r="V295" s="315"/>
    </row>
    <row r="296" spans="10:22" ht="16">
      <c r="J296" s="314"/>
      <c r="M296" s="350"/>
      <c r="P296" s="225"/>
      <c r="U296" s="315"/>
      <c r="V296" s="315"/>
    </row>
    <row r="297" spans="10:22" ht="16">
      <c r="J297" s="314"/>
      <c r="M297" s="350"/>
      <c r="P297" s="225"/>
      <c r="U297" s="315"/>
      <c r="V297" s="315"/>
    </row>
    <row r="298" spans="10:22" ht="16">
      <c r="J298" s="314"/>
      <c r="M298" s="350"/>
      <c r="P298" s="225"/>
      <c r="U298" s="315"/>
      <c r="V298" s="315"/>
    </row>
    <row r="299" spans="10:22" ht="16">
      <c r="J299" s="314"/>
      <c r="M299" s="350"/>
      <c r="P299" s="225"/>
      <c r="U299" s="315"/>
      <c r="V299" s="315"/>
    </row>
    <row r="300" spans="10:22" ht="16">
      <c r="J300" s="314"/>
      <c r="M300" s="350"/>
      <c r="P300" s="225"/>
      <c r="U300" s="315"/>
      <c r="V300" s="315"/>
    </row>
    <row r="301" spans="10:22" ht="16">
      <c r="J301" s="314"/>
      <c r="M301" s="350"/>
      <c r="P301" s="225"/>
      <c r="U301" s="315"/>
      <c r="V301" s="315"/>
    </row>
    <row r="302" spans="10:22" ht="16">
      <c r="J302" s="314"/>
      <c r="M302" s="350"/>
      <c r="P302" s="225"/>
      <c r="U302" s="315"/>
      <c r="V302" s="315"/>
    </row>
    <row r="303" spans="10:22" ht="16">
      <c r="J303" s="314"/>
      <c r="M303" s="350"/>
      <c r="P303" s="225"/>
      <c r="U303" s="315"/>
      <c r="V303" s="315"/>
    </row>
    <row r="304" spans="10:22" ht="16">
      <c r="J304" s="314"/>
      <c r="M304" s="350"/>
      <c r="P304" s="225"/>
      <c r="U304" s="315"/>
      <c r="V304" s="315"/>
    </row>
    <row r="305" spans="10:22" ht="16">
      <c r="J305" s="314"/>
      <c r="M305" s="350"/>
      <c r="P305" s="225"/>
      <c r="U305" s="315"/>
      <c r="V305" s="315"/>
    </row>
    <row r="306" spans="10:22" ht="16">
      <c r="J306" s="314"/>
      <c r="M306" s="350"/>
      <c r="P306" s="225"/>
      <c r="U306" s="315"/>
      <c r="V306" s="315"/>
    </row>
    <row r="307" spans="10:22" ht="16">
      <c r="J307" s="314"/>
      <c r="M307" s="350"/>
      <c r="P307" s="225"/>
      <c r="U307" s="315"/>
      <c r="V307" s="315"/>
    </row>
    <row r="308" spans="10:22" ht="16">
      <c r="J308" s="314"/>
      <c r="M308" s="350"/>
      <c r="P308" s="225"/>
      <c r="U308" s="315"/>
      <c r="V308" s="315"/>
    </row>
    <row r="309" spans="10:22" ht="16">
      <c r="J309" s="314"/>
      <c r="M309" s="350"/>
      <c r="P309" s="225"/>
      <c r="U309" s="315"/>
      <c r="V309" s="315"/>
    </row>
    <row r="310" spans="10:22" ht="16">
      <c r="J310" s="314"/>
      <c r="M310" s="350"/>
      <c r="P310" s="225"/>
      <c r="U310" s="315"/>
      <c r="V310" s="315"/>
    </row>
    <row r="311" spans="10:22" ht="16">
      <c r="J311" s="314"/>
      <c r="M311" s="350"/>
      <c r="P311" s="225"/>
      <c r="U311" s="315"/>
      <c r="V311" s="315"/>
    </row>
    <row r="312" spans="10:22" ht="16">
      <c r="J312" s="314"/>
      <c r="M312" s="350"/>
      <c r="P312" s="225"/>
      <c r="U312" s="315"/>
      <c r="V312" s="315"/>
    </row>
    <row r="313" spans="10:22" ht="16">
      <c r="J313" s="314"/>
      <c r="M313" s="350"/>
      <c r="P313" s="225"/>
      <c r="U313" s="315"/>
      <c r="V313" s="315"/>
    </row>
    <row r="314" spans="10:22" ht="16">
      <c r="J314" s="314"/>
      <c r="M314" s="350"/>
      <c r="P314" s="225"/>
      <c r="U314" s="315"/>
      <c r="V314" s="315"/>
    </row>
    <row r="315" spans="10:22" ht="16">
      <c r="J315" s="314"/>
      <c r="M315" s="350"/>
      <c r="P315" s="225"/>
      <c r="U315" s="315"/>
      <c r="V315" s="315"/>
    </row>
    <row r="316" spans="10:22" ht="16">
      <c r="J316" s="314"/>
      <c r="M316" s="350"/>
      <c r="P316" s="225"/>
      <c r="U316" s="315"/>
      <c r="V316" s="315"/>
    </row>
    <row r="317" spans="10:22" ht="16">
      <c r="J317" s="314"/>
      <c r="M317" s="350"/>
      <c r="P317" s="225"/>
      <c r="U317" s="315"/>
      <c r="V317" s="315"/>
    </row>
    <row r="318" spans="10:22" ht="16">
      <c r="J318" s="314"/>
      <c r="M318" s="350"/>
      <c r="P318" s="225"/>
      <c r="U318" s="315"/>
      <c r="V318" s="315"/>
    </row>
    <row r="319" spans="10:22" ht="16">
      <c r="J319" s="314"/>
      <c r="M319" s="350"/>
      <c r="P319" s="225"/>
      <c r="U319" s="315"/>
      <c r="V319" s="315"/>
    </row>
    <row r="320" spans="10:22" ht="16">
      <c r="J320" s="314"/>
      <c r="M320" s="350"/>
      <c r="P320" s="225"/>
      <c r="U320" s="315"/>
      <c r="V320" s="315"/>
    </row>
    <row r="321" spans="10:22" ht="16">
      <c r="J321" s="314"/>
      <c r="M321" s="350"/>
      <c r="P321" s="225"/>
      <c r="U321" s="315"/>
      <c r="V321" s="315"/>
    </row>
    <row r="322" spans="10:22" ht="16">
      <c r="J322" s="314"/>
      <c r="M322" s="350"/>
      <c r="P322" s="225"/>
      <c r="U322" s="315"/>
      <c r="V322" s="315"/>
    </row>
    <row r="323" spans="10:22" ht="16">
      <c r="J323" s="314"/>
      <c r="M323" s="350"/>
      <c r="P323" s="225"/>
      <c r="U323" s="315"/>
      <c r="V323" s="315"/>
    </row>
    <row r="324" spans="10:22" ht="16">
      <c r="J324" s="314"/>
      <c r="M324" s="350"/>
      <c r="P324" s="225"/>
      <c r="U324" s="315"/>
      <c r="V324" s="315"/>
    </row>
    <row r="325" spans="10:22" ht="16">
      <c r="J325" s="314"/>
      <c r="M325" s="350"/>
      <c r="P325" s="225"/>
      <c r="U325" s="315"/>
      <c r="V325" s="315"/>
    </row>
    <row r="326" spans="10:22" ht="16">
      <c r="J326" s="314"/>
      <c r="M326" s="350"/>
      <c r="P326" s="225"/>
      <c r="U326" s="315"/>
      <c r="V326" s="315"/>
    </row>
    <row r="327" spans="10:22" ht="16">
      <c r="J327" s="314"/>
      <c r="M327" s="350"/>
      <c r="P327" s="225"/>
      <c r="U327" s="315"/>
      <c r="V327" s="315"/>
    </row>
    <row r="328" spans="10:22" ht="16">
      <c r="J328" s="314"/>
      <c r="M328" s="350"/>
      <c r="P328" s="225"/>
      <c r="U328" s="315"/>
      <c r="V328" s="315"/>
    </row>
    <row r="329" spans="10:22" ht="16">
      <c r="J329" s="314"/>
      <c r="M329" s="350"/>
      <c r="P329" s="225"/>
      <c r="U329" s="315"/>
      <c r="V329" s="315"/>
    </row>
    <row r="330" spans="10:22" ht="16">
      <c r="J330" s="314"/>
      <c r="M330" s="350"/>
      <c r="P330" s="225"/>
      <c r="U330" s="315"/>
      <c r="V330" s="315"/>
    </row>
    <row r="331" spans="10:22" ht="16">
      <c r="J331" s="314"/>
      <c r="M331" s="350"/>
      <c r="P331" s="225"/>
      <c r="U331" s="315"/>
      <c r="V331" s="315"/>
    </row>
    <row r="332" spans="10:22" ht="16">
      <c r="J332" s="314"/>
      <c r="M332" s="350"/>
      <c r="P332" s="225"/>
      <c r="U332" s="315"/>
      <c r="V332" s="315"/>
    </row>
    <row r="333" spans="10:22" ht="16">
      <c r="J333" s="314"/>
      <c r="M333" s="350"/>
      <c r="P333" s="225"/>
      <c r="U333" s="315"/>
      <c r="V333" s="315"/>
    </row>
    <row r="334" spans="10:22" ht="16">
      <c r="J334" s="314"/>
      <c r="M334" s="350"/>
      <c r="P334" s="225"/>
      <c r="U334" s="315"/>
      <c r="V334" s="315"/>
    </row>
    <row r="335" spans="10:22" ht="16">
      <c r="J335" s="314"/>
      <c r="M335" s="350"/>
      <c r="P335" s="225"/>
      <c r="U335" s="315"/>
      <c r="V335" s="315"/>
    </row>
    <row r="336" spans="10:22" ht="16">
      <c r="J336" s="314"/>
      <c r="M336" s="350"/>
      <c r="P336" s="225"/>
      <c r="U336" s="315"/>
      <c r="V336" s="315"/>
    </row>
    <row r="337" spans="10:22" ht="16">
      <c r="J337" s="314"/>
      <c r="M337" s="350"/>
      <c r="P337" s="225"/>
      <c r="U337" s="315"/>
      <c r="V337" s="315"/>
    </row>
    <row r="338" spans="10:22" ht="16">
      <c r="J338" s="314"/>
      <c r="M338" s="350"/>
      <c r="P338" s="225"/>
      <c r="U338" s="315"/>
      <c r="V338" s="315"/>
    </row>
    <row r="339" spans="10:22" ht="16">
      <c r="J339" s="314"/>
      <c r="M339" s="350"/>
      <c r="P339" s="225"/>
      <c r="U339" s="315"/>
      <c r="V339" s="315"/>
    </row>
    <row r="340" spans="10:22" ht="16">
      <c r="J340" s="314"/>
      <c r="M340" s="350"/>
      <c r="P340" s="225"/>
      <c r="U340" s="315"/>
      <c r="V340" s="315"/>
    </row>
    <row r="341" spans="10:22" ht="16">
      <c r="J341" s="314"/>
      <c r="M341" s="350"/>
      <c r="P341" s="225"/>
      <c r="U341" s="315"/>
      <c r="V341" s="315"/>
    </row>
    <row r="342" spans="10:22" ht="16">
      <c r="J342" s="314"/>
      <c r="M342" s="350"/>
      <c r="P342" s="225"/>
      <c r="U342" s="315"/>
      <c r="V342" s="315"/>
    </row>
    <row r="343" spans="10:22" ht="16">
      <c r="J343" s="314"/>
      <c r="M343" s="350"/>
      <c r="P343" s="225"/>
      <c r="U343" s="315"/>
      <c r="V343" s="315"/>
    </row>
    <row r="344" spans="10:22" ht="16">
      <c r="J344" s="314"/>
      <c r="M344" s="350"/>
      <c r="P344" s="225"/>
      <c r="U344" s="315"/>
      <c r="V344" s="315"/>
    </row>
    <row r="345" spans="10:22" ht="16">
      <c r="J345" s="314"/>
      <c r="M345" s="350"/>
      <c r="P345" s="225"/>
      <c r="U345" s="315"/>
      <c r="V345" s="315"/>
    </row>
    <row r="346" spans="10:22" ht="16">
      <c r="J346" s="314"/>
      <c r="M346" s="350"/>
      <c r="P346" s="225"/>
      <c r="U346" s="315"/>
      <c r="V346" s="315"/>
    </row>
    <row r="347" spans="10:22" ht="16">
      <c r="J347" s="314"/>
      <c r="M347" s="350"/>
      <c r="P347" s="225"/>
      <c r="U347" s="315"/>
      <c r="V347" s="315"/>
    </row>
    <row r="348" spans="10:22" ht="16">
      <c r="J348" s="314"/>
      <c r="M348" s="350"/>
      <c r="P348" s="225"/>
      <c r="U348" s="315"/>
      <c r="V348" s="315"/>
    </row>
    <row r="349" spans="10:22" ht="16">
      <c r="J349" s="314"/>
      <c r="M349" s="350"/>
      <c r="P349" s="225"/>
      <c r="U349" s="315"/>
      <c r="V349" s="315"/>
    </row>
    <row r="350" spans="10:22" ht="16">
      <c r="J350" s="314"/>
      <c r="M350" s="350"/>
      <c r="P350" s="225"/>
      <c r="U350" s="315"/>
      <c r="V350" s="315"/>
    </row>
    <row r="351" spans="10:22" ht="16">
      <c r="J351" s="314"/>
      <c r="M351" s="350"/>
      <c r="P351" s="225"/>
      <c r="U351" s="315"/>
      <c r="V351" s="315"/>
    </row>
    <row r="352" spans="10:22" ht="16">
      <c r="J352" s="314"/>
      <c r="M352" s="350"/>
      <c r="P352" s="225"/>
      <c r="U352" s="315"/>
      <c r="V352" s="315"/>
    </row>
    <row r="353" spans="10:22" ht="16">
      <c r="J353" s="314"/>
      <c r="M353" s="350"/>
      <c r="P353" s="225"/>
      <c r="U353" s="315"/>
      <c r="V353" s="315"/>
    </row>
    <row r="354" spans="10:22" ht="16">
      <c r="J354" s="314"/>
      <c r="M354" s="350"/>
      <c r="P354" s="225"/>
      <c r="U354" s="315"/>
      <c r="V354" s="315"/>
    </row>
    <row r="355" spans="10:22" ht="16">
      <c r="J355" s="314"/>
      <c r="M355" s="350"/>
      <c r="P355" s="225"/>
      <c r="U355" s="315"/>
      <c r="V355" s="315"/>
    </row>
    <row r="356" spans="10:22" ht="16">
      <c r="J356" s="314"/>
      <c r="M356" s="350"/>
      <c r="P356" s="225"/>
      <c r="U356" s="315"/>
      <c r="V356" s="315"/>
    </row>
    <row r="357" spans="10:22" ht="16">
      <c r="J357" s="314"/>
      <c r="M357" s="350"/>
      <c r="P357" s="225"/>
      <c r="U357" s="315"/>
      <c r="V357" s="315"/>
    </row>
    <row r="358" spans="10:22" ht="16">
      <c r="J358" s="314"/>
      <c r="M358" s="350"/>
      <c r="P358" s="225"/>
      <c r="U358" s="315"/>
      <c r="V358" s="315"/>
    </row>
    <row r="359" spans="10:22" ht="16">
      <c r="J359" s="314"/>
      <c r="M359" s="350"/>
      <c r="P359" s="225"/>
      <c r="U359" s="315"/>
      <c r="V359" s="315"/>
    </row>
    <row r="360" spans="10:22" ht="16">
      <c r="J360" s="314"/>
      <c r="M360" s="350"/>
      <c r="P360" s="225"/>
      <c r="U360" s="315"/>
      <c r="V360" s="315"/>
    </row>
    <row r="361" spans="10:22" ht="16">
      <c r="J361" s="314"/>
      <c r="M361" s="350"/>
      <c r="P361" s="225"/>
      <c r="U361" s="315"/>
      <c r="V361" s="315"/>
    </row>
    <row r="362" spans="10:22" ht="16">
      <c r="J362" s="314"/>
      <c r="M362" s="350"/>
      <c r="P362" s="225"/>
      <c r="U362" s="315"/>
      <c r="V362" s="315"/>
    </row>
    <row r="363" spans="10:22" ht="16">
      <c r="J363" s="314"/>
      <c r="M363" s="350"/>
      <c r="P363" s="225"/>
      <c r="U363" s="315"/>
      <c r="V363" s="315"/>
    </row>
    <row r="364" spans="10:22" ht="16">
      <c r="J364" s="314"/>
      <c r="M364" s="350"/>
      <c r="P364" s="225"/>
      <c r="U364" s="315"/>
      <c r="V364" s="315"/>
    </row>
    <row r="365" spans="10:22" ht="16">
      <c r="J365" s="314"/>
      <c r="M365" s="350"/>
      <c r="P365" s="225"/>
      <c r="U365" s="315"/>
      <c r="V365" s="315"/>
    </row>
    <row r="366" spans="10:22" ht="16">
      <c r="J366" s="314"/>
      <c r="M366" s="350"/>
      <c r="P366" s="225"/>
      <c r="U366" s="315"/>
      <c r="V366" s="315"/>
    </row>
    <row r="367" spans="10:22" ht="16">
      <c r="J367" s="314"/>
      <c r="M367" s="350"/>
      <c r="P367" s="225"/>
      <c r="U367" s="315"/>
      <c r="V367" s="315"/>
    </row>
    <row r="368" spans="10:22" ht="16">
      <c r="J368" s="314"/>
      <c r="M368" s="350"/>
      <c r="P368" s="225"/>
      <c r="U368" s="315"/>
      <c r="V368" s="315"/>
    </row>
    <row r="369" spans="10:22" ht="16">
      <c r="J369" s="314"/>
      <c r="M369" s="350"/>
      <c r="P369" s="225"/>
      <c r="U369" s="315"/>
      <c r="V369" s="315"/>
    </row>
    <row r="370" spans="10:22" ht="16">
      <c r="J370" s="314"/>
      <c r="M370" s="350"/>
      <c r="P370" s="225"/>
      <c r="U370" s="315"/>
      <c r="V370" s="315"/>
    </row>
    <row r="371" spans="10:22" ht="16">
      <c r="J371" s="314"/>
      <c r="M371" s="350"/>
      <c r="P371" s="225"/>
      <c r="U371" s="315"/>
      <c r="V371" s="315"/>
    </row>
    <row r="372" spans="10:22" ht="16">
      <c r="J372" s="314"/>
      <c r="M372" s="350"/>
      <c r="P372" s="225"/>
      <c r="U372" s="315"/>
      <c r="V372" s="315"/>
    </row>
    <row r="373" spans="10:22" ht="16">
      <c r="J373" s="314"/>
      <c r="M373" s="350"/>
      <c r="P373" s="225"/>
      <c r="U373" s="315"/>
      <c r="V373" s="315"/>
    </row>
    <row r="374" spans="10:22" ht="16">
      <c r="J374" s="314"/>
      <c r="M374" s="350"/>
      <c r="P374" s="225"/>
      <c r="U374" s="315"/>
      <c r="V374" s="315"/>
    </row>
    <row r="375" spans="10:22" ht="16">
      <c r="J375" s="314"/>
      <c r="M375" s="350"/>
      <c r="P375" s="225"/>
      <c r="U375" s="315"/>
      <c r="V375" s="315"/>
    </row>
    <row r="376" spans="10:22" ht="16">
      <c r="J376" s="314"/>
      <c r="M376" s="350"/>
      <c r="P376" s="225"/>
      <c r="U376" s="315"/>
      <c r="V376" s="315"/>
    </row>
    <row r="377" spans="10:22" ht="16">
      <c r="J377" s="314"/>
      <c r="M377" s="350"/>
      <c r="P377" s="225"/>
      <c r="U377" s="315"/>
      <c r="V377" s="315"/>
    </row>
    <row r="378" spans="10:22" ht="16">
      <c r="J378" s="314"/>
      <c r="M378" s="350"/>
      <c r="P378" s="225"/>
      <c r="U378" s="315"/>
      <c r="V378" s="315"/>
    </row>
    <row r="379" spans="10:22" ht="16">
      <c r="J379" s="314"/>
      <c r="M379" s="350"/>
      <c r="P379" s="225"/>
      <c r="U379" s="315"/>
      <c r="V379" s="315"/>
    </row>
    <row r="380" spans="10:22" ht="16">
      <c r="J380" s="314"/>
      <c r="M380" s="350"/>
      <c r="P380" s="225"/>
      <c r="U380" s="315"/>
      <c r="V380" s="315"/>
    </row>
    <row r="381" spans="10:22" ht="16">
      <c r="J381" s="314"/>
      <c r="M381" s="350"/>
      <c r="P381" s="225"/>
      <c r="U381" s="315"/>
      <c r="V381" s="315"/>
    </row>
    <row r="382" spans="10:22" ht="16">
      <c r="J382" s="314"/>
      <c r="M382" s="350"/>
      <c r="P382" s="225"/>
      <c r="U382" s="315"/>
      <c r="V382" s="315"/>
    </row>
    <row r="383" spans="10:22" ht="16">
      <c r="J383" s="314"/>
      <c r="M383" s="350"/>
      <c r="P383" s="225"/>
      <c r="U383" s="315"/>
      <c r="V383" s="315"/>
    </row>
    <row r="384" spans="10:22" ht="16">
      <c r="J384" s="314"/>
      <c r="M384" s="350"/>
      <c r="P384" s="225"/>
      <c r="U384" s="315"/>
      <c r="V384" s="315"/>
    </row>
    <row r="385" spans="10:22" ht="16">
      <c r="J385" s="314"/>
      <c r="M385" s="350"/>
      <c r="P385" s="225"/>
      <c r="U385" s="315"/>
      <c r="V385" s="315"/>
    </row>
    <row r="386" spans="10:22" ht="16">
      <c r="J386" s="314"/>
      <c r="M386" s="350"/>
      <c r="P386" s="225"/>
      <c r="U386" s="315"/>
      <c r="V386" s="315"/>
    </row>
    <row r="387" spans="10:22" ht="16">
      <c r="J387" s="314"/>
      <c r="M387" s="350"/>
      <c r="P387" s="225"/>
      <c r="U387" s="315"/>
      <c r="V387" s="315"/>
    </row>
    <row r="388" spans="10:22" ht="16">
      <c r="J388" s="314"/>
      <c r="M388" s="350"/>
      <c r="P388" s="225"/>
      <c r="U388" s="315"/>
      <c r="V388" s="315"/>
    </row>
    <row r="389" spans="10:22" ht="16">
      <c r="J389" s="314"/>
      <c r="M389" s="350"/>
      <c r="P389" s="225"/>
      <c r="U389" s="315"/>
      <c r="V389" s="315"/>
    </row>
    <row r="390" spans="10:22" ht="16">
      <c r="J390" s="314"/>
      <c r="M390" s="350"/>
      <c r="P390" s="225"/>
      <c r="U390" s="315"/>
      <c r="V390" s="315"/>
    </row>
    <row r="391" spans="10:22" ht="16">
      <c r="J391" s="314"/>
      <c r="M391" s="350"/>
      <c r="P391" s="225"/>
      <c r="U391" s="315"/>
      <c r="V391" s="315"/>
    </row>
    <row r="392" spans="10:22" ht="16">
      <c r="J392" s="314"/>
      <c r="M392" s="350"/>
      <c r="P392" s="225"/>
      <c r="U392" s="315"/>
      <c r="V392" s="315"/>
    </row>
    <row r="393" spans="10:22" ht="16">
      <c r="J393" s="314"/>
      <c r="M393" s="350"/>
      <c r="P393" s="225"/>
      <c r="U393" s="315"/>
      <c r="V393" s="315"/>
    </row>
    <row r="394" spans="10:22" ht="16">
      <c r="J394" s="314"/>
      <c r="M394" s="350"/>
      <c r="P394" s="225"/>
      <c r="U394" s="315"/>
      <c r="V394" s="315"/>
    </row>
    <row r="395" spans="10:22" ht="16">
      <c r="J395" s="314"/>
      <c r="M395" s="350"/>
      <c r="P395" s="225"/>
      <c r="U395" s="315"/>
      <c r="V395" s="315"/>
    </row>
    <row r="396" spans="10:22" ht="16">
      <c r="J396" s="314"/>
      <c r="M396" s="350"/>
      <c r="P396" s="225"/>
      <c r="U396" s="315"/>
      <c r="V396" s="315"/>
    </row>
    <row r="397" spans="10:22" ht="16">
      <c r="J397" s="314"/>
      <c r="M397" s="350"/>
      <c r="P397" s="225"/>
      <c r="U397" s="315"/>
      <c r="V397" s="315"/>
    </row>
    <row r="398" spans="10:22" ht="16">
      <c r="J398" s="314"/>
      <c r="M398" s="350"/>
      <c r="P398" s="225"/>
      <c r="U398" s="315"/>
      <c r="V398" s="315"/>
    </row>
    <row r="399" spans="10:22" ht="16">
      <c r="J399" s="314"/>
      <c r="M399" s="350"/>
      <c r="P399" s="225"/>
      <c r="U399" s="315"/>
      <c r="V399" s="315"/>
    </row>
    <row r="400" spans="10:22" ht="16">
      <c r="J400" s="314"/>
      <c r="M400" s="350"/>
      <c r="P400" s="225"/>
      <c r="U400" s="315"/>
      <c r="V400" s="315"/>
    </row>
    <row r="401" spans="10:22" ht="16">
      <c r="J401" s="314"/>
      <c r="M401" s="350"/>
      <c r="P401" s="225"/>
      <c r="U401" s="315"/>
      <c r="V401" s="315"/>
    </row>
    <row r="402" spans="10:22" ht="16">
      <c r="J402" s="314"/>
      <c r="M402" s="350"/>
      <c r="P402" s="225"/>
      <c r="U402" s="315"/>
      <c r="V402" s="315"/>
    </row>
    <row r="403" spans="10:22" ht="16">
      <c r="J403" s="314"/>
      <c r="M403" s="350"/>
      <c r="P403" s="225"/>
      <c r="U403" s="315"/>
      <c r="V403" s="315"/>
    </row>
    <row r="404" spans="10:22" ht="16">
      <c r="J404" s="314"/>
      <c r="M404" s="350"/>
      <c r="P404" s="225"/>
      <c r="U404" s="315"/>
      <c r="V404" s="315"/>
    </row>
    <row r="405" spans="10:22" ht="16">
      <c r="J405" s="314"/>
      <c r="M405" s="350"/>
      <c r="P405" s="225"/>
      <c r="U405" s="315"/>
      <c r="V405" s="315"/>
    </row>
    <row r="406" spans="10:22" ht="16">
      <c r="J406" s="314"/>
      <c r="M406" s="350"/>
      <c r="P406" s="225"/>
      <c r="U406" s="315"/>
      <c r="V406" s="315"/>
    </row>
    <row r="407" spans="10:22" ht="16">
      <c r="J407" s="314"/>
      <c r="M407" s="350"/>
      <c r="P407" s="225"/>
      <c r="U407" s="315"/>
      <c r="V407" s="315"/>
    </row>
    <row r="408" spans="10:22" ht="16">
      <c r="J408" s="314"/>
      <c r="M408" s="350"/>
      <c r="P408" s="225"/>
      <c r="U408" s="315"/>
      <c r="V408" s="315"/>
    </row>
    <row r="409" spans="10:22" ht="16">
      <c r="J409" s="314"/>
      <c r="M409" s="350"/>
      <c r="P409" s="225"/>
      <c r="U409" s="315"/>
      <c r="V409" s="315"/>
    </row>
    <row r="410" spans="10:22" ht="16">
      <c r="J410" s="314"/>
      <c r="M410" s="350"/>
      <c r="P410" s="225"/>
      <c r="U410" s="315"/>
      <c r="V410" s="315"/>
    </row>
    <row r="411" spans="10:22" ht="16">
      <c r="J411" s="314"/>
      <c r="M411" s="350"/>
      <c r="P411" s="225"/>
      <c r="U411" s="315"/>
      <c r="V411" s="315"/>
    </row>
    <row r="412" spans="10:22" ht="16">
      <c r="J412" s="314"/>
      <c r="M412" s="350"/>
      <c r="P412" s="225"/>
      <c r="U412" s="315"/>
      <c r="V412" s="315"/>
    </row>
    <row r="413" spans="10:22" ht="16">
      <c r="J413" s="314"/>
      <c r="M413" s="350"/>
      <c r="P413" s="225"/>
      <c r="U413" s="315"/>
      <c r="V413" s="315"/>
    </row>
    <row r="414" spans="10:22" ht="16">
      <c r="J414" s="314"/>
      <c r="M414" s="350"/>
      <c r="P414" s="225"/>
      <c r="U414" s="315"/>
      <c r="V414" s="315"/>
    </row>
    <row r="415" spans="10:22" ht="16">
      <c r="J415" s="314"/>
      <c r="M415" s="350"/>
      <c r="P415" s="225"/>
      <c r="U415" s="315"/>
      <c r="V415" s="315"/>
    </row>
    <row r="416" spans="10:22" ht="16">
      <c r="J416" s="314"/>
      <c r="M416" s="350"/>
      <c r="P416" s="225"/>
      <c r="U416" s="315"/>
      <c r="V416" s="315"/>
    </row>
    <row r="417" spans="10:22" ht="16">
      <c r="J417" s="314"/>
      <c r="M417" s="350"/>
      <c r="P417" s="225"/>
      <c r="U417" s="315"/>
      <c r="V417" s="315"/>
    </row>
    <row r="418" spans="10:22" ht="16">
      <c r="J418" s="314"/>
      <c r="M418" s="350"/>
      <c r="P418" s="225"/>
      <c r="U418" s="315"/>
      <c r="V418" s="315"/>
    </row>
    <row r="419" spans="10:22" ht="16">
      <c r="J419" s="314"/>
      <c r="M419" s="350"/>
      <c r="P419" s="225"/>
      <c r="U419" s="315"/>
      <c r="V419" s="315"/>
    </row>
    <row r="420" spans="10:22" ht="16">
      <c r="J420" s="314"/>
      <c r="M420" s="350"/>
      <c r="P420" s="225"/>
      <c r="U420" s="315"/>
      <c r="V420" s="315"/>
    </row>
    <row r="421" spans="10:22" ht="16">
      <c r="J421" s="314"/>
      <c r="M421" s="350"/>
      <c r="P421" s="225"/>
      <c r="U421" s="315"/>
      <c r="V421" s="315"/>
    </row>
    <row r="422" spans="10:22" ht="16">
      <c r="J422" s="314"/>
      <c r="M422" s="350"/>
      <c r="P422" s="225"/>
      <c r="U422" s="315"/>
      <c r="V422" s="315"/>
    </row>
    <row r="423" spans="10:22" ht="16">
      <c r="J423" s="314"/>
      <c r="M423" s="350"/>
      <c r="P423" s="225"/>
      <c r="U423" s="315"/>
      <c r="V423" s="315"/>
    </row>
    <row r="424" spans="10:22" ht="16">
      <c r="J424" s="314"/>
      <c r="M424" s="350"/>
      <c r="P424" s="225"/>
      <c r="U424" s="315"/>
      <c r="V424" s="315"/>
    </row>
    <row r="425" spans="10:22" ht="16">
      <c r="J425" s="314"/>
      <c r="M425" s="350"/>
      <c r="P425" s="225"/>
      <c r="U425" s="315"/>
      <c r="V425" s="315"/>
    </row>
    <row r="426" spans="10:22" ht="16">
      <c r="J426" s="314"/>
      <c r="M426" s="350"/>
      <c r="P426" s="225"/>
      <c r="U426" s="315"/>
      <c r="V426" s="315"/>
    </row>
    <row r="427" spans="10:22" ht="16">
      <c r="J427" s="314"/>
      <c r="M427" s="350"/>
      <c r="P427" s="225"/>
      <c r="U427" s="315"/>
      <c r="V427" s="315"/>
    </row>
    <row r="428" spans="10:22" ht="16">
      <c r="J428" s="314"/>
      <c r="M428" s="350"/>
      <c r="P428" s="225"/>
      <c r="U428" s="315"/>
      <c r="V428" s="315"/>
    </row>
    <row r="429" spans="10:22" ht="16">
      <c r="J429" s="314"/>
      <c r="M429" s="350"/>
      <c r="P429" s="225"/>
      <c r="U429" s="315"/>
      <c r="V429" s="315"/>
    </row>
    <row r="430" spans="10:22" ht="16">
      <c r="J430" s="314"/>
      <c r="M430" s="350"/>
      <c r="P430" s="225"/>
      <c r="U430" s="315"/>
      <c r="V430" s="315"/>
    </row>
    <row r="431" spans="10:22" ht="16">
      <c r="J431" s="314"/>
      <c r="M431" s="350"/>
      <c r="P431" s="225"/>
      <c r="U431" s="315"/>
      <c r="V431" s="315"/>
    </row>
    <row r="432" spans="10:22" ht="16">
      <c r="J432" s="314"/>
      <c r="M432" s="350"/>
      <c r="P432" s="225"/>
      <c r="U432" s="315"/>
      <c r="V432" s="315"/>
    </row>
    <row r="433" spans="10:22" ht="16">
      <c r="J433" s="314"/>
      <c r="M433" s="350"/>
      <c r="P433" s="225"/>
      <c r="U433" s="315"/>
      <c r="V433" s="315"/>
    </row>
    <row r="434" spans="10:22" ht="16">
      <c r="J434" s="314"/>
      <c r="M434" s="350"/>
      <c r="P434" s="225"/>
      <c r="U434" s="315"/>
      <c r="V434" s="315"/>
    </row>
    <row r="435" spans="10:22" ht="16">
      <c r="J435" s="314"/>
      <c r="M435" s="350"/>
      <c r="P435" s="225"/>
      <c r="U435" s="315"/>
      <c r="V435" s="315"/>
    </row>
    <row r="436" spans="10:22" ht="16">
      <c r="J436" s="314"/>
      <c r="M436" s="350"/>
      <c r="P436" s="225"/>
      <c r="U436" s="315"/>
      <c r="V436" s="315"/>
    </row>
    <row r="437" spans="10:22" ht="16">
      <c r="J437" s="314"/>
      <c r="M437" s="350"/>
      <c r="P437" s="225"/>
      <c r="U437" s="315"/>
      <c r="V437" s="315"/>
    </row>
    <row r="438" spans="10:22" ht="16">
      <c r="J438" s="314"/>
      <c r="M438" s="350"/>
      <c r="P438" s="225"/>
      <c r="U438" s="315"/>
      <c r="V438" s="315"/>
    </row>
    <row r="439" spans="10:22" ht="16">
      <c r="J439" s="314"/>
      <c r="M439" s="350"/>
      <c r="P439" s="225"/>
      <c r="U439" s="315"/>
      <c r="V439" s="315"/>
    </row>
    <row r="440" spans="10:22" ht="16">
      <c r="J440" s="314"/>
      <c r="M440" s="350"/>
      <c r="P440" s="225"/>
      <c r="U440" s="315"/>
      <c r="V440" s="315"/>
    </row>
    <row r="441" spans="10:22" ht="16">
      <c r="J441" s="314"/>
      <c r="M441" s="350"/>
      <c r="P441" s="225"/>
      <c r="U441" s="315"/>
      <c r="V441" s="315"/>
    </row>
    <row r="442" spans="10:22" ht="16">
      <c r="J442" s="314"/>
      <c r="M442" s="350"/>
      <c r="P442" s="225"/>
      <c r="U442" s="315"/>
      <c r="V442" s="315"/>
    </row>
    <row r="443" spans="10:22" ht="16">
      <c r="J443" s="314"/>
      <c r="M443" s="350"/>
      <c r="P443" s="225"/>
      <c r="U443" s="315"/>
      <c r="V443" s="315"/>
    </row>
    <row r="444" spans="10:22" ht="16">
      <c r="J444" s="314"/>
      <c r="M444" s="350"/>
      <c r="P444" s="225"/>
      <c r="U444" s="315"/>
      <c r="V444" s="315"/>
    </row>
    <row r="445" spans="10:22" ht="16">
      <c r="J445" s="314"/>
      <c r="M445" s="350"/>
      <c r="P445" s="225"/>
      <c r="U445" s="315"/>
      <c r="V445" s="315"/>
    </row>
    <row r="446" spans="10:22" ht="16">
      <c r="J446" s="314"/>
      <c r="M446" s="350"/>
      <c r="P446" s="225"/>
      <c r="U446" s="315"/>
      <c r="V446" s="315"/>
    </row>
    <row r="447" spans="10:22" ht="16">
      <c r="J447" s="314"/>
      <c r="M447" s="350"/>
      <c r="P447" s="225"/>
      <c r="U447" s="315"/>
      <c r="V447" s="315"/>
    </row>
    <row r="448" spans="10:22" ht="16">
      <c r="J448" s="314"/>
      <c r="M448" s="350"/>
      <c r="P448" s="225"/>
      <c r="U448" s="315"/>
      <c r="V448" s="315"/>
    </row>
    <row r="449" spans="10:22" ht="16">
      <c r="J449" s="314"/>
      <c r="M449" s="350"/>
      <c r="P449" s="225"/>
      <c r="U449" s="315"/>
      <c r="V449" s="315"/>
    </row>
    <row r="450" spans="10:22" ht="16">
      <c r="J450" s="314"/>
      <c r="M450" s="350"/>
      <c r="P450" s="225"/>
      <c r="U450" s="315"/>
      <c r="V450" s="315"/>
    </row>
    <row r="451" spans="10:22" ht="16">
      <c r="J451" s="314"/>
      <c r="M451" s="350"/>
      <c r="P451" s="225"/>
      <c r="U451" s="315"/>
      <c r="V451" s="315"/>
    </row>
    <row r="452" spans="10:22" ht="16">
      <c r="J452" s="314"/>
      <c r="M452" s="350"/>
      <c r="P452" s="225"/>
      <c r="U452" s="315"/>
      <c r="V452" s="315"/>
    </row>
    <row r="453" spans="10:22" ht="16">
      <c r="J453" s="314"/>
      <c r="M453" s="350"/>
      <c r="P453" s="225"/>
      <c r="U453" s="315"/>
      <c r="V453" s="315"/>
    </row>
    <row r="454" spans="10:22" ht="16">
      <c r="J454" s="314"/>
      <c r="M454" s="350"/>
      <c r="P454" s="225"/>
      <c r="U454" s="315"/>
      <c r="V454" s="315"/>
    </row>
    <row r="455" spans="10:22" ht="16">
      <c r="J455" s="314"/>
      <c r="M455" s="350"/>
      <c r="P455" s="225"/>
      <c r="U455" s="315"/>
      <c r="V455" s="315"/>
    </row>
    <row r="456" spans="10:22" ht="16">
      <c r="J456" s="314"/>
      <c r="M456" s="350"/>
      <c r="P456" s="225"/>
      <c r="U456" s="315"/>
      <c r="V456" s="315"/>
    </row>
    <row r="457" spans="10:22" ht="16">
      <c r="J457" s="314"/>
      <c r="M457" s="350"/>
      <c r="P457" s="225"/>
      <c r="U457" s="315"/>
      <c r="V457" s="315"/>
    </row>
    <row r="458" spans="10:22" ht="16">
      <c r="J458" s="314"/>
      <c r="M458" s="350"/>
      <c r="P458" s="225"/>
      <c r="U458" s="315"/>
      <c r="V458" s="315"/>
    </row>
    <row r="459" spans="10:22" ht="16">
      <c r="J459" s="314"/>
      <c r="M459" s="350"/>
      <c r="P459" s="225"/>
      <c r="U459" s="315"/>
      <c r="V459" s="315"/>
    </row>
    <row r="460" spans="10:22" ht="16">
      <c r="J460" s="314"/>
      <c r="M460" s="350"/>
      <c r="P460" s="225"/>
      <c r="U460" s="315"/>
      <c r="V460" s="315"/>
    </row>
    <row r="461" spans="10:22" ht="16">
      <c r="J461" s="314"/>
      <c r="M461" s="350"/>
      <c r="P461" s="225"/>
      <c r="U461" s="315"/>
      <c r="V461" s="315"/>
    </row>
    <row r="462" spans="10:22" ht="16">
      <c r="J462" s="314"/>
      <c r="M462" s="350"/>
      <c r="P462" s="225"/>
      <c r="U462" s="315"/>
      <c r="V462" s="315"/>
    </row>
    <row r="463" spans="10:22" ht="16">
      <c r="J463" s="314"/>
      <c r="M463" s="350"/>
      <c r="P463" s="225"/>
      <c r="U463" s="315"/>
      <c r="V463" s="315"/>
    </row>
    <row r="464" spans="10:22" ht="16">
      <c r="J464" s="314"/>
      <c r="M464" s="350"/>
      <c r="P464" s="225"/>
      <c r="U464" s="315"/>
      <c r="V464" s="315"/>
    </row>
    <row r="465" spans="10:22" ht="16">
      <c r="J465" s="314"/>
      <c r="M465" s="350"/>
      <c r="P465" s="225"/>
      <c r="U465" s="315"/>
      <c r="V465" s="315"/>
    </row>
    <row r="466" spans="10:22" ht="16">
      <c r="J466" s="314"/>
      <c r="M466" s="350"/>
      <c r="P466" s="225"/>
      <c r="U466" s="315"/>
      <c r="V466" s="315"/>
    </row>
    <row r="467" spans="10:22" ht="16">
      <c r="J467" s="314"/>
      <c r="M467" s="350"/>
      <c r="P467" s="225"/>
      <c r="U467" s="315"/>
      <c r="V467" s="315"/>
    </row>
    <row r="468" spans="10:22" ht="16">
      <c r="J468" s="314"/>
      <c r="M468" s="350"/>
      <c r="P468" s="225"/>
      <c r="U468" s="315"/>
      <c r="V468" s="315"/>
    </row>
    <row r="469" spans="10:22" ht="16">
      <c r="J469" s="314"/>
      <c r="M469" s="350"/>
      <c r="P469" s="225"/>
      <c r="U469" s="315"/>
      <c r="V469" s="315"/>
    </row>
    <row r="470" spans="10:22" ht="16">
      <c r="J470" s="314"/>
      <c r="M470" s="350"/>
      <c r="P470" s="225"/>
      <c r="U470" s="315"/>
      <c r="V470" s="315"/>
    </row>
    <row r="471" spans="10:22" ht="16">
      <c r="J471" s="314"/>
      <c r="M471" s="350"/>
      <c r="P471" s="225"/>
      <c r="U471" s="315"/>
      <c r="V471" s="315"/>
    </row>
    <row r="472" spans="10:22" ht="16">
      <c r="J472" s="314"/>
      <c r="M472" s="350"/>
      <c r="P472" s="225"/>
      <c r="U472" s="315"/>
      <c r="V472" s="315"/>
    </row>
    <row r="473" spans="10:22" ht="16">
      <c r="J473" s="314"/>
      <c r="M473" s="350"/>
      <c r="P473" s="225"/>
      <c r="U473" s="315"/>
      <c r="V473" s="315"/>
    </row>
    <row r="474" spans="10:22" ht="16">
      <c r="J474" s="314"/>
      <c r="M474" s="350"/>
      <c r="P474" s="225"/>
      <c r="U474" s="315"/>
      <c r="V474" s="315"/>
    </row>
    <row r="475" spans="10:22" ht="16">
      <c r="J475" s="314"/>
      <c r="M475" s="350"/>
      <c r="P475" s="225"/>
      <c r="U475" s="315"/>
      <c r="V475" s="315"/>
    </row>
    <row r="476" spans="10:22" ht="16">
      <c r="J476" s="314"/>
      <c r="M476" s="350"/>
      <c r="P476" s="225"/>
      <c r="U476" s="315"/>
      <c r="V476" s="315"/>
    </row>
    <row r="477" spans="10:22" ht="16">
      <c r="J477" s="314"/>
      <c r="M477" s="350"/>
      <c r="P477" s="225"/>
      <c r="U477" s="315"/>
      <c r="V477" s="315"/>
    </row>
    <row r="478" spans="10:22" ht="16">
      <c r="J478" s="314"/>
      <c r="M478" s="350"/>
      <c r="P478" s="225"/>
      <c r="U478" s="315"/>
      <c r="V478" s="315"/>
    </row>
    <row r="479" spans="10:22" ht="16">
      <c r="J479" s="314"/>
      <c r="M479" s="350"/>
      <c r="P479" s="225"/>
      <c r="U479" s="315"/>
      <c r="V479" s="315"/>
    </row>
    <row r="480" spans="10:22" ht="16">
      <c r="J480" s="314"/>
      <c r="M480" s="350"/>
      <c r="P480" s="225"/>
      <c r="U480" s="315"/>
      <c r="V480" s="315"/>
    </row>
    <row r="481" spans="10:22" ht="16">
      <c r="J481" s="314"/>
      <c r="M481" s="350"/>
      <c r="P481" s="225"/>
      <c r="U481" s="315"/>
      <c r="V481" s="315"/>
    </row>
    <row r="482" spans="10:22" ht="16">
      <c r="J482" s="314"/>
      <c r="M482" s="350"/>
      <c r="P482" s="225"/>
      <c r="U482" s="315"/>
      <c r="V482" s="315"/>
    </row>
    <row r="483" spans="10:22" ht="16">
      <c r="J483" s="314"/>
      <c r="M483" s="350"/>
      <c r="P483" s="225"/>
      <c r="U483" s="315"/>
      <c r="V483" s="315"/>
    </row>
    <row r="484" spans="10:22" ht="16">
      <c r="J484" s="314"/>
      <c r="M484" s="350"/>
      <c r="P484" s="225"/>
      <c r="U484" s="315"/>
      <c r="V484" s="315"/>
    </row>
    <row r="485" spans="10:22" ht="16">
      <c r="J485" s="314"/>
      <c r="M485" s="350"/>
      <c r="P485" s="225"/>
      <c r="U485" s="315"/>
      <c r="V485" s="315"/>
    </row>
    <row r="486" spans="10:22" ht="16">
      <c r="J486" s="314"/>
      <c r="M486" s="350"/>
      <c r="P486" s="225"/>
      <c r="U486" s="315"/>
      <c r="V486" s="315"/>
    </row>
    <row r="487" spans="10:22" ht="16">
      <c r="J487" s="314"/>
      <c r="M487" s="350"/>
      <c r="P487" s="225"/>
      <c r="U487" s="315"/>
      <c r="V487" s="315"/>
    </row>
    <row r="488" spans="10:22" ht="16">
      <c r="J488" s="314"/>
      <c r="M488" s="350"/>
      <c r="P488" s="225"/>
      <c r="U488" s="315"/>
      <c r="V488" s="315"/>
    </row>
    <row r="489" spans="10:22" ht="16">
      <c r="J489" s="314"/>
      <c r="M489" s="350"/>
      <c r="P489" s="225"/>
      <c r="U489" s="315"/>
      <c r="V489" s="315"/>
    </row>
    <row r="490" spans="10:22" ht="16">
      <c r="J490" s="314"/>
      <c r="M490" s="350"/>
      <c r="P490" s="225"/>
      <c r="U490" s="315"/>
      <c r="V490" s="315"/>
    </row>
    <row r="491" spans="10:22" ht="16">
      <c r="J491" s="314"/>
      <c r="M491" s="350"/>
      <c r="P491" s="225"/>
      <c r="U491" s="315"/>
      <c r="V491" s="315"/>
    </row>
    <row r="492" spans="10:22" ht="16">
      <c r="J492" s="314"/>
      <c r="M492" s="350"/>
      <c r="P492" s="225"/>
      <c r="U492" s="315"/>
      <c r="V492" s="315"/>
    </row>
    <row r="493" spans="10:22" ht="16">
      <c r="J493" s="314"/>
      <c r="M493" s="350"/>
      <c r="P493" s="225"/>
      <c r="U493" s="315"/>
      <c r="V493" s="315"/>
    </row>
    <row r="494" spans="10:22" ht="16">
      <c r="J494" s="314"/>
      <c r="M494" s="350"/>
      <c r="P494" s="225"/>
      <c r="U494" s="315"/>
      <c r="V494" s="315"/>
    </row>
    <row r="495" spans="10:22" ht="16">
      <c r="J495" s="314"/>
      <c r="M495" s="350"/>
      <c r="P495" s="225"/>
      <c r="U495" s="315"/>
      <c r="V495" s="315"/>
    </row>
    <row r="496" spans="10:22" ht="16">
      <c r="J496" s="314"/>
      <c r="M496" s="350"/>
      <c r="P496" s="225"/>
      <c r="U496" s="315"/>
      <c r="V496" s="315"/>
    </row>
    <row r="497" spans="10:22" ht="16">
      <c r="J497" s="314"/>
      <c r="M497" s="350"/>
      <c r="P497" s="225"/>
      <c r="U497" s="315"/>
      <c r="V497" s="315"/>
    </row>
    <row r="498" spans="10:22" ht="16">
      <c r="J498" s="314"/>
      <c r="M498" s="350"/>
      <c r="P498" s="225"/>
      <c r="U498" s="315"/>
      <c r="V498" s="315"/>
    </row>
    <row r="499" spans="10:22" ht="16">
      <c r="J499" s="314"/>
      <c r="M499" s="350"/>
      <c r="P499" s="225"/>
      <c r="U499" s="315"/>
      <c r="V499" s="315"/>
    </row>
    <row r="500" spans="10:22" ht="16">
      <c r="J500" s="314"/>
      <c r="M500" s="350"/>
      <c r="P500" s="225"/>
      <c r="U500" s="315"/>
      <c r="V500" s="315"/>
    </row>
    <row r="501" spans="10:22" ht="16">
      <c r="J501" s="314"/>
      <c r="M501" s="350"/>
      <c r="P501" s="225"/>
      <c r="U501" s="315"/>
      <c r="V501" s="315"/>
    </row>
    <row r="502" spans="10:22" ht="16">
      <c r="J502" s="314"/>
      <c r="M502" s="350"/>
      <c r="P502" s="225"/>
      <c r="U502" s="315"/>
      <c r="V502" s="315"/>
    </row>
    <row r="503" spans="10:22" ht="16">
      <c r="J503" s="314"/>
      <c r="M503" s="350"/>
      <c r="P503" s="225"/>
      <c r="U503" s="315"/>
      <c r="V503" s="315"/>
    </row>
    <row r="504" spans="10:22" ht="16">
      <c r="J504" s="314"/>
      <c r="M504" s="350"/>
      <c r="P504" s="225"/>
      <c r="U504" s="315"/>
      <c r="V504" s="315"/>
    </row>
    <row r="505" spans="10:22" ht="16">
      <c r="J505" s="314"/>
      <c r="M505" s="350"/>
      <c r="P505" s="225"/>
      <c r="U505" s="315"/>
      <c r="V505" s="315"/>
    </row>
    <row r="506" spans="10:22" ht="16">
      <c r="J506" s="314"/>
      <c r="M506" s="350"/>
      <c r="P506" s="225"/>
      <c r="U506" s="315"/>
      <c r="V506" s="315"/>
    </row>
    <row r="507" spans="10:22" ht="16">
      <c r="J507" s="314"/>
      <c r="M507" s="350"/>
      <c r="P507" s="225"/>
      <c r="U507" s="315"/>
      <c r="V507" s="315"/>
    </row>
    <row r="508" spans="10:22" ht="16">
      <c r="J508" s="314"/>
      <c r="M508" s="350"/>
      <c r="P508" s="225"/>
      <c r="U508" s="315"/>
      <c r="V508" s="315"/>
    </row>
    <row r="509" spans="10:22" ht="16">
      <c r="J509" s="314"/>
      <c r="M509" s="350"/>
      <c r="P509" s="225"/>
      <c r="U509" s="315"/>
      <c r="V509" s="315"/>
    </row>
    <row r="510" spans="10:22" ht="16">
      <c r="J510" s="314"/>
      <c r="M510" s="350"/>
      <c r="P510" s="225"/>
      <c r="U510" s="315"/>
      <c r="V510" s="315"/>
    </row>
    <row r="511" spans="10:22" ht="16">
      <c r="J511" s="314"/>
      <c r="M511" s="350"/>
      <c r="P511" s="225"/>
      <c r="U511" s="315"/>
      <c r="V511" s="315"/>
    </row>
    <row r="512" spans="10:22" ht="16">
      <c r="J512" s="314"/>
      <c r="M512" s="350"/>
      <c r="P512" s="225"/>
      <c r="U512" s="315"/>
      <c r="V512" s="315"/>
    </row>
    <row r="513" spans="10:22" ht="16">
      <c r="J513" s="314"/>
      <c r="M513" s="350"/>
      <c r="P513" s="225"/>
      <c r="U513" s="315"/>
      <c r="V513" s="315"/>
    </row>
    <row r="514" spans="10:22" ht="16">
      <c r="J514" s="314"/>
      <c r="M514" s="350"/>
      <c r="P514" s="225"/>
      <c r="U514" s="315"/>
      <c r="V514" s="315"/>
    </row>
    <row r="515" spans="10:22" ht="16">
      <c r="J515" s="314"/>
      <c r="M515" s="350"/>
      <c r="P515" s="225"/>
      <c r="U515" s="315"/>
      <c r="V515" s="315"/>
    </row>
    <row r="516" spans="10:22" ht="16">
      <c r="J516" s="314"/>
      <c r="M516" s="350"/>
      <c r="P516" s="225"/>
      <c r="U516" s="315"/>
      <c r="V516" s="315"/>
    </row>
    <row r="517" spans="10:22" ht="16">
      <c r="J517" s="314"/>
      <c r="M517" s="350"/>
      <c r="P517" s="225"/>
      <c r="U517" s="315"/>
      <c r="V517" s="315"/>
    </row>
    <row r="518" spans="10:22" ht="16">
      <c r="J518" s="314"/>
      <c r="M518" s="350"/>
      <c r="P518" s="225"/>
      <c r="U518" s="315"/>
      <c r="V518" s="315"/>
    </row>
    <row r="519" spans="10:22" ht="16">
      <c r="J519" s="314"/>
      <c r="M519" s="350"/>
      <c r="P519" s="225"/>
      <c r="U519" s="315"/>
      <c r="V519" s="315"/>
    </row>
    <row r="520" spans="10:22" ht="16">
      <c r="J520" s="314"/>
      <c r="M520" s="350"/>
      <c r="P520" s="225"/>
      <c r="U520" s="315"/>
      <c r="V520" s="315"/>
    </row>
    <row r="521" spans="10:22" ht="16">
      <c r="J521" s="314"/>
      <c r="M521" s="350"/>
      <c r="P521" s="225"/>
      <c r="U521" s="315"/>
      <c r="V521" s="315"/>
    </row>
    <row r="522" spans="10:22" ht="16">
      <c r="J522" s="314"/>
      <c r="M522" s="350"/>
      <c r="P522" s="225"/>
      <c r="U522" s="315"/>
      <c r="V522" s="315"/>
    </row>
    <row r="523" spans="10:22" ht="16">
      <c r="J523" s="314"/>
      <c r="M523" s="350"/>
      <c r="P523" s="225"/>
      <c r="U523" s="315"/>
      <c r="V523" s="315"/>
    </row>
    <row r="524" spans="10:22" ht="16">
      <c r="J524" s="314"/>
      <c r="M524" s="350"/>
      <c r="P524" s="225"/>
      <c r="U524" s="315"/>
      <c r="V524" s="315"/>
    </row>
    <row r="525" spans="10:22" ht="16">
      <c r="J525" s="314"/>
      <c r="M525" s="350"/>
      <c r="P525" s="225"/>
      <c r="U525" s="315"/>
      <c r="V525" s="315"/>
    </row>
    <row r="526" spans="10:22" ht="16">
      <c r="J526" s="314"/>
      <c r="M526" s="350"/>
      <c r="P526" s="225"/>
      <c r="U526" s="315"/>
      <c r="V526" s="315"/>
    </row>
    <row r="527" spans="10:22" ht="16">
      <c r="J527" s="314"/>
      <c r="M527" s="350"/>
      <c r="P527" s="225"/>
      <c r="U527" s="315"/>
      <c r="V527" s="315"/>
    </row>
    <row r="528" spans="10:22" ht="16">
      <c r="J528" s="314"/>
      <c r="M528" s="350"/>
      <c r="P528" s="225"/>
      <c r="U528" s="315"/>
      <c r="V528" s="315"/>
    </row>
    <row r="529" spans="10:22" ht="16">
      <c r="J529" s="314"/>
      <c r="M529" s="350"/>
      <c r="P529" s="225"/>
      <c r="U529" s="315"/>
      <c r="V529" s="315"/>
    </row>
    <row r="530" spans="10:22" ht="16">
      <c r="J530" s="314"/>
      <c r="M530" s="350"/>
      <c r="P530" s="225"/>
      <c r="U530" s="315"/>
      <c r="V530" s="315"/>
    </row>
    <row r="531" spans="10:22" ht="16">
      <c r="J531" s="314"/>
      <c r="M531" s="350"/>
      <c r="P531" s="225"/>
      <c r="U531" s="315"/>
      <c r="V531" s="315"/>
    </row>
    <row r="532" spans="10:22" ht="16">
      <c r="J532" s="314"/>
      <c r="M532" s="350"/>
      <c r="P532" s="225"/>
      <c r="U532" s="315"/>
      <c r="V532" s="315"/>
    </row>
    <row r="533" spans="10:22" ht="16">
      <c r="J533" s="314"/>
      <c r="M533" s="350"/>
      <c r="P533" s="225"/>
      <c r="U533" s="315"/>
      <c r="V533" s="315"/>
    </row>
    <row r="534" spans="10:22" ht="16">
      <c r="J534" s="314"/>
      <c r="M534" s="350"/>
      <c r="P534" s="225"/>
      <c r="U534" s="315"/>
      <c r="V534" s="315"/>
    </row>
    <row r="535" spans="10:22" ht="16">
      <c r="J535" s="314"/>
      <c r="M535" s="350"/>
      <c r="P535" s="225"/>
      <c r="U535" s="315"/>
      <c r="V535" s="315"/>
    </row>
    <row r="536" spans="10:22" ht="16">
      <c r="J536" s="314"/>
      <c r="M536" s="350"/>
      <c r="P536" s="225"/>
      <c r="U536" s="315"/>
      <c r="V536" s="315"/>
    </row>
    <row r="537" spans="10:22" ht="16">
      <c r="J537" s="314"/>
      <c r="M537" s="350"/>
      <c r="P537" s="225"/>
      <c r="U537" s="315"/>
      <c r="V537" s="315"/>
    </row>
    <row r="538" spans="10:22" ht="16">
      <c r="J538" s="314"/>
      <c r="M538" s="350"/>
      <c r="P538" s="225"/>
      <c r="U538" s="315"/>
      <c r="V538" s="315"/>
    </row>
    <row r="539" spans="10:22" ht="16">
      <c r="J539" s="314"/>
      <c r="M539" s="350"/>
      <c r="P539" s="225"/>
      <c r="U539" s="315"/>
      <c r="V539" s="315"/>
    </row>
    <row r="540" spans="10:22" ht="16">
      <c r="J540" s="314"/>
      <c r="M540" s="350"/>
      <c r="P540" s="225"/>
      <c r="U540" s="315"/>
      <c r="V540" s="315"/>
    </row>
    <row r="541" spans="10:22" ht="16">
      <c r="J541" s="314"/>
      <c r="M541" s="350"/>
      <c r="P541" s="225"/>
      <c r="U541" s="315"/>
      <c r="V541" s="315"/>
    </row>
    <row r="542" spans="10:22" ht="16">
      <c r="J542" s="314"/>
      <c r="M542" s="350"/>
      <c r="P542" s="225"/>
      <c r="U542" s="315"/>
      <c r="V542" s="315"/>
    </row>
    <row r="543" spans="10:22" ht="16">
      <c r="J543" s="314"/>
      <c r="M543" s="350"/>
      <c r="P543" s="225"/>
      <c r="U543" s="315"/>
      <c r="V543" s="315"/>
    </row>
    <row r="544" spans="10:22" ht="16">
      <c r="J544" s="314"/>
      <c r="M544" s="350"/>
      <c r="P544" s="225"/>
      <c r="U544" s="315"/>
      <c r="V544" s="315"/>
    </row>
    <row r="545" spans="10:22" ht="16">
      <c r="J545" s="314"/>
      <c r="M545" s="350"/>
      <c r="P545" s="225"/>
      <c r="U545" s="315"/>
      <c r="V545" s="315"/>
    </row>
    <row r="546" spans="10:22" ht="16">
      <c r="J546" s="314"/>
      <c r="M546" s="350"/>
      <c r="P546" s="225"/>
      <c r="U546" s="315"/>
      <c r="V546" s="315"/>
    </row>
    <row r="547" spans="10:22" ht="16">
      <c r="J547" s="314"/>
      <c r="M547" s="350"/>
      <c r="P547" s="225"/>
      <c r="U547" s="315"/>
      <c r="V547" s="315"/>
    </row>
    <row r="548" spans="10:22" ht="16">
      <c r="J548" s="314"/>
      <c r="M548" s="350"/>
      <c r="P548" s="225"/>
      <c r="U548" s="315"/>
      <c r="V548" s="315"/>
    </row>
    <row r="549" spans="10:22" ht="16">
      <c r="J549" s="314"/>
      <c r="M549" s="350"/>
      <c r="P549" s="225"/>
      <c r="U549" s="315"/>
      <c r="V549" s="315"/>
    </row>
    <row r="550" spans="10:22" ht="16">
      <c r="J550" s="314"/>
      <c r="M550" s="350"/>
      <c r="P550" s="225"/>
      <c r="U550" s="315"/>
      <c r="V550" s="315"/>
    </row>
    <row r="551" spans="10:22" ht="16">
      <c r="J551" s="314"/>
      <c r="M551" s="350"/>
      <c r="P551" s="225"/>
      <c r="U551" s="315"/>
      <c r="V551" s="315"/>
    </row>
    <row r="552" spans="10:22" ht="16">
      <c r="J552" s="314"/>
      <c r="M552" s="350"/>
      <c r="P552" s="225"/>
      <c r="U552" s="315"/>
      <c r="V552" s="315"/>
    </row>
    <row r="553" spans="10:22" ht="16">
      <c r="J553" s="314"/>
      <c r="M553" s="350"/>
      <c r="P553" s="225"/>
      <c r="U553" s="315"/>
      <c r="V553" s="315"/>
    </row>
    <row r="554" spans="10:22" ht="16">
      <c r="J554" s="314"/>
      <c r="M554" s="350"/>
      <c r="P554" s="225"/>
      <c r="U554" s="315"/>
      <c r="V554" s="315"/>
    </row>
    <row r="555" spans="10:22" ht="16">
      <c r="J555" s="314"/>
      <c r="M555" s="350"/>
      <c r="P555" s="225"/>
      <c r="U555" s="315"/>
      <c r="V555" s="315"/>
    </row>
    <row r="556" spans="10:22" ht="16">
      <c r="J556" s="314"/>
      <c r="M556" s="350"/>
      <c r="P556" s="225"/>
      <c r="U556" s="315"/>
      <c r="V556" s="315"/>
    </row>
    <row r="557" spans="10:22" ht="16">
      <c r="J557" s="314"/>
      <c r="M557" s="350"/>
      <c r="P557" s="225"/>
      <c r="U557" s="315"/>
      <c r="V557" s="315"/>
    </row>
    <row r="558" spans="10:22" ht="16">
      <c r="J558" s="314"/>
      <c r="M558" s="350"/>
      <c r="P558" s="225"/>
      <c r="U558" s="315"/>
      <c r="V558" s="315"/>
    </row>
    <row r="559" spans="10:22" ht="16">
      <c r="J559" s="314"/>
      <c r="M559" s="350"/>
      <c r="P559" s="225"/>
      <c r="U559" s="315"/>
      <c r="V559" s="315"/>
    </row>
    <row r="560" spans="10:22" ht="16">
      <c r="J560" s="314"/>
      <c r="M560" s="350"/>
      <c r="P560" s="225"/>
      <c r="U560" s="315"/>
      <c r="V560" s="315"/>
    </row>
    <row r="561" spans="10:22" ht="16">
      <c r="J561" s="314"/>
      <c r="M561" s="350"/>
      <c r="P561" s="225"/>
      <c r="U561" s="315"/>
      <c r="V561" s="315"/>
    </row>
    <row r="562" spans="10:22" ht="16">
      <c r="J562" s="314"/>
      <c r="M562" s="350"/>
      <c r="P562" s="225"/>
      <c r="U562" s="315"/>
      <c r="V562" s="315"/>
    </row>
    <row r="563" spans="10:22" ht="16">
      <c r="J563" s="314"/>
      <c r="M563" s="350"/>
      <c r="P563" s="225"/>
      <c r="U563" s="315"/>
      <c r="V563" s="315"/>
    </row>
    <row r="564" spans="10:22" ht="16">
      <c r="J564" s="314"/>
      <c r="M564" s="350"/>
      <c r="P564" s="225"/>
      <c r="U564" s="315"/>
      <c r="V564" s="315"/>
    </row>
    <row r="565" spans="10:22" ht="16">
      <c r="J565" s="314"/>
      <c r="M565" s="350"/>
      <c r="P565" s="225"/>
      <c r="U565" s="315"/>
      <c r="V565" s="315"/>
    </row>
    <row r="566" spans="10:22" ht="16">
      <c r="J566" s="314"/>
      <c r="M566" s="350"/>
      <c r="P566" s="225"/>
      <c r="U566" s="315"/>
      <c r="V566" s="315"/>
    </row>
    <row r="567" spans="10:22" ht="16">
      <c r="J567" s="314"/>
      <c r="M567" s="350"/>
      <c r="P567" s="225"/>
      <c r="U567" s="315"/>
      <c r="V567" s="315"/>
    </row>
    <row r="568" spans="10:22" ht="16">
      <c r="J568" s="314"/>
      <c r="M568" s="350"/>
      <c r="P568" s="225"/>
      <c r="U568" s="315"/>
      <c r="V568" s="315"/>
    </row>
    <row r="569" spans="10:22" ht="16">
      <c r="J569" s="314"/>
      <c r="M569" s="350"/>
      <c r="P569" s="225"/>
      <c r="U569" s="315"/>
      <c r="V569" s="315"/>
    </row>
    <row r="570" spans="10:22" ht="16">
      <c r="J570" s="314"/>
      <c r="M570" s="350"/>
      <c r="P570" s="225"/>
      <c r="U570" s="315"/>
      <c r="V570" s="315"/>
    </row>
    <row r="571" spans="10:22" ht="16">
      <c r="J571" s="314"/>
      <c r="M571" s="350"/>
      <c r="P571" s="225"/>
      <c r="U571" s="315"/>
      <c r="V571" s="315"/>
    </row>
    <row r="572" spans="10:22" ht="16">
      <c r="J572" s="314"/>
      <c r="M572" s="350"/>
      <c r="P572" s="225"/>
      <c r="U572" s="315"/>
      <c r="V572" s="315"/>
    </row>
    <row r="573" spans="10:22" ht="16">
      <c r="J573" s="314"/>
      <c r="M573" s="350"/>
      <c r="P573" s="225"/>
      <c r="U573" s="315"/>
      <c r="V573" s="315"/>
    </row>
    <row r="574" spans="10:22" ht="16">
      <c r="J574" s="314"/>
      <c r="M574" s="350"/>
      <c r="P574" s="225"/>
      <c r="U574" s="315"/>
      <c r="V574" s="315"/>
    </row>
    <row r="575" spans="10:22" ht="16">
      <c r="J575" s="314"/>
      <c r="M575" s="350"/>
      <c r="P575" s="225"/>
      <c r="U575" s="315"/>
      <c r="V575" s="315"/>
    </row>
    <row r="576" spans="10:22" ht="16">
      <c r="J576" s="314"/>
      <c r="M576" s="350"/>
      <c r="P576" s="225"/>
      <c r="U576" s="315"/>
      <c r="V576" s="315"/>
    </row>
    <row r="577" spans="10:22" ht="16">
      <c r="J577" s="314"/>
      <c r="M577" s="350"/>
      <c r="P577" s="225"/>
      <c r="U577" s="315"/>
      <c r="V577" s="315"/>
    </row>
    <row r="578" spans="10:22" ht="16">
      <c r="J578" s="314"/>
      <c r="M578" s="350"/>
      <c r="P578" s="225"/>
      <c r="U578" s="315"/>
      <c r="V578" s="315"/>
    </row>
    <row r="579" spans="10:22" ht="16">
      <c r="J579" s="314"/>
      <c r="M579" s="350"/>
      <c r="P579" s="225"/>
      <c r="U579" s="315"/>
      <c r="V579" s="315"/>
    </row>
    <row r="580" spans="10:22" ht="16">
      <c r="J580" s="314"/>
      <c r="M580" s="350"/>
      <c r="P580" s="225"/>
      <c r="U580" s="315"/>
      <c r="V580" s="315"/>
    </row>
    <row r="581" spans="10:22" ht="16">
      <c r="J581" s="314"/>
      <c r="M581" s="350"/>
      <c r="P581" s="225"/>
      <c r="U581" s="315"/>
      <c r="V581" s="315"/>
    </row>
    <row r="582" spans="10:22" ht="16">
      <c r="J582" s="314"/>
      <c r="M582" s="350"/>
      <c r="P582" s="225"/>
      <c r="U582" s="315"/>
      <c r="V582" s="315"/>
    </row>
    <row r="583" spans="10:22" ht="16">
      <c r="J583" s="314"/>
      <c r="M583" s="350"/>
      <c r="P583" s="225"/>
      <c r="U583" s="315"/>
      <c r="V583" s="315"/>
    </row>
    <row r="584" spans="10:22" ht="16">
      <c r="J584" s="314"/>
      <c r="M584" s="350"/>
      <c r="P584" s="225"/>
      <c r="U584" s="315"/>
      <c r="V584" s="315"/>
    </row>
    <row r="585" spans="10:22" ht="16">
      <c r="J585" s="314"/>
      <c r="M585" s="350"/>
      <c r="P585" s="225"/>
      <c r="U585" s="315"/>
      <c r="V585" s="315"/>
    </row>
    <row r="586" spans="10:22" ht="16">
      <c r="J586" s="314"/>
      <c r="M586" s="350"/>
      <c r="P586" s="225"/>
      <c r="U586" s="315"/>
      <c r="V586" s="315"/>
    </row>
    <row r="587" spans="10:22" ht="16">
      <c r="J587" s="314"/>
      <c r="M587" s="350"/>
      <c r="P587" s="225"/>
      <c r="U587" s="315"/>
      <c r="V587" s="315"/>
    </row>
    <row r="588" spans="10:22" ht="16">
      <c r="J588" s="314"/>
      <c r="M588" s="350"/>
      <c r="P588" s="225"/>
      <c r="U588" s="315"/>
      <c r="V588" s="315"/>
    </row>
    <row r="589" spans="10:22" ht="16">
      <c r="J589" s="314"/>
      <c r="M589" s="350"/>
      <c r="P589" s="225"/>
      <c r="U589" s="315"/>
      <c r="V589" s="315"/>
    </row>
    <row r="590" spans="10:22" ht="16">
      <c r="J590" s="314"/>
      <c r="M590" s="350"/>
      <c r="P590" s="225"/>
      <c r="U590" s="315"/>
      <c r="V590" s="315"/>
    </row>
    <row r="591" spans="10:22" ht="16">
      <c r="J591" s="314"/>
      <c r="M591" s="350"/>
      <c r="P591" s="225"/>
      <c r="U591" s="315"/>
      <c r="V591" s="315"/>
    </row>
    <row r="592" spans="10:22" ht="16">
      <c r="J592" s="314"/>
      <c r="M592" s="350"/>
      <c r="P592" s="225"/>
      <c r="U592" s="315"/>
      <c r="V592" s="315"/>
    </row>
    <row r="593" spans="10:22" ht="16">
      <c r="J593" s="314"/>
      <c r="M593" s="350"/>
      <c r="P593" s="225"/>
      <c r="U593" s="315"/>
      <c r="V593" s="315"/>
    </row>
    <row r="594" spans="10:22" ht="16">
      <c r="J594" s="314"/>
      <c r="M594" s="350"/>
      <c r="P594" s="225"/>
      <c r="U594" s="315"/>
      <c r="V594" s="315"/>
    </row>
    <row r="595" spans="10:22" ht="16">
      <c r="J595" s="314"/>
      <c r="M595" s="350"/>
      <c r="P595" s="225"/>
      <c r="U595" s="315"/>
      <c r="V595" s="315"/>
    </row>
    <row r="596" spans="10:22" ht="16">
      <c r="J596" s="314"/>
      <c r="M596" s="350"/>
      <c r="P596" s="225"/>
      <c r="U596" s="315"/>
      <c r="V596" s="315"/>
    </row>
    <row r="597" spans="10:22" ht="16">
      <c r="J597" s="314"/>
      <c r="M597" s="350"/>
      <c r="P597" s="225"/>
      <c r="U597" s="315"/>
      <c r="V597" s="315"/>
    </row>
    <row r="598" spans="10:22" ht="16">
      <c r="J598" s="314"/>
      <c r="M598" s="350"/>
      <c r="P598" s="225"/>
      <c r="U598" s="315"/>
      <c r="V598" s="315"/>
    </row>
    <row r="599" spans="10:22" ht="16">
      <c r="J599" s="314"/>
      <c r="M599" s="350"/>
      <c r="P599" s="225"/>
      <c r="U599" s="315"/>
      <c r="V599" s="315"/>
    </row>
    <row r="600" spans="10:22" ht="16">
      <c r="J600" s="314"/>
      <c r="M600" s="350"/>
      <c r="P600" s="225"/>
      <c r="U600" s="315"/>
      <c r="V600" s="315"/>
    </row>
    <row r="601" spans="10:22" ht="16">
      <c r="J601" s="314"/>
      <c r="M601" s="350"/>
      <c r="P601" s="225"/>
      <c r="U601" s="315"/>
      <c r="V601" s="315"/>
    </row>
    <row r="602" spans="10:22" ht="16">
      <c r="J602" s="314"/>
      <c r="M602" s="350"/>
      <c r="P602" s="225"/>
      <c r="U602" s="315"/>
      <c r="V602" s="315"/>
    </row>
    <row r="603" spans="10:22" ht="16">
      <c r="J603" s="314"/>
      <c r="M603" s="350"/>
      <c r="P603" s="225"/>
      <c r="U603" s="315"/>
      <c r="V603" s="315"/>
    </row>
    <row r="604" spans="10:22" ht="16">
      <c r="J604" s="314"/>
      <c r="M604" s="350"/>
      <c r="P604" s="225"/>
      <c r="U604" s="315"/>
      <c r="V604" s="315"/>
    </row>
    <row r="605" spans="10:22" ht="16">
      <c r="J605" s="314"/>
      <c r="M605" s="350"/>
      <c r="P605" s="225"/>
      <c r="U605" s="315"/>
      <c r="V605" s="315"/>
    </row>
    <row r="606" spans="10:22" ht="16">
      <c r="J606" s="314"/>
      <c r="M606" s="350"/>
      <c r="P606" s="225"/>
      <c r="U606" s="315"/>
      <c r="V606" s="315"/>
    </row>
    <row r="607" spans="10:22" ht="16">
      <c r="J607" s="314"/>
      <c r="M607" s="350"/>
      <c r="P607" s="225"/>
      <c r="U607" s="315"/>
      <c r="V607" s="315"/>
    </row>
    <row r="608" spans="10:22" ht="16">
      <c r="J608" s="314"/>
      <c r="M608" s="350"/>
      <c r="P608" s="225"/>
      <c r="U608" s="315"/>
      <c r="V608" s="315"/>
    </row>
    <row r="609" spans="10:22" ht="16">
      <c r="J609" s="314"/>
      <c r="M609" s="350"/>
      <c r="P609" s="225"/>
      <c r="U609" s="315"/>
      <c r="V609" s="315"/>
    </row>
    <row r="610" spans="10:22" ht="16">
      <c r="J610" s="314"/>
      <c r="M610" s="350"/>
      <c r="P610" s="225"/>
      <c r="U610" s="315"/>
      <c r="V610" s="315"/>
    </row>
    <row r="611" spans="10:22" ht="16">
      <c r="J611" s="314"/>
      <c r="M611" s="350"/>
      <c r="P611" s="225"/>
      <c r="U611" s="315"/>
      <c r="V611" s="315"/>
    </row>
    <row r="612" spans="10:22" ht="16">
      <c r="J612" s="314"/>
      <c r="M612" s="350"/>
      <c r="P612" s="225"/>
      <c r="U612" s="315"/>
      <c r="V612" s="315"/>
    </row>
    <row r="613" spans="10:22" ht="16">
      <c r="J613" s="314"/>
      <c r="M613" s="350"/>
      <c r="P613" s="225"/>
      <c r="U613" s="315"/>
      <c r="V613" s="315"/>
    </row>
    <row r="614" spans="10:22" ht="16">
      <c r="J614" s="314"/>
      <c r="M614" s="350"/>
      <c r="P614" s="225"/>
      <c r="U614" s="315"/>
      <c r="V614" s="315"/>
    </row>
    <row r="615" spans="10:22" ht="16">
      <c r="J615" s="314"/>
      <c r="M615" s="350"/>
      <c r="P615" s="225"/>
      <c r="U615" s="315"/>
      <c r="V615" s="315"/>
    </row>
    <row r="616" spans="10:22" ht="16">
      <c r="J616" s="314"/>
      <c r="M616" s="350"/>
      <c r="P616" s="225"/>
      <c r="U616" s="315"/>
      <c r="V616" s="315"/>
    </row>
    <row r="617" spans="10:22" ht="16">
      <c r="J617" s="314"/>
      <c r="M617" s="350"/>
      <c r="P617" s="225"/>
      <c r="U617" s="315"/>
      <c r="V617" s="315"/>
    </row>
    <row r="618" spans="10:22" ht="16">
      <c r="J618" s="314"/>
      <c r="M618" s="350"/>
      <c r="P618" s="225"/>
      <c r="U618" s="315"/>
      <c r="V618" s="315"/>
    </row>
    <row r="619" spans="10:22" ht="16">
      <c r="J619" s="314"/>
      <c r="M619" s="350"/>
      <c r="P619" s="225"/>
      <c r="U619" s="315"/>
      <c r="V619" s="315"/>
    </row>
    <row r="620" spans="10:22" ht="16">
      <c r="J620" s="314"/>
      <c r="M620" s="350"/>
      <c r="P620" s="225"/>
      <c r="U620" s="315"/>
      <c r="V620" s="315"/>
    </row>
    <row r="621" spans="10:22" ht="16">
      <c r="J621" s="314"/>
      <c r="M621" s="350"/>
      <c r="P621" s="225"/>
      <c r="U621" s="315"/>
      <c r="V621" s="315"/>
    </row>
    <row r="622" spans="10:22" ht="16">
      <c r="J622" s="314"/>
      <c r="M622" s="350"/>
      <c r="P622" s="225"/>
      <c r="U622" s="315"/>
      <c r="V622" s="315"/>
    </row>
    <row r="623" spans="10:22" ht="16">
      <c r="J623" s="314"/>
      <c r="M623" s="350"/>
      <c r="P623" s="225"/>
      <c r="U623" s="315"/>
      <c r="V623" s="315"/>
    </row>
    <row r="624" spans="10:22" ht="16">
      <c r="J624" s="314"/>
      <c r="M624" s="350"/>
      <c r="P624" s="225"/>
      <c r="U624" s="315"/>
      <c r="V624" s="315"/>
    </row>
    <row r="625" spans="10:22" ht="16">
      <c r="J625" s="314"/>
      <c r="M625" s="350"/>
      <c r="P625" s="225"/>
      <c r="U625" s="315"/>
      <c r="V625" s="315"/>
    </row>
    <row r="626" spans="10:22" ht="16">
      <c r="J626" s="314"/>
      <c r="M626" s="350"/>
      <c r="P626" s="225"/>
      <c r="U626" s="315"/>
      <c r="V626" s="315"/>
    </row>
    <row r="627" spans="10:22" ht="16">
      <c r="J627" s="314"/>
      <c r="M627" s="350"/>
      <c r="P627" s="225"/>
      <c r="U627" s="315"/>
      <c r="V627" s="315"/>
    </row>
    <row r="628" spans="10:22" ht="16">
      <c r="J628" s="314"/>
      <c r="M628" s="350"/>
      <c r="P628" s="225"/>
      <c r="U628" s="315"/>
      <c r="V628" s="315"/>
    </row>
    <row r="629" spans="10:22" ht="16">
      <c r="J629" s="314"/>
      <c r="M629" s="350"/>
      <c r="P629" s="225"/>
      <c r="U629" s="315"/>
      <c r="V629" s="315"/>
    </row>
    <row r="630" spans="10:22" ht="16">
      <c r="J630" s="314"/>
      <c r="M630" s="350"/>
      <c r="P630" s="225"/>
      <c r="U630" s="315"/>
      <c r="V630" s="315"/>
    </row>
    <row r="631" spans="10:22" ht="16">
      <c r="J631" s="314"/>
      <c r="M631" s="350"/>
      <c r="P631" s="225"/>
      <c r="U631" s="315"/>
      <c r="V631" s="315"/>
    </row>
    <row r="632" spans="10:22" ht="16">
      <c r="J632" s="314"/>
      <c r="M632" s="350"/>
      <c r="P632" s="225"/>
      <c r="U632" s="315"/>
      <c r="V632" s="315"/>
    </row>
    <row r="633" spans="10:22" ht="16">
      <c r="J633" s="314"/>
      <c r="M633" s="350"/>
      <c r="P633" s="225"/>
      <c r="U633" s="315"/>
      <c r="V633" s="315"/>
    </row>
    <row r="634" spans="10:22" ht="16">
      <c r="J634" s="314"/>
      <c r="M634" s="350"/>
      <c r="P634" s="225"/>
      <c r="U634" s="315"/>
      <c r="V634" s="315"/>
    </row>
    <row r="635" spans="10:22" ht="16">
      <c r="J635" s="314"/>
      <c r="M635" s="350"/>
      <c r="P635" s="225"/>
      <c r="U635" s="315"/>
      <c r="V635" s="315"/>
    </row>
    <row r="636" spans="10:22" ht="16">
      <c r="J636" s="314"/>
      <c r="M636" s="350"/>
      <c r="P636" s="225"/>
      <c r="U636" s="315"/>
      <c r="V636" s="315"/>
    </row>
    <row r="637" spans="10:22" ht="16">
      <c r="J637" s="314"/>
      <c r="M637" s="350"/>
      <c r="P637" s="225"/>
      <c r="U637" s="315"/>
      <c r="V637" s="315"/>
    </row>
    <row r="638" spans="10:22" ht="16">
      <c r="J638" s="314"/>
      <c r="M638" s="350"/>
      <c r="P638" s="225"/>
      <c r="U638" s="315"/>
      <c r="V638" s="315"/>
    </row>
    <row r="639" spans="10:22" ht="16">
      <c r="J639" s="314"/>
      <c r="M639" s="350"/>
      <c r="P639" s="225"/>
      <c r="U639" s="315"/>
      <c r="V639" s="315"/>
    </row>
    <row r="640" spans="10:22" ht="16">
      <c r="J640" s="314"/>
      <c r="M640" s="350"/>
      <c r="P640" s="225"/>
      <c r="U640" s="315"/>
      <c r="V640" s="315"/>
    </row>
    <row r="641" spans="10:22" ht="16">
      <c r="J641" s="314"/>
      <c r="M641" s="350"/>
      <c r="P641" s="225"/>
      <c r="U641" s="315"/>
      <c r="V641" s="315"/>
    </row>
    <row r="642" spans="10:22" ht="16">
      <c r="J642" s="314"/>
      <c r="M642" s="350"/>
      <c r="P642" s="225"/>
      <c r="U642" s="315"/>
      <c r="V642" s="315"/>
    </row>
    <row r="643" spans="10:22" ht="16">
      <c r="J643" s="314"/>
      <c r="M643" s="350"/>
      <c r="P643" s="225"/>
      <c r="U643" s="315"/>
      <c r="V643" s="315"/>
    </row>
    <row r="644" spans="10:22" ht="16">
      <c r="J644" s="314"/>
      <c r="M644" s="350"/>
      <c r="P644" s="225"/>
      <c r="U644" s="315"/>
      <c r="V644" s="315"/>
    </row>
    <row r="645" spans="10:22" ht="16">
      <c r="J645" s="314"/>
      <c r="M645" s="350"/>
      <c r="P645" s="225"/>
      <c r="U645" s="315"/>
      <c r="V645" s="315"/>
    </row>
    <row r="646" spans="10:22" ht="16">
      <c r="J646" s="314"/>
      <c r="M646" s="350"/>
      <c r="P646" s="225"/>
      <c r="U646" s="315"/>
      <c r="V646" s="315"/>
    </row>
    <row r="647" spans="10:22" ht="16">
      <c r="J647" s="314"/>
      <c r="M647" s="350"/>
      <c r="P647" s="225"/>
      <c r="U647" s="315"/>
      <c r="V647" s="315"/>
    </row>
    <row r="648" spans="10:22" ht="16">
      <c r="J648" s="314"/>
      <c r="M648" s="350"/>
      <c r="P648" s="225"/>
      <c r="U648" s="315"/>
      <c r="V648" s="315"/>
    </row>
    <row r="649" spans="10:22" ht="16">
      <c r="J649" s="314"/>
      <c r="M649" s="350"/>
      <c r="P649" s="225"/>
      <c r="U649" s="315"/>
      <c r="V649" s="315"/>
    </row>
    <row r="650" spans="10:22" ht="16">
      <c r="J650" s="314"/>
      <c r="M650" s="350"/>
      <c r="P650" s="225"/>
      <c r="U650" s="315"/>
      <c r="V650" s="315"/>
    </row>
    <row r="651" spans="10:22" ht="16">
      <c r="J651" s="314"/>
      <c r="M651" s="350"/>
      <c r="P651" s="225"/>
      <c r="U651" s="315"/>
      <c r="V651" s="315"/>
    </row>
    <row r="652" spans="10:22" ht="16">
      <c r="J652" s="314"/>
      <c r="M652" s="350"/>
      <c r="P652" s="225"/>
      <c r="U652" s="315"/>
      <c r="V652" s="315"/>
    </row>
    <row r="653" spans="10:22" ht="16">
      <c r="J653" s="314"/>
      <c r="M653" s="350"/>
      <c r="P653" s="225"/>
      <c r="U653" s="315"/>
      <c r="V653" s="315"/>
    </row>
    <row r="654" spans="10:22" ht="16">
      <c r="J654" s="314"/>
      <c r="M654" s="350"/>
      <c r="P654" s="225"/>
      <c r="U654" s="315"/>
      <c r="V654" s="315"/>
    </row>
    <row r="655" spans="10:22" ht="16">
      <c r="J655" s="314"/>
      <c r="M655" s="350"/>
      <c r="P655" s="225"/>
      <c r="U655" s="315"/>
      <c r="V655" s="315"/>
    </row>
    <row r="656" spans="10:22" ht="16">
      <c r="J656" s="314"/>
      <c r="M656" s="350"/>
      <c r="P656" s="225"/>
      <c r="U656" s="315"/>
      <c r="V656" s="315"/>
    </row>
    <row r="657" spans="10:22" ht="16">
      <c r="J657" s="314"/>
      <c r="M657" s="350"/>
      <c r="P657" s="225"/>
      <c r="U657" s="315"/>
      <c r="V657" s="315"/>
    </row>
    <row r="658" spans="10:22" ht="16">
      <c r="J658" s="314"/>
      <c r="M658" s="350"/>
      <c r="P658" s="225"/>
      <c r="U658" s="315"/>
      <c r="V658" s="315"/>
    </row>
    <row r="659" spans="10:22" ht="16">
      <c r="J659" s="314"/>
      <c r="M659" s="350"/>
      <c r="P659" s="225"/>
      <c r="U659" s="315"/>
      <c r="V659" s="315"/>
    </row>
    <row r="660" spans="10:22" ht="16">
      <c r="J660" s="314"/>
      <c r="M660" s="350"/>
      <c r="P660" s="225"/>
      <c r="U660" s="315"/>
      <c r="V660" s="315"/>
    </row>
    <row r="661" spans="10:22" ht="16">
      <c r="J661" s="314"/>
      <c r="M661" s="350"/>
      <c r="P661" s="225"/>
      <c r="U661" s="315"/>
      <c r="V661" s="315"/>
    </row>
    <row r="662" spans="10:22" ht="16">
      <c r="J662" s="314"/>
      <c r="M662" s="350"/>
      <c r="P662" s="225"/>
      <c r="U662" s="315"/>
      <c r="V662" s="315"/>
    </row>
    <row r="663" spans="10:22" ht="16">
      <c r="J663" s="314"/>
      <c r="M663" s="350"/>
      <c r="P663" s="225"/>
      <c r="U663" s="315"/>
      <c r="V663" s="315"/>
    </row>
    <row r="664" spans="10:22" ht="16">
      <c r="J664" s="314"/>
      <c r="M664" s="350"/>
      <c r="P664" s="225"/>
      <c r="U664" s="315"/>
      <c r="V664" s="315"/>
    </row>
    <row r="665" spans="10:22" ht="16">
      <c r="J665" s="314"/>
      <c r="M665" s="350"/>
      <c r="P665" s="225"/>
      <c r="U665" s="315"/>
      <c r="V665" s="315"/>
    </row>
    <row r="666" spans="10:22" ht="16">
      <c r="J666" s="314"/>
      <c r="M666" s="350"/>
      <c r="P666" s="225"/>
      <c r="U666" s="315"/>
      <c r="V666" s="315"/>
    </row>
    <row r="667" spans="10:22" ht="16">
      <c r="J667" s="314"/>
      <c r="M667" s="350"/>
      <c r="P667" s="225"/>
      <c r="U667" s="315"/>
      <c r="V667" s="315"/>
    </row>
    <row r="668" spans="10:22" ht="16">
      <c r="J668" s="314"/>
      <c r="M668" s="350"/>
      <c r="P668" s="225"/>
      <c r="U668" s="315"/>
      <c r="V668" s="315"/>
    </row>
    <row r="669" spans="10:22" ht="16">
      <c r="J669" s="314"/>
      <c r="M669" s="350"/>
      <c r="P669" s="225"/>
      <c r="U669" s="315"/>
      <c r="V669" s="315"/>
    </row>
    <row r="670" spans="10:22" ht="16">
      <c r="J670" s="314"/>
      <c r="M670" s="350"/>
      <c r="P670" s="225"/>
      <c r="U670" s="315"/>
      <c r="V670" s="315"/>
    </row>
    <row r="671" spans="10:22" ht="16">
      <c r="J671" s="314"/>
      <c r="M671" s="350"/>
      <c r="P671" s="225"/>
      <c r="U671" s="315"/>
      <c r="V671" s="315"/>
    </row>
    <row r="672" spans="10:22" ht="16">
      <c r="J672" s="314"/>
      <c r="M672" s="350"/>
      <c r="P672" s="225"/>
      <c r="U672" s="315"/>
      <c r="V672" s="315"/>
    </row>
    <row r="673" spans="10:22" ht="16">
      <c r="J673" s="314"/>
      <c r="M673" s="350"/>
      <c r="P673" s="225"/>
      <c r="U673" s="315"/>
      <c r="V673" s="315"/>
    </row>
    <row r="674" spans="10:22" ht="16">
      <c r="J674" s="314"/>
      <c r="M674" s="350"/>
      <c r="P674" s="225"/>
      <c r="U674" s="315"/>
      <c r="V674" s="315"/>
    </row>
    <row r="675" spans="10:22" ht="16">
      <c r="J675" s="314"/>
      <c r="M675" s="350"/>
      <c r="P675" s="225"/>
      <c r="U675" s="315"/>
      <c r="V675" s="315"/>
    </row>
    <row r="676" spans="10:22" ht="16">
      <c r="J676" s="314"/>
      <c r="M676" s="350"/>
      <c r="P676" s="225"/>
      <c r="U676" s="315"/>
      <c r="V676" s="315"/>
    </row>
    <row r="677" spans="10:22" ht="16">
      <c r="J677" s="314"/>
      <c r="M677" s="350"/>
      <c r="P677" s="225"/>
      <c r="U677" s="315"/>
      <c r="V677" s="315"/>
    </row>
    <row r="678" spans="10:22" ht="16">
      <c r="J678" s="314"/>
      <c r="M678" s="350"/>
      <c r="P678" s="225"/>
      <c r="U678" s="315"/>
      <c r="V678" s="315"/>
    </row>
    <row r="679" spans="10:22" ht="16">
      <c r="J679" s="314"/>
      <c r="M679" s="350"/>
      <c r="P679" s="225"/>
      <c r="U679" s="315"/>
      <c r="V679" s="315"/>
    </row>
    <row r="680" spans="10:22" ht="16">
      <c r="J680" s="314"/>
      <c r="M680" s="350"/>
      <c r="P680" s="225"/>
      <c r="U680" s="315"/>
      <c r="V680" s="315"/>
    </row>
    <row r="681" spans="10:22" ht="16">
      <c r="J681" s="314"/>
      <c r="M681" s="350"/>
      <c r="P681" s="225"/>
      <c r="U681" s="315"/>
      <c r="V681" s="315"/>
    </row>
    <row r="682" spans="10:22" ht="16">
      <c r="J682" s="314"/>
      <c r="M682" s="350"/>
      <c r="P682" s="225"/>
      <c r="U682" s="315"/>
      <c r="V682" s="315"/>
    </row>
    <row r="683" spans="10:22" ht="16">
      <c r="J683" s="314"/>
      <c r="M683" s="350"/>
      <c r="P683" s="225"/>
      <c r="U683" s="315"/>
      <c r="V683" s="315"/>
    </row>
    <row r="684" spans="10:22" ht="16">
      <c r="J684" s="314"/>
      <c r="M684" s="350"/>
      <c r="P684" s="225"/>
      <c r="U684" s="315"/>
      <c r="V684" s="315"/>
    </row>
    <row r="685" spans="10:22" ht="16">
      <c r="J685" s="314"/>
      <c r="M685" s="350"/>
      <c r="P685" s="225"/>
      <c r="U685" s="315"/>
      <c r="V685" s="315"/>
    </row>
    <row r="686" spans="10:22" ht="16">
      <c r="J686" s="314"/>
      <c r="M686" s="350"/>
      <c r="P686" s="225"/>
      <c r="U686" s="315"/>
      <c r="V686" s="315"/>
    </row>
    <row r="687" spans="10:22" ht="16">
      <c r="J687" s="314"/>
      <c r="M687" s="350"/>
      <c r="P687" s="225"/>
      <c r="U687" s="315"/>
      <c r="V687" s="315"/>
    </row>
    <row r="688" spans="10:22" ht="16">
      <c r="J688" s="314"/>
      <c r="M688" s="350"/>
      <c r="P688" s="225"/>
      <c r="U688" s="315"/>
      <c r="V688" s="315"/>
    </row>
    <row r="689" spans="10:22" ht="16">
      <c r="J689" s="314"/>
      <c r="M689" s="350"/>
      <c r="P689" s="225"/>
      <c r="U689" s="315"/>
      <c r="V689" s="315"/>
    </row>
    <row r="690" spans="10:22" ht="16">
      <c r="J690" s="314"/>
      <c r="M690" s="350"/>
      <c r="P690" s="225"/>
      <c r="U690" s="315"/>
      <c r="V690" s="315"/>
    </row>
    <row r="691" spans="10:22" ht="16">
      <c r="J691" s="314"/>
      <c r="M691" s="350"/>
      <c r="P691" s="225"/>
      <c r="U691" s="315"/>
      <c r="V691" s="315"/>
    </row>
    <row r="692" spans="10:22" ht="16">
      <c r="J692" s="314"/>
      <c r="M692" s="350"/>
      <c r="P692" s="225"/>
      <c r="U692" s="315"/>
      <c r="V692" s="315"/>
    </row>
    <row r="693" spans="10:22" ht="16">
      <c r="J693" s="314"/>
      <c r="M693" s="350"/>
      <c r="P693" s="225"/>
      <c r="U693" s="315"/>
      <c r="V693" s="315"/>
    </row>
    <row r="694" spans="10:22" ht="16">
      <c r="J694" s="314"/>
      <c r="M694" s="350"/>
      <c r="P694" s="225"/>
      <c r="U694" s="315"/>
      <c r="V694" s="315"/>
    </row>
    <row r="695" spans="10:22" ht="16">
      <c r="J695" s="314"/>
      <c r="M695" s="350"/>
      <c r="P695" s="225"/>
      <c r="U695" s="315"/>
      <c r="V695" s="315"/>
    </row>
    <row r="696" spans="10:22" ht="16">
      <c r="J696" s="314"/>
      <c r="M696" s="350"/>
      <c r="P696" s="225"/>
      <c r="U696" s="315"/>
      <c r="V696" s="315"/>
    </row>
    <row r="697" spans="10:22" ht="16">
      <c r="J697" s="314"/>
      <c r="M697" s="350"/>
      <c r="P697" s="225"/>
      <c r="U697" s="315"/>
      <c r="V697" s="315"/>
    </row>
    <row r="698" spans="10:22" ht="16">
      <c r="J698" s="314"/>
      <c r="M698" s="350"/>
      <c r="P698" s="225"/>
      <c r="U698" s="315"/>
      <c r="V698" s="315"/>
    </row>
    <row r="699" spans="10:22" ht="16">
      <c r="J699" s="314"/>
      <c r="M699" s="350"/>
      <c r="P699" s="225"/>
      <c r="U699" s="315"/>
      <c r="V699" s="315"/>
    </row>
    <row r="700" spans="10:22" ht="16">
      <c r="J700" s="314"/>
      <c r="M700" s="350"/>
      <c r="P700" s="225"/>
      <c r="U700" s="315"/>
      <c r="V700" s="315"/>
    </row>
    <row r="701" spans="10:22" ht="16">
      <c r="J701" s="314"/>
      <c r="M701" s="350"/>
      <c r="P701" s="225"/>
      <c r="U701" s="315"/>
      <c r="V701" s="315"/>
    </row>
    <row r="702" spans="10:22" ht="16">
      <c r="J702" s="314"/>
      <c r="M702" s="350"/>
      <c r="P702" s="225"/>
      <c r="U702" s="315"/>
      <c r="V702" s="315"/>
    </row>
    <row r="703" spans="10:22" ht="16">
      <c r="J703" s="314"/>
      <c r="M703" s="350"/>
      <c r="P703" s="225"/>
      <c r="U703" s="315"/>
      <c r="V703" s="315"/>
    </row>
    <row r="704" spans="10:22" ht="16">
      <c r="J704" s="314"/>
      <c r="M704" s="350"/>
      <c r="P704" s="225"/>
      <c r="U704" s="315"/>
      <c r="V704" s="315"/>
    </row>
    <row r="705" spans="10:22" ht="16">
      <c r="J705" s="314"/>
      <c r="M705" s="350"/>
      <c r="P705" s="225"/>
      <c r="U705" s="315"/>
      <c r="V705" s="315"/>
    </row>
    <row r="706" spans="10:22" ht="16">
      <c r="J706" s="314"/>
      <c r="M706" s="350"/>
      <c r="P706" s="225"/>
      <c r="U706" s="315"/>
      <c r="V706" s="315"/>
    </row>
    <row r="707" spans="10:22" ht="16">
      <c r="J707" s="314"/>
      <c r="M707" s="350"/>
      <c r="P707" s="225"/>
      <c r="U707" s="315"/>
      <c r="V707" s="315"/>
    </row>
    <row r="708" spans="10:22" ht="16">
      <c r="J708" s="314"/>
      <c r="M708" s="350"/>
      <c r="P708" s="225"/>
      <c r="U708" s="315"/>
      <c r="V708" s="315"/>
    </row>
    <row r="709" spans="10:22" ht="16">
      <c r="J709" s="314"/>
      <c r="M709" s="350"/>
      <c r="P709" s="225"/>
      <c r="U709" s="315"/>
      <c r="V709" s="315"/>
    </row>
    <row r="710" spans="10:22" ht="16">
      <c r="J710" s="314"/>
      <c r="M710" s="350"/>
      <c r="P710" s="225"/>
      <c r="U710" s="315"/>
      <c r="V710" s="315"/>
    </row>
    <row r="711" spans="10:22" ht="16">
      <c r="J711" s="314"/>
      <c r="M711" s="350"/>
      <c r="P711" s="225"/>
      <c r="U711" s="315"/>
      <c r="V711" s="315"/>
    </row>
    <row r="712" spans="10:22" ht="16">
      <c r="J712" s="314"/>
      <c r="M712" s="350"/>
      <c r="P712" s="225"/>
      <c r="U712" s="315"/>
      <c r="V712" s="315"/>
    </row>
    <row r="713" spans="10:22" ht="16">
      <c r="J713" s="314"/>
      <c r="M713" s="350"/>
      <c r="P713" s="225"/>
      <c r="U713" s="315"/>
      <c r="V713" s="315"/>
    </row>
    <row r="714" spans="10:22" ht="16">
      <c r="J714" s="314"/>
      <c r="M714" s="350"/>
      <c r="P714" s="225"/>
      <c r="U714" s="315"/>
      <c r="V714" s="315"/>
    </row>
    <row r="715" spans="10:22" ht="16">
      <c r="J715" s="314"/>
      <c r="M715" s="350"/>
      <c r="P715" s="225"/>
      <c r="U715" s="315"/>
      <c r="V715" s="315"/>
    </row>
    <row r="716" spans="10:22" ht="16">
      <c r="J716" s="314"/>
      <c r="M716" s="350"/>
      <c r="P716" s="225"/>
      <c r="U716" s="315"/>
      <c r="V716" s="315"/>
    </row>
    <row r="717" spans="10:22" ht="16">
      <c r="J717" s="314"/>
      <c r="M717" s="350"/>
      <c r="P717" s="225"/>
      <c r="U717" s="315"/>
      <c r="V717" s="315"/>
    </row>
    <row r="718" spans="10:22" ht="16">
      <c r="J718" s="314"/>
      <c r="M718" s="350"/>
      <c r="P718" s="225"/>
      <c r="U718" s="315"/>
      <c r="V718" s="315"/>
    </row>
    <row r="719" spans="10:22" ht="16">
      <c r="J719" s="314"/>
      <c r="M719" s="350"/>
      <c r="P719" s="225"/>
      <c r="U719" s="315"/>
      <c r="V719" s="315"/>
    </row>
    <row r="720" spans="10:22" ht="16">
      <c r="J720" s="314"/>
      <c r="M720" s="350"/>
      <c r="P720" s="225"/>
      <c r="U720" s="315"/>
      <c r="V720" s="315"/>
    </row>
    <row r="721" spans="10:22" ht="16">
      <c r="J721" s="314"/>
      <c r="M721" s="350"/>
      <c r="P721" s="225"/>
      <c r="U721" s="315"/>
      <c r="V721" s="315"/>
    </row>
    <row r="722" spans="10:22" ht="16">
      <c r="J722" s="314"/>
      <c r="M722" s="350"/>
      <c r="P722" s="225"/>
      <c r="U722" s="315"/>
      <c r="V722" s="315"/>
    </row>
    <row r="723" spans="10:22" ht="16">
      <c r="J723" s="314"/>
      <c r="M723" s="350"/>
      <c r="P723" s="225"/>
      <c r="U723" s="315"/>
      <c r="V723" s="315"/>
    </row>
    <row r="724" spans="10:22" ht="16">
      <c r="J724" s="314"/>
      <c r="M724" s="350"/>
      <c r="P724" s="225"/>
      <c r="U724" s="315"/>
      <c r="V724" s="315"/>
    </row>
    <row r="725" spans="10:22" ht="16">
      <c r="J725" s="314"/>
      <c r="M725" s="350"/>
      <c r="P725" s="225"/>
      <c r="U725" s="315"/>
      <c r="V725" s="315"/>
    </row>
    <row r="726" spans="10:22" ht="16">
      <c r="J726" s="314"/>
      <c r="M726" s="350"/>
      <c r="P726" s="225"/>
      <c r="U726" s="315"/>
      <c r="V726" s="315"/>
    </row>
    <row r="727" spans="10:22" ht="16">
      <c r="J727" s="314"/>
      <c r="M727" s="350"/>
      <c r="P727" s="225"/>
      <c r="U727" s="315"/>
      <c r="V727" s="315"/>
    </row>
    <row r="728" spans="10:22" ht="16">
      <c r="J728" s="314"/>
      <c r="M728" s="350"/>
      <c r="P728" s="225"/>
      <c r="U728" s="315"/>
      <c r="V728" s="315"/>
    </row>
    <row r="729" spans="10:22" ht="16">
      <c r="J729" s="314"/>
      <c r="M729" s="350"/>
      <c r="P729" s="225"/>
      <c r="U729" s="315"/>
      <c r="V729" s="315"/>
    </row>
    <row r="730" spans="10:22" ht="16">
      <c r="J730" s="314"/>
      <c r="M730" s="350"/>
      <c r="P730" s="225"/>
      <c r="U730" s="315"/>
      <c r="V730" s="315"/>
    </row>
    <row r="731" spans="10:22" ht="16">
      <c r="J731" s="314"/>
      <c r="M731" s="350"/>
      <c r="P731" s="225"/>
      <c r="U731" s="315"/>
      <c r="V731" s="315"/>
    </row>
    <row r="732" spans="10:22" ht="16">
      <c r="J732" s="314"/>
      <c r="M732" s="350"/>
      <c r="P732" s="225"/>
      <c r="U732" s="315"/>
      <c r="V732" s="315"/>
    </row>
    <row r="733" spans="10:22" ht="16">
      <c r="J733" s="314"/>
      <c r="M733" s="350"/>
      <c r="P733" s="225"/>
      <c r="U733" s="315"/>
      <c r="V733" s="315"/>
    </row>
    <row r="734" spans="10:22" ht="16">
      <c r="J734" s="314"/>
      <c r="M734" s="350"/>
      <c r="P734" s="225"/>
      <c r="U734" s="315"/>
      <c r="V734" s="315"/>
    </row>
    <row r="735" spans="10:22" ht="16">
      <c r="J735" s="314"/>
      <c r="M735" s="350"/>
      <c r="P735" s="225"/>
      <c r="U735" s="315"/>
      <c r="V735" s="315"/>
    </row>
    <row r="736" spans="10:22" ht="16">
      <c r="J736" s="314"/>
      <c r="M736" s="350"/>
      <c r="P736" s="225"/>
      <c r="U736" s="315"/>
      <c r="V736" s="315"/>
    </row>
    <row r="737" spans="10:22" ht="16">
      <c r="J737" s="314"/>
      <c r="M737" s="350"/>
      <c r="P737" s="225"/>
      <c r="U737" s="315"/>
      <c r="V737" s="315"/>
    </row>
    <row r="738" spans="10:22" ht="16">
      <c r="J738" s="314"/>
      <c r="M738" s="350"/>
      <c r="P738" s="225"/>
      <c r="U738" s="315"/>
      <c r="V738" s="315"/>
    </row>
    <row r="739" spans="10:22" ht="16">
      <c r="J739" s="314"/>
      <c r="M739" s="350"/>
      <c r="P739" s="225"/>
      <c r="U739" s="315"/>
      <c r="V739" s="315"/>
    </row>
    <row r="740" spans="10:22" ht="16">
      <c r="J740" s="314"/>
      <c r="M740" s="350"/>
      <c r="P740" s="225"/>
      <c r="U740" s="315"/>
      <c r="V740" s="315"/>
    </row>
    <row r="741" spans="10:22" ht="16">
      <c r="J741" s="314"/>
      <c r="M741" s="350"/>
      <c r="P741" s="225"/>
      <c r="U741" s="315"/>
      <c r="V741" s="315"/>
    </row>
    <row r="742" spans="10:22" ht="16">
      <c r="J742" s="314"/>
      <c r="M742" s="350"/>
      <c r="P742" s="225"/>
      <c r="U742" s="315"/>
      <c r="V742" s="315"/>
    </row>
    <row r="743" spans="10:22" ht="16">
      <c r="J743" s="314"/>
      <c r="M743" s="350"/>
      <c r="P743" s="225"/>
      <c r="U743" s="315"/>
      <c r="V743" s="315"/>
    </row>
    <row r="744" spans="10:22" ht="16">
      <c r="J744" s="314"/>
      <c r="M744" s="350"/>
      <c r="P744" s="225"/>
      <c r="U744" s="315"/>
      <c r="V744" s="315"/>
    </row>
    <row r="745" spans="10:22" ht="16">
      <c r="J745" s="314"/>
      <c r="M745" s="350"/>
      <c r="P745" s="225"/>
      <c r="U745" s="315"/>
      <c r="V745" s="315"/>
    </row>
    <row r="746" spans="10:22" ht="16">
      <c r="J746" s="314"/>
      <c r="M746" s="350"/>
      <c r="P746" s="225"/>
      <c r="U746" s="315"/>
      <c r="V746" s="315"/>
    </row>
    <row r="747" spans="10:22" ht="16">
      <c r="J747" s="314"/>
      <c r="M747" s="350"/>
      <c r="P747" s="225"/>
      <c r="U747" s="315"/>
      <c r="V747" s="315"/>
    </row>
    <row r="748" spans="10:22" ht="16">
      <c r="J748" s="314"/>
      <c r="M748" s="350"/>
      <c r="P748" s="225"/>
      <c r="U748" s="315"/>
      <c r="V748" s="315"/>
    </row>
    <row r="749" spans="10:22" ht="16">
      <c r="J749" s="314"/>
      <c r="M749" s="350"/>
      <c r="P749" s="225"/>
      <c r="U749" s="315"/>
      <c r="V749" s="315"/>
    </row>
    <row r="750" spans="10:22" ht="16">
      <c r="J750" s="314"/>
      <c r="M750" s="350"/>
      <c r="P750" s="225"/>
      <c r="U750" s="315"/>
      <c r="V750" s="315"/>
    </row>
    <row r="751" spans="10:22" ht="16">
      <c r="J751" s="314"/>
      <c r="M751" s="350"/>
      <c r="P751" s="225"/>
      <c r="U751" s="315"/>
      <c r="V751" s="315"/>
    </row>
    <row r="752" spans="10:22" ht="16">
      <c r="J752" s="314"/>
      <c r="M752" s="350"/>
      <c r="P752" s="225"/>
      <c r="U752" s="315"/>
      <c r="V752" s="315"/>
    </row>
    <row r="753" spans="10:22" ht="16">
      <c r="J753" s="314"/>
      <c r="M753" s="350"/>
      <c r="P753" s="225"/>
      <c r="U753" s="315"/>
      <c r="V753" s="315"/>
    </row>
    <row r="754" spans="10:22" ht="16">
      <c r="J754" s="314"/>
      <c r="M754" s="350"/>
      <c r="P754" s="225"/>
      <c r="U754" s="315"/>
      <c r="V754" s="315"/>
    </row>
    <row r="755" spans="10:22" ht="16">
      <c r="J755" s="314"/>
      <c r="M755" s="350"/>
      <c r="P755" s="225"/>
      <c r="U755" s="315"/>
      <c r="V755" s="315"/>
    </row>
    <row r="756" spans="10:22" ht="16">
      <c r="J756" s="314"/>
      <c r="M756" s="350"/>
      <c r="P756" s="225"/>
      <c r="U756" s="315"/>
      <c r="V756" s="315"/>
    </row>
    <row r="757" spans="10:22" ht="16">
      <c r="J757" s="314"/>
      <c r="M757" s="350"/>
      <c r="P757" s="225"/>
      <c r="U757" s="315"/>
      <c r="V757" s="315"/>
    </row>
    <row r="758" spans="10:22" ht="16">
      <c r="J758" s="314"/>
      <c r="M758" s="350"/>
      <c r="P758" s="225"/>
      <c r="U758" s="315"/>
      <c r="V758" s="315"/>
    </row>
    <row r="759" spans="10:22" ht="16">
      <c r="J759" s="314"/>
      <c r="M759" s="350"/>
      <c r="P759" s="225"/>
      <c r="U759" s="315"/>
      <c r="V759" s="315"/>
    </row>
    <row r="760" spans="10:22" ht="16">
      <c r="J760" s="314"/>
      <c r="M760" s="350"/>
      <c r="P760" s="225"/>
      <c r="U760" s="315"/>
      <c r="V760" s="315"/>
    </row>
    <row r="761" spans="10:22" ht="16">
      <c r="J761" s="314"/>
      <c r="M761" s="350"/>
      <c r="P761" s="225"/>
      <c r="U761" s="315"/>
      <c r="V761" s="315"/>
    </row>
    <row r="762" spans="10:22" ht="16">
      <c r="J762" s="314"/>
      <c r="M762" s="350"/>
      <c r="P762" s="225"/>
      <c r="U762" s="315"/>
      <c r="V762" s="315"/>
    </row>
    <row r="763" spans="10:22" ht="16">
      <c r="J763" s="314"/>
      <c r="M763" s="350"/>
      <c r="P763" s="225"/>
      <c r="U763" s="315"/>
      <c r="V763" s="315"/>
    </row>
    <row r="764" spans="10:22" ht="16">
      <c r="J764" s="314"/>
      <c r="M764" s="350"/>
      <c r="P764" s="225"/>
      <c r="U764" s="315"/>
      <c r="V764" s="315"/>
    </row>
    <row r="765" spans="10:22" ht="16">
      <c r="J765" s="314"/>
      <c r="M765" s="350"/>
      <c r="P765" s="225"/>
      <c r="U765" s="315"/>
      <c r="V765" s="315"/>
    </row>
    <row r="766" spans="10:22" ht="16">
      <c r="J766" s="314"/>
      <c r="M766" s="350"/>
      <c r="P766" s="225"/>
      <c r="U766" s="315"/>
      <c r="V766" s="315"/>
    </row>
    <row r="767" spans="10:22" ht="16">
      <c r="J767" s="314"/>
      <c r="M767" s="350"/>
      <c r="P767" s="225"/>
      <c r="U767" s="315"/>
      <c r="V767" s="315"/>
    </row>
    <row r="768" spans="10:22" ht="16">
      <c r="J768" s="314"/>
      <c r="M768" s="350"/>
      <c r="P768" s="225"/>
      <c r="U768" s="315"/>
      <c r="V768" s="315"/>
    </row>
    <row r="769" spans="10:22" ht="16">
      <c r="J769" s="314"/>
      <c r="M769" s="350"/>
      <c r="P769" s="225"/>
      <c r="U769" s="315"/>
      <c r="V769" s="315"/>
    </row>
    <row r="770" spans="10:22" ht="16">
      <c r="J770" s="314"/>
      <c r="M770" s="350"/>
      <c r="P770" s="225"/>
      <c r="U770" s="315"/>
      <c r="V770" s="315"/>
    </row>
    <row r="771" spans="10:22" ht="16">
      <c r="J771" s="314"/>
      <c r="M771" s="350"/>
      <c r="P771" s="225"/>
      <c r="U771" s="315"/>
      <c r="V771" s="315"/>
    </row>
    <row r="772" spans="10:22" ht="16">
      <c r="J772" s="314"/>
      <c r="M772" s="350"/>
      <c r="P772" s="225"/>
      <c r="U772" s="315"/>
      <c r="V772" s="315"/>
    </row>
    <row r="773" spans="10:22" ht="16">
      <c r="J773" s="314"/>
      <c r="M773" s="350"/>
      <c r="P773" s="225"/>
      <c r="U773" s="315"/>
      <c r="V773" s="315"/>
    </row>
    <row r="774" spans="10:22" ht="16">
      <c r="J774" s="314"/>
      <c r="M774" s="350"/>
      <c r="P774" s="225"/>
      <c r="U774" s="315"/>
      <c r="V774" s="315"/>
    </row>
    <row r="775" spans="10:22" ht="16">
      <c r="J775" s="314"/>
      <c r="M775" s="350"/>
      <c r="P775" s="225"/>
      <c r="U775" s="315"/>
      <c r="V775" s="315"/>
    </row>
    <row r="776" spans="10:22" ht="16">
      <c r="J776" s="314"/>
      <c r="M776" s="350"/>
      <c r="P776" s="225"/>
      <c r="U776" s="315"/>
      <c r="V776" s="315"/>
    </row>
    <row r="777" spans="10:22" ht="16">
      <c r="J777" s="314"/>
      <c r="M777" s="350"/>
      <c r="P777" s="225"/>
      <c r="U777" s="315"/>
      <c r="V777" s="315"/>
    </row>
    <row r="778" spans="10:22" ht="16">
      <c r="J778" s="314"/>
      <c r="M778" s="350"/>
      <c r="P778" s="225"/>
      <c r="U778" s="315"/>
      <c r="V778" s="315"/>
    </row>
    <row r="779" spans="10:22" ht="16">
      <c r="J779" s="314"/>
      <c r="M779" s="350"/>
      <c r="P779" s="225"/>
      <c r="U779" s="315"/>
      <c r="V779" s="315"/>
    </row>
    <row r="780" spans="10:22" ht="16">
      <c r="J780" s="314"/>
      <c r="M780" s="350"/>
      <c r="P780" s="225"/>
      <c r="U780" s="315"/>
      <c r="V780" s="315"/>
    </row>
    <row r="781" spans="10:22" ht="16">
      <c r="J781" s="314"/>
      <c r="M781" s="350"/>
      <c r="P781" s="225"/>
      <c r="U781" s="315"/>
      <c r="V781" s="315"/>
    </row>
    <row r="782" spans="10:22" ht="16">
      <c r="J782" s="314"/>
      <c r="M782" s="350"/>
      <c r="P782" s="225"/>
      <c r="U782" s="315"/>
      <c r="V782" s="315"/>
    </row>
    <row r="783" spans="10:22" ht="16">
      <c r="J783" s="314"/>
      <c r="M783" s="350"/>
      <c r="P783" s="225"/>
      <c r="U783" s="315"/>
      <c r="V783" s="315"/>
    </row>
    <row r="784" spans="10:22" ht="16">
      <c r="J784" s="314"/>
      <c r="M784" s="350"/>
      <c r="P784" s="225"/>
      <c r="U784" s="315"/>
      <c r="V784" s="315"/>
    </row>
    <row r="785" spans="10:22" ht="16">
      <c r="J785" s="314"/>
      <c r="M785" s="350"/>
      <c r="P785" s="225"/>
      <c r="U785" s="315"/>
      <c r="V785" s="315"/>
    </row>
    <row r="786" spans="10:22" ht="16">
      <c r="J786" s="314"/>
      <c r="M786" s="350"/>
      <c r="P786" s="225"/>
      <c r="U786" s="315"/>
      <c r="V786" s="315"/>
    </row>
    <row r="787" spans="10:22" ht="16">
      <c r="J787" s="314"/>
      <c r="M787" s="350"/>
      <c r="P787" s="225"/>
      <c r="U787" s="315"/>
      <c r="V787" s="315"/>
    </row>
    <row r="788" spans="10:22" ht="16">
      <c r="J788" s="314"/>
      <c r="M788" s="350"/>
      <c r="P788" s="225"/>
      <c r="U788" s="315"/>
      <c r="V788" s="315"/>
    </row>
    <row r="789" spans="10:22" ht="16">
      <c r="J789" s="314"/>
      <c r="M789" s="350"/>
      <c r="P789" s="225"/>
      <c r="U789" s="315"/>
      <c r="V789" s="315"/>
    </row>
    <row r="790" spans="10:22" ht="16">
      <c r="J790" s="314"/>
      <c r="M790" s="350"/>
      <c r="P790" s="225"/>
      <c r="U790" s="315"/>
      <c r="V790" s="315"/>
    </row>
    <row r="791" spans="10:22" ht="16">
      <c r="J791" s="314"/>
      <c r="M791" s="350"/>
      <c r="P791" s="225"/>
      <c r="U791" s="315"/>
      <c r="V791" s="315"/>
    </row>
    <row r="792" spans="10:22" ht="16">
      <c r="J792" s="314"/>
      <c r="M792" s="350"/>
      <c r="P792" s="225"/>
      <c r="U792" s="315"/>
      <c r="V792" s="315"/>
    </row>
    <row r="793" spans="10:22" ht="16">
      <c r="J793" s="314"/>
      <c r="M793" s="350"/>
      <c r="P793" s="225"/>
      <c r="U793" s="315"/>
      <c r="V793" s="315"/>
    </row>
    <row r="794" spans="10:22" ht="16">
      <c r="J794" s="314"/>
      <c r="M794" s="350"/>
      <c r="P794" s="225"/>
      <c r="U794" s="315"/>
      <c r="V794" s="315"/>
    </row>
    <row r="795" spans="10:22" ht="16">
      <c r="J795" s="314"/>
      <c r="M795" s="350"/>
      <c r="P795" s="225"/>
      <c r="U795" s="315"/>
      <c r="V795" s="315"/>
    </row>
    <row r="796" spans="10:22" ht="16">
      <c r="J796" s="314"/>
      <c r="M796" s="350"/>
      <c r="P796" s="225"/>
      <c r="U796" s="315"/>
      <c r="V796" s="315"/>
    </row>
    <row r="797" spans="10:22" ht="16">
      <c r="J797" s="314"/>
      <c r="M797" s="350"/>
      <c r="P797" s="225"/>
      <c r="U797" s="315"/>
      <c r="V797" s="315"/>
    </row>
    <row r="798" spans="10:22" ht="16">
      <c r="J798" s="314"/>
      <c r="M798" s="350"/>
      <c r="P798" s="225"/>
      <c r="U798" s="315"/>
      <c r="V798" s="315"/>
    </row>
    <row r="799" spans="10:22" ht="16">
      <c r="J799" s="314"/>
      <c r="M799" s="350"/>
      <c r="P799" s="225"/>
      <c r="U799" s="315"/>
      <c r="V799" s="315"/>
    </row>
    <row r="800" spans="10:22" ht="16">
      <c r="J800" s="314"/>
      <c r="M800" s="350"/>
      <c r="P800" s="225"/>
      <c r="U800" s="315"/>
      <c r="V800" s="315"/>
    </row>
    <row r="801" spans="10:22" ht="16">
      <c r="J801" s="314"/>
      <c r="M801" s="350"/>
      <c r="P801" s="225"/>
      <c r="U801" s="315"/>
      <c r="V801" s="315"/>
    </row>
    <row r="802" spans="10:22" ht="16">
      <c r="J802" s="314"/>
      <c r="M802" s="350"/>
      <c r="P802" s="225"/>
      <c r="U802" s="315"/>
      <c r="V802" s="315"/>
    </row>
    <row r="803" spans="10:22" ht="16">
      <c r="J803" s="314"/>
      <c r="M803" s="350"/>
      <c r="P803" s="225"/>
      <c r="U803" s="315"/>
      <c r="V803" s="315"/>
    </row>
    <row r="804" spans="10:22" ht="16">
      <c r="J804" s="314"/>
      <c r="M804" s="350"/>
      <c r="P804" s="225"/>
      <c r="U804" s="315"/>
      <c r="V804" s="315"/>
    </row>
    <row r="805" spans="10:22" ht="16">
      <c r="J805" s="314"/>
      <c r="M805" s="350"/>
      <c r="P805" s="225"/>
      <c r="U805" s="315"/>
      <c r="V805" s="315"/>
    </row>
    <row r="806" spans="10:22" ht="16">
      <c r="J806" s="314"/>
      <c r="M806" s="350"/>
      <c r="P806" s="225"/>
      <c r="U806" s="315"/>
      <c r="V806" s="315"/>
    </row>
    <row r="807" spans="10:22" ht="16">
      <c r="J807" s="314"/>
      <c r="M807" s="350"/>
      <c r="P807" s="225"/>
      <c r="U807" s="315"/>
      <c r="V807" s="315"/>
    </row>
    <row r="808" spans="10:22" ht="16">
      <c r="J808" s="314"/>
      <c r="M808" s="350"/>
      <c r="P808" s="225"/>
      <c r="U808" s="315"/>
      <c r="V808" s="315"/>
    </row>
    <row r="809" spans="10:22" ht="16">
      <c r="J809" s="314"/>
      <c r="M809" s="350"/>
      <c r="P809" s="225"/>
      <c r="U809" s="315"/>
      <c r="V809" s="315"/>
    </row>
    <row r="810" spans="10:22" ht="16">
      <c r="J810" s="314"/>
      <c r="M810" s="350"/>
      <c r="P810" s="225"/>
      <c r="U810" s="315"/>
      <c r="V810" s="315"/>
    </row>
    <row r="811" spans="10:22" ht="16">
      <c r="J811" s="314"/>
      <c r="M811" s="350"/>
      <c r="P811" s="225"/>
      <c r="U811" s="315"/>
      <c r="V811" s="315"/>
    </row>
    <row r="812" spans="10:22" ht="16">
      <c r="J812" s="314"/>
      <c r="M812" s="350"/>
      <c r="P812" s="225"/>
      <c r="U812" s="315"/>
      <c r="V812" s="315"/>
    </row>
    <row r="813" spans="10:22" ht="16">
      <c r="J813" s="314"/>
      <c r="M813" s="350"/>
      <c r="P813" s="225"/>
      <c r="U813" s="315"/>
      <c r="V813" s="315"/>
    </row>
    <row r="814" spans="10:22" ht="16">
      <c r="J814" s="314"/>
      <c r="M814" s="350"/>
      <c r="P814" s="225"/>
      <c r="U814" s="315"/>
      <c r="V814" s="315"/>
    </row>
    <row r="815" spans="10:22" ht="16">
      <c r="J815" s="314"/>
      <c r="M815" s="350"/>
      <c r="P815" s="225"/>
      <c r="U815" s="315"/>
      <c r="V815" s="315"/>
    </row>
    <row r="816" spans="10:22" ht="16">
      <c r="J816" s="314"/>
      <c r="M816" s="350"/>
      <c r="P816" s="225"/>
      <c r="U816" s="315"/>
      <c r="V816" s="315"/>
    </row>
    <row r="817" spans="10:22" ht="16">
      <c r="J817" s="314"/>
      <c r="M817" s="350"/>
      <c r="P817" s="225"/>
      <c r="U817" s="315"/>
      <c r="V817" s="315"/>
    </row>
    <row r="818" spans="10:22" ht="16">
      <c r="J818" s="314"/>
      <c r="M818" s="350"/>
      <c r="P818" s="225"/>
      <c r="U818" s="315"/>
      <c r="V818" s="315"/>
    </row>
    <row r="819" spans="10:22" ht="16">
      <c r="J819" s="314"/>
      <c r="M819" s="350"/>
      <c r="P819" s="225"/>
      <c r="U819" s="315"/>
      <c r="V819" s="315"/>
    </row>
    <row r="820" spans="10:22" ht="16">
      <c r="J820" s="314"/>
      <c r="M820" s="350"/>
      <c r="P820" s="225"/>
      <c r="U820" s="315"/>
      <c r="V820" s="315"/>
    </row>
    <row r="821" spans="10:22" ht="16">
      <c r="J821" s="314"/>
      <c r="M821" s="350"/>
      <c r="P821" s="225"/>
      <c r="U821" s="315"/>
      <c r="V821" s="315"/>
    </row>
    <row r="822" spans="10:22" ht="16">
      <c r="J822" s="314"/>
      <c r="M822" s="350"/>
      <c r="P822" s="225"/>
      <c r="U822" s="315"/>
      <c r="V822" s="315"/>
    </row>
    <row r="823" spans="10:22" ht="16">
      <c r="J823" s="314"/>
      <c r="M823" s="350"/>
      <c r="P823" s="225"/>
      <c r="U823" s="315"/>
      <c r="V823" s="315"/>
    </row>
    <row r="824" spans="10:22" ht="16">
      <c r="J824" s="314"/>
      <c r="M824" s="350"/>
      <c r="P824" s="225"/>
      <c r="U824" s="315"/>
      <c r="V824" s="315"/>
    </row>
    <row r="825" spans="10:22" ht="16">
      <c r="J825" s="314"/>
      <c r="M825" s="350"/>
      <c r="P825" s="225"/>
      <c r="U825" s="315"/>
      <c r="V825" s="315"/>
    </row>
    <row r="826" spans="10:22" ht="16">
      <c r="J826" s="314"/>
      <c r="M826" s="350"/>
      <c r="P826" s="225"/>
      <c r="U826" s="315"/>
      <c r="V826" s="315"/>
    </row>
    <row r="827" spans="10:22" ht="16">
      <c r="J827" s="314"/>
      <c r="M827" s="350"/>
      <c r="P827" s="225"/>
      <c r="U827" s="315"/>
      <c r="V827" s="315"/>
    </row>
    <row r="828" spans="10:22" ht="16">
      <c r="J828" s="314"/>
      <c r="M828" s="350"/>
      <c r="P828" s="225"/>
      <c r="U828" s="315"/>
      <c r="V828" s="315"/>
    </row>
    <row r="829" spans="10:22" ht="16">
      <c r="J829" s="314"/>
      <c r="M829" s="350"/>
      <c r="P829" s="225"/>
      <c r="U829" s="315"/>
      <c r="V829" s="315"/>
    </row>
    <row r="830" spans="10:22" ht="16">
      <c r="J830" s="314"/>
      <c r="M830" s="350"/>
      <c r="P830" s="225"/>
      <c r="U830" s="315"/>
      <c r="V830" s="315"/>
    </row>
    <row r="831" spans="10:22" ht="16">
      <c r="J831" s="314"/>
      <c r="M831" s="350"/>
      <c r="P831" s="225"/>
      <c r="U831" s="315"/>
      <c r="V831" s="315"/>
    </row>
    <row r="832" spans="10:22" ht="16">
      <c r="J832" s="314"/>
      <c r="M832" s="350"/>
      <c r="P832" s="225"/>
      <c r="U832" s="315"/>
      <c r="V832" s="315"/>
    </row>
    <row r="833" spans="10:22" ht="16">
      <c r="J833" s="314"/>
      <c r="M833" s="350"/>
      <c r="P833" s="225"/>
      <c r="U833" s="315"/>
      <c r="V833" s="315"/>
    </row>
    <row r="834" spans="10:22" ht="16">
      <c r="J834" s="314"/>
      <c r="M834" s="350"/>
      <c r="P834" s="225"/>
      <c r="U834" s="315"/>
      <c r="V834" s="315"/>
    </row>
    <row r="835" spans="10:22" ht="16">
      <c r="J835" s="314"/>
      <c r="M835" s="350"/>
      <c r="P835" s="225"/>
      <c r="U835" s="315"/>
      <c r="V835" s="315"/>
    </row>
    <row r="836" spans="10:22" ht="16">
      <c r="J836" s="314"/>
      <c r="M836" s="350"/>
      <c r="P836" s="225"/>
      <c r="U836" s="315"/>
      <c r="V836" s="315"/>
    </row>
    <row r="837" spans="10:22" ht="16">
      <c r="J837" s="314"/>
      <c r="M837" s="350"/>
      <c r="P837" s="225"/>
      <c r="U837" s="315"/>
      <c r="V837" s="315"/>
    </row>
    <row r="838" spans="10:22" ht="16">
      <c r="J838" s="314"/>
      <c r="M838" s="350"/>
      <c r="P838" s="225"/>
      <c r="U838" s="315"/>
      <c r="V838" s="315"/>
    </row>
    <row r="839" spans="10:22" ht="16">
      <c r="J839" s="314"/>
      <c r="M839" s="350"/>
      <c r="P839" s="225"/>
      <c r="U839" s="315"/>
      <c r="V839" s="315"/>
    </row>
    <row r="840" spans="10:22" ht="16">
      <c r="J840" s="314"/>
      <c r="M840" s="350"/>
      <c r="P840" s="225"/>
      <c r="U840" s="315"/>
      <c r="V840" s="315"/>
    </row>
    <row r="841" spans="10:22" ht="16">
      <c r="J841" s="314"/>
      <c r="M841" s="350"/>
      <c r="P841" s="225"/>
      <c r="U841" s="315"/>
      <c r="V841" s="315"/>
    </row>
    <row r="842" spans="10:22" ht="16">
      <c r="J842" s="314"/>
      <c r="M842" s="350"/>
      <c r="P842" s="225"/>
      <c r="U842" s="315"/>
      <c r="V842" s="315"/>
    </row>
    <row r="843" spans="10:22" ht="16">
      <c r="J843" s="314"/>
      <c r="M843" s="350"/>
      <c r="P843" s="225"/>
      <c r="U843" s="315"/>
      <c r="V843" s="315"/>
    </row>
    <row r="844" spans="10:22" ht="16">
      <c r="J844" s="314"/>
      <c r="M844" s="350"/>
      <c r="P844" s="225"/>
      <c r="U844" s="315"/>
      <c r="V844" s="315"/>
    </row>
    <row r="845" spans="10:22" ht="16">
      <c r="J845" s="314"/>
      <c r="M845" s="350"/>
      <c r="P845" s="225"/>
      <c r="U845" s="315"/>
      <c r="V845" s="315"/>
    </row>
    <row r="846" spans="10:22" ht="16">
      <c r="J846" s="314"/>
      <c r="M846" s="350"/>
      <c r="P846" s="225"/>
      <c r="U846" s="315"/>
      <c r="V846" s="315"/>
    </row>
    <row r="847" spans="10:22" ht="16">
      <c r="J847" s="314"/>
      <c r="M847" s="350"/>
      <c r="P847" s="225"/>
      <c r="U847" s="315"/>
      <c r="V847" s="315"/>
    </row>
    <row r="848" spans="10:22" ht="16">
      <c r="J848" s="314"/>
      <c r="M848" s="350"/>
      <c r="P848" s="225"/>
      <c r="U848" s="315"/>
      <c r="V848" s="315"/>
    </row>
    <row r="849" spans="10:22" ht="16">
      <c r="J849" s="314"/>
      <c r="M849" s="350"/>
      <c r="P849" s="225"/>
      <c r="U849" s="315"/>
      <c r="V849" s="315"/>
    </row>
    <row r="850" spans="10:22" ht="16">
      <c r="J850" s="314"/>
      <c r="M850" s="350"/>
      <c r="P850" s="225"/>
      <c r="U850" s="315"/>
      <c r="V850" s="315"/>
    </row>
    <row r="851" spans="10:22" ht="16">
      <c r="J851" s="314"/>
      <c r="M851" s="350"/>
      <c r="P851" s="225"/>
      <c r="U851" s="315"/>
      <c r="V851" s="315"/>
    </row>
    <row r="852" spans="10:22" ht="16">
      <c r="J852" s="314"/>
      <c r="M852" s="350"/>
      <c r="P852" s="225"/>
      <c r="U852" s="315"/>
      <c r="V852" s="315"/>
    </row>
    <row r="853" spans="10:22" ht="16">
      <c r="J853" s="314"/>
      <c r="M853" s="350"/>
      <c r="P853" s="225"/>
      <c r="U853" s="315"/>
      <c r="V853" s="315"/>
    </row>
    <row r="854" spans="10:22" ht="16">
      <c r="J854" s="314"/>
      <c r="M854" s="350"/>
      <c r="P854" s="225"/>
      <c r="U854" s="315"/>
      <c r="V854" s="315"/>
    </row>
    <row r="855" spans="10:22" ht="16">
      <c r="J855" s="314"/>
      <c r="M855" s="350"/>
      <c r="P855" s="225"/>
      <c r="U855" s="315"/>
      <c r="V855" s="315"/>
    </row>
    <row r="856" spans="10:22" ht="16">
      <c r="J856" s="314"/>
      <c r="M856" s="350"/>
      <c r="P856" s="225"/>
      <c r="U856" s="315"/>
      <c r="V856" s="315"/>
    </row>
    <row r="857" spans="10:22" ht="16">
      <c r="J857" s="314"/>
      <c r="M857" s="350"/>
      <c r="P857" s="225"/>
      <c r="U857" s="315"/>
      <c r="V857" s="315"/>
    </row>
    <row r="858" spans="10:22" ht="16">
      <c r="J858" s="314"/>
      <c r="M858" s="350"/>
      <c r="P858" s="225"/>
      <c r="U858" s="315"/>
      <c r="V858" s="315"/>
    </row>
    <row r="859" spans="10:22" ht="16">
      <c r="J859" s="314"/>
      <c r="M859" s="350"/>
      <c r="P859" s="225"/>
      <c r="U859" s="315"/>
      <c r="V859" s="315"/>
    </row>
    <row r="860" spans="10:22" ht="16">
      <c r="J860" s="314"/>
      <c r="M860" s="350"/>
      <c r="P860" s="225"/>
      <c r="U860" s="315"/>
      <c r="V860" s="315"/>
    </row>
    <row r="861" spans="10:22" ht="16">
      <c r="J861" s="314"/>
      <c r="M861" s="350"/>
      <c r="P861" s="225"/>
      <c r="U861" s="315"/>
      <c r="V861" s="315"/>
    </row>
    <row r="862" spans="10:22" ht="16">
      <c r="J862" s="314"/>
      <c r="M862" s="350"/>
      <c r="P862" s="225"/>
      <c r="U862" s="315"/>
      <c r="V862" s="315"/>
    </row>
    <row r="863" spans="10:22" ht="16">
      <c r="J863" s="314"/>
      <c r="M863" s="350"/>
      <c r="P863" s="225"/>
      <c r="U863" s="315"/>
      <c r="V863" s="315"/>
    </row>
    <row r="864" spans="10:22" ht="16">
      <c r="J864" s="314"/>
      <c r="M864" s="350"/>
      <c r="P864" s="225"/>
      <c r="U864" s="315"/>
      <c r="V864" s="315"/>
    </row>
    <row r="865" spans="10:22" ht="16">
      <c r="J865" s="314"/>
      <c r="M865" s="350"/>
      <c r="P865" s="225"/>
      <c r="U865" s="315"/>
      <c r="V865" s="315"/>
    </row>
    <row r="866" spans="10:22" ht="16">
      <c r="J866" s="314"/>
      <c r="M866" s="350"/>
      <c r="P866" s="225"/>
      <c r="U866" s="315"/>
      <c r="V866" s="315"/>
    </row>
    <row r="867" spans="10:22" ht="16">
      <c r="J867" s="314"/>
      <c r="M867" s="350"/>
      <c r="P867" s="225"/>
      <c r="U867" s="315"/>
      <c r="V867" s="315"/>
    </row>
    <row r="868" spans="10:22" ht="16">
      <c r="J868" s="314"/>
      <c r="M868" s="350"/>
      <c r="P868" s="225"/>
      <c r="U868" s="315"/>
      <c r="V868" s="315"/>
    </row>
    <row r="869" spans="10:22" ht="16">
      <c r="J869" s="314"/>
      <c r="M869" s="350"/>
      <c r="P869" s="225"/>
      <c r="U869" s="315"/>
      <c r="V869" s="315"/>
    </row>
    <row r="870" spans="10:22" ht="16">
      <c r="J870" s="314"/>
      <c r="M870" s="350"/>
      <c r="P870" s="225"/>
      <c r="U870" s="315"/>
      <c r="V870" s="315"/>
    </row>
    <row r="871" spans="10:22" ht="16">
      <c r="J871" s="314"/>
      <c r="M871" s="350"/>
      <c r="P871" s="225"/>
      <c r="U871" s="315"/>
      <c r="V871" s="315"/>
    </row>
    <row r="872" spans="10:22" ht="16">
      <c r="J872" s="314"/>
      <c r="M872" s="350"/>
      <c r="P872" s="225"/>
      <c r="U872" s="315"/>
      <c r="V872" s="315"/>
    </row>
    <row r="873" spans="10:22" ht="16">
      <c r="J873" s="314"/>
      <c r="M873" s="350"/>
      <c r="P873" s="225"/>
      <c r="U873" s="315"/>
      <c r="V873" s="315"/>
    </row>
    <row r="874" spans="10:22" ht="16">
      <c r="J874" s="314"/>
      <c r="M874" s="350"/>
      <c r="P874" s="225"/>
      <c r="U874" s="315"/>
      <c r="V874" s="315"/>
    </row>
    <row r="875" spans="10:22" ht="16">
      <c r="J875" s="314"/>
      <c r="M875" s="350"/>
      <c r="P875" s="225"/>
      <c r="U875" s="315"/>
      <c r="V875" s="315"/>
    </row>
    <row r="876" spans="10:22" ht="16">
      <c r="J876" s="314"/>
      <c r="M876" s="350"/>
      <c r="P876" s="225"/>
      <c r="U876" s="315"/>
      <c r="V876" s="315"/>
    </row>
    <row r="877" spans="10:22" ht="16">
      <c r="J877" s="314"/>
      <c r="M877" s="350"/>
      <c r="P877" s="225"/>
      <c r="U877" s="315"/>
      <c r="V877" s="315"/>
    </row>
    <row r="878" spans="10:22" ht="16">
      <c r="J878" s="314"/>
      <c r="M878" s="350"/>
      <c r="P878" s="225"/>
      <c r="U878" s="315"/>
      <c r="V878" s="315"/>
    </row>
    <row r="879" spans="10:22" ht="16">
      <c r="J879" s="314"/>
      <c r="M879" s="350"/>
      <c r="P879" s="225"/>
      <c r="U879" s="315"/>
      <c r="V879" s="315"/>
    </row>
    <row r="880" spans="10:22" ht="16">
      <c r="J880" s="314"/>
      <c r="M880" s="350"/>
      <c r="P880" s="225"/>
      <c r="U880" s="315"/>
      <c r="V880" s="315"/>
    </row>
    <row r="881" spans="10:22" ht="16">
      <c r="J881" s="314"/>
      <c r="M881" s="350"/>
      <c r="P881" s="225"/>
      <c r="U881" s="315"/>
      <c r="V881" s="315"/>
    </row>
    <row r="882" spans="10:22" ht="16">
      <c r="J882" s="314"/>
      <c r="M882" s="350"/>
      <c r="P882" s="225"/>
      <c r="U882" s="315"/>
      <c r="V882" s="315"/>
    </row>
    <row r="883" spans="10:22" ht="16">
      <c r="J883" s="314"/>
      <c r="M883" s="350"/>
      <c r="P883" s="225"/>
      <c r="U883" s="315"/>
      <c r="V883" s="315"/>
    </row>
    <row r="884" spans="10:22" ht="16">
      <c r="J884" s="314"/>
      <c r="M884" s="350"/>
      <c r="P884" s="225"/>
      <c r="U884" s="315"/>
      <c r="V884" s="315"/>
    </row>
    <row r="885" spans="10:22" ht="16">
      <c r="J885" s="314"/>
      <c r="M885" s="350"/>
      <c r="P885" s="225"/>
      <c r="U885" s="315"/>
      <c r="V885" s="315"/>
    </row>
    <row r="886" spans="10:22" ht="16">
      <c r="J886" s="314"/>
      <c r="M886" s="350"/>
      <c r="P886" s="225"/>
      <c r="U886" s="315"/>
      <c r="V886" s="315"/>
    </row>
    <row r="887" spans="10:22" ht="16">
      <c r="J887" s="314"/>
      <c r="M887" s="350"/>
      <c r="P887" s="225"/>
      <c r="U887" s="315"/>
      <c r="V887" s="315"/>
    </row>
    <row r="888" spans="10:22" ht="16">
      <c r="J888" s="314"/>
      <c r="M888" s="350"/>
      <c r="P888" s="225"/>
      <c r="U888" s="315"/>
      <c r="V888" s="315"/>
    </row>
    <row r="889" spans="10:22" ht="16">
      <c r="J889" s="314"/>
      <c r="M889" s="350"/>
      <c r="P889" s="225"/>
      <c r="U889" s="315"/>
      <c r="V889" s="315"/>
    </row>
    <row r="890" spans="10:22" ht="16">
      <c r="J890" s="314"/>
      <c r="M890" s="350"/>
      <c r="P890" s="225"/>
      <c r="U890" s="315"/>
      <c r="V890" s="315"/>
    </row>
    <row r="891" spans="10:22" ht="16">
      <c r="J891" s="314"/>
      <c r="M891" s="350"/>
      <c r="P891" s="225"/>
      <c r="U891" s="315"/>
      <c r="V891" s="315"/>
    </row>
    <row r="892" spans="10:22" ht="16">
      <c r="J892" s="314"/>
      <c r="M892" s="350"/>
      <c r="P892" s="225"/>
      <c r="U892" s="315"/>
      <c r="V892" s="315"/>
    </row>
    <row r="893" spans="10:22" ht="16">
      <c r="J893" s="314"/>
      <c r="M893" s="350"/>
      <c r="P893" s="225"/>
      <c r="U893" s="315"/>
      <c r="V893" s="315"/>
    </row>
    <row r="894" spans="10:22" ht="16">
      <c r="J894" s="314"/>
      <c r="M894" s="350"/>
      <c r="P894" s="225"/>
      <c r="U894" s="315"/>
      <c r="V894" s="315"/>
    </row>
    <row r="895" spans="10:22" ht="16">
      <c r="J895" s="314"/>
      <c r="M895" s="350"/>
      <c r="P895" s="225"/>
      <c r="U895" s="315"/>
      <c r="V895" s="315"/>
    </row>
    <row r="896" spans="10:22" ht="16">
      <c r="J896" s="314"/>
      <c r="M896" s="350"/>
      <c r="P896" s="225"/>
      <c r="U896" s="315"/>
      <c r="V896" s="315"/>
    </row>
    <row r="897" spans="10:22" ht="16">
      <c r="J897" s="314"/>
      <c r="M897" s="350"/>
      <c r="P897" s="225"/>
      <c r="U897" s="315"/>
      <c r="V897" s="315"/>
    </row>
    <row r="898" spans="10:22" ht="16">
      <c r="J898" s="314"/>
      <c r="M898" s="350"/>
      <c r="P898" s="225"/>
      <c r="U898" s="315"/>
      <c r="V898" s="315"/>
    </row>
    <row r="899" spans="10:22" ht="16">
      <c r="J899" s="314"/>
      <c r="M899" s="350"/>
      <c r="P899" s="225"/>
      <c r="U899" s="315"/>
      <c r="V899" s="315"/>
    </row>
    <row r="900" spans="10:22" ht="16">
      <c r="J900" s="314"/>
      <c r="M900" s="350"/>
      <c r="P900" s="225"/>
      <c r="U900" s="315"/>
      <c r="V900" s="315"/>
    </row>
    <row r="901" spans="10:22" ht="16">
      <c r="J901" s="314"/>
      <c r="M901" s="350"/>
      <c r="P901" s="225"/>
      <c r="U901" s="315"/>
      <c r="V901" s="315"/>
    </row>
    <row r="902" spans="10:22" ht="16">
      <c r="J902" s="314"/>
      <c r="M902" s="350"/>
      <c r="P902" s="225"/>
      <c r="U902" s="315"/>
      <c r="V902" s="315"/>
    </row>
    <row r="903" spans="10:22" ht="16">
      <c r="J903" s="314"/>
      <c r="M903" s="350"/>
      <c r="P903" s="225"/>
      <c r="U903" s="315"/>
      <c r="V903" s="315"/>
    </row>
    <row r="904" spans="10:22" ht="16">
      <c r="J904" s="314"/>
      <c r="M904" s="350"/>
      <c r="P904" s="225"/>
      <c r="U904" s="315"/>
      <c r="V904" s="315"/>
    </row>
    <row r="905" spans="10:22" ht="16">
      <c r="J905" s="314"/>
      <c r="M905" s="350"/>
      <c r="P905" s="225"/>
      <c r="U905" s="315"/>
      <c r="V905" s="315"/>
    </row>
    <row r="906" spans="10:22" ht="16">
      <c r="J906" s="314"/>
      <c r="M906" s="350"/>
      <c r="P906" s="225"/>
      <c r="U906" s="315"/>
      <c r="V906" s="315"/>
    </row>
    <row r="907" spans="10:22" ht="16">
      <c r="J907" s="314"/>
      <c r="M907" s="350"/>
      <c r="P907" s="225"/>
      <c r="U907" s="315"/>
      <c r="V907" s="315"/>
    </row>
    <row r="908" spans="10:22" ht="16">
      <c r="J908" s="314"/>
      <c r="M908" s="350"/>
      <c r="P908" s="225"/>
      <c r="U908" s="315"/>
      <c r="V908" s="315"/>
    </row>
    <row r="909" spans="10:22" ht="16">
      <c r="J909" s="314"/>
      <c r="M909" s="350"/>
      <c r="P909" s="225"/>
      <c r="U909" s="315"/>
      <c r="V909" s="315"/>
    </row>
    <row r="910" spans="10:22" ht="16">
      <c r="J910" s="314"/>
      <c r="M910" s="350"/>
      <c r="P910" s="225"/>
      <c r="U910" s="315"/>
      <c r="V910" s="315"/>
    </row>
    <row r="911" spans="10:22" ht="16">
      <c r="J911" s="314"/>
      <c r="M911" s="350"/>
      <c r="P911" s="225"/>
      <c r="U911" s="315"/>
      <c r="V911" s="315"/>
    </row>
    <row r="912" spans="10:22" ht="16">
      <c r="J912" s="314"/>
      <c r="M912" s="350"/>
      <c r="P912" s="225"/>
      <c r="U912" s="315"/>
      <c r="V912" s="315"/>
    </row>
    <row r="913" spans="10:22" ht="16">
      <c r="J913" s="314"/>
      <c r="M913" s="350"/>
      <c r="P913" s="225"/>
      <c r="U913" s="315"/>
      <c r="V913" s="315"/>
    </row>
    <row r="914" spans="10:22" ht="16">
      <c r="J914" s="314"/>
      <c r="M914" s="350"/>
      <c r="P914" s="225"/>
      <c r="U914" s="315"/>
      <c r="V914" s="315"/>
    </row>
    <row r="915" spans="10:22" ht="16">
      <c r="J915" s="314"/>
      <c r="M915" s="350"/>
      <c r="P915" s="225"/>
      <c r="U915" s="315"/>
      <c r="V915" s="315"/>
    </row>
    <row r="916" spans="10:22" ht="16">
      <c r="J916" s="314"/>
      <c r="M916" s="350"/>
      <c r="P916" s="225"/>
      <c r="U916" s="315"/>
      <c r="V916" s="315"/>
    </row>
    <row r="917" spans="10:22" ht="16">
      <c r="J917" s="314"/>
      <c r="M917" s="350"/>
      <c r="P917" s="225"/>
      <c r="U917" s="315"/>
      <c r="V917" s="315"/>
    </row>
    <row r="918" spans="10:22" ht="16">
      <c r="J918" s="314"/>
      <c r="M918" s="350"/>
      <c r="P918" s="225"/>
      <c r="U918" s="315"/>
      <c r="V918" s="315"/>
    </row>
    <row r="919" spans="10:22" ht="16">
      <c r="J919" s="314"/>
      <c r="M919" s="350"/>
      <c r="P919" s="225"/>
      <c r="U919" s="315"/>
      <c r="V919" s="315"/>
    </row>
    <row r="920" spans="10:22" ht="16">
      <c r="J920" s="314"/>
      <c r="M920" s="350"/>
      <c r="P920" s="225"/>
      <c r="U920" s="315"/>
      <c r="V920" s="315"/>
    </row>
    <row r="921" spans="10:22" ht="16">
      <c r="J921" s="314"/>
      <c r="M921" s="350"/>
      <c r="P921" s="225"/>
      <c r="U921" s="315"/>
      <c r="V921" s="315"/>
    </row>
    <row r="922" spans="10:22" ht="16">
      <c r="J922" s="314"/>
      <c r="M922" s="350"/>
      <c r="P922" s="225"/>
      <c r="U922" s="315"/>
      <c r="V922" s="315"/>
    </row>
    <row r="923" spans="10:22" ht="16">
      <c r="J923" s="314"/>
      <c r="M923" s="350"/>
      <c r="P923" s="225"/>
      <c r="U923" s="315"/>
      <c r="V923" s="315"/>
    </row>
    <row r="924" spans="10:22" ht="16">
      <c r="J924" s="314"/>
      <c r="M924" s="350"/>
      <c r="P924" s="225"/>
      <c r="U924" s="315"/>
      <c r="V924" s="315"/>
    </row>
    <row r="925" spans="10:22" ht="16">
      <c r="J925" s="314"/>
      <c r="M925" s="350"/>
      <c r="P925" s="225"/>
      <c r="U925" s="315"/>
      <c r="V925" s="315"/>
    </row>
    <row r="926" spans="10:22" ht="16">
      <c r="J926" s="314"/>
      <c r="M926" s="350"/>
      <c r="P926" s="225"/>
      <c r="U926" s="315"/>
      <c r="V926" s="315"/>
    </row>
    <row r="927" spans="10:22" ht="16">
      <c r="J927" s="314"/>
      <c r="M927" s="350"/>
      <c r="P927" s="225"/>
      <c r="U927" s="315"/>
      <c r="V927" s="315"/>
    </row>
    <row r="928" spans="10:22" ht="16">
      <c r="J928" s="314"/>
      <c r="M928" s="350"/>
      <c r="P928" s="225"/>
      <c r="U928" s="315"/>
      <c r="V928" s="315"/>
    </row>
    <row r="929" spans="10:22" ht="16">
      <c r="J929" s="314"/>
      <c r="M929" s="350"/>
      <c r="P929" s="225"/>
      <c r="U929" s="315"/>
      <c r="V929" s="315"/>
    </row>
    <row r="930" spans="10:22" ht="16">
      <c r="J930" s="314"/>
      <c r="M930" s="350"/>
      <c r="P930" s="225"/>
      <c r="U930" s="315"/>
      <c r="V930" s="315"/>
    </row>
    <row r="931" spans="10:22" ht="16">
      <c r="J931" s="314"/>
      <c r="M931" s="350"/>
      <c r="P931" s="225"/>
      <c r="U931" s="315"/>
      <c r="V931" s="315"/>
    </row>
    <row r="932" spans="10:22" ht="16">
      <c r="J932" s="314"/>
      <c r="M932" s="350"/>
      <c r="P932" s="225"/>
      <c r="U932" s="315"/>
      <c r="V932" s="315"/>
    </row>
    <row r="933" spans="10:22" ht="16">
      <c r="J933" s="314"/>
      <c r="M933" s="350"/>
      <c r="P933" s="225"/>
      <c r="U933" s="315"/>
      <c r="V933" s="315"/>
    </row>
    <row r="934" spans="10:22" ht="16">
      <c r="J934" s="314"/>
      <c r="M934" s="350"/>
      <c r="P934" s="225"/>
      <c r="U934" s="315"/>
      <c r="V934" s="315"/>
    </row>
    <row r="935" spans="10:22" ht="16">
      <c r="J935" s="314"/>
      <c r="M935" s="350"/>
      <c r="P935" s="225"/>
      <c r="U935" s="315"/>
      <c r="V935" s="315"/>
    </row>
    <row r="936" spans="10:22" ht="16">
      <c r="J936" s="314"/>
      <c r="M936" s="350"/>
      <c r="P936" s="225"/>
      <c r="U936" s="315"/>
      <c r="V936" s="315"/>
    </row>
    <row r="937" spans="10:22" ht="16">
      <c r="J937" s="314"/>
      <c r="M937" s="350"/>
      <c r="P937" s="225"/>
      <c r="U937" s="315"/>
      <c r="V937" s="315"/>
    </row>
    <row r="938" spans="10:22" ht="16">
      <c r="J938" s="314"/>
      <c r="M938" s="350"/>
      <c r="P938" s="225"/>
      <c r="U938" s="315"/>
      <c r="V938" s="315"/>
    </row>
    <row r="939" spans="10:22" ht="16">
      <c r="J939" s="314"/>
      <c r="M939" s="350"/>
      <c r="P939" s="225"/>
      <c r="U939" s="315"/>
      <c r="V939" s="315"/>
    </row>
    <row r="940" spans="10:22" ht="16">
      <c r="J940" s="314"/>
      <c r="M940" s="350"/>
      <c r="P940" s="225"/>
      <c r="U940" s="315"/>
      <c r="V940" s="315"/>
    </row>
    <row r="941" spans="10:22" ht="16">
      <c r="J941" s="314"/>
      <c r="M941" s="350"/>
      <c r="P941" s="225"/>
      <c r="U941" s="315"/>
      <c r="V941" s="315"/>
    </row>
    <row r="942" spans="10:22" ht="16">
      <c r="J942" s="314"/>
      <c r="M942" s="350"/>
      <c r="P942" s="225"/>
      <c r="U942" s="315"/>
      <c r="V942" s="315"/>
    </row>
    <row r="943" spans="10:22" ht="16">
      <c r="J943" s="314"/>
      <c r="M943" s="350"/>
      <c r="P943" s="225"/>
      <c r="U943" s="315"/>
      <c r="V943" s="315"/>
    </row>
    <row r="944" spans="10:22" ht="16">
      <c r="J944" s="314"/>
      <c r="M944" s="350"/>
      <c r="P944" s="225"/>
      <c r="U944" s="315"/>
      <c r="V944" s="315"/>
    </row>
    <row r="945" spans="10:22" ht="16">
      <c r="J945" s="314"/>
      <c r="M945" s="350"/>
      <c r="P945" s="225"/>
      <c r="U945" s="315"/>
      <c r="V945" s="315"/>
    </row>
    <row r="946" spans="10:22" ht="16">
      <c r="J946" s="314"/>
      <c r="M946" s="350"/>
      <c r="P946" s="225"/>
      <c r="U946" s="315"/>
      <c r="V946" s="315"/>
    </row>
    <row r="947" spans="10:22" ht="16">
      <c r="J947" s="314"/>
      <c r="M947" s="350"/>
      <c r="P947" s="225"/>
      <c r="U947" s="315"/>
      <c r="V947" s="315"/>
    </row>
    <row r="948" spans="10:22" ht="16">
      <c r="J948" s="314"/>
      <c r="M948" s="350"/>
      <c r="P948" s="225"/>
      <c r="U948" s="315"/>
      <c r="V948" s="315"/>
    </row>
    <row r="949" spans="10:22" ht="16">
      <c r="J949" s="314"/>
      <c r="M949" s="350"/>
      <c r="P949" s="225"/>
      <c r="U949" s="315"/>
      <c r="V949" s="315"/>
    </row>
    <row r="950" spans="10:22" ht="16">
      <c r="J950" s="314"/>
      <c r="M950" s="350"/>
      <c r="P950" s="225"/>
      <c r="U950" s="315"/>
      <c r="V950" s="315"/>
    </row>
    <row r="951" spans="10:22" ht="16">
      <c r="J951" s="314"/>
      <c r="M951" s="350"/>
      <c r="P951" s="225"/>
      <c r="U951" s="315"/>
      <c r="V951" s="315"/>
    </row>
    <row r="952" spans="10:22" ht="16">
      <c r="J952" s="314"/>
      <c r="M952" s="350"/>
      <c r="P952" s="225"/>
      <c r="U952" s="315"/>
      <c r="V952" s="315"/>
    </row>
    <row r="953" spans="10:22" ht="16">
      <c r="J953" s="314"/>
      <c r="M953" s="350"/>
      <c r="P953" s="225"/>
      <c r="U953" s="315"/>
      <c r="V953" s="315"/>
    </row>
    <row r="954" spans="10:22" ht="16">
      <c r="J954" s="314"/>
      <c r="M954" s="350"/>
      <c r="P954" s="225"/>
      <c r="U954" s="315"/>
      <c r="V954" s="315"/>
    </row>
    <row r="955" spans="10:22" ht="16">
      <c r="J955" s="314"/>
      <c r="M955" s="350"/>
      <c r="P955" s="225"/>
      <c r="U955" s="315"/>
      <c r="V955" s="315"/>
    </row>
    <row r="956" spans="10:22" ht="16">
      <c r="J956" s="314"/>
      <c r="M956" s="350"/>
      <c r="P956" s="225"/>
      <c r="U956" s="315"/>
      <c r="V956" s="315"/>
    </row>
    <row r="957" spans="10:22" ht="16">
      <c r="J957" s="314"/>
      <c r="M957" s="350"/>
      <c r="P957" s="225"/>
      <c r="U957" s="315"/>
      <c r="V957" s="315"/>
    </row>
    <row r="958" spans="10:22" ht="16">
      <c r="J958" s="314"/>
      <c r="M958" s="350"/>
      <c r="P958" s="225"/>
      <c r="U958" s="315"/>
      <c r="V958" s="315"/>
    </row>
    <row r="959" spans="10:22" ht="16">
      <c r="J959" s="314"/>
      <c r="M959" s="350"/>
      <c r="P959" s="225"/>
      <c r="U959" s="315"/>
      <c r="V959" s="315"/>
    </row>
    <row r="960" spans="10:22" ht="16">
      <c r="J960" s="314"/>
      <c r="M960" s="350"/>
      <c r="P960" s="225"/>
      <c r="U960" s="315"/>
      <c r="V960" s="315"/>
    </row>
    <row r="961" spans="10:22" ht="16">
      <c r="J961" s="314"/>
      <c r="M961" s="350"/>
      <c r="P961" s="225"/>
      <c r="U961" s="315"/>
      <c r="V961" s="315"/>
    </row>
    <row r="962" spans="10:22" ht="16">
      <c r="J962" s="314"/>
      <c r="M962" s="350"/>
      <c r="P962" s="225"/>
      <c r="U962" s="315"/>
      <c r="V962" s="315"/>
    </row>
    <row r="963" spans="10:22" ht="16">
      <c r="J963" s="314"/>
      <c r="M963" s="350"/>
      <c r="P963" s="225"/>
      <c r="U963" s="315"/>
      <c r="V963" s="315"/>
    </row>
    <row r="964" spans="10:22" ht="16">
      <c r="J964" s="314"/>
      <c r="M964" s="350"/>
      <c r="P964" s="225"/>
      <c r="U964" s="315"/>
      <c r="V964" s="315"/>
    </row>
    <row r="965" spans="10:22" ht="16">
      <c r="J965" s="314"/>
      <c r="M965" s="350"/>
      <c r="P965" s="225"/>
      <c r="U965" s="315"/>
      <c r="V965" s="315"/>
    </row>
    <row r="966" spans="10:22" ht="16">
      <c r="J966" s="314"/>
      <c r="M966" s="350"/>
      <c r="P966" s="225"/>
      <c r="U966" s="315"/>
      <c r="V966" s="315"/>
    </row>
    <row r="967" spans="10:22" ht="16">
      <c r="J967" s="314"/>
      <c r="M967" s="350"/>
      <c r="P967" s="225"/>
      <c r="U967" s="315"/>
      <c r="V967" s="315"/>
    </row>
    <row r="968" spans="10:22" ht="16">
      <c r="J968" s="314"/>
      <c r="M968" s="350"/>
      <c r="P968" s="225"/>
      <c r="U968" s="315"/>
      <c r="V968" s="315"/>
    </row>
    <row r="969" spans="10:22" ht="16">
      <c r="J969" s="314"/>
      <c r="M969" s="350"/>
      <c r="P969" s="225"/>
      <c r="U969" s="315"/>
      <c r="V969" s="315"/>
    </row>
    <row r="970" spans="10:22" ht="16">
      <c r="J970" s="314"/>
      <c r="M970" s="350"/>
      <c r="P970" s="225"/>
      <c r="U970" s="315"/>
      <c r="V970" s="315"/>
    </row>
    <row r="971" spans="10:22" ht="16">
      <c r="J971" s="314"/>
      <c r="M971" s="350"/>
      <c r="P971" s="225"/>
      <c r="U971" s="315"/>
      <c r="V971" s="315"/>
    </row>
    <row r="972" spans="10:22" ht="16">
      <c r="J972" s="314"/>
      <c r="M972" s="350"/>
      <c r="P972" s="225"/>
      <c r="U972" s="315"/>
      <c r="V972" s="315"/>
    </row>
    <row r="973" spans="10:22" ht="16">
      <c r="J973" s="314"/>
      <c r="M973" s="350"/>
      <c r="P973" s="225"/>
      <c r="U973" s="315"/>
      <c r="V973" s="315"/>
    </row>
    <row r="974" spans="10:22" ht="16">
      <c r="J974" s="314"/>
      <c r="M974" s="350"/>
      <c r="P974" s="225"/>
      <c r="U974" s="315"/>
      <c r="V974" s="315"/>
    </row>
    <row r="975" spans="10:22" ht="16">
      <c r="J975" s="314"/>
      <c r="M975" s="350"/>
      <c r="P975" s="225"/>
      <c r="U975" s="315"/>
      <c r="V975" s="315"/>
    </row>
    <row r="976" spans="10:22" ht="16">
      <c r="J976" s="314"/>
      <c r="M976" s="350"/>
      <c r="P976" s="225"/>
      <c r="U976" s="315"/>
      <c r="V976" s="315"/>
    </row>
    <row r="977" spans="10:22" ht="16">
      <c r="J977" s="314"/>
      <c r="M977" s="350"/>
      <c r="P977" s="225"/>
      <c r="U977" s="315"/>
      <c r="V977" s="315"/>
    </row>
    <row r="978" spans="10:22" ht="16">
      <c r="J978" s="314"/>
      <c r="M978" s="350"/>
      <c r="P978" s="225"/>
      <c r="U978" s="315"/>
      <c r="V978" s="315"/>
    </row>
    <row r="979" spans="10:22" ht="16">
      <c r="J979" s="314"/>
      <c r="M979" s="350"/>
      <c r="P979" s="225"/>
      <c r="U979" s="315"/>
      <c r="V979" s="315"/>
    </row>
    <row r="980" spans="10:22" ht="16">
      <c r="J980" s="314"/>
      <c r="M980" s="350"/>
      <c r="P980" s="225"/>
      <c r="U980" s="315"/>
      <c r="V980" s="315"/>
    </row>
    <row r="981" spans="10:22" ht="16">
      <c r="J981" s="314"/>
      <c r="M981" s="350"/>
      <c r="P981" s="225"/>
      <c r="U981" s="315"/>
      <c r="V981" s="315"/>
    </row>
    <row r="982" spans="10:22" ht="16">
      <c r="J982" s="314"/>
      <c r="M982" s="350"/>
      <c r="P982" s="225"/>
      <c r="U982" s="315"/>
      <c r="V982" s="315"/>
    </row>
    <row r="983" spans="10:22" ht="16">
      <c r="J983" s="314"/>
      <c r="M983" s="350"/>
      <c r="P983" s="225"/>
      <c r="U983" s="315"/>
      <c r="V983" s="315"/>
    </row>
    <row r="984" spans="10:22" ht="16">
      <c r="J984" s="314"/>
      <c r="M984" s="350"/>
      <c r="P984" s="225"/>
      <c r="U984" s="315"/>
      <c r="V984" s="315"/>
    </row>
    <row r="985" spans="10:22" ht="16">
      <c r="J985" s="314"/>
      <c r="M985" s="350"/>
      <c r="P985" s="225"/>
      <c r="U985" s="315"/>
      <c r="V985" s="315"/>
    </row>
    <row r="986" spans="10:22" ht="16">
      <c r="J986" s="314"/>
      <c r="M986" s="350"/>
      <c r="P986" s="225"/>
      <c r="U986" s="315"/>
      <c r="V986" s="315"/>
    </row>
    <row r="987" spans="10:22" ht="16">
      <c r="J987" s="314"/>
      <c r="M987" s="350"/>
      <c r="P987" s="225"/>
      <c r="U987" s="315"/>
      <c r="V987" s="315"/>
    </row>
    <row r="988" spans="10:22" ht="16">
      <c r="J988" s="314"/>
      <c r="M988" s="350"/>
      <c r="P988" s="225"/>
      <c r="U988" s="315"/>
      <c r="V988" s="315"/>
    </row>
    <row r="989" spans="10:22" ht="16">
      <c r="J989" s="314"/>
      <c r="M989" s="350"/>
      <c r="P989" s="225"/>
      <c r="U989" s="315"/>
      <c r="V989" s="315"/>
    </row>
    <row r="990" spans="10:22" ht="16">
      <c r="J990" s="314"/>
      <c r="M990" s="350"/>
      <c r="P990" s="225"/>
      <c r="U990" s="315"/>
      <c r="V990" s="315"/>
    </row>
    <row r="991" spans="10:22" ht="16">
      <c r="J991" s="314"/>
      <c r="M991" s="350"/>
      <c r="P991" s="225"/>
      <c r="U991" s="315"/>
      <c r="V991" s="315"/>
    </row>
    <row r="992" spans="10:22" ht="16">
      <c r="J992" s="314"/>
      <c r="M992" s="350"/>
      <c r="P992" s="225"/>
      <c r="U992" s="315"/>
      <c r="V992" s="315"/>
    </row>
    <row r="993" spans="10:22" ht="16">
      <c r="J993" s="314"/>
      <c r="M993" s="350"/>
      <c r="P993" s="225"/>
      <c r="U993" s="315"/>
      <c r="V993" s="315"/>
    </row>
    <row r="994" spans="10:22" ht="16">
      <c r="J994" s="314"/>
      <c r="M994" s="350"/>
      <c r="P994" s="225"/>
      <c r="U994" s="315"/>
      <c r="V994" s="315"/>
    </row>
    <row r="995" spans="10:22" ht="16">
      <c r="J995" s="314"/>
      <c r="M995" s="350"/>
      <c r="P995" s="225"/>
      <c r="U995" s="315"/>
      <c r="V995" s="315"/>
    </row>
    <row r="996" spans="10:22" ht="16">
      <c r="J996" s="314"/>
      <c r="M996" s="350"/>
      <c r="P996" s="225"/>
      <c r="U996" s="315"/>
      <c r="V996" s="315"/>
    </row>
    <row r="997" spans="10:22" ht="16">
      <c r="J997" s="314"/>
      <c r="M997" s="350"/>
      <c r="P997" s="225"/>
      <c r="U997" s="315"/>
      <c r="V997" s="315"/>
    </row>
    <row r="998" spans="10:22" ht="16">
      <c r="J998" s="314"/>
      <c r="M998" s="350"/>
      <c r="P998" s="225"/>
      <c r="U998" s="315"/>
      <c r="V998" s="315"/>
    </row>
    <row r="999" spans="10:22" ht="16">
      <c r="J999" s="314"/>
      <c r="M999" s="350"/>
      <c r="P999" s="225"/>
      <c r="U999" s="315"/>
      <c r="V999" s="315"/>
    </row>
    <row r="1000" spans="10:22" ht="16">
      <c r="J1000" s="314"/>
      <c r="M1000" s="350"/>
      <c r="P1000" s="225"/>
      <c r="U1000" s="315"/>
      <c r="V1000" s="315"/>
    </row>
    <row r="1001" spans="10:22" ht="16">
      <c r="J1001" s="314"/>
      <c r="M1001" s="350"/>
      <c r="P1001" s="225"/>
      <c r="U1001" s="315"/>
      <c r="V1001" s="315"/>
    </row>
    <row r="1002" spans="10:22" ht="16">
      <c r="J1002" s="314"/>
      <c r="M1002" s="350"/>
      <c r="P1002" s="225"/>
      <c r="U1002" s="315"/>
      <c r="V1002" s="315"/>
    </row>
    <row r="1003" spans="10:22" ht="16">
      <c r="J1003" s="314"/>
      <c r="M1003" s="350"/>
      <c r="P1003" s="225"/>
      <c r="U1003" s="315"/>
      <c r="V1003" s="315"/>
    </row>
    <row r="1004" spans="10:22" ht="16">
      <c r="J1004" s="314"/>
      <c r="M1004" s="350"/>
      <c r="P1004" s="225"/>
      <c r="U1004" s="315"/>
      <c r="V1004" s="315"/>
    </row>
    <row r="1005" spans="10:22" ht="16">
      <c r="J1005" s="314"/>
      <c r="M1005" s="350"/>
      <c r="P1005" s="225"/>
      <c r="U1005" s="315"/>
      <c r="V1005" s="315"/>
    </row>
    <row r="1006" spans="10:22" ht="16">
      <c r="J1006" s="314"/>
      <c r="M1006" s="350"/>
      <c r="P1006" s="225"/>
      <c r="U1006" s="315"/>
      <c r="V1006" s="315"/>
    </row>
    <row r="1007" spans="10:22" ht="16">
      <c r="J1007" s="314"/>
      <c r="M1007" s="350"/>
      <c r="P1007" s="225"/>
      <c r="U1007" s="315"/>
      <c r="V1007" s="315"/>
    </row>
    <row r="1008" spans="10:22" ht="16">
      <c r="J1008" s="314"/>
      <c r="M1008" s="350"/>
      <c r="U1008" s="316"/>
      <c r="V1008" s="316"/>
    </row>
    <row r="1009" spans="10:22" ht="16">
      <c r="J1009" s="314"/>
      <c r="M1009" s="350"/>
      <c r="U1009" s="316"/>
      <c r="V1009" s="316"/>
    </row>
    <row r="1010" spans="10:22" ht="16">
      <c r="J1010" s="314"/>
      <c r="M1010" s="350"/>
      <c r="U1010" s="316"/>
      <c r="V1010" s="316"/>
    </row>
    <row r="1011" spans="10:22" ht="16">
      <c r="J1011" s="314"/>
      <c r="M1011" s="350"/>
      <c r="U1011" s="316"/>
      <c r="V1011" s="316"/>
    </row>
  </sheetData>
  <mergeCells count="3">
    <mergeCell ref="A1:V1"/>
    <mergeCell ref="B6:F6"/>
    <mergeCell ref="H7:I7"/>
  </mergeCells>
  <conditionalFormatting sqref="E2">
    <cfRule type="notContainsBlanks" dxfId="5" priority="1">
      <formula>LEN(TRIM(E2))&gt;0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008"/>
  <sheetViews>
    <sheetView workbookViewId="0">
      <pane ySplit="6" topLeftCell="A86" activePane="bottomLeft" state="frozen"/>
      <selection pane="bottomLeft" activeCell="M102" sqref="M102"/>
    </sheetView>
  </sheetViews>
  <sheetFormatPr baseColWidth="10" defaultColWidth="14.5" defaultRowHeight="15" customHeight="1"/>
  <cols>
    <col min="1" max="1" width="2" customWidth="1"/>
    <col min="2" max="2" width="13.6640625" customWidth="1"/>
    <col min="3" max="4" width="12.33203125" customWidth="1"/>
    <col min="5" max="5" width="21.1640625" customWidth="1"/>
    <col min="6" max="6" width="16.83203125" customWidth="1"/>
    <col min="7" max="7" width="68" customWidth="1"/>
    <col min="8" max="8" width="6.83203125" customWidth="1"/>
    <col min="9" max="9" width="5.5" customWidth="1"/>
    <col min="10" max="10" width="12.5" customWidth="1"/>
    <col min="11" max="11" width="10.6640625" customWidth="1"/>
    <col min="12" max="12" width="4.5" customWidth="1"/>
    <col min="13" max="13" width="12.33203125" customWidth="1"/>
    <col min="14" max="14" width="5.5" customWidth="1"/>
    <col min="15" max="15" width="4.1640625" customWidth="1"/>
    <col min="16" max="16" width="14" customWidth="1"/>
    <col min="17" max="17" width="4.83203125" customWidth="1"/>
    <col min="18" max="18" width="17.6640625" customWidth="1"/>
    <col min="19" max="19" width="20.1640625" customWidth="1"/>
    <col min="20" max="20" width="6.1640625" customWidth="1"/>
    <col min="21" max="21" width="22.5" customWidth="1"/>
    <col min="22" max="22" width="39.5" customWidth="1"/>
  </cols>
  <sheetData>
    <row r="1" spans="1:23" ht="50.25" customHeight="1">
      <c r="A1" s="173"/>
      <c r="B1" s="297">
        <v>0</v>
      </c>
      <c r="C1" s="297"/>
      <c r="D1" s="297"/>
      <c r="E1" s="297"/>
      <c r="F1" s="297"/>
      <c r="G1" s="297"/>
      <c r="H1" s="297"/>
      <c r="I1" s="297"/>
      <c r="J1" s="297"/>
      <c r="K1" s="1"/>
      <c r="L1" s="297"/>
      <c r="M1" s="297"/>
      <c r="N1" s="297"/>
      <c r="O1" s="297"/>
      <c r="P1" s="419"/>
      <c r="Q1" s="297"/>
      <c r="R1" s="297"/>
      <c r="S1" s="297"/>
      <c r="T1" s="297"/>
      <c r="U1" s="297"/>
      <c r="V1" s="173"/>
      <c r="W1" s="1"/>
    </row>
    <row r="2" spans="1:23" ht="16">
      <c r="A2" s="1"/>
      <c r="B2" s="318" t="s">
        <v>1</v>
      </c>
      <c r="C2" s="319">
        <v>900000</v>
      </c>
      <c r="D2" s="319"/>
      <c r="E2" s="320">
        <f>C3/C2</f>
        <v>0.90785944444444444</v>
      </c>
      <c r="F2" s="317">
        <f ca="1">MONTH(TODAY())</f>
        <v>1</v>
      </c>
      <c r="G2" s="49"/>
      <c r="H2" s="90"/>
      <c r="I2" s="90"/>
      <c r="J2" s="90"/>
      <c r="K2" s="90"/>
      <c r="L2" s="90"/>
      <c r="M2" s="321"/>
      <c r="N2" s="90"/>
      <c r="O2" s="90"/>
      <c r="P2" s="420"/>
      <c r="Q2" s="90"/>
      <c r="R2" s="90"/>
      <c r="S2" s="90"/>
      <c r="T2" s="90"/>
      <c r="U2" s="90"/>
      <c r="V2" s="90"/>
      <c r="W2" s="1"/>
    </row>
    <row r="3" spans="1:23" ht="16">
      <c r="A3" s="1"/>
      <c r="B3" s="322" t="s">
        <v>2</v>
      </c>
      <c r="C3" s="319">
        <f>SUM(K8:K250)</f>
        <v>817073.5</v>
      </c>
      <c r="D3" s="319"/>
      <c r="E3" s="323" t="s">
        <v>3</v>
      </c>
      <c r="F3" s="324"/>
      <c r="G3" s="324"/>
      <c r="H3" s="299"/>
      <c r="I3" s="90"/>
      <c r="J3" s="299"/>
      <c r="K3" s="299"/>
      <c r="L3" s="299"/>
      <c r="M3" s="325"/>
      <c r="N3" s="299"/>
      <c r="O3" s="299"/>
      <c r="P3" s="299"/>
      <c r="Q3" s="299"/>
      <c r="R3" s="299"/>
      <c r="S3" s="299"/>
      <c r="T3" s="299"/>
      <c r="U3" s="299"/>
      <c r="V3" s="299"/>
      <c r="W3" s="1"/>
    </row>
    <row r="4" spans="1:23">
      <c r="A4" s="1"/>
      <c r="B4" s="326" t="s">
        <v>2218</v>
      </c>
      <c r="C4" s="326">
        <f ca="1">(E5-TODAY())</f>
        <v>-157</v>
      </c>
      <c r="D4" s="326"/>
      <c r="E4" s="17"/>
      <c r="F4" s="327"/>
      <c r="G4" s="49"/>
      <c r="H4" s="90"/>
      <c r="J4" s="90"/>
      <c r="L4" s="90"/>
      <c r="M4" s="321"/>
      <c r="N4" s="90"/>
      <c r="O4" s="90"/>
      <c r="P4" s="90"/>
      <c r="Q4" s="90"/>
      <c r="R4" s="90"/>
      <c r="S4" s="90"/>
      <c r="T4" s="90"/>
      <c r="U4" s="90"/>
      <c r="V4" s="90"/>
      <c r="W4" s="1"/>
    </row>
    <row r="5" spans="1:23" ht="16">
      <c r="A5" s="1"/>
      <c r="B5" s="328" t="s">
        <v>6</v>
      </c>
      <c r="C5" s="329">
        <f ca="1">TODAY()</f>
        <v>46026</v>
      </c>
      <c r="D5" s="328"/>
      <c r="E5" s="330">
        <v>45869</v>
      </c>
      <c r="F5" s="90"/>
      <c r="G5" s="299"/>
      <c r="H5" s="90"/>
      <c r="I5" s="90"/>
      <c r="J5" s="300"/>
      <c r="K5" s="300"/>
      <c r="L5" s="90"/>
      <c r="M5" s="321"/>
      <c r="N5" s="301"/>
      <c r="O5" s="302"/>
      <c r="P5" s="303"/>
      <c r="Q5" s="90"/>
      <c r="R5" s="304"/>
      <c r="S5" s="304"/>
      <c r="T5" s="90"/>
      <c r="U5" s="305"/>
      <c r="V5" s="305"/>
      <c r="W5" s="1"/>
    </row>
    <row r="6" spans="1:23" ht="22">
      <c r="A6" s="1"/>
      <c r="B6" s="549" t="s">
        <v>2734</v>
      </c>
      <c r="C6" s="537"/>
      <c r="D6" s="537"/>
      <c r="E6" s="537"/>
      <c r="F6" s="537"/>
      <c r="G6" s="26"/>
      <c r="H6" s="23"/>
      <c r="I6" s="23"/>
      <c r="J6" s="23"/>
      <c r="K6" s="23"/>
      <c r="L6" s="23"/>
      <c r="M6" s="331"/>
      <c r="N6" s="23"/>
      <c r="O6" s="24"/>
      <c r="P6" s="211"/>
      <c r="Q6" s="23"/>
      <c r="R6" s="332"/>
      <c r="S6" s="127"/>
      <c r="T6" s="26"/>
      <c r="U6" s="306"/>
      <c r="V6" s="306"/>
      <c r="W6" s="1"/>
    </row>
    <row r="7" spans="1:23" ht="14.25" customHeight="1">
      <c r="A7" s="98"/>
      <c r="B7" s="38" t="s">
        <v>18</v>
      </c>
      <c r="C7" s="38" t="s">
        <v>3442</v>
      </c>
      <c r="D7" s="38" t="s">
        <v>19</v>
      </c>
      <c r="E7" s="38" t="s">
        <v>20</v>
      </c>
      <c r="F7" s="38" t="s">
        <v>21</v>
      </c>
      <c r="G7" s="38" t="s">
        <v>2018</v>
      </c>
      <c r="H7" s="538" t="s">
        <v>22</v>
      </c>
      <c r="I7" s="528"/>
      <c r="J7" s="40"/>
      <c r="K7" s="41" t="s">
        <v>23</v>
      </c>
      <c r="L7" s="42"/>
      <c r="M7" s="333"/>
      <c r="N7" s="43"/>
      <c r="O7" s="44"/>
      <c r="P7" s="213"/>
      <c r="Q7" s="45"/>
      <c r="R7" s="128"/>
      <c r="S7" s="307" t="s">
        <v>3443</v>
      </c>
      <c r="T7" s="47"/>
      <c r="U7" s="307"/>
      <c r="V7" s="307"/>
      <c r="W7" s="100" t="s">
        <v>24</v>
      </c>
    </row>
    <row r="8" spans="1:23" ht="16.5" customHeight="1">
      <c r="A8" s="1"/>
      <c r="B8" s="71" t="s">
        <v>5355</v>
      </c>
      <c r="C8" s="53" t="s">
        <v>3458</v>
      </c>
      <c r="D8" s="53" t="s">
        <v>51</v>
      </c>
      <c r="E8" s="53" t="s">
        <v>201</v>
      </c>
      <c r="F8" s="53" t="s">
        <v>202</v>
      </c>
      <c r="G8" s="131" t="s">
        <v>3571</v>
      </c>
      <c r="H8" s="131" t="s">
        <v>30</v>
      </c>
      <c r="I8" s="69">
        <v>5</v>
      </c>
      <c r="J8" s="70">
        <v>725</v>
      </c>
      <c r="K8" s="54">
        <f t="shared" ref="K8:K41" si="0">I8*J8</f>
        <v>3625</v>
      </c>
      <c r="L8" s="55" t="b">
        <v>1</v>
      </c>
      <c r="M8" s="56">
        <v>10720251521</v>
      </c>
      <c r="N8" s="57" t="b">
        <v>1</v>
      </c>
      <c r="O8" s="58"/>
      <c r="P8" s="215"/>
      <c r="Q8" s="191" t="b">
        <v>1</v>
      </c>
      <c r="R8" s="308" t="s">
        <v>3138</v>
      </c>
      <c r="S8" s="173" t="s">
        <v>5356</v>
      </c>
      <c r="T8" s="57" t="b">
        <v>1</v>
      </c>
      <c r="U8" s="310" t="s">
        <v>5357</v>
      </c>
      <c r="V8" s="307"/>
      <c r="W8" s="54"/>
    </row>
    <row r="9" spans="1:23" ht="16.5" customHeight="1">
      <c r="A9" s="18"/>
      <c r="B9" s="71" t="s">
        <v>5355</v>
      </c>
      <c r="C9" s="151" t="s">
        <v>4330</v>
      </c>
      <c r="D9" s="151" t="s">
        <v>212</v>
      </c>
      <c r="E9" s="151" t="s">
        <v>213</v>
      </c>
      <c r="F9" s="151" t="s">
        <v>2839</v>
      </c>
      <c r="G9" s="334" t="s">
        <v>1952</v>
      </c>
      <c r="H9" s="131" t="s">
        <v>30</v>
      </c>
      <c r="I9" s="334">
        <v>10</v>
      </c>
      <c r="J9" s="335">
        <v>650</v>
      </c>
      <c r="K9" s="54">
        <f t="shared" si="0"/>
        <v>6500</v>
      </c>
      <c r="L9" s="55" t="b">
        <v>1</v>
      </c>
      <c r="M9" s="56">
        <v>10720251521</v>
      </c>
      <c r="N9" s="57" t="b">
        <v>1</v>
      </c>
      <c r="O9" s="58" t="s">
        <v>39</v>
      </c>
      <c r="P9" s="226">
        <v>45839</v>
      </c>
      <c r="Q9" s="191" t="b">
        <v>1</v>
      </c>
      <c r="R9" s="308" t="s">
        <v>3138</v>
      </c>
      <c r="S9" s="337"/>
      <c r="T9" s="57" t="b">
        <v>1</v>
      </c>
      <c r="U9" s="310" t="s">
        <v>5358</v>
      </c>
      <c r="V9" s="307"/>
      <c r="W9" s="54"/>
    </row>
    <row r="10" spans="1:23" ht="16.5" customHeight="1">
      <c r="A10" s="18"/>
      <c r="B10" s="71" t="s">
        <v>5355</v>
      </c>
      <c r="C10" s="151" t="s">
        <v>4095</v>
      </c>
      <c r="D10" s="151" t="s">
        <v>345</v>
      </c>
      <c r="E10" s="151" t="s">
        <v>342</v>
      </c>
      <c r="F10" s="151" t="s">
        <v>927</v>
      </c>
      <c r="G10" s="340" t="s">
        <v>308</v>
      </c>
      <c r="H10" s="131" t="s">
        <v>30</v>
      </c>
      <c r="I10" s="151">
        <v>2</v>
      </c>
      <c r="J10" s="364">
        <v>895</v>
      </c>
      <c r="K10" s="54">
        <f t="shared" si="0"/>
        <v>1790</v>
      </c>
      <c r="L10" s="55" t="b">
        <v>1</v>
      </c>
      <c r="M10" s="409">
        <v>10720251527</v>
      </c>
      <c r="N10" s="57" t="b">
        <v>1</v>
      </c>
      <c r="O10" s="58"/>
      <c r="P10" s="226"/>
      <c r="Q10" s="191" t="b">
        <v>1</v>
      </c>
      <c r="R10" s="308" t="s">
        <v>3138</v>
      </c>
      <c r="S10" s="173" t="s">
        <v>5359</v>
      </c>
      <c r="T10" s="57" t="b">
        <v>1</v>
      </c>
      <c r="U10" s="310" t="s">
        <v>5360</v>
      </c>
      <c r="V10" s="307"/>
      <c r="W10" s="54"/>
    </row>
    <row r="11" spans="1:23" ht="16">
      <c r="A11" s="162"/>
      <c r="B11" s="71" t="s">
        <v>5361</v>
      </c>
      <c r="C11" s="151" t="s">
        <v>4107</v>
      </c>
      <c r="D11" s="151" t="s">
        <v>282</v>
      </c>
      <c r="E11" s="151" t="s">
        <v>74</v>
      </c>
      <c r="F11" s="151" t="s">
        <v>365</v>
      </c>
      <c r="G11" s="131" t="s">
        <v>3571</v>
      </c>
      <c r="H11" s="131" t="s">
        <v>30</v>
      </c>
      <c r="I11" s="151">
        <v>5</v>
      </c>
      <c r="J11" s="335">
        <v>725</v>
      </c>
      <c r="K11" s="54">
        <f t="shared" si="0"/>
        <v>3625</v>
      </c>
      <c r="L11" s="55" t="b">
        <v>1</v>
      </c>
      <c r="M11" s="409">
        <v>20720251138</v>
      </c>
      <c r="N11" s="57" t="b">
        <v>1</v>
      </c>
      <c r="O11" s="58"/>
      <c r="P11" s="226"/>
      <c r="Q11" s="191" t="b">
        <v>1</v>
      </c>
      <c r="R11" s="308" t="s">
        <v>3138</v>
      </c>
      <c r="S11" s="173" t="s">
        <v>5362</v>
      </c>
      <c r="T11" s="57" t="b">
        <v>1</v>
      </c>
      <c r="U11" s="310" t="s">
        <v>5363</v>
      </c>
      <c r="V11" s="307"/>
      <c r="W11" s="54"/>
    </row>
    <row r="12" spans="1:23" ht="16">
      <c r="A12" s="162"/>
      <c r="B12" s="71" t="s">
        <v>5361</v>
      </c>
      <c r="C12" s="151" t="s">
        <v>4717</v>
      </c>
      <c r="D12" s="151" t="s">
        <v>51</v>
      </c>
      <c r="E12" s="151" t="s">
        <v>475</v>
      </c>
      <c r="F12" s="151" t="s">
        <v>3234</v>
      </c>
      <c r="G12" s="151" t="s">
        <v>1024</v>
      </c>
      <c r="H12" s="131" t="s">
        <v>30</v>
      </c>
      <c r="I12" s="151">
        <v>5</v>
      </c>
      <c r="J12" s="335">
        <v>175</v>
      </c>
      <c r="K12" s="54">
        <f t="shared" si="0"/>
        <v>875</v>
      </c>
      <c r="L12" s="55" t="b">
        <v>1</v>
      </c>
      <c r="M12" s="409">
        <v>20720251139</v>
      </c>
      <c r="N12" s="57" t="b">
        <v>1</v>
      </c>
      <c r="O12" s="58"/>
      <c r="P12" s="226"/>
      <c r="Q12" s="191" t="b">
        <v>1</v>
      </c>
      <c r="R12" s="308" t="s">
        <v>3138</v>
      </c>
      <c r="S12" s="173" t="s">
        <v>5364</v>
      </c>
      <c r="T12" s="57" t="b">
        <v>1</v>
      </c>
      <c r="U12" s="310" t="s">
        <v>5365</v>
      </c>
      <c r="V12" s="307"/>
      <c r="W12" s="54"/>
    </row>
    <row r="13" spans="1:23" ht="16">
      <c r="A13" s="162"/>
      <c r="B13" s="71" t="s">
        <v>5366</v>
      </c>
      <c r="C13" s="151" t="s">
        <v>4099</v>
      </c>
      <c r="D13" s="151" t="s">
        <v>51</v>
      </c>
      <c r="E13" s="151" t="s">
        <v>594</v>
      </c>
      <c r="F13" s="151" t="s">
        <v>595</v>
      </c>
      <c r="G13" s="151" t="s">
        <v>2501</v>
      </c>
      <c r="H13" s="131" t="s">
        <v>30</v>
      </c>
      <c r="I13" s="151">
        <v>1</v>
      </c>
      <c r="J13" s="335">
        <v>1500</v>
      </c>
      <c r="K13" s="54">
        <f t="shared" si="0"/>
        <v>1500</v>
      </c>
      <c r="L13" s="55" t="b">
        <v>1</v>
      </c>
      <c r="M13" s="409">
        <v>30720251029</v>
      </c>
      <c r="N13" s="57" t="b">
        <v>1</v>
      </c>
      <c r="O13" s="58"/>
      <c r="P13" s="215"/>
      <c r="Q13" s="191" t="b">
        <v>1</v>
      </c>
      <c r="R13" s="308" t="s">
        <v>3138</v>
      </c>
      <c r="S13" s="173" t="s">
        <v>5367</v>
      </c>
      <c r="T13" s="57" t="b">
        <v>1</v>
      </c>
      <c r="U13" s="310" t="s">
        <v>5368</v>
      </c>
      <c r="V13" s="307"/>
      <c r="W13" s="54"/>
    </row>
    <row r="14" spans="1:23" ht="16">
      <c r="A14" s="162"/>
      <c r="B14" s="71" t="s">
        <v>5366</v>
      </c>
      <c r="C14" s="151" t="s">
        <v>3472</v>
      </c>
      <c r="D14" s="151" t="s">
        <v>418</v>
      </c>
      <c r="E14" s="151" t="s">
        <v>5369</v>
      </c>
      <c r="F14" s="151" t="s">
        <v>3473</v>
      </c>
      <c r="G14" s="151" t="s">
        <v>4391</v>
      </c>
      <c r="H14" s="131" t="s">
        <v>30</v>
      </c>
      <c r="I14" s="151">
        <v>10</v>
      </c>
      <c r="J14" s="335">
        <v>650</v>
      </c>
      <c r="K14" s="54">
        <f t="shared" si="0"/>
        <v>6500</v>
      </c>
      <c r="L14" s="55" t="b">
        <v>1</v>
      </c>
      <c r="M14" s="409">
        <v>30720251728</v>
      </c>
      <c r="N14" s="57" t="b">
        <v>1</v>
      </c>
      <c r="O14" s="58" t="s">
        <v>39</v>
      </c>
      <c r="P14" s="226">
        <v>45842</v>
      </c>
      <c r="Q14" s="191" t="b">
        <v>1</v>
      </c>
      <c r="R14" s="308" t="s">
        <v>3138</v>
      </c>
      <c r="S14" s="337"/>
      <c r="T14" s="57" t="b">
        <v>1</v>
      </c>
      <c r="U14" s="310" t="s">
        <v>5370</v>
      </c>
      <c r="V14" s="307"/>
      <c r="W14" s="54"/>
    </row>
    <row r="15" spans="1:23" ht="14.25" customHeight="1">
      <c r="A15" s="162"/>
      <c r="B15" s="71" t="s">
        <v>5366</v>
      </c>
      <c r="C15" s="151" t="s">
        <v>3472</v>
      </c>
      <c r="D15" s="151" t="s">
        <v>418</v>
      </c>
      <c r="E15" s="151" t="s">
        <v>5369</v>
      </c>
      <c r="F15" s="151" t="s">
        <v>3473</v>
      </c>
      <c r="G15" s="151" t="s">
        <v>3683</v>
      </c>
      <c r="H15" s="131" t="s">
        <v>30</v>
      </c>
      <c r="I15" s="151">
        <v>10</v>
      </c>
      <c r="J15" s="335">
        <v>145</v>
      </c>
      <c r="K15" s="54">
        <f t="shared" si="0"/>
        <v>1450</v>
      </c>
      <c r="L15" s="55" t="b">
        <v>1</v>
      </c>
      <c r="M15" s="409">
        <v>30720251731</v>
      </c>
      <c r="N15" s="57" t="b">
        <v>1</v>
      </c>
      <c r="O15" s="58"/>
      <c r="P15" s="215"/>
      <c r="Q15" s="191" t="b">
        <v>1</v>
      </c>
      <c r="R15" s="308" t="s">
        <v>3138</v>
      </c>
      <c r="S15" s="337"/>
      <c r="T15" s="57" t="b">
        <v>1</v>
      </c>
      <c r="U15" s="310" t="s">
        <v>5371</v>
      </c>
      <c r="V15" s="307"/>
      <c r="W15" s="54"/>
    </row>
    <row r="16" spans="1:23" ht="16">
      <c r="A16" s="162"/>
      <c r="B16" s="71" t="s">
        <v>5366</v>
      </c>
      <c r="C16" s="151" t="s">
        <v>3487</v>
      </c>
      <c r="D16" s="151" t="s">
        <v>51</v>
      </c>
      <c r="E16" s="151" t="s">
        <v>89</v>
      </c>
      <c r="F16" s="151" t="s">
        <v>1872</v>
      </c>
      <c r="G16" s="151" t="s">
        <v>68</v>
      </c>
      <c r="H16" s="131" t="s">
        <v>30</v>
      </c>
      <c r="I16" s="151">
        <v>5</v>
      </c>
      <c r="J16" s="335">
        <v>2350</v>
      </c>
      <c r="K16" s="54">
        <f t="shared" si="0"/>
        <v>11750</v>
      </c>
      <c r="L16" s="55" t="b">
        <v>1</v>
      </c>
      <c r="M16" s="409" t="s">
        <v>529</v>
      </c>
      <c r="N16" s="57" t="b">
        <v>1</v>
      </c>
      <c r="O16" s="58"/>
      <c r="P16" s="339"/>
      <c r="Q16" s="191" t="b">
        <v>1</v>
      </c>
      <c r="R16" s="308" t="s">
        <v>3138</v>
      </c>
      <c r="S16" s="173" t="s">
        <v>5372</v>
      </c>
      <c r="T16" s="57" t="b">
        <v>1</v>
      </c>
      <c r="U16" s="310" t="s">
        <v>5373</v>
      </c>
      <c r="V16" s="307"/>
      <c r="W16" s="54"/>
    </row>
    <row r="17" spans="1:23" ht="16">
      <c r="A17" s="162"/>
      <c r="B17" s="71" t="s">
        <v>5366</v>
      </c>
      <c r="C17" s="151" t="s">
        <v>3487</v>
      </c>
      <c r="D17" s="151" t="s">
        <v>51</v>
      </c>
      <c r="E17" s="151" t="s">
        <v>89</v>
      </c>
      <c r="F17" s="151" t="s">
        <v>1872</v>
      </c>
      <c r="G17" s="151" t="s">
        <v>5374</v>
      </c>
      <c r="H17" s="131" t="s">
        <v>30</v>
      </c>
      <c r="I17" s="151">
        <v>2</v>
      </c>
      <c r="J17" s="335">
        <v>2100</v>
      </c>
      <c r="K17" s="54">
        <f t="shared" si="0"/>
        <v>4200</v>
      </c>
      <c r="L17" s="55" t="b">
        <v>1</v>
      </c>
      <c r="M17" s="409" t="s">
        <v>529</v>
      </c>
      <c r="N17" s="57" t="b">
        <v>1</v>
      </c>
      <c r="O17" s="58" t="s">
        <v>3300</v>
      </c>
      <c r="P17" s="226">
        <v>45855</v>
      </c>
      <c r="Q17" s="191" t="b">
        <v>1</v>
      </c>
      <c r="R17" s="308" t="s">
        <v>3138</v>
      </c>
      <c r="S17" s="173" t="s">
        <v>5375</v>
      </c>
      <c r="T17" s="57" t="b">
        <v>1</v>
      </c>
      <c r="U17" s="310" t="s">
        <v>5376</v>
      </c>
      <c r="V17" s="307"/>
      <c r="W17" s="54"/>
    </row>
    <row r="18" spans="1:23" ht="16">
      <c r="A18" s="162"/>
      <c r="B18" s="220" t="s">
        <v>5366</v>
      </c>
      <c r="C18" s="175" t="s">
        <v>4761</v>
      </c>
      <c r="D18" s="175" t="s">
        <v>26</v>
      </c>
      <c r="E18" s="175" t="s">
        <v>386</v>
      </c>
      <c r="F18" s="175" t="s">
        <v>2935</v>
      </c>
      <c r="G18" s="175" t="s">
        <v>5377</v>
      </c>
      <c r="H18" s="161" t="s">
        <v>30</v>
      </c>
      <c r="I18" s="175">
        <v>100</v>
      </c>
      <c r="J18" s="234">
        <v>270</v>
      </c>
      <c r="K18" s="235">
        <f t="shared" si="0"/>
        <v>27000</v>
      </c>
      <c r="L18" s="55" t="b">
        <v>1</v>
      </c>
      <c r="M18" s="409">
        <v>40720251017</v>
      </c>
      <c r="N18" s="57" t="b">
        <v>1</v>
      </c>
      <c r="O18" s="58"/>
      <c r="P18" s="226"/>
      <c r="Q18" s="191" t="b">
        <v>1</v>
      </c>
      <c r="R18" s="308" t="s">
        <v>3138</v>
      </c>
      <c r="S18" s="337"/>
      <c r="T18" s="57" t="b">
        <v>1</v>
      </c>
      <c r="U18" s="310" t="s">
        <v>5378</v>
      </c>
      <c r="V18" s="307" t="s">
        <v>5379</v>
      </c>
      <c r="W18" s="54"/>
    </row>
    <row r="19" spans="1:23" ht="16">
      <c r="A19" s="162"/>
      <c r="B19" s="71" t="s">
        <v>5366</v>
      </c>
      <c r="C19" s="151" t="s">
        <v>4761</v>
      </c>
      <c r="D19" s="151" t="s">
        <v>26</v>
      </c>
      <c r="E19" s="151" t="s">
        <v>386</v>
      </c>
      <c r="F19" s="151" t="s">
        <v>2935</v>
      </c>
      <c r="G19" s="151" t="s">
        <v>72</v>
      </c>
      <c r="H19" s="131" t="s">
        <v>30</v>
      </c>
      <c r="I19" s="151">
        <v>1</v>
      </c>
      <c r="J19" s="335">
        <v>1500</v>
      </c>
      <c r="K19" s="54">
        <f t="shared" si="0"/>
        <v>1500</v>
      </c>
      <c r="L19" s="55" t="b">
        <v>1</v>
      </c>
      <c r="M19" s="409">
        <v>40720251017</v>
      </c>
      <c r="N19" s="57" t="b">
        <v>1</v>
      </c>
      <c r="O19" s="58"/>
      <c r="P19" s="215"/>
      <c r="Q19" s="191" t="b">
        <v>1</v>
      </c>
      <c r="R19" s="308" t="s">
        <v>3138</v>
      </c>
      <c r="S19" s="337"/>
      <c r="T19" s="57" t="b">
        <v>1</v>
      </c>
      <c r="U19" s="310" t="s">
        <v>5380</v>
      </c>
      <c r="V19" s="307"/>
      <c r="W19" s="54"/>
    </row>
    <row r="20" spans="1:23" ht="16">
      <c r="A20" s="162"/>
      <c r="B20" s="71" t="s">
        <v>5366</v>
      </c>
      <c r="C20" s="151" t="s">
        <v>3476</v>
      </c>
      <c r="D20" s="151" t="s">
        <v>5381</v>
      </c>
      <c r="E20" s="151" t="s">
        <v>434</v>
      </c>
      <c r="F20" s="151" t="s">
        <v>1754</v>
      </c>
      <c r="G20" s="53" t="s">
        <v>1952</v>
      </c>
      <c r="H20" s="131" t="s">
        <v>30</v>
      </c>
      <c r="I20" s="151">
        <v>10</v>
      </c>
      <c r="J20" s="335">
        <v>650</v>
      </c>
      <c r="K20" s="54">
        <f t="shared" si="0"/>
        <v>6500</v>
      </c>
      <c r="L20" s="55" t="b">
        <v>1</v>
      </c>
      <c r="M20" s="409">
        <v>40720251129</v>
      </c>
      <c r="N20" s="57" t="b">
        <v>1</v>
      </c>
      <c r="O20" s="58" t="s">
        <v>39</v>
      </c>
      <c r="P20" s="226">
        <v>45842</v>
      </c>
      <c r="Q20" s="191" t="b">
        <v>1</v>
      </c>
      <c r="R20" s="308" t="s">
        <v>3138</v>
      </c>
      <c r="S20" s="337"/>
      <c r="T20" s="57" t="b">
        <v>1</v>
      </c>
      <c r="U20" s="310" t="s">
        <v>5382</v>
      </c>
      <c r="V20" s="307"/>
      <c r="W20" s="54"/>
    </row>
    <row r="21" spans="1:23" ht="16">
      <c r="A21" s="162"/>
      <c r="B21" s="71" t="s">
        <v>5366</v>
      </c>
      <c r="C21" s="151" t="s">
        <v>3476</v>
      </c>
      <c r="D21" s="151" t="s">
        <v>5381</v>
      </c>
      <c r="E21" s="151" t="s">
        <v>434</v>
      </c>
      <c r="F21" s="151" t="s">
        <v>1754</v>
      </c>
      <c r="G21" s="151" t="s">
        <v>5383</v>
      </c>
      <c r="H21" s="131" t="s">
        <v>30</v>
      </c>
      <c r="I21" s="151">
        <v>3</v>
      </c>
      <c r="J21" s="335">
        <v>165</v>
      </c>
      <c r="K21" s="54">
        <f t="shared" si="0"/>
        <v>495</v>
      </c>
      <c r="L21" s="55" t="b">
        <v>1</v>
      </c>
      <c r="M21" s="409">
        <v>40720251129</v>
      </c>
      <c r="N21" s="57" t="b">
        <v>1</v>
      </c>
      <c r="O21" s="58"/>
      <c r="P21" s="226"/>
      <c r="Q21" s="191" t="b">
        <v>1</v>
      </c>
      <c r="R21" s="308" t="s">
        <v>3138</v>
      </c>
      <c r="S21" s="173" t="s">
        <v>5384</v>
      </c>
      <c r="T21" s="57" t="b">
        <v>1</v>
      </c>
      <c r="U21" s="310" t="s">
        <v>5385</v>
      </c>
      <c r="V21" s="307"/>
      <c r="W21" s="54"/>
    </row>
    <row r="22" spans="1:23" ht="16">
      <c r="A22" s="162"/>
      <c r="B22" s="71" t="s">
        <v>5366</v>
      </c>
      <c r="C22" s="151" t="s">
        <v>3552</v>
      </c>
      <c r="D22" s="151" t="s">
        <v>51</v>
      </c>
      <c r="E22" s="151" t="s">
        <v>66</v>
      </c>
      <c r="F22" s="151" t="s">
        <v>67</v>
      </c>
      <c r="G22" s="151" t="s">
        <v>68</v>
      </c>
      <c r="H22" s="131" t="s">
        <v>30</v>
      </c>
      <c r="I22" s="151">
        <v>3</v>
      </c>
      <c r="J22" s="335">
        <v>2350</v>
      </c>
      <c r="K22" s="54">
        <f t="shared" si="0"/>
        <v>7050</v>
      </c>
      <c r="L22" s="55" t="b">
        <v>1</v>
      </c>
      <c r="M22" s="409">
        <v>40720251258</v>
      </c>
      <c r="N22" s="57" t="b">
        <v>1</v>
      </c>
      <c r="O22" s="58"/>
      <c r="P22" s="226"/>
      <c r="Q22" s="191" t="b">
        <v>1</v>
      </c>
      <c r="R22" s="308" t="s">
        <v>3138</v>
      </c>
      <c r="S22" s="173" t="s">
        <v>5386</v>
      </c>
      <c r="T22" s="57" t="b">
        <v>1</v>
      </c>
      <c r="U22" s="310" t="s">
        <v>5387</v>
      </c>
      <c r="V22" s="307"/>
      <c r="W22" s="54"/>
    </row>
    <row r="23" spans="1:23" ht="16">
      <c r="A23" s="162"/>
      <c r="B23" s="71" t="s">
        <v>5366</v>
      </c>
      <c r="C23" s="151" t="s">
        <v>4958</v>
      </c>
      <c r="D23" s="151" t="s">
        <v>51</v>
      </c>
      <c r="E23" s="151" t="s">
        <v>66</v>
      </c>
      <c r="F23" s="151" t="s">
        <v>67</v>
      </c>
      <c r="G23" s="151" t="s">
        <v>1024</v>
      </c>
      <c r="H23" s="131" t="s">
        <v>30</v>
      </c>
      <c r="I23" s="151">
        <v>5</v>
      </c>
      <c r="J23" s="335">
        <v>165</v>
      </c>
      <c r="K23" s="54">
        <f t="shared" si="0"/>
        <v>825</v>
      </c>
      <c r="L23" s="55" t="b">
        <v>1</v>
      </c>
      <c r="M23" s="409">
        <v>40720251300</v>
      </c>
      <c r="N23" s="57" t="b">
        <v>1</v>
      </c>
      <c r="O23" s="58"/>
      <c r="P23" s="215"/>
      <c r="Q23" s="191" t="b">
        <v>1</v>
      </c>
      <c r="R23" s="308" t="s">
        <v>3138</v>
      </c>
      <c r="S23" s="173" t="s">
        <v>5386</v>
      </c>
      <c r="T23" s="57" t="b">
        <v>1</v>
      </c>
      <c r="U23" s="310" t="s">
        <v>5387</v>
      </c>
      <c r="V23" s="307"/>
      <c r="W23" s="54"/>
    </row>
    <row r="24" spans="1:23" ht="16">
      <c r="A24" s="162"/>
      <c r="B24" s="132" t="s">
        <v>5366</v>
      </c>
      <c r="C24" s="53" t="s">
        <v>3632</v>
      </c>
      <c r="D24" s="53" t="s">
        <v>104</v>
      </c>
      <c r="E24" s="53" t="s">
        <v>486</v>
      </c>
      <c r="F24" s="53" t="s">
        <v>241</v>
      </c>
      <c r="G24" s="151" t="s">
        <v>68</v>
      </c>
      <c r="H24" s="131" t="s">
        <v>30</v>
      </c>
      <c r="I24" s="151">
        <v>3</v>
      </c>
      <c r="J24" s="335">
        <v>2350</v>
      </c>
      <c r="K24" s="54">
        <f t="shared" si="0"/>
        <v>7050</v>
      </c>
      <c r="L24" s="55" t="b">
        <v>1</v>
      </c>
      <c r="M24" s="409">
        <v>40720261507</v>
      </c>
      <c r="N24" s="57" t="b">
        <v>1</v>
      </c>
      <c r="O24" s="58"/>
      <c r="P24" s="215"/>
      <c r="Q24" s="191" t="b">
        <v>1</v>
      </c>
      <c r="R24" s="308" t="s">
        <v>3138</v>
      </c>
      <c r="S24" s="173" t="s">
        <v>5388</v>
      </c>
      <c r="T24" s="57" t="b">
        <v>1</v>
      </c>
      <c r="U24" s="310" t="s">
        <v>5389</v>
      </c>
      <c r="V24" s="307"/>
      <c r="W24" s="54"/>
    </row>
    <row r="25" spans="1:23" ht="16">
      <c r="A25" s="162"/>
      <c r="B25" s="132" t="s">
        <v>5390</v>
      </c>
      <c r="C25" s="53" t="s">
        <v>4135</v>
      </c>
      <c r="D25" s="53" t="s">
        <v>26</v>
      </c>
      <c r="E25" s="53" t="s">
        <v>27</v>
      </c>
      <c r="F25" s="53" t="s">
        <v>28</v>
      </c>
      <c r="G25" s="151" t="s">
        <v>1952</v>
      </c>
      <c r="H25" s="131" t="s">
        <v>30</v>
      </c>
      <c r="I25" s="151">
        <v>10</v>
      </c>
      <c r="J25" s="335">
        <v>650</v>
      </c>
      <c r="K25" s="54">
        <f t="shared" si="0"/>
        <v>6500</v>
      </c>
      <c r="L25" s="55" t="b">
        <v>1</v>
      </c>
      <c r="M25" s="409">
        <v>40720251815</v>
      </c>
      <c r="N25" s="57" t="b">
        <v>1</v>
      </c>
      <c r="O25" s="58" t="s">
        <v>39</v>
      </c>
      <c r="P25" s="226">
        <v>45843</v>
      </c>
      <c r="Q25" s="191" t="b">
        <v>1</v>
      </c>
      <c r="R25" s="308" t="s">
        <v>3138</v>
      </c>
      <c r="S25" s="337"/>
      <c r="T25" s="57" t="b">
        <v>1</v>
      </c>
      <c r="U25" s="310" t="s">
        <v>5391</v>
      </c>
      <c r="V25" s="307"/>
      <c r="W25" s="54"/>
    </row>
    <row r="26" spans="1:23" ht="16">
      <c r="A26" s="162"/>
      <c r="B26" s="132" t="s">
        <v>5390</v>
      </c>
      <c r="C26" s="53" t="s">
        <v>4135</v>
      </c>
      <c r="D26" s="53" t="s">
        <v>26</v>
      </c>
      <c r="E26" s="53" t="s">
        <v>27</v>
      </c>
      <c r="F26" s="53" t="s">
        <v>28</v>
      </c>
      <c r="G26" s="151" t="s">
        <v>3571</v>
      </c>
      <c r="H26" s="131" t="s">
        <v>30</v>
      </c>
      <c r="I26" s="151">
        <v>5</v>
      </c>
      <c r="J26" s="335">
        <v>725</v>
      </c>
      <c r="K26" s="54">
        <f t="shared" si="0"/>
        <v>3625</v>
      </c>
      <c r="L26" s="55" t="b">
        <v>1</v>
      </c>
      <c r="M26" s="409">
        <v>40720251815</v>
      </c>
      <c r="N26" s="57" t="b">
        <v>1</v>
      </c>
      <c r="O26" s="58"/>
      <c r="P26" s="215"/>
      <c r="Q26" s="191" t="b">
        <v>1</v>
      </c>
      <c r="R26" s="308" t="s">
        <v>3138</v>
      </c>
      <c r="S26" s="173" t="s">
        <v>5392</v>
      </c>
      <c r="T26" s="57" t="b">
        <v>1</v>
      </c>
      <c r="U26" s="310" t="s">
        <v>5393</v>
      </c>
      <c r="V26" s="307"/>
      <c r="W26" s="54"/>
    </row>
    <row r="27" spans="1:23" ht="13.5" customHeight="1">
      <c r="A27" s="162"/>
      <c r="B27" s="132" t="s">
        <v>5390</v>
      </c>
      <c r="C27" s="53" t="s">
        <v>4135</v>
      </c>
      <c r="D27" s="53" t="s">
        <v>26</v>
      </c>
      <c r="E27" s="53" t="s">
        <v>27</v>
      </c>
      <c r="F27" s="53" t="s">
        <v>28</v>
      </c>
      <c r="G27" s="151" t="s">
        <v>58</v>
      </c>
      <c r="H27" s="131" t="s">
        <v>30</v>
      </c>
      <c r="I27" s="151">
        <v>168</v>
      </c>
      <c r="J27" s="335">
        <v>42.5</v>
      </c>
      <c r="K27" s="54">
        <f t="shared" si="0"/>
        <v>7140</v>
      </c>
      <c r="L27" s="55" t="b">
        <v>1</v>
      </c>
      <c r="M27" s="409">
        <v>40720251815</v>
      </c>
      <c r="N27" s="57" t="b">
        <v>1</v>
      </c>
      <c r="O27" s="58"/>
      <c r="P27" s="215"/>
      <c r="Q27" s="191" t="b">
        <v>1</v>
      </c>
      <c r="R27" s="308" t="s">
        <v>3138</v>
      </c>
      <c r="S27" s="173" t="s">
        <v>5392</v>
      </c>
      <c r="T27" s="57" t="b">
        <v>1</v>
      </c>
      <c r="U27" s="310" t="s">
        <v>5393</v>
      </c>
      <c r="V27" s="307"/>
      <c r="W27" s="54"/>
    </row>
    <row r="28" spans="1:23" ht="16">
      <c r="A28" s="162"/>
      <c r="B28" s="71" t="s">
        <v>5390</v>
      </c>
      <c r="C28" s="151" t="s">
        <v>4281</v>
      </c>
      <c r="D28" s="151" t="s">
        <v>108</v>
      </c>
      <c r="E28" s="151" t="s">
        <v>109</v>
      </c>
      <c r="F28" s="151" t="s">
        <v>110</v>
      </c>
      <c r="G28" s="410" t="s">
        <v>5394</v>
      </c>
      <c r="H28" s="131" t="s">
        <v>30</v>
      </c>
      <c r="I28" s="151">
        <v>250</v>
      </c>
      <c r="J28" s="335">
        <v>3.95</v>
      </c>
      <c r="K28" s="54">
        <f t="shared" si="0"/>
        <v>987.5</v>
      </c>
      <c r="L28" s="55" t="b">
        <v>1</v>
      </c>
      <c r="M28" s="409">
        <v>40720251822</v>
      </c>
      <c r="N28" s="57" t="b">
        <v>1</v>
      </c>
      <c r="O28" s="58"/>
      <c r="P28" s="226"/>
      <c r="Q28" s="191" t="b">
        <v>1</v>
      </c>
      <c r="R28" s="308" t="s">
        <v>3138</v>
      </c>
      <c r="S28" s="173" t="s">
        <v>5395</v>
      </c>
      <c r="T28" s="57" t="b">
        <v>1</v>
      </c>
      <c r="U28" s="310" t="s">
        <v>5396</v>
      </c>
      <c r="V28" s="307"/>
      <c r="W28" s="54"/>
    </row>
    <row r="29" spans="1:23" ht="15.75" customHeight="1">
      <c r="A29" s="162"/>
      <c r="B29" s="132" t="s">
        <v>5397</v>
      </c>
      <c r="C29" s="151" t="s">
        <v>3458</v>
      </c>
      <c r="D29" s="151" t="s">
        <v>51</v>
      </c>
      <c r="E29" s="151" t="s">
        <v>201</v>
      </c>
      <c r="F29" s="151" t="s">
        <v>607</v>
      </c>
      <c r="G29" s="151" t="s">
        <v>1952</v>
      </c>
      <c r="H29" s="131" t="s">
        <v>30</v>
      </c>
      <c r="I29" s="151">
        <v>20</v>
      </c>
      <c r="J29" s="335">
        <v>650</v>
      </c>
      <c r="K29" s="54">
        <f t="shared" si="0"/>
        <v>13000</v>
      </c>
      <c r="L29" s="55" t="b">
        <v>1</v>
      </c>
      <c r="M29" s="409">
        <v>70720250900</v>
      </c>
      <c r="N29" s="57" t="b">
        <v>1</v>
      </c>
      <c r="O29" s="58" t="s">
        <v>39</v>
      </c>
      <c r="P29" s="215"/>
      <c r="Q29" s="191" t="b">
        <v>1</v>
      </c>
      <c r="R29" s="308" t="s">
        <v>3138</v>
      </c>
      <c r="S29" s="337"/>
      <c r="T29" s="57" t="b">
        <v>1</v>
      </c>
      <c r="U29" s="310" t="s">
        <v>5398</v>
      </c>
      <c r="V29" s="307"/>
      <c r="W29" s="54"/>
    </row>
    <row r="30" spans="1:23" ht="15.75" customHeight="1">
      <c r="A30" s="162"/>
      <c r="B30" s="132" t="s">
        <v>5397</v>
      </c>
      <c r="C30" s="151" t="s">
        <v>3458</v>
      </c>
      <c r="D30" s="151" t="s">
        <v>51</v>
      </c>
      <c r="E30" s="151" t="s">
        <v>201</v>
      </c>
      <c r="F30" s="151" t="s">
        <v>607</v>
      </c>
      <c r="G30" s="151" t="s">
        <v>68</v>
      </c>
      <c r="H30" s="131" t="s">
        <v>30</v>
      </c>
      <c r="I30" s="151">
        <v>2</v>
      </c>
      <c r="J30" s="335">
        <v>2350</v>
      </c>
      <c r="K30" s="54">
        <f t="shared" si="0"/>
        <v>4700</v>
      </c>
      <c r="L30" s="55" t="b">
        <v>1</v>
      </c>
      <c r="M30" s="409">
        <v>70720250900</v>
      </c>
      <c r="N30" s="57" t="b">
        <v>1</v>
      </c>
      <c r="O30" s="58"/>
      <c r="P30" s="215"/>
      <c r="Q30" s="191" t="b">
        <v>1</v>
      </c>
      <c r="R30" s="308" t="s">
        <v>3138</v>
      </c>
      <c r="S30" s="173" t="s">
        <v>5399</v>
      </c>
      <c r="T30" s="57" t="b">
        <v>1</v>
      </c>
      <c r="U30" s="310" t="s">
        <v>5400</v>
      </c>
      <c r="V30" s="307"/>
      <c r="W30" s="54"/>
    </row>
    <row r="31" spans="1:23" ht="15.75" customHeight="1">
      <c r="A31" s="162"/>
      <c r="B31" s="132" t="s">
        <v>5397</v>
      </c>
      <c r="C31" s="151" t="s">
        <v>3458</v>
      </c>
      <c r="D31" s="151" t="s">
        <v>51</v>
      </c>
      <c r="E31" s="151" t="s">
        <v>201</v>
      </c>
      <c r="F31" s="151" t="s">
        <v>607</v>
      </c>
      <c r="G31" s="151" t="s">
        <v>436</v>
      </c>
      <c r="H31" s="131" t="s">
        <v>30</v>
      </c>
      <c r="I31" s="151">
        <v>50</v>
      </c>
      <c r="J31" s="335">
        <v>270</v>
      </c>
      <c r="K31" s="54">
        <f t="shared" si="0"/>
        <v>13500</v>
      </c>
      <c r="L31" s="55" t="b">
        <v>1</v>
      </c>
      <c r="M31" s="409">
        <v>70720250900</v>
      </c>
      <c r="N31" s="57" t="b">
        <v>1</v>
      </c>
      <c r="O31" s="58"/>
      <c r="P31" s="226"/>
      <c r="Q31" s="191" t="b">
        <v>1</v>
      </c>
      <c r="R31" s="308" t="s">
        <v>3138</v>
      </c>
      <c r="S31" s="173" t="s">
        <v>5401</v>
      </c>
      <c r="T31" s="57" t="b">
        <v>1</v>
      </c>
      <c r="U31" s="310" t="s">
        <v>5402</v>
      </c>
      <c r="V31" s="307"/>
      <c r="W31" s="54"/>
    </row>
    <row r="32" spans="1:23" ht="15.75" customHeight="1">
      <c r="A32" s="162"/>
      <c r="B32" s="132" t="s">
        <v>5397</v>
      </c>
      <c r="C32" s="151" t="s">
        <v>3451</v>
      </c>
      <c r="D32" s="151" t="s">
        <v>397</v>
      </c>
      <c r="E32" s="151" t="s">
        <v>3452</v>
      </c>
      <c r="F32" s="151" t="s">
        <v>5403</v>
      </c>
      <c r="G32" s="151" t="s">
        <v>5404</v>
      </c>
      <c r="H32" s="131" t="s">
        <v>30</v>
      </c>
      <c r="I32" s="151">
        <v>600</v>
      </c>
      <c r="J32" s="335">
        <v>22.5</v>
      </c>
      <c r="K32" s="54">
        <f t="shared" si="0"/>
        <v>13500</v>
      </c>
      <c r="L32" s="55" t="b">
        <v>1</v>
      </c>
      <c r="M32" s="409">
        <v>70720251108</v>
      </c>
      <c r="N32" s="57" t="b">
        <v>1</v>
      </c>
      <c r="O32" s="58"/>
      <c r="P32" s="226"/>
      <c r="Q32" s="191" t="b">
        <v>1</v>
      </c>
      <c r="R32" s="308" t="s">
        <v>3138</v>
      </c>
      <c r="S32" s="173" t="s">
        <v>5405</v>
      </c>
      <c r="T32" s="57" t="b">
        <v>1</v>
      </c>
      <c r="U32" s="310" t="s">
        <v>5406</v>
      </c>
      <c r="V32" s="307"/>
      <c r="W32" s="54"/>
    </row>
    <row r="33" spans="1:23" ht="15.75" customHeight="1">
      <c r="A33" s="162"/>
      <c r="B33" s="71" t="s">
        <v>5397</v>
      </c>
      <c r="C33" s="151" t="s">
        <v>3472</v>
      </c>
      <c r="D33" s="151" t="s">
        <v>418</v>
      </c>
      <c r="E33" s="151" t="s">
        <v>84</v>
      </c>
      <c r="F33" s="151" t="s">
        <v>3069</v>
      </c>
      <c r="G33" s="151" t="s">
        <v>5407</v>
      </c>
      <c r="H33" s="131" t="s">
        <v>30</v>
      </c>
      <c r="I33" s="151">
        <v>7</v>
      </c>
      <c r="J33" s="335">
        <v>875</v>
      </c>
      <c r="K33" s="54">
        <f t="shared" si="0"/>
        <v>6125</v>
      </c>
      <c r="L33" s="55" t="b">
        <v>1</v>
      </c>
      <c r="M33" s="409">
        <v>70720251411</v>
      </c>
      <c r="N33" s="57" t="b">
        <v>1</v>
      </c>
      <c r="O33" s="58"/>
      <c r="P33" s="226"/>
      <c r="Q33" s="191" t="b">
        <v>1</v>
      </c>
      <c r="R33" s="308" t="s">
        <v>3138</v>
      </c>
      <c r="S33" s="337"/>
      <c r="T33" s="57" t="b">
        <v>1</v>
      </c>
      <c r="U33" s="310" t="s">
        <v>5408</v>
      </c>
      <c r="V33" s="307"/>
      <c r="W33" s="54"/>
    </row>
    <row r="34" spans="1:23" ht="15.75" customHeight="1">
      <c r="A34" s="162"/>
      <c r="B34" s="71" t="s">
        <v>5397</v>
      </c>
      <c r="C34" s="151" t="s">
        <v>3472</v>
      </c>
      <c r="D34" s="151" t="s">
        <v>418</v>
      </c>
      <c r="E34" s="151" t="s">
        <v>84</v>
      </c>
      <c r="F34" s="151" t="s">
        <v>3069</v>
      </c>
      <c r="G34" s="53" t="s">
        <v>1024</v>
      </c>
      <c r="H34" s="131" t="s">
        <v>30</v>
      </c>
      <c r="I34" s="53">
        <v>10</v>
      </c>
      <c r="J34" s="188">
        <v>175</v>
      </c>
      <c r="K34" s="54">
        <f t="shared" si="0"/>
        <v>1750</v>
      </c>
      <c r="L34" s="55" t="b">
        <v>1</v>
      </c>
      <c r="M34" s="409">
        <v>70720251411</v>
      </c>
      <c r="N34" s="57" t="b">
        <v>1</v>
      </c>
      <c r="O34" s="58"/>
      <c r="P34" s="226"/>
      <c r="Q34" s="191" t="b">
        <v>1</v>
      </c>
      <c r="R34" s="308" t="s">
        <v>3138</v>
      </c>
      <c r="S34" s="173" t="s">
        <v>5409</v>
      </c>
      <c r="T34" s="57" t="b">
        <v>1</v>
      </c>
      <c r="U34" s="310" t="s">
        <v>5410</v>
      </c>
      <c r="V34" s="307"/>
      <c r="W34" s="54"/>
    </row>
    <row r="35" spans="1:23" ht="15.75" customHeight="1">
      <c r="A35" s="162"/>
      <c r="B35" s="71" t="s">
        <v>5397</v>
      </c>
      <c r="C35" s="151" t="s">
        <v>3632</v>
      </c>
      <c r="D35" s="151" t="s">
        <v>104</v>
      </c>
      <c r="E35" s="151" t="s">
        <v>486</v>
      </c>
      <c r="F35" s="151" t="s">
        <v>241</v>
      </c>
      <c r="G35" s="53" t="s">
        <v>5411</v>
      </c>
      <c r="H35" s="131" t="s">
        <v>30</v>
      </c>
      <c r="I35" s="53">
        <v>2</v>
      </c>
      <c r="J35" s="188">
        <v>2100</v>
      </c>
      <c r="K35" s="54">
        <f t="shared" si="0"/>
        <v>4200</v>
      </c>
      <c r="L35" s="55" t="b">
        <v>1</v>
      </c>
      <c r="M35" s="409">
        <v>70720251417</v>
      </c>
      <c r="N35" s="57" t="b">
        <v>1</v>
      </c>
      <c r="O35" s="58"/>
      <c r="P35" s="215"/>
      <c r="Q35" s="191" t="b">
        <v>1</v>
      </c>
      <c r="R35" s="308" t="s">
        <v>3138</v>
      </c>
      <c r="S35" s="173" t="s">
        <v>5412</v>
      </c>
      <c r="T35" s="57" t="b">
        <v>1</v>
      </c>
      <c r="U35" s="310" t="s">
        <v>5413</v>
      </c>
      <c r="V35" s="307"/>
      <c r="W35" s="54"/>
    </row>
    <row r="36" spans="1:23" ht="15.75" customHeight="1">
      <c r="A36" s="162"/>
      <c r="B36" s="71" t="s">
        <v>5397</v>
      </c>
      <c r="C36" s="151" t="s">
        <v>3713</v>
      </c>
      <c r="D36" s="151" t="s">
        <v>26</v>
      </c>
      <c r="E36" s="151" t="s">
        <v>220</v>
      </c>
      <c r="F36" s="151" t="s">
        <v>221</v>
      </c>
      <c r="G36" s="151" t="s">
        <v>5272</v>
      </c>
      <c r="H36" s="131" t="s">
        <v>30</v>
      </c>
      <c r="I36" s="53">
        <v>5</v>
      </c>
      <c r="J36" s="188">
        <v>250</v>
      </c>
      <c r="K36" s="54">
        <f t="shared" si="0"/>
        <v>1250</v>
      </c>
      <c r="L36" s="55" t="b">
        <v>1</v>
      </c>
      <c r="M36" s="409">
        <v>70720251651</v>
      </c>
      <c r="N36" s="57" t="b">
        <v>1</v>
      </c>
      <c r="O36" s="58" t="s">
        <v>529</v>
      </c>
      <c r="P36" s="226"/>
      <c r="Q36" s="191" t="b">
        <v>1</v>
      </c>
      <c r="R36" s="308" t="s">
        <v>3138</v>
      </c>
      <c r="S36" s="337"/>
      <c r="T36" s="57" t="b">
        <v>1</v>
      </c>
      <c r="U36" s="310" t="s">
        <v>5414</v>
      </c>
      <c r="V36" s="307"/>
      <c r="W36" s="54"/>
    </row>
    <row r="37" spans="1:23" ht="16">
      <c r="A37" s="162"/>
      <c r="B37" s="71" t="s">
        <v>5397</v>
      </c>
      <c r="C37" s="151" t="s">
        <v>4717</v>
      </c>
      <c r="D37" s="151" t="s">
        <v>51</v>
      </c>
      <c r="E37" s="151" t="s">
        <v>475</v>
      </c>
      <c r="F37" s="151" t="s">
        <v>3234</v>
      </c>
      <c r="G37" s="151" t="s">
        <v>5415</v>
      </c>
      <c r="H37" s="131" t="s">
        <v>30</v>
      </c>
      <c r="I37" s="151">
        <v>2</v>
      </c>
      <c r="J37" s="335">
        <v>975</v>
      </c>
      <c r="K37" s="54">
        <f t="shared" si="0"/>
        <v>1950</v>
      </c>
      <c r="L37" s="55" t="b">
        <v>1</v>
      </c>
      <c r="M37" s="409">
        <v>70720251650</v>
      </c>
      <c r="N37" s="57" t="b">
        <v>1</v>
      </c>
      <c r="O37" s="58"/>
      <c r="P37" s="226"/>
      <c r="Q37" s="191" t="b">
        <v>1</v>
      </c>
      <c r="R37" s="308" t="s">
        <v>3138</v>
      </c>
      <c r="S37" s="173" t="s">
        <v>5416</v>
      </c>
      <c r="T37" s="57" t="b">
        <v>1</v>
      </c>
      <c r="U37" s="310" t="s">
        <v>5417</v>
      </c>
      <c r="V37" s="307"/>
      <c r="W37" s="54"/>
    </row>
    <row r="38" spans="1:23" ht="16">
      <c r="A38" s="162"/>
      <c r="B38" s="71" t="s">
        <v>5418</v>
      </c>
      <c r="C38" s="151" t="s">
        <v>4051</v>
      </c>
      <c r="D38" s="151" t="s">
        <v>418</v>
      </c>
      <c r="E38" s="151" t="s">
        <v>42</v>
      </c>
      <c r="F38" s="151" t="s">
        <v>209</v>
      </c>
      <c r="G38" s="151" t="s">
        <v>300</v>
      </c>
      <c r="H38" s="131" t="s">
        <v>30</v>
      </c>
      <c r="I38" s="151">
        <v>16</v>
      </c>
      <c r="J38" s="335">
        <v>150</v>
      </c>
      <c r="K38" s="54">
        <f t="shared" si="0"/>
        <v>2400</v>
      </c>
      <c r="L38" s="55" t="b">
        <v>1</v>
      </c>
      <c r="M38" s="409">
        <v>80720250936</v>
      </c>
      <c r="N38" s="57" t="b">
        <v>1</v>
      </c>
      <c r="O38" s="58"/>
      <c r="P38" s="226"/>
      <c r="Q38" s="191" t="b">
        <v>1</v>
      </c>
      <c r="R38" s="308" t="s">
        <v>3138</v>
      </c>
      <c r="S38" s="173" t="s">
        <v>5419</v>
      </c>
      <c r="T38" s="57" t="b">
        <v>1</v>
      </c>
      <c r="U38" s="310" t="s">
        <v>5420</v>
      </c>
      <c r="V38" s="307"/>
      <c r="W38" s="54"/>
    </row>
    <row r="39" spans="1:23" ht="16">
      <c r="A39" s="162"/>
      <c r="B39" s="71" t="s">
        <v>5418</v>
      </c>
      <c r="C39" s="151" t="s">
        <v>4717</v>
      </c>
      <c r="D39" s="151" t="s">
        <v>51</v>
      </c>
      <c r="E39" s="151" t="s">
        <v>335</v>
      </c>
      <c r="F39" s="151" t="s">
        <v>457</v>
      </c>
      <c r="G39" s="334" t="s">
        <v>5421</v>
      </c>
      <c r="H39" s="131" t="s">
        <v>30</v>
      </c>
      <c r="I39" s="151">
        <v>48</v>
      </c>
      <c r="J39" s="335">
        <v>60</v>
      </c>
      <c r="K39" s="54">
        <f t="shared" si="0"/>
        <v>2880</v>
      </c>
      <c r="L39" s="55" t="b">
        <v>1</v>
      </c>
      <c r="M39" s="409">
        <v>80720250949</v>
      </c>
      <c r="N39" s="57" t="b">
        <v>1</v>
      </c>
      <c r="O39" s="58"/>
      <c r="P39" s="215"/>
      <c r="Q39" s="191" t="b">
        <v>1</v>
      </c>
      <c r="R39" s="308" t="s">
        <v>3138</v>
      </c>
      <c r="S39" s="173" t="s">
        <v>5422</v>
      </c>
      <c r="T39" s="57" t="b">
        <v>1</v>
      </c>
      <c r="U39" s="310" t="s">
        <v>5423</v>
      </c>
      <c r="V39" s="307"/>
      <c r="W39" s="54"/>
    </row>
    <row r="40" spans="1:23" ht="16">
      <c r="A40" s="162"/>
      <c r="B40" s="71" t="s">
        <v>5418</v>
      </c>
      <c r="C40" s="151" t="s">
        <v>4717</v>
      </c>
      <c r="D40" s="151" t="s">
        <v>51</v>
      </c>
      <c r="E40" s="151" t="s">
        <v>335</v>
      </c>
      <c r="F40" s="151" t="s">
        <v>457</v>
      </c>
      <c r="G40" s="53" t="s">
        <v>5424</v>
      </c>
      <c r="H40" s="131" t="s">
        <v>30</v>
      </c>
      <c r="I40" s="151">
        <v>1</v>
      </c>
      <c r="J40" s="335">
        <v>15250</v>
      </c>
      <c r="K40" s="54">
        <f t="shared" si="0"/>
        <v>15250</v>
      </c>
      <c r="L40" s="55" t="b">
        <v>1</v>
      </c>
      <c r="M40" s="409">
        <v>80720250951</v>
      </c>
      <c r="N40" s="57" t="b">
        <v>1</v>
      </c>
      <c r="O40" s="58"/>
      <c r="P40" s="226"/>
      <c r="Q40" s="191" t="b">
        <v>1</v>
      </c>
      <c r="R40" s="308" t="s">
        <v>3138</v>
      </c>
      <c r="S40" s="337"/>
      <c r="T40" s="57" t="b">
        <v>1</v>
      </c>
      <c r="U40" s="310" t="s">
        <v>5425</v>
      </c>
      <c r="V40" s="307"/>
      <c r="W40" s="54"/>
    </row>
    <row r="41" spans="1:23" ht="16">
      <c r="A41" s="162"/>
      <c r="B41" s="71" t="s">
        <v>5418</v>
      </c>
      <c r="C41" s="151" t="s">
        <v>4717</v>
      </c>
      <c r="D41" s="151" t="s">
        <v>51</v>
      </c>
      <c r="E41" s="151" t="s">
        <v>335</v>
      </c>
      <c r="F41" s="151" t="s">
        <v>457</v>
      </c>
      <c r="G41" s="53" t="s">
        <v>5426</v>
      </c>
      <c r="H41" s="131" t="s">
        <v>30</v>
      </c>
      <c r="I41" s="151">
        <v>1</v>
      </c>
      <c r="J41" s="335">
        <v>10500</v>
      </c>
      <c r="K41" s="54">
        <f t="shared" si="0"/>
        <v>10500</v>
      </c>
      <c r="L41" s="55" t="b">
        <v>1</v>
      </c>
      <c r="M41" s="409">
        <v>80720250951</v>
      </c>
      <c r="N41" s="57" t="b">
        <v>1</v>
      </c>
      <c r="O41" s="58"/>
      <c r="P41" s="215"/>
      <c r="Q41" s="191" t="b">
        <v>1</v>
      </c>
      <c r="R41" s="308" t="s">
        <v>3138</v>
      </c>
      <c r="S41" s="173"/>
      <c r="T41" s="57" t="b">
        <v>1</v>
      </c>
      <c r="U41" s="310" t="s">
        <v>5425</v>
      </c>
      <c r="V41" s="307"/>
      <c r="W41" s="54"/>
    </row>
    <row r="42" spans="1:23" ht="16">
      <c r="A42" s="162"/>
      <c r="B42" s="71" t="s">
        <v>5418</v>
      </c>
      <c r="C42" s="151" t="s">
        <v>4717</v>
      </c>
      <c r="D42" s="151" t="s">
        <v>51</v>
      </c>
      <c r="E42" s="151" t="s">
        <v>335</v>
      </c>
      <c r="F42" s="151" t="s">
        <v>457</v>
      </c>
      <c r="G42" s="151" t="s">
        <v>5411</v>
      </c>
      <c r="H42" s="131" t="s">
        <v>30</v>
      </c>
      <c r="I42" s="151">
        <v>2</v>
      </c>
      <c r="J42" s="335">
        <v>2100</v>
      </c>
      <c r="K42" s="54">
        <v>4200</v>
      </c>
      <c r="L42" s="55" t="b">
        <v>1</v>
      </c>
      <c r="M42" s="409">
        <v>80720250952</v>
      </c>
      <c r="N42" s="57" t="b">
        <v>1</v>
      </c>
      <c r="O42" s="58"/>
      <c r="P42" s="215"/>
      <c r="Q42" s="191" t="b">
        <v>1</v>
      </c>
      <c r="R42" s="308" t="s">
        <v>3138</v>
      </c>
      <c r="S42" s="173" t="s">
        <v>5422</v>
      </c>
      <c r="T42" s="57" t="b">
        <v>1</v>
      </c>
      <c r="U42" s="310" t="s">
        <v>5423</v>
      </c>
      <c r="V42" s="307"/>
      <c r="W42" s="54"/>
    </row>
    <row r="43" spans="1:23" ht="16">
      <c r="A43" s="162"/>
      <c r="B43" s="71" t="s">
        <v>5418</v>
      </c>
      <c r="C43" s="151" t="s">
        <v>4717</v>
      </c>
      <c r="D43" s="151" t="s">
        <v>51</v>
      </c>
      <c r="E43" s="151" t="s">
        <v>335</v>
      </c>
      <c r="F43" s="151" t="s">
        <v>457</v>
      </c>
      <c r="G43" s="151" t="s">
        <v>5407</v>
      </c>
      <c r="H43" s="131" t="s">
        <v>30</v>
      </c>
      <c r="I43" s="151">
        <v>3</v>
      </c>
      <c r="J43" s="335">
        <v>875</v>
      </c>
      <c r="K43" s="54">
        <f t="shared" ref="K43:K114" si="1">I43*J43</f>
        <v>2625</v>
      </c>
      <c r="L43" s="55" t="b">
        <v>1</v>
      </c>
      <c r="M43" s="409">
        <v>80720250954</v>
      </c>
      <c r="N43" s="57" t="b">
        <v>1</v>
      </c>
      <c r="O43" s="58"/>
      <c r="P43" s="226"/>
      <c r="Q43" s="191" t="b">
        <v>1</v>
      </c>
      <c r="R43" s="308" t="s">
        <v>3138</v>
      </c>
      <c r="S43" s="173" t="s">
        <v>5427</v>
      </c>
      <c r="T43" s="57" t="b">
        <v>1</v>
      </c>
      <c r="U43" s="310" t="s">
        <v>5428</v>
      </c>
      <c r="V43" s="307"/>
      <c r="W43" s="54"/>
    </row>
    <row r="44" spans="1:23" ht="16">
      <c r="A44" s="162"/>
      <c r="B44" s="71" t="s">
        <v>5418</v>
      </c>
      <c r="C44" s="151" t="s">
        <v>3601</v>
      </c>
      <c r="D44" s="151" t="s">
        <v>523</v>
      </c>
      <c r="E44" s="151" t="s">
        <v>524</v>
      </c>
      <c r="F44" s="151" t="s">
        <v>525</v>
      </c>
      <c r="G44" s="151" t="s">
        <v>1952</v>
      </c>
      <c r="H44" s="131" t="s">
        <v>30</v>
      </c>
      <c r="I44" s="151">
        <v>10</v>
      </c>
      <c r="J44" s="335">
        <v>650</v>
      </c>
      <c r="K44" s="54">
        <f t="shared" si="1"/>
        <v>6500</v>
      </c>
      <c r="L44" s="55" t="b">
        <v>1</v>
      </c>
      <c r="M44" s="409">
        <v>80720250959</v>
      </c>
      <c r="N44" s="57" t="b">
        <v>1</v>
      </c>
      <c r="O44" s="58" t="s">
        <v>39</v>
      </c>
      <c r="P44" s="215" t="s">
        <v>5429</v>
      </c>
      <c r="Q44" s="191" t="b">
        <v>1</v>
      </c>
      <c r="R44" s="308" t="s">
        <v>3138</v>
      </c>
      <c r="S44" s="337"/>
      <c r="T44" s="57" t="b">
        <v>1</v>
      </c>
      <c r="U44" s="310" t="s">
        <v>5430</v>
      </c>
      <c r="V44" s="307"/>
      <c r="W44" s="54"/>
    </row>
    <row r="45" spans="1:23" ht="16">
      <c r="A45" s="162"/>
      <c r="B45" s="71" t="s">
        <v>5418</v>
      </c>
      <c r="C45" s="151" t="s">
        <v>4135</v>
      </c>
      <c r="D45" s="151" t="s">
        <v>26</v>
      </c>
      <c r="E45" s="151" t="s">
        <v>27</v>
      </c>
      <c r="F45" s="151" t="s">
        <v>28</v>
      </c>
      <c r="G45" s="151" t="s">
        <v>1952</v>
      </c>
      <c r="H45" s="131" t="s">
        <v>30</v>
      </c>
      <c r="I45" s="151">
        <v>10</v>
      </c>
      <c r="J45" s="335">
        <v>650</v>
      </c>
      <c r="K45" s="54">
        <f t="shared" si="1"/>
        <v>6500</v>
      </c>
      <c r="L45" s="55" t="b">
        <v>1</v>
      </c>
      <c r="M45" s="409">
        <v>80720251001</v>
      </c>
      <c r="N45" s="57" t="b">
        <v>1</v>
      </c>
      <c r="O45" s="58" t="s">
        <v>39</v>
      </c>
      <c r="P45" s="215" t="s">
        <v>5429</v>
      </c>
      <c r="Q45" s="191" t="b">
        <v>1</v>
      </c>
      <c r="R45" s="308" t="s">
        <v>3138</v>
      </c>
      <c r="S45" s="337"/>
      <c r="T45" s="57" t="b">
        <v>1</v>
      </c>
      <c r="U45" s="310" t="s">
        <v>5431</v>
      </c>
      <c r="V45" s="307"/>
      <c r="W45" s="54"/>
    </row>
    <row r="46" spans="1:23" ht="16">
      <c r="A46" s="162"/>
      <c r="B46" s="71" t="s">
        <v>5418</v>
      </c>
      <c r="C46" s="151" t="s">
        <v>3476</v>
      </c>
      <c r="D46" s="151" t="s">
        <v>5381</v>
      </c>
      <c r="E46" s="151" t="s">
        <v>434</v>
      </c>
      <c r="F46" s="151" t="s">
        <v>1754</v>
      </c>
      <c r="G46" s="151" t="s">
        <v>1024</v>
      </c>
      <c r="H46" s="131" t="s">
        <v>30</v>
      </c>
      <c r="I46" s="151">
        <v>10</v>
      </c>
      <c r="J46" s="335">
        <v>165</v>
      </c>
      <c r="K46" s="54">
        <f t="shared" si="1"/>
        <v>1650</v>
      </c>
      <c r="L46" s="55" t="b">
        <v>1</v>
      </c>
      <c r="M46" s="409">
        <v>80720251301</v>
      </c>
      <c r="N46" s="57" t="b">
        <v>1</v>
      </c>
      <c r="O46" s="58"/>
      <c r="P46" s="215"/>
      <c r="Q46" s="191" t="b">
        <v>1</v>
      </c>
      <c r="R46" s="308" t="s">
        <v>3138</v>
      </c>
      <c r="S46" s="173" t="s">
        <v>5432</v>
      </c>
      <c r="T46" s="57" t="b">
        <v>1</v>
      </c>
      <c r="U46" s="310" t="s">
        <v>5433</v>
      </c>
      <c r="V46" s="307"/>
      <c r="W46" s="54"/>
    </row>
    <row r="47" spans="1:23" ht="16">
      <c r="A47" s="162"/>
      <c r="B47" s="71" t="s">
        <v>5418</v>
      </c>
      <c r="C47" s="151" t="s">
        <v>3476</v>
      </c>
      <c r="D47" s="151" t="s">
        <v>5381</v>
      </c>
      <c r="E47" s="151" t="s">
        <v>434</v>
      </c>
      <c r="F47" s="151" t="s">
        <v>1754</v>
      </c>
      <c r="G47" s="151" t="s">
        <v>5434</v>
      </c>
      <c r="H47" s="131" t="s">
        <v>30</v>
      </c>
      <c r="I47" s="151">
        <v>5</v>
      </c>
      <c r="J47" s="335">
        <v>150</v>
      </c>
      <c r="K47" s="54">
        <f t="shared" si="1"/>
        <v>750</v>
      </c>
      <c r="L47" s="55" t="b">
        <v>1</v>
      </c>
      <c r="M47" s="409">
        <v>80720251303</v>
      </c>
      <c r="N47" s="57" t="b">
        <v>1</v>
      </c>
      <c r="O47" s="58"/>
      <c r="P47" s="215"/>
      <c r="Q47" s="191" t="b">
        <v>1</v>
      </c>
      <c r="R47" s="308" t="s">
        <v>3138</v>
      </c>
      <c r="S47" s="173" t="s">
        <v>5432</v>
      </c>
      <c r="T47" s="57" t="b">
        <v>1</v>
      </c>
      <c r="U47" s="310" t="s">
        <v>5433</v>
      </c>
      <c r="V47" s="307"/>
      <c r="W47" s="54"/>
    </row>
    <row r="48" spans="1:23" ht="16">
      <c r="A48" s="162">
        <v>66</v>
      </c>
      <c r="B48" s="71" t="s">
        <v>5418</v>
      </c>
      <c r="C48" s="151" t="s">
        <v>4149</v>
      </c>
      <c r="D48" s="151" t="s">
        <v>144</v>
      </c>
      <c r="E48" s="151" t="s">
        <v>122</v>
      </c>
      <c r="F48" s="151" t="s">
        <v>582</v>
      </c>
      <c r="G48" s="151" t="s">
        <v>5374</v>
      </c>
      <c r="H48" s="131" t="s">
        <v>30</v>
      </c>
      <c r="I48" s="151">
        <v>1</v>
      </c>
      <c r="J48" s="335">
        <v>2100</v>
      </c>
      <c r="K48" s="54">
        <f t="shared" si="1"/>
        <v>2100</v>
      </c>
      <c r="L48" s="55" t="b">
        <v>1</v>
      </c>
      <c r="M48" s="409">
        <v>80720251307</v>
      </c>
      <c r="N48" s="57" t="b">
        <v>1</v>
      </c>
      <c r="O48" s="58"/>
      <c r="P48" s="226">
        <v>45855</v>
      </c>
      <c r="Q48" s="191" t="b">
        <v>1</v>
      </c>
      <c r="R48" s="308" t="s">
        <v>3138</v>
      </c>
      <c r="S48" s="337"/>
      <c r="T48" s="57" t="b">
        <v>1</v>
      </c>
      <c r="U48" s="310" t="s">
        <v>5435</v>
      </c>
      <c r="V48" s="307"/>
      <c r="W48" s="54"/>
    </row>
    <row r="49" spans="1:23" ht="16">
      <c r="A49" s="162"/>
      <c r="B49" s="71" t="s">
        <v>5418</v>
      </c>
      <c r="C49" s="151" t="s">
        <v>4149</v>
      </c>
      <c r="D49" s="151" t="s">
        <v>144</v>
      </c>
      <c r="E49" s="151" t="s">
        <v>122</v>
      </c>
      <c r="F49" s="151" t="s">
        <v>582</v>
      </c>
      <c r="G49" s="151" t="s">
        <v>5411</v>
      </c>
      <c r="H49" s="131" t="s">
        <v>30</v>
      </c>
      <c r="I49" s="151">
        <v>1</v>
      </c>
      <c r="J49" s="335">
        <v>2100</v>
      </c>
      <c r="K49" s="54">
        <f t="shared" si="1"/>
        <v>2100</v>
      </c>
      <c r="L49" s="55" t="b">
        <v>1</v>
      </c>
      <c r="M49" s="409">
        <v>80720251311</v>
      </c>
      <c r="N49" s="57" t="b">
        <v>1</v>
      </c>
      <c r="O49" s="58"/>
      <c r="P49" s="215"/>
      <c r="Q49" s="191" t="b">
        <v>1</v>
      </c>
      <c r="R49" s="308" t="s">
        <v>3138</v>
      </c>
      <c r="S49" s="173" t="s">
        <v>5436</v>
      </c>
      <c r="T49" s="57" t="b">
        <v>1</v>
      </c>
      <c r="U49" s="310" t="s">
        <v>5437</v>
      </c>
      <c r="V49" s="307"/>
      <c r="W49" s="54"/>
    </row>
    <row r="50" spans="1:23" ht="16">
      <c r="A50" s="162"/>
      <c r="B50" s="71" t="s">
        <v>5418</v>
      </c>
      <c r="C50" s="151" t="s">
        <v>4149</v>
      </c>
      <c r="D50" s="151" t="s">
        <v>144</v>
      </c>
      <c r="E50" s="151" t="s">
        <v>122</v>
      </c>
      <c r="F50" s="151" t="s">
        <v>582</v>
      </c>
      <c r="G50" s="151" t="s">
        <v>68</v>
      </c>
      <c r="H50" s="131" t="s">
        <v>30</v>
      </c>
      <c r="I50" s="151">
        <v>1</v>
      </c>
      <c r="J50" s="335">
        <v>2350</v>
      </c>
      <c r="K50" s="54">
        <f t="shared" si="1"/>
        <v>2350</v>
      </c>
      <c r="L50" s="55" t="b">
        <v>1</v>
      </c>
      <c r="M50" s="409">
        <v>80720251312</v>
      </c>
      <c r="N50" s="57" t="b">
        <v>1</v>
      </c>
      <c r="O50" s="58"/>
      <c r="P50" s="215"/>
      <c r="Q50" s="191" t="b">
        <v>1</v>
      </c>
      <c r="R50" s="308" t="s">
        <v>3138</v>
      </c>
      <c r="S50" s="173" t="s">
        <v>5436</v>
      </c>
      <c r="T50" s="57" t="b">
        <v>1</v>
      </c>
      <c r="U50" s="310" t="s">
        <v>5437</v>
      </c>
      <c r="V50" s="307"/>
      <c r="W50" s="54"/>
    </row>
    <row r="51" spans="1:23" ht="16">
      <c r="A51" s="162"/>
      <c r="B51" s="71" t="s">
        <v>5429</v>
      </c>
      <c r="C51" s="151" t="s">
        <v>3487</v>
      </c>
      <c r="D51" s="151" t="s">
        <v>51</v>
      </c>
      <c r="E51" s="151" t="s">
        <v>89</v>
      </c>
      <c r="F51" s="151" t="s">
        <v>2090</v>
      </c>
      <c r="G51" s="151" t="s">
        <v>80</v>
      </c>
      <c r="H51" s="131" t="s">
        <v>30</v>
      </c>
      <c r="I51" s="334">
        <v>10</v>
      </c>
      <c r="J51" s="335">
        <v>300</v>
      </c>
      <c r="K51" s="54">
        <f t="shared" si="1"/>
        <v>3000</v>
      </c>
      <c r="L51" s="55" t="b">
        <v>1</v>
      </c>
      <c r="M51" s="409">
        <v>90720251136</v>
      </c>
      <c r="N51" s="57" t="b">
        <v>1</v>
      </c>
      <c r="O51" s="58"/>
      <c r="P51" s="215"/>
      <c r="Q51" s="191" t="b">
        <v>1</v>
      </c>
      <c r="R51" s="308" t="s">
        <v>3138</v>
      </c>
      <c r="S51" s="173" t="s">
        <v>5438</v>
      </c>
      <c r="T51" s="57" t="b">
        <v>1</v>
      </c>
      <c r="U51" s="310" t="s">
        <v>5439</v>
      </c>
      <c r="V51" s="307"/>
      <c r="W51" s="54"/>
    </row>
    <row r="52" spans="1:23" ht="16">
      <c r="A52" s="162"/>
      <c r="B52" s="71" t="s">
        <v>5429</v>
      </c>
      <c r="C52" s="151" t="s">
        <v>3487</v>
      </c>
      <c r="D52" s="151" t="s">
        <v>51</v>
      </c>
      <c r="E52" s="151" t="s">
        <v>89</v>
      </c>
      <c r="F52" s="151" t="s">
        <v>2090</v>
      </c>
      <c r="G52" s="151" t="s">
        <v>1181</v>
      </c>
      <c r="H52" s="131" t="s">
        <v>30</v>
      </c>
      <c r="I52" s="151">
        <v>10</v>
      </c>
      <c r="J52" s="335">
        <v>150</v>
      </c>
      <c r="K52" s="54">
        <f t="shared" si="1"/>
        <v>1500</v>
      </c>
      <c r="L52" s="55" t="b">
        <v>1</v>
      </c>
      <c r="M52" s="409">
        <v>90720251138</v>
      </c>
      <c r="N52" s="57" t="b">
        <v>1</v>
      </c>
      <c r="O52" s="58"/>
      <c r="P52" s="215"/>
      <c r="Q52" s="191" t="b">
        <v>1</v>
      </c>
      <c r="R52" s="308" t="s">
        <v>3138</v>
      </c>
      <c r="S52" s="173" t="s">
        <v>5438</v>
      </c>
      <c r="T52" s="57" t="b">
        <v>1</v>
      </c>
      <c r="U52" s="310" t="s">
        <v>5439</v>
      </c>
      <c r="V52" s="307"/>
      <c r="W52" s="54"/>
    </row>
    <row r="53" spans="1:23" ht="16">
      <c r="A53" s="162"/>
      <c r="B53" s="71" t="s">
        <v>5429</v>
      </c>
      <c r="C53" s="151" t="s">
        <v>4325</v>
      </c>
      <c r="D53" s="151" t="s">
        <v>98</v>
      </c>
      <c r="E53" s="151" t="s">
        <v>2296</v>
      </c>
      <c r="F53" s="151" t="s">
        <v>1279</v>
      </c>
      <c r="G53" s="131" t="s">
        <v>3571</v>
      </c>
      <c r="H53" s="131" t="s">
        <v>30</v>
      </c>
      <c r="I53" s="151">
        <v>5</v>
      </c>
      <c r="J53" s="335">
        <v>725</v>
      </c>
      <c r="K53" s="54">
        <f t="shared" si="1"/>
        <v>3625</v>
      </c>
      <c r="L53" s="55" t="b">
        <v>1</v>
      </c>
      <c r="M53" s="409">
        <v>90720251607</v>
      </c>
      <c r="N53" s="57" t="b">
        <v>1</v>
      </c>
      <c r="O53" s="58"/>
      <c r="P53" s="226"/>
      <c r="Q53" s="191" t="b">
        <v>1</v>
      </c>
      <c r="R53" s="308" t="s">
        <v>3138</v>
      </c>
      <c r="S53" s="173" t="s">
        <v>5440</v>
      </c>
      <c r="T53" s="57" t="b">
        <v>1</v>
      </c>
      <c r="U53" s="310" t="s">
        <v>5441</v>
      </c>
      <c r="V53" s="307"/>
      <c r="W53" s="54"/>
    </row>
    <row r="54" spans="1:23" ht="16">
      <c r="A54" s="162"/>
      <c r="B54" s="71" t="s">
        <v>5429</v>
      </c>
      <c r="C54" s="151" t="s">
        <v>4165</v>
      </c>
      <c r="D54" s="151" t="s">
        <v>104</v>
      </c>
      <c r="E54" s="151" t="s">
        <v>2273</v>
      </c>
      <c r="F54" s="151" t="s">
        <v>349</v>
      </c>
      <c r="G54" s="131" t="s">
        <v>3571</v>
      </c>
      <c r="H54" s="131" t="s">
        <v>30</v>
      </c>
      <c r="I54" s="151">
        <v>5</v>
      </c>
      <c r="J54" s="335">
        <v>725</v>
      </c>
      <c r="K54" s="54">
        <f t="shared" si="1"/>
        <v>3625</v>
      </c>
      <c r="L54" s="55" t="b">
        <v>1</v>
      </c>
      <c r="M54" s="409">
        <v>90720251607</v>
      </c>
      <c r="N54" s="57" t="b">
        <v>1</v>
      </c>
      <c r="O54" s="58"/>
      <c r="P54" s="215"/>
      <c r="Q54" s="191" t="b">
        <v>1</v>
      </c>
      <c r="R54" s="308" t="s">
        <v>3138</v>
      </c>
      <c r="S54" s="173" t="s">
        <v>5442</v>
      </c>
      <c r="T54" s="57" t="b">
        <v>1</v>
      </c>
      <c r="U54" s="310" t="s">
        <v>5443</v>
      </c>
      <c r="V54" s="307"/>
      <c r="W54" s="54"/>
    </row>
    <row r="55" spans="1:23" ht="16">
      <c r="A55" s="162"/>
      <c r="B55" s="71" t="s">
        <v>5429</v>
      </c>
      <c r="C55" s="151" t="s">
        <v>3541</v>
      </c>
      <c r="D55" s="151" t="s">
        <v>51</v>
      </c>
      <c r="E55" s="151" t="s">
        <v>372</v>
      </c>
      <c r="F55" s="151" t="s">
        <v>5444</v>
      </c>
      <c r="G55" s="131" t="s">
        <v>3571</v>
      </c>
      <c r="H55" s="131" t="s">
        <v>30</v>
      </c>
      <c r="I55" s="151">
        <v>5</v>
      </c>
      <c r="J55" s="335">
        <v>725</v>
      </c>
      <c r="K55" s="54">
        <f t="shared" si="1"/>
        <v>3625</v>
      </c>
      <c r="L55" s="55" t="b">
        <v>1</v>
      </c>
      <c r="M55" s="409">
        <v>90720251607</v>
      </c>
      <c r="N55" s="57" t="b">
        <v>1</v>
      </c>
      <c r="O55" s="58"/>
      <c r="P55" s="215"/>
      <c r="Q55" s="191" t="b">
        <v>1</v>
      </c>
      <c r="R55" s="308" t="s">
        <v>3138</v>
      </c>
      <c r="S55" s="173" t="s">
        <v>5445</v>
      </c>
      <c r="T55" s="57" t="b">
        <v>1</v>
      </c>
      <c r="U55" s="310" t="s">
        <v>5446</v>
      </c>
      <c r="V55" s="307"/>
      <c r="W55" s="54"/>
    </row>
    <row r="56" spans="1:23" ht="16">
      <c r="A56" s="162"/>
      <c r="B56" s="71" t="s">
        <v>5429</v>
      </c>
      <c r="C56" s="151" t="s">
        <v>4095</v>
      </c>
      <c r="D56" s="151" t="s">
        <v>345</v>
      </c>
      <c r="E56" s="151" t="s">
        <v>342</v>
      </c>
      <c r="F56" s="151" t="s">
        <v>2823</v>
      </c>
      <c r="G56" s="131" t="s">
        <v>3571</v>
      </c>
      <c r="H56" s="131" t="s">
        <v>30</v>
      </c>
      <c r="I56" s="151">
        <v>5</v>
      </c>
      <c r="J56" s="335">
        <v>725</v>
      </c>
      <c r="K56" s="54">
        <f t="shared" si="1"/>
        <v>3625</v>
      </c>
      <c r="L56" s="55" t="b">
        <v>1</v>
      </c>
      <c r="M56" s="409">
        <v>90720251607</v>
      </c>
      <c r="N56" s="57" t="b">
        <v>1</v>
      </c>
      <c r="O56" s="58"/>
      <c r="P56" s="215"/>
      <c r="Q56" s="191" t="b">
        <v>1</v>
      </c>
      <c r="R56" s="308" t="s">
        <v>3138</v>
      </c>
      <c r="S56" s="173" t="s">
        <v>5447</v>
      </c>
      <c r="T56" s="57" t="b">
        <v>1</v>
      </c>
      <c r="U56" s="310" t="s">
        <v>5448</v>
      </c>
      <c r="V56" s="307"/>
      <c r="W56" s="54"/>
    </row>
    <row r="57" spans="1:23" ht="16">
      <c r="A57" s="162"/>
      <c r="B57" s="71" t="s">
        <v>5429</v>
      </c>
      <c r="C57" s="151" t="s">
        <v>3568</v>
      </c>
      <c r="D57" s="151" t="s">
        <v>438</v>
      </c>
      <c r="E57" s="151" t="s">
        <v>883</v>
      </c>
      <c r="F57" s="151" t="s">
        <v>944</v>
      </c>
      <c r="G57" s="131" t="s">
        <v>3571</v>
      </c>
      <c r="H57" s="131" t="s">
        <v>30</v>
      </c>
      <c r="I57" s="151">
        <v>5</v>
      </c>
      <c r="J57" s="335">
        <v>725</v>
      </c>
      <c r="K57" s="54">
        <f t="shared" si="1"/>
        <v>3625</v>
      </c>
      <c r="L57" s="55" t="b">
        <v>1</v>
      </c>
      <c r="M57" s="409">
        <v>90720251629</v>
      </c>
      <c r="N57" s="57" t="b">
        <v>1</v>
      </c>
      <c r="O57" s="58"/>
      <c r="P57" s="226"/>
      <c r="Q57" s="191" t="b">
        <v>1</v>
      </c>
      <c r="R57" s="308" t="s">
        <v>3138</v>
      </c>
      <c r="S57" s="173" t="s">
        <v>5449</v>
      </c>
      <c r="T57" s="57" t="b">
        <v>1</v>
      </c>
      <c r="U57" s="310" t="s">
        <v>5450</v>
      </c>
      <c r="V57" s="307"/>
      <c r="W57" s="54"/>
    </row>
    <row r="58" spans="1:23" ht="14.25" customHeight="1">
      <c r="A58" s="162"/>
      <c r="B58" s="71" t="s">
        <v>5429</v>
      </c>
      <c r="C58" s="151" t="s">
        <v>3506</v>
      </c>
      <c r="D58" s="151" t="s">
        <v>55</v>
      </c>
      <c r="E58" s="151">
        <v>41</v>
      </c>
      <c r="F58" s="151" t="s">
        <v>3677</v>
      </c>
      <c r="G58" s="151" t="s">
        <v>236</v>
      </c>
      <c r="H58" s="131" t="s">
        <v>30</v>
      </c>
      <c r="I58" s="151">
        <v>6</v>
      </c>
      <c r="J58" s="335">
        <v>225</v>
      </c>
      <c r="K58" s="54">
        <f t="shared" si="1"/>
        <v>1350</v>
      </c>
      <c r="L58" s="55" t="b">
        <v>1</v>
      </c>
      <c r="M58" s="409">
        <v>90720251644</v>
      </c>
      <c r="N58" s="57" t="b">
        <v>1</v>
      </c>
      <c r="O58" s="58" t="s">
        <v>3300</v>
      </c>
      <c r="P58" s="215"/>
      <c r="Q58" s="191" t="b">
        <v>1</v>
      </c>
      <c r="R58" s="308" t="s">
        <v>3138</v>
      </c>
      <c r="S58" s="173" t="s">
        <v>5451</v>
      </c>
      <c r="T58" s="57" t="b">
        <v>1</v>
      </c>
      <c r="U58" s="310" t="s">
        <v>5452</v>
      </c>
      <c r="V58" s="307"/>
      <c r="W58" s="54"/>
    </row>
    <row r="59" spans="1:23" ht="16">
      <c r="A59" s="101"/>
      <c r="B59" s="71" t="s">
        <v>5429</v>
      </c>
      <c r="C59" s="151" t="s">
        <v>3506</v>
      </c>
      <c r="D59" s="151" t="s">
        <v>55</v>
      </c>
      <c r="E59" s="151">
        <v>41</v>
      </c>
      <c r="F59" s="151" t="s">
        <v>3677</v>
      </c>
      <c r="G59" s="53" t="s">
        <v>58</v>
      </c>
      <c r="H59" s="131" t="s">
        <v>30</v>
      </c>
      <c r="I59" s="151">
        <v>84</v>
      </c>
      <c r="J59" s="335">
        <v>42.5</v>
      </c>
      <c r="K59" s="54">
        <f t="shared" si="1"/>
        <v>3570</v>
      </c>
      <c r="L59" s="55" t="b">
        <v>1</v>
      </c>
      <c r="M59" s="409">
        <v>90720251652</v>
      </c>
      <c r="N59" s="57" t="b">
        <v>1</v>
      </c>
      <c r="O59" s="58"/>
      <c r="P59" s="215"/>
      <c r="Q59" s="191" t="b">
        <v>1</v>
      </c>
      <c r="R59" s="308" t="s">
        <v>3138</v>
      </c>
      <c r="S59" s="173" t="s">
        <v>5453</v>
      </c>
      <c r="T59" s="57" t="b">
        <v>1</v>
      </c>
      <c r="U59" s="310" t="s">
        <v>5454</v>
      </c>
      <c r="V59" s="307"/>
      <c r="W59" s="54"/>
    </row>
    <row r="60" spans="1:23" ht="16">
      <c r="A60" s="101"/>
      <c r="B60" s="71" t="s">
        <v>5455</v>
      </c>
      <c r="C60" s="151" t="s">
        <v>3487</v>
      </c>
      <c r="D60" s="151" t="s">
        <v>51</v>
      </c>
      <c r="E60" s="151" t="s">
        <v>89</v>
      </c>
      <c r="F60" s="151" t="s">
        <v>2090</v>
      </c>
      <c r="G60" s="151" t="s">
        <v>5407</v>
      </c>
      <c r="H60" s="131" t="s">
        <v>30</v>
      </c>
      <c r="I60" s="151">
        <v>5</v>
      </c>
      <c r="J60" s="335">
        <v>875</v>
      </c>
      <c r="K60" s="54">
        <f t="shared" si="1"/>
        <v>4375</v>
      </c>
      <c r="L60" s="55" t="b">
        <v>1</v>
      </c>
      <c r="M60" s="409">
        <v>100720251152</v>
      </c>
      <c r="N60" s="57" t="b">
        <v>1</v>
      </c>
      <c r="O60" s="58"/>
      <c r="P60" s="215"/>
      <c r="Q60" s="191" t="b">
        <v>1</v>
      </c>
      <c r="R60" s="308" t="s">
        <v>3138</v>
      </c>
      <c r="S60" s="173" t="s">
        <v>5456</v>
      </c>
      <c r="T60" s="57" t="b">
        <v>1</v>
      </c>
      <c r="U60" s="310" t="s">
        <v>5457</v>
      </c>
      <c r="V60" s="307"/>
      <c r="W60" s="54"/>
    </row>
    <row r="61" spans="1:23" ht="16">
      <c r="A61" s="162"/>
      <c r="B61" s="71" t="s">
        <v>5455</v>
      </c>
      <c r="C61" s="151" t="s">
        <v>3487</v>
      </c>
      <c r="D61" s="151" t="s">
        <v>51</v>
      </c>
      <c r="E61" s="151" t="s">
        <v>89</v>
      </c>
      <c r="F61" s="151" t="s">
        <v>2090</v>
      </c>
      <c r="G61" s="151" t="s">
        <v>1024</v>
      </c>
      <c r="H61" s="131" t="s">
        <v>30</v>
      </c>
      <c r="I61" s="151">
        <v>5</v>
      </c>
      <c r="J61" s="335">
        <v>165</v>
      </c>
      <c r="K61" s="54">
        <f t="shared" si="1"/>
        <v>825</v>
      </c>
      <c r="L61" s="55" t="b">
        <v>1</v>
      </c>
      <c r="M61" s="409">
        <v>100720251152</v>
      </c>
      <c r="N61" s="57" t="b">
        <v>1</v>
      </c>
      <c r="O61" s="58"/>
      <c r="P61" s="215"/>
      <c r="Q61" s="191" t="b">
        <v>1</v>
      </c>
      <c r="R61" s="308" t="s">
        <v>3138</v>
      </c>
      <c r="S61" s="173" t="s">
        <v>5458</v>
      </c>
      <c r="T61" s="57" t="b">
        <v>1</v>
      </c>
      <c r="U61" s="310" t="s">
        <v>5459</v>
      </c>
      <c r="V61" s="307"/>
      <c r="W61" s="54"/>
    </row>
    <row r="62" spans="1:23" ht="16">
      <c r="A62" s="162"/>
      <c r="B62" s="71" t="s">
        <v>5455</v>
      </c>
      <c r="C62" s="151" t="s">
        <v>3589</v>
      </c>
      <c r="D62" s="151" t="s">
        <v>397</v>
      </c>
      <c r="E62" s="151" t="s">
        <v>213</v>
      </c>
      <c r="F62" s="151" t="s">
        <v>859</v>
      </c>
      <c r="G62" s="53" t="s">
        <v>139</v>
      </c>
      <c r="H62" s="131" t="s">
        <v>30</v>
      </c>
      <c r="I62" s="151">
        <v>100</v>
      </c>
      <c r="J62" s="335">
        <v>30</v>
      </c>
      <c r="K62" s="54">
        <f t="shared" si="1"/>
        <v>3000</v>
      </c>
      <c r="L62" s="55" t="b">
        <v>1</v>
      </c>
      <c r="M62" s="409">
        <v>100720251439</v>
      </c>
      <c r="N62" s="57" t="b">
        <v>1</v>
      </c>
      <c r="O62" s="58"/>
      <c r="P62" s="226"/>
      <c r="Q62" s="191" t="b">
        <v>1</v>
      </c>
      <c r="R62" s="308" t="s">
        <v>3138</v>
      </c>
      <c r="S62" s="173" t="s">
        <v>5460</v>
      </c>
      <c r="T62" s="57" t="b">
        <v>1</v>
      </c>
      <c r="U62" s="310" t="s">
        <v>5461</v>
      </c>
      <c r="V62" s="307"/>
      <c r="W62" s="54"/>
    </row>
    <row r="63" spans="1:23" ht="16">
      <c r="A63" s="162"/>
      <c r="B63" s="71" t="s">
        <v>5455</v>
      </c>
      <c r="C63" s="151" t="s">
        <v>3589</v>
      </c>
      <c r="D63" s="151" t="s">
        <v>397</v>
      </c>
      <c r="E63" s="151" t="s">
        <v>213</v>
      </c>
      <c r="F63" s="151" t="s">
        <v>859</v>
      </c>
      <c r="G63" s="151" t="s">
        <v>5462</v>
      </c>
      <c r="H63" s="131" t="s">
        <v>30</v>
      </c>
      <c r="I63" s="151">
        <v>50</v>
      </c>
      <c r="J63" s="335">
        <v>135</v>
      </c>
      <c r="K63" s="54">
        <f t="shared" si="1"/>
        <v>6750</v>
      </c>
      <c r="L63" s="55" t="b">
        <v>1</v>
      </c>
      <c r="M63" s="409">
        <v>100720251439</v>
      </c>
      <c r="N63" s="57" t="b">
        <v>1</v>
      </c>
      <c r="O63" s="58" t="s">
        <v>2968</v>
      </c>
      <c r="P63" s="215"/>
      <c r="Q63" s="191" t="b">
        <v>1</v>
      </c>
      <c r="R63" s="308" t="s">
        <v>3138</v>
      </c>
      <c r="S63" s="173" t="s">
        <v>5460</v>
      </c>
      <c r="T63" s="57" t="b">
        <v>1</v>
      </c>
      <c r="U63" s="310" t="s">
        <v>5461</v>
      </c>
      <c r="V63" s="307"/>
      <c r="W63" s="54"/>
    </row>
    <row r="64" spans="1:23" ht="16">
      <c r="A64" s="162"/>
      <c r="B64" s="71" t="s">
        <v>5463</v>
      </c>
      <c r="C64" s="151" t="s">
        <v>3506</v>
      </c>
      <c r="D64" s="151" t="s">
        <v>55</v>
      </c>
      <c r="E64" s="151" t="s">
        <v>1987</v>
      </c>
      <c r="F64" s="151" t="s">
        <v>5464</v>
      </c>
      <c r="G64" s="151" t="s">
        <v>5465</v>
      </c>
      <c r="H64" s="131" t="s">
        <v>30</v>
      </c>
      <c r="I64" s="151">
        <v>10</v>
      </c>
      <c r="J64" s="335">
        <v>120</v>
      </c>
      <c r="K64" s="54">
        <f t="shared" si="1"/>
        <v>1200</v>
      </c>
      <c r="L64" s="55" t="b">
        <v>1</v>
      </c>
      <c r="M64" s="409">
        <v>110720250953</v>
      </c>
      <c r="N64" s="57" t="b">
        <v>1</v>
      </c>
      <c r="O64" s="58" t="s">
        <v>529</v>
      </c>
      <c r="P64" s="226"/>
      <c r="Q64" s="191" t="b">
        <v>1</v>
      </c>
      <c r="R64" s="308" t="s">
        <v>3138</v>
      </c>
      <c r="S64" s="337"/>
      <c r="T64" s="57" t="b">
        <v>1</v>
      </c>
      <c r="U64" s="310" t="s">
        <v>5466</v>
      </c>
      <c r="V64" s="307"/>
      <c r="W64" s="54"/>
    </row>
    <row r="65" spans="1:23" ht="16">
      <c r="A65" s="162" t="s">
        <v>3617</v>
      </c>
      <c r="B65" s="71" t="s">
        <v>5463</v>
      </c>
      <c r="C65" s="151" t="s">
        <v>3506</v>
      </c>
      <c r="D65" s="151" t="s">
        <v>55</v>
      </c>
      <c r="E65" s="151" t="s">
        <v>1987</v>
      </c>
      <c r="F65" s="151" t="s">
        <v>5467</v>
      </c>
      <c r="G65" s="53" t="s">
        <v>5066</v>
      </c>
      <c r="H65" s="131" t="s">
        <v>30</v>
      </c>
      <c r="I65" s="151">
        <v>5</v>
      </c>
      <c r="J65" s="335">
        <v>130</v>
      </c>
      <c r="K65" s="54">
        <f t="shared" si="1"/>
        <v>650</v>
      </c>
      <c r="L65" s="55" t="b">
        <v>1</v>
      </c>
      <c r="M65" s="409">
        <v>110720250953</v>
      </c>
      <c r="N65" s="57" t="b">
        <v>1</v>
      </c>
      <c r="O65" s="58" t="s">
        <v>529</v>
      </c>
      <c r="P65" s="226"/>
      <c r="Q65" s="191" t="b">
        <v>1</v>
      </c>
      <c r="R65" s="308" t="s">
        <v>3138</v>
      </c>
      <c r="S65" s="337"/>
      <c r="T65" s="57" t="b">
        <v>1</v>
      </c>
      <c r="U65" s="310" t="s">
        <v>5466</v>
      </c>
      <c r="V65" s="307"/>
      <c r="W65" s="54"/>
    </row>
    <row r="66" spans="1:23" ht="16">
      <c r="A66" s="162"/>
      <c r="B66" s="71" t="s">
        <v>5463</v>
      </c>
      <c r="C66" s="151" t="s">
        <v>3532</v>
      </c>
      <c r="D66" s="151" t="s">
        <v>51</v>
      </c>
      <c r="E66" s="151" t="s">
        <v>52</v>
      </c>
      <c r="F66" s="151" t="s">
        <v>1710</v>
      </c>
      <c r="G66" s="151" t="s">
        <v>2704</v>
      </c>
      <c r="H66" s="131" t="s">
        <v>30</v>
      </c>
      <c r="I66" s="151">
        <v>10</v>
      </c>
      <c r="J66" s="335">
        <v>650</v>
      </c>
      <c r="K66" s="54">
        <f t="shared" si="1"/>
        <v>6500</v>
      </c>
      <c r="L66" s="55" t="b">
        <v>1</v>
      </c>
      <c r="M66" s="409">
        <v>110720251335</v>
      </c>
      <c r="N66" s="57" t="b">
        <v>1</v>
      </c>
      <c r="O66" s="58" t="s">
        <v>39</v>
      </c>
      <c r="P66" s="215"/>
      <c r="Q66" s="191" t="b">
        <v>1</v>
      </c>
      <c r="R66" s="308" t="s">
        <v>3138</v>
      </c>
      <c r="S66" s="337"/>
      <c r="T66" s="57" t="b">
        <v>1</v>
      </c>
      <c r="U66" s="310" t="s">
        <v>5468</v>
      </c>
      <c r="V66" s="307"/>
      <c r="W66" s="54"/>
    </row>
    <row r="67" spans="1:23" ht="15.75" customHeight="1">
      <c r="A67" s="162"/>
      <c r="B67" s="71" t="s">
        <v>5463</v>
      </c>
      <c r="C67" s="151" t="s">
        <v>3532</v>
      </c>
      <c r="D67" s="151" t="s">
        <v>51</v>
      </c>
      <c r="E67" s="151" t="s">
        <v>52</v>
      </c>
      <c r="F67" s="151" t="s">
        <v>1710</v>
      </c>
      <c r="G67" s="151" t="s">
        <v>1024</v>
      </c>
      <c r="H67" s="131" t="s">
        <v>30</v>
      </c>
      <c r="I67" s="151">
        <v>5</v>
      </c>
      <c r="J67" s="335">
        <v>165</v>
      </c>
      <c r="K67" s="54">
        <f t="shared" si="1"/>
        <v>825</v>
      </c>
      <c r="L67" s="55" t="b">
        <v>1</v>
      </c>
      <c r="M67" s="409">
        <v>110720251335</v>
      </c>
      <c r="N67" s="57" t="b">
        <v>1</v>
      </c>
      <c r="O67" s="58"/>
      <c r="P67" s="215"/>
      <c r="Q67" s="191" t="b">
        <v>1</v>
      </c>
      <c r="R67" s="308" t="s">
        <v>3138</v>
      </c>
      <c r="S67" s="173" t="s">
        <v>5469</v>
      </c>
      <c r="T67" s="57" t="b">
        <v>1</v>
      </c>
      <c r="U67" s="310" t="s">
        <v>5470</v>
      </c>
      <c r="V67" s="307"/>
      <c r="W67" s="54"/>
    </row>
    <row r="68" spans="1:23" ht="16">
      <c r="A68" s="162"/>
      <c r="B68" s="71" t="s">
        <v>5463</v>
      </c>
      <c r="C68" s="151" t="s">
        <v>3532</v>
      </c>
      <c r="D68" s="151" t="s">
        <v>51</v>
      </c>
      <c r="E68" s="151" t="s">
        <v>52</v>
      </c>
      <c r="F68" s="151" t="s">
        <v>1710</v>
      </c>
      <c r="G68" s="151" t="s">
        <v>5471</v>
      </c>
      <c r="H68" s="131" t="s">
        <v>30</v>
      </c>
      <c r="I68" s="151">
        <v>5</v>
      </c>
      <c r="J68" s="335">
        <v>165</v>
      </c>
      <c r="K68" s="54">
        <f t="shared" si="1"/>
        <v>825</v>
      </c>
      <c r="L68" s="55" t="b">
        <v>1</v>
      </c>
      <c r="M68" s="409">
        <v>110720251335</v>
      </c>
      <c r="N68" s="57" t="b">
        <v>1</v>
      </c>
      <c r="O68" s="58"/>
      <c r="P68" s="215"/>
      <c r="Q68" s="191" t="b">
        <v>1</v>
      </c>
      <c r="R68" s="308" t="s">
        <v>3138</v>
      </c>
      <c r="S68" s="173" t="s">
        <v>5469</v>
      </c>
      <c r="T68" s="57" t="b">
        <v>1</v>
      </c>
      <c r="U68" s="310" t="s">
        <v>5470</v>
      </c>
      <c r="V68" s="307"/>
      <c r="W68" s="54"/>
    </row>
    <row r="69" spans="1:23" ht="14.25" customHeight="1">
      <c r="A69" s="162"/>
      <c r="B69" s="71" t="s">
        <v>5463</v>
      </c>
      <c r="C69" s="151" t="s">
        <v>3532</v>
      </c>
      <c r="D69" s="151" t="s">
        <v>51</v>
      </c>
      <c r="E69" s="151" t="s">
        <v>52</v>
      </c>
      <c r="F69" s="151" t="s">
        <v>1710</v>
      </c>
      <c r="G69" s="53" t="s">
        <v>5472</v>
      </c>
      <c r="H69" s="131" t="s">
        <v>30</v>
      </c>
      <c r="I69" s="151">
        <v>1</v>
      </c>
      <c r="J69" s="335">
        <v>425</v>
      </c>
      <c r="K69" s="54">
        <f t="shared" si="1"/>
        <v>425</v>
      </c>
      <c r="L69" s="55" t="b">
        <v>1</v>
      </c>
      <c r="M69" s="409">
        <v>120720251037</v>
      </c>
      <c r="N69" s="57" t="b">
        <v>1</v>
      </c>
      <c r="O69" s="58"/>
      <c r="P69" s="226"/>
      <c r="Q69" s="191" t="b">
        <v>1</v>
      </c>
      <c r="R69" s="308" t="s">
        <v>3138</v>
      </c>
      <c r="S69" s="173" t="s">
        <v>5469</v>
      </c>
      <c r="T69" s="57" t="b">
        <v>1</v>
      </c>
      <c r="U69" s="310" t="s">
        <v>5470</v>
      </c>
      <c r="V69" s="307"/>
      <c r="W69" s="54"/>
    </row>
    <row r="70" spans="1:23" ht="16">
      <c r="A70" s="162"/>
      <c r="B70" s="71" t="s">
        <v>5473</v>
      </c>
      <c r="C70" s="151" t="s">
        <v>4099</v>
      </c>
      <c r="D70" s="151" t="s">
        <v>51</v>
      </c>
      <c r="E70" s="151" t="s">
        <v>594</v>
      </c>
      <c r="F70" s="151" t="s">
        <v>595</v>
      </c>
      <c r="G70" s="53" t="s">
        <v>1228</v>
      </c>
      <c r="H70" s="131" t="s">
        <v>30</v>
      </c>
      <c r="I70" s="53">
        <v>6</v>
      </c>
      <c r="J70" s="188">
        <v>150</v>
      </c>
      <c r="K70" s="54">
        <f t="shared" si="1"/>
        <v>900</v>
      </c>
      <c r="L70" s="55" t="b">
        <v>1</v>
      </c>
      <c r="M70" s="409">
        <v>120720251037</v>
      </c>
      <c r="N70" s="57" t="b">
        <v>1</v>
      </c>
      <c r="O70" s="58"/>
      <c r="P70" s="215"/>
      <c r="Q70" s="191" t="b">
        <v>1</v>
      </c>
      <c r="R70" s="308" t="s">
        <v>3138</v>
      </c>
      <c r="S70" s="337"/>
      <c r="T70" s="57" t="b">
        <v>1</v>
      </c>
      <c r="U70" s="310" t="s">
        <v>5474</v>
      </c>
      <c r="V70" s="307"/>
      <c r="W70" s="54"/>
    </row>
    <row r="71" spans="1:23" ht="16">
      <c r="A71" s="162"/>
      <c r="B71" s="71" t="s">
        <v>5473</v>
      </c>
      <c r="C71" s="151" t="s">
        <v>5475</v>
      </c>
      <c r="D71" s="151" t="s">
        <v>104</v>
      </c>
      <c r="E71" s="151" t="s">
        <v>359</v>
      </c>
      <c r="F71" s="151" t="s">
        <v>5476</v>
      </c>
      <c r="G71" s="53" t="s">
        <v>1228</v>
      </c>
      <c r="H71" s="131" t="s">
        <v>30</v>
      </c>
      <c r="I71" s="53">
        <v>25</v>
      </c>
      <c r="J71" s="188">
        <v>150</v>
      </c>
      <c r="K71" s="54">
        <f t="shared" si="1"/>
        <v>3750</v>
      </c>
      <c r="L71" s="55" t="b">
        <v>1</v>
      </c>
      <c r="M71" s="409">
        <v>120720251142</v>
      </c>
      <c r="N71" s="57" t="b">
        <v>1</v>
      </c>
      <c r="O71" s="58"/>
      <c r="P71" s="215"/>
      <c r="Q71" s="191" t="b">
        <v>1</v>
      </c>
      <c r="R71" s="308" t="s">
        <v>3138</v>
      </c>
      <c r="S71" s="337"/>
      <c r="T71" s="57" t="b">
        <v>1</v>
      </c>
      <c r="U71" s="310" t="s">
        <v>5477</v>
      </c>
      <c r="V71" s="307"/>
      <c r="W71" s="54"/>
    </row>
    <row r="72" spans="1:23" ht="16">
      <c r="A72" s="162"/>
      <c r="B72" s="71" t="s">
        <v>5473</v>
      </c>
      <c r="C72" s="151" t="s">
        <v>3541</v>
      </c>
      <c r="D72" s="151" t="s">
        <v>51</v>
      </c>
      <c r="E72" s="151" t="s">
        <v>372</v>
      </c>
      <c r="F72" s="151" t="s">
        <v>1035</v>
      </c>
      <c r="G72" s="151" t="s">
        <v>2762</v>
      </c>
      <c r="H72" s="131" t="s">
        <v>30</v>
      </c>
      <c r="I72" s="151">
        <v>24</v>
      </c>
      <c r="J72" s="335">
        <v>60</v>
      </c>
      <c r="K72" s="54">
        <f t="shared" si="1"/>
        <v>1440</v>
      </c>
      <c r="L72" s="55" t="b">
        <v>1</v>
      </c>
      <c r="M72" s="409">
        <v>120720251532</v>
      </c>
      <c r="N72" s="57" t="b">
        <v>1</v>
      </c>
      <c r="O72" s="58"/>
      <c r="P72" s="215"/>
      <c r="Q72" s="191" t="b">
        <v>1</v>
      </c>
      <c r="R72" s="308" t="s">
        <v>3138</v>
      </c>
      <c r="S72" s="173" t="s">
        <v>5478</v>
      </c>
      <c r="T72" s="57" t="b">
        <v>1</v>
      </c>
      <c r="U72" s="310" t="s">
        <v>5479</v>
      </c>
      <c r="V72" s="307"/>
      <c r="W72" s="54"/>
    </row>
    <row r="73" spans="1:23" ht="16">
      <c r="A73" s="162"/>
      <c r="B73" s="71" t="s">
        <v>5480</v>
      </c>
      <c r="C73" s="151" t="s">
        <v>3532</v>
      </c>
      <c r="D73" s="151" t="s">
        <v>51</v>
      </c>
      <c r="E73" s="151" t="s">
        <v>52</v>
      </c>
      <c r="F73" s="151" t="s">
        <v>1710</v>
      </c>
      <c r="G73" s="151" t="s">
        <v>96</v>
      </c>
      <c r="H73" s="131" t="s">
        <v>30</v>
      </c>
      <c r="I73" s="151">
        <v>3</v>
      </c>
      <c r="J73" s="335">
        <v>1750</v>
      </c>
      <c r="K73" s="54">
        <f t="shared" si="1"/>
        <v>5250</v>
      </c>
      <c r="L73" s="55" t="b">
        <v>1</v>
      </c>
      <c r="M73" s="409">
        <v>140720250853</v>
      </c>
      <c r="N73" s="57" t="b">
        <v>1</v>
      </c>
      <c r="O73" s="58" t="s">
        <v>529</v>
      </c>
      <c r="P73" s="215"/>
      <c r="Q73" s="191" t="b">
        <v>1</v>
      </c>
      <c r="R73" s="308" t="s">
        <v>3138</v>
      </c>
      <c r="S73" s="337"/>
      <c r="T73" s="57" t="b">
        <v>1</v>
      </c>
      <c r="U73" s="310" t="s">
        <v>5481</v>
      </c>
      <c r="V73" s="307"/>
      <c r="W73" s="54"/>
    </row>
    <row r="74" spans="1:23" ht="16">
      <c r="A74" s="162"/>
      <c r="B74" s="132" t="s">
        <v>5480</v>
      </c>
      <c r="C74" s="151" t="s">
        <v>3487</v>
      </c>
      <c r="D74" s="151" t="s">
        <v>51</v>
      </c>
      <c r="E74" s="151" t="s">
        <v>89</v>
      </c>
      <c r="F74" s="151" t="s">
        <v>1872</v>
      </c>
      <c r="G74" s="340" t="s">
        <v>5482</v>
      </c>
      <c r="H74" s="131" t="s">
        <v>30</v>
      </c>
      <c r="I74" s="151">
        <v>100</v>
      </c>
      <c r="J74" s="335">
        <v>120</v>
      </c>
      <c r="K74" s="54">
        <f t="shared" si="1"/>
        <v>12000</v>
      </c>
      <c r="L74" s="55" t="b">
        <v>1</v>
      </c>
      <c r="M74" s="409">
        <v>140720250908</v>
      </c>
      <c r="N74" s="57" t="b">
        <v>1</v>
      </c>
      <c r="O74" s="58" t="s">
        <v>529</v>
      </c>
      <c r="P74" s="215"/>
      <c r="Q74" s="191" t="b">
        <v>1</v>
      </c>
      <c r="R74" s="308" t="s">
        <v>3138</v>
      </c>
      <c r="S74" s="173" t="s">
        <v>5483</v>
      </c>
      <c r="T74" s="57" t="b">
        <v>1</v>
      </c>
      <c r="U74" s="310" t="s">
        <v>5484</v>
      </c>
      <c r="V74" s="307"/>
      <c r="W74" s="54"/>
    </row>
    <row r="75" spans="1:23" ht="16">
      <c r="A75" s="162"/>
      <c r="B75" s="132" t="s">
        <v>5480</v>
      </c>
      <c r="C75" s="151" t="s">
        <v>4969</v>
      </c>
      <c r="D75" s="151" t="s">
        <v>104</v>
      </c>
      <c r="E75" s="151" t="s">
        <v>4503</v>
      </c>
      <c r="F75" s="151" t="s">
        <v>123</v>
      </c>
      <c r="G75" s="151" t="s">
        <v>68</v>
      </c>
      <c r="H75" s="131" t="s">
        <v>30</v>
      </c>
      <c r="I75" s="151">
        <v>1</v>
      </c>
      <c r="J75" s="335">
        <v>2350</v>
      </c>
      <c r="K75" s="54">
        <f t="shared" si="1"/>
        <v>2350</v>
      </c>
      <c r="L75" s="55" t="b">
        <v>1</v>
      </c>
      <c r="M75" s="409">
        <v>140720250912</v>
      </c>
      <c r="N75" s="57" t="b">
        <v>1</v>
      </c>
      <c r="O75" s="58"/>
      <c r="P75" s="226"/>
      <c r="Q75" s="191" t="b">
        <v>1</v>
      </c>
      <c r="R75" s="308" t="s">
        <v>3138</v>
      </c>
      <c r="S75" s="173" t="s">
        <v>5485</v>
      </c>
      <c r="T75" s="57" t="b">
        <v>1</v>
      </c>
      <c r="U75" s="310" t="s">
        <v>5486</v>
      </c>
      <c r="V75" s="307"/>
      <c r="W75" s="54"/>
    </row>
    <row r="76" spans="1:23" ht="16">
      <c r="A76" s="162"/>
      <c r="B76" s="132" t="s">
        <v>5480</v>
      </c>
      <c r="C76" s="151" t="s">
        <v>3458</v>
      </c>
      <c r="D76" s="151" t="s">
        <v>51</v>
      </c>
      <c r="E76" s="151" t="s">
        <v>201</v>
      </c>
      <c r="F76" s="151" t="s">
        <v>202</v>
      </c>
      <c r="G76" s="80" t="s">
        <v>3459</v>
      </c>
      <c r="H76" s="131" t="s">
        <v>30</v>
      </c>
      <c r="I76" s="151">
        <v>10</v>
      </c>
      <c r="J76" s="335">
        <v>775</v>
      </c>
      <c r="K76" s="54">
        <f t="shared" si="1"/>
        <v>7750</v>
      </c>
      <c r="L76" s="55" t="b">
        <v>1</v>
      </c>
      <c r="M76" s="409">
        <v>140720250947</v>
      </c>
      <c r="N76" s="57" t="b">
        <v>1</v>
      </c>
      <c r="O76" s="58"/>
      <c r="P76" s="215" t="s">
        <v>5487</v>
      </c>
      <c r="Q76" s="191" t="b">
        <v>1</v>
      </c>
      <c r="R76" s="308" t="s">
        <v>3138</v>
      </c>
      <c r="S76" s="337"/>
      <c r="T76" s="57" t="b">
        <v>1</v>
      </c>
      <c r="U76" s="310" t="s">
        <v>5488</v>
      </c>
      <c r="V76" s="307"/>
      <c r="W76" s="54"/>
    </row>
    <row r="77" spans="1:23" ht="16">
      <c r="A77" s="162"/>
      <c r="B77" s="132" t="s">
        <v>5480</v>
      </c>
      <c r="C77" s="151" t="s">
        <v>3458</v>
      </c>
      <c r="D77" s="151" t="s">
        <v>51</v>
      </c>
      <c r="E77" s="151" t="s">
        <v>201</v>
      </c>
      <c r="F77" s="151" t="s">
        <v>202</v>
      </c>
      <c r="G77" s="151" t="s">
        <v>236</v>
      </c>
      <c r="H77" s="131" t="s">
        <v>30</v>
      </c>
      <c r="I77" s="151">
        <v>12</v>
      </c>
      <c r="J77" s="335">
        <v>230</v>
      </c>
      <c r="K77" s="54">
        <f t="shared" si="1"/>
        <v>2760</v>
      </c>
      <c r="L77" s="55" t="b">
        <v>1</v>
      </c>
      <c r="M77" s="409">
        <v>140720250947</v>
      </c>
      <c r="N77" s="57" t="b">
        <v>1</v>
      </c>
      <c r="O77" s="58"/>
      <c r="P77" s="215" t="s">
        <v>5487</v>
      </c>
      <c r="Q77" s="191" t="b">
        <v>1</v>
      </c>
      <c r="R77" s="308" t="s">
        <v>3138</v>
      </c>
      <c r="S77" s="337"/>
      <c r="T77" s="57" t="b">
        <v>1</v>
      </c>
      <c r="U77" s="310" t="s">
        <v>5488</v>
      </c>
      <c r="V77" s="307"/>
      <c r="W77" s="54"/>
    </row>
    <row r="78" spans="1:23" ht="16">
      <c r="A78" s="162"/>
      <c r="B78" s="132" t="s">
        <v>5480</v>
      </c>
      <c r="C78" s="151" t="s">
        <v>3458</v>
      </c>
      <c r="D78" s="151" t="s">
        <v>51</v>
      </c>
      <c r="E78" s="151" t="s">
        <v>201</v>
      </c>
      <c r="F78" s="151" t="s">
        <v>202</v>
      </c>
      <c r="G78" s="151" t="s">
        <v>58</v>
      </c>
      <c r="H78" s="131" t="s">
        <v>30</v>
      </c>
      <c r="I78" s="151">
        <v>168</v>
      </c>
      <c r="J78" s="335">
        <v>42.5</v>
      </c>
      <c r="K78" s="54">
        <f t="shared" si="1"/>
        <v>7140</v>
      </c>
      <c r="L78" s="55" t="b">
        <v>1</v>
      </c>
      <c r="M78" s="409">
        <v>140720250947</v>
      </c>
      <c r="N78" s="57" t="b">
        <v>1</v>
      </c>
      <c r="O78" s="58"/>
      <c r="P78" s="226"/>
      <c r="Q78" s="191" t="b">
        <v>1</v>
      </c>
      <c r="R78" s="308" t="s">
        <v>3138</v>
      </c>
      <c r="S78" s="173" t="s">
        <v>5489</v>
      </c>
      <c r="T78" s="57" t="b">
        <v>1</v>
      </c>
      <c r="U78" s="310" t="s">
        <v>5490</v>
      </c>
      <c r="V78" s="307"/>
      <c r="W78" s="54"/>
    </row>
    <row r="79" spans="1:23" ht="16">
      <c r="A79" s="162"/>
      <c r="B79" s="132" t="s">
        <v>5480</v>
      </c>
      <c r="C79" s="151" t="s">
        <v>5052</v>
      </c>
      <c r="D79" s="151" t="s">
        <v>104</v>
      </c>
      <c r="E79" s="151" t="s">
        <v>1048</v>
      </c>
      <c r="F79" s="151" t="s">
        <v>3406</v>
      </c>
      <c r="G79" s="151" t="s">
        <v>139</v>
      </c>
      <c r="H79" s="131" t="s">
        <v>30</v>
      </c>
      <c r="I79" s="151">
        <v>10</v>
      </c>
      <c r="J79" s="335">
        <v>30</v>
      </c>
      <c r="K79" s="54">
        <f t="shared" si="1"/>
        <v>300</v>
      </c>
      <c r="L79" s="55" t="b">
        <v>1</v>
      </c>
      <c r="M79" s="409">
        <v>140720251212</v>
      </c>
      <c r="N79" s="57" t="b">
        <v>1</v>
      </c>
      <c r="O79" s="58"/>
      <c r="P79" s="226"/>
      <c r="Q79" s="191" t="b">
        <v>1</v>
      </c>
      <c r="R79" s="308" t="s">
        <v>3138</v>
      </c>
      <c r="S79" s="173" t="s">
        <v>5491</v>
      </c>
      <c r="T79" s="57" t="b">
        <v>1</v>
      </c>
      <c r="U79" s="310" t="s">
        <v>5492</v>
      </c>
      <c r="V79" s="307"/>
      <c r="W79" s="54"/>
    </row>
    <row r="80" spans="1:23" ht="16">
      <c r="A80" s="162"/>
      <c r="B80" s="132" t="s">
        <v>5480</v>
      </c>
      <c r="C80" s="151" t="s">
        <v>4717</v>
      </c>
      <c r="D80" s="151" t="s">
        <v>51</v>
      </c>
      <c r="E80" s="151" t="s">
        <v>475</v>
      </c>
      <c r="F80" s="151" t="s">
        <v>2105</v>
      </c>
      <c r="G80" s="131" t="s">
        <v>3571</v>
      </c>
      <c r="H80" s="131" t="s">
        <v>30</v>
      </c>
      <c r="I80" s="151">
        <v>5</v>
      </c>
      <c r="J80" s="335">
        <v>725</v>
      </c>
      <c r="K80" s="54">
        <f t="shared" si="1"/>
        <v>3625</v>
      </c>
      <c r="L80" s="55" t="b">
        <v>1</v>
      </c>
      <c r="M80" s="409">
        <v>140720251249</v>
      </c>
      <c r="N80" s="57" t="b">
        <v>1</v>
      </c>
      <c r="O80" s="58"/>
      <c r="P80" s="215"/>
      <c r="Q80" s="191" t="b">
        <v>1</v>
      </c>
      <c r="R80" s="308" t="s">
        <v>3138</v>
      </c>
      <c r="S80" s="173" t="s">
        <v>5493</v>
      </c>
      <c r="T80" s="57" t="b">
        <v>1</v>
      </c>
      <c r="U80" s="310" t="s">
        <v>5494</v>
      </c>
      <c r="V80" s="307"/>
      <c r="W80" s="54"/>
    </row>
    <row r="81" spans="1:23" ht="16">
      <c r="A81" s="162"/>
      <c r="B81" s="132" t="s">
        <v>5480</v>
      </c>
      <c r="C81" s="151" t="s">
        <v>3487</v>
      </c>
      <c r="D81" s="151" t="s">
        <v>51</v>
      </c>
      <c r="E81" s="151" t="s">
        <v>89</v>
      </c>
      <c r="F81" s="151" t="s">
        <v>2090</v>
      </c>
      <c r="G81" s="131" t="s">
        <v>3571</v>
      </c>
      <c r="H81" s="131" t="s">
        <v>30</v>
      </c>
      <c r="I81" s="151">
        <v>5</v>
      </c>
      <c r="J81" s="335">
        <v>725</v>
      </c>
      <c r="K81" s="54">
        <f t="shared" si="1"/>
        <v>3625</v>
      </c>
      <c r="L81" s="55" t="b">
        <v>1</v>
      </c>
      <c r="M81" s="409">
        <v>140720251249</v>
      </c>
      <c r="N81" s="57" t="b">
        <v>1</v>
      </c>
      <c r="O81" s="58"/>
      <c r="P81" s="215"/>
      <c r="Q81" s="191" t="b">
        <v>1</v>
      </c>
      <c r="R81" s="308" t="s">
        <v>3138</v>
      </c>
      <c r="S81" s="173" t="s">
        <v>5495</v>
      </c>
      <c r="T81" s="57" t="b">
        <v>1</v>
      </c>
      <c r="U81" s="310" t="s">
        <v>5496</v>
      </c>
      <c r="V81" s="307"/>
      <c r="W81" s="54"/>
    </row>
    <row r="82" spans="1:23" ht="16">
      <c r="A82" s="162"/>
      <c r="B82" s="132" t="s">
        <v>5480</v>
      </c>
      <c r="C82" s="151" t="s">
        <v>4147</v>
      </c>
      <c r="D82" s="151" t="s">
        <v>144</v>
      </c>
      <c r="E82" s="151" t="s">
        <v>243</v>
      </c>
      <c r="F82" s="151" t="s">
        <v>244</v>
      </c>
      <c r="G82" s="151" t="s">
        <v>1952</v>
      </c>
      <c r="H82" s="131" t="s">
        <v>30</v>
      </c>
      <c r="I82" s="151">
        <v>10</v>
      </c>
      <c r="J82" s="335">
        <v>650</v>
      </c>
      <c r="K82" s="54">
        <f t="shared" si="1"/>
        <v>6500</v>
      </c>
      <c r="L82" s="55" t="b">
        <v>1</v>
      </c>
      <c r="M82" s="409">
        <v>140720251722</v>
      </c>
      <c r="N82" s="57" t="b">
        <v>1</v>
      </c>
      <c r="O82" s="58" t="s">
        <v>39</v>
      </c>
      <c r="P82" s="226">
        <v>45852</v>
      </c>
      <c r="Q82" s="191" t="b">
        <v>1</v>
      </c>
      <c r="R82" s="308" t="s">
        <v>3138</v>
      </c>
      <c r="S82" s="337"/>
      <c r="T82" s="57" t="b">
        <v>1</v>
      </c>
      <c r="U82" s="310" t="s">
        <v>5497</v>
      </c>
      <c r="V82" s="307"/>
      <c r="W82" s="54"/>
    </row>
    <row r="83" spans="1:23" ht="16">
      <c r="A83" s="162"/>
      <c r="B83" s="132" t="s">
        <v>5480</v>
      </c>
      <c r="C83" s="151" t="s">
        <v>3458</v>
      </c>
      <c r="D83" s="151" t="s">
        <v>51</v>
      </c>
      <c r="E83" s="151" t="s">
        <v>201</v>
      </c>
      <c r="F83" s="151" t="s">
        <v>3410</v>
      </c>
      <c r="G83" s="151" t="s">
        <v>5498</v>
      </c>
      <c r="H83" s="131" t="s">
        <v>30</v>
      </c>
      <c r="I83" s="151">
        <v>1</v>
      </c>
      <c r="J83" s="335">
        <v>5950</v>
      </c>
      <c r="K83" s="54">
        <f t="shared" si="1"/>
        <v>5950</v>
      </c>
      <c r="L83" s="55" t="b">
        <v>1</v>
      </c>
      <c r="M83" s="409">
        <v>140720251815</v>
      </c>
      <c r="N83" s="57" t="b">
        <v>1</v>
      </c>
      <c r="O83" s="58"/>
      <c r="P83" s="226"/>
      <c r="Q83" s="191" t="b">
        <v>1</v>
      </c>
      <c r="R83" s="308" t="s">
        <v>3138</v>
      </c>
      <c r="S83" s="337"/>
      <c r="T83" s="57" t="b">
        <v>1</v>
      </c>
      <c r="U83" s="310" t="s">
        <v>5499</v>
      </c>
      <c r="V83" s="307"/>
      <c r="W83" s="54"/>
    </row>
    <row r="84" spans="1:23" ht="16">
      <c r="A84" s="162"/>
      <c r="B84" s="132" t="s">
        <v>5500</v>
      </c>
      <c r="C84" s="151" t="s">
        <v>3517</v>
      </c>
      <c r="D84" s="151" t="s">
        <v>51</v>
      </c>
      <c r="E84" s="151" t="s">
        <v>61</v>
      </c>
      <c r="F84" s="151" t="s">
        <v>548</v>
      </c>
      <c r="G84" s="53" t="s">
        <v>1700</v>
      </c>
      <c r="H84" s="421" t="s">
        <v>30</v>
      </c>
      <c r="I84" s="422">
        <v>500</v>
      </c>
      <c r="J84" s="423">
        <v>8.5</v>
      </c>
      <c r="K84" s="424">
        <f t="shared" si="1"/>
        <v>4250</v>
      </c>
      <c r="L84" s="425" t="b">
        <v>1</v>
      </c>
      <c r="M84" s="422">
        <v>160720251058</v>
      </c>
      <c r="N84" s="425" t="b">
        <v>1</v>
      </c>
      <c r="O84" s="426"/>
      <c r="P84" s="427" t="s">
        <v>5501</v>
      </c>
      <c r="Q84" s="191" t="b">
        <v>1</v>
      </c>
      <c r="R84" s="308" t="s">
        <v>3138</v>
      </c>
      <c r="S84" s="337"/>
      <c r="T84" s="57" t="b">
        <v>1</v>
      </c>
      <c r="U84" s="310" t="s">
        <v>5502</v>
      </c>
      <c r="V84" s="307"/>
      <c r="W84" s="54"/>
    </row>
    <row r="85" spans="1:23" ht="16">
      <c r="A85" s="162"/>
      <c r="B85" s="132" t="s">
        <v>5500</v>
      </c>
      <c r="C85" s="151" t="s">
        <v>3487</v>
      </c>
      <c r="D85" s="151" t="s">
        <v>51</v>
      </c>
      <c r="E85" s="151" t="s">
        <v>89</v>
      </c>
      <c r="F85" s="151" t="s">
        <v>1872</v>
      </c>
      <c r="G85" s="151" t="s">
        <v>5503</v>
      </c>
      <c r="H85" s="131" t="s">
        <v>30</v>
      </c>
      <c r="I85" s="151">
        <v>2</v>
      </c>
      <c r="J85" s="335">
        <v>300</v>
      </c>
      <c r="K85" s="54">
        <f t="shared" si="1"/>
        <v>600</v>
      </c>
      <c r="L85" s="55" t="b">
        <v>1</v>
      </c>
      <c r="M85" s="409">
        <v>160720251306</v>
      </c>
      <c r="N85" s="57" t="b">
        <v>1</v>
      </c>
      <c r="O85" s="58"/>
      <c r="P85" s="215"/>
      <c r="Q85" s="191" t="b">
        <v>1</v>
      </c>
      <c r="R85" s="308" t="s">
        <v>3138</v>
      </c>
      <c r="S85" s="337"/>
      <c r="T85" s="57" t="b">
        <v>1</v>
      </c>
      <c r="U85" s="310" t="s">
        <v>5504</v>
      </c>
      <c r="V85" s="307"/>
      <c r="W85" s="54"/>
    </row>
    <row r="86" spans="1:23" ht="16">
      <c r="A86" s="162"/>
      <c r="B86" s="132" t="s">
        <v>5500</v>
      </c>
      <c r="C86" s="151" t="s">
        <v>3451</v>
      </c>
      <c r="D86" s="151" t="s">
        <v>397</v>
      </c>
      <c r="E86" s="151" t="s">
        <v>3452</v>
      </c>
      <c r="F86" s="151" t="s">
        <v>2260</v>
      </c>
      <c r="G86" s="340" t="s">
        <v>5505</v>
      </c>
      <c r="H86" s="131" t="s">
        <v>30</v>
      </c>
      <c r="I86" s="151">
        <v>25</v>
      </c>
      <c r="J86" s="335">
        <v>135</v>
      </c>
      <c r="K86" s="54">
        <f t="shared" si="1"/>
        <v>3375</v>
      </c>
      <c r="L86" s="55" t="b">
        <v>1</v>
      </c>
      <c r="M86" s="409">
        <v>160720251332</v>
      </c>
      <c r="N86" s="57" t="b">
        <v>1</v>
      </c>
      <c r="O86" s="58"/>
      <c r="P86" s="215"/>
      <c r="Q86" s="191" t="b">
        <v>1</v>
      </c>
      <c r="R86" s="308" t="s">
        <v>3138</v>
      </c>
      <c r="S86" s="173" t="s">
        <v>5506</v>
      </c>
      <c r="T86" s="57" t="b">
        <v>1</v>
      </c>
      <c r="U86" s="310" t="s">
        <v>5507</v>
      </c>
      <c r="V86" s="307"/>
      <c r="W86" s="54"/>
    </row>
    <row r="87" spans="1:23" ht="16">
      <c r="A87" s="162"/>
      <c r="B87" s="132" t="s">
        <v>5500</v>
      </c>
      <c r="C87" s="151" t="s">
        <v>3451</v>
      </c>
      <c r="D87" s="151" t="s">
        <v>397</v>
      </c>
      <c r="E87" s="151" t="s">
        <v>3452</v>
      </c>
      <c r="F87" s="151" t="s">
        <v>2260</v>
      </c>
      <c r="G87" s="340" t="s">
        <v>1952</v>
      </c>
      <c r="H87" s="131" t="s">
        <v>30</v>
      </c>
      <c r="I87" s="151">
        <v>10</v>
      </c>
      <c r="J87" s="335">
        <v>650</v>
      </c>
      <c r="K87" s="54">
        <f t="shared" si="1"/>
        <v>6500</v>
      </c>
      <c r="L87" s="55" t="b">
        <v>1</v>
      </c>
      <c r="M87" s="409">
        <v>160720251333</v>
      </c>
      <c r="N87" s="57" t="b">
        <v>1</v>
      </c>
      <c r="O87" s="58" t="s">
        <v>39</v>
      </c>
      <c r="P87" s="226">
        <v>45854</v>
      </c>
      <c r="Q87" s="191" t="b">
        <v>1</v>
      </c>
      <c r="R87" s="308" t="s">
        <v>3138</v>
      </c>
      <c r="S87" s="337"/>
      <c r="T87" s="57" t="b">
        <v>1</v>
      </c>
      <c r="U87" s="310" t="s">
        <v>5508</v>
      </c>
      <c r="V87" s="307"/>
      <c r="W87" s="54"/>
    </row>
    <row r="88" spans="1:23" ht="16">
      <c r="A88" s="162"/>
      <c r="B88" s="132" t="s">
        <v>5500</v>
      </c>
      <c r="C88" s="151" t="s">
        <v>3517</v>
      </c>
      <c r="D88" s="151" t="s">
        <v>51</v>
      </c>
      <c r="E88" s="66" t="s">
        <v>61</v>
      </c>
      <c r="F88" s="151" t="s">
        <v>476</v>
      </c>
      <c r="G88" s="340" t="s">
        <v>1952</v>
      </c>
      <c r="H88" s="131" t="s">
        <v>30</v>
      </c>
      <c r="I88" s="151">
        <v>10</v>
      </c>
      <c r="J88" s="335">
        <v>650</v>
      </c>
      <c r="K88" s="54">
        <f t="shared" si="1"/>
        <v>6500</v>
      </c>
      <c r="L88" s="55" t="b">
        <v>1</v>
      </c>
      <c r="M88" s="409">
        <v>160720251618</v>
      </c>
      <c r="N88" s="57" t="b">
        <v>1</v>
      </c>
      <c r="O88" s="58" t="s">
        <v>39</v>
      </c>
      <c r="P88" s="226">
        <v>45854</v>
      </c>
      <c r="Q88" s="191" t="b">
        <v>1</v>
      </c>
      <c r="R88" s="308" t="s">
        <v>3138</v>
      </c>
      <c r="S88" s="337"/>
      <c r="T88" s="57" t="b">
        <v>1</v>
      </c>
      <c r="U88" s="310" t="s">
        <v>5509</v>
      </c>
      <c r="V88" s="307"/>
      <c r="W88" s="54"/>
    </row>
    <row r="89" spans="1:23" ht="16">
      <c r="A89" s="162"/>
      <c r="B89" s="71" t="s">
        <v>5510</v>
      </c>
      <c r="C89" s="151" t="s">
        <v>3663</v>
      </c>
      <c r="D89" s="151" t="s">
        <v>2152</v>
      </c>
      <c r="E89" s="151" t="s">
        <v>137</v>
      </c>
      <c r="F89" s="151" t="s">
        <v>3077</v>
      </c>
      <c r="G89" s="340" t="s">
        <v>5404</v>
      </c>
      <c r="H89" s="131" t="s">
        <v>30</v>
      </c>
      <c r="I89" s="151">
        <v>300</v>
      </c>
      <c r="J89" s="335">
        <v>22.5</v>
      </c>
      <c r="K89" s="54">
        <f t="shared" si="1"/>
        <v>6750</v>
      </c>
      <c r="L89" s="55" t="b">
        <v>1</v>
      </c>
      <c r="M89" s="409">
        <v>170720251220</v>
      </c>
      <c r="N89" s="57" t="b">
        <v>1</v>
      </c>
      <c r="O89" s="58" t="s">
        <v>1581</v>
      </c>
      <c r="P89" s="226"/>
      <c r="Q89" s="191" t="b">
        <v>1</v>
      </c>
      <c r="R89" s="308" t="s">
        <v>3138</v>
      </c>
      <c r="S89" s="173" t="s">
        <v>5511</v>
      </c>
      <c r="T89" s="57" t="b">
        <v>1</v>
      </c>
      <c r="U89" s="310" t="s">
        <v>5512</v>
      </c>
      <c r="V89" s="307"/>
      <c r="W89" s="54"/>
    </row>
    <row r="90" spans="1:23" ht="16">
      <c r="A90" s="162"/>
      <c r="B90" s="71" t="s">
        <v>5510</v>
      </c>
      <c r="C90" s="151" t="s">
        <v>4135</v>
      </c>
      <c r="D90" s="151" t="s">
        <v>26</v>
      </c>
      <c r="E90" s="151" t="s">
        <v>27</v>
      </c>
      <c r="F90" s="151" t="s">
        <v>1590</v>
      </c>
      <c r="G90" s="151" t="s">
        <v>1613</v>
      </c>
      <c r="H90" s="131" t="s">
        <v>30</v>
      </c>
      <c r="I90" s="151">
        <v>2</v>
      </c>
      <c r="J90" s="335">
        <v>2250</v>
      </c>
      <c r="K90" s="54">
        <f t="shared" si="1"/>
        <v>4500</v>
      </c>
      <c r="L90" s="55" t="b">
        <v>1</v>
      </c>
      <c r="M90" s="409">
        <v>170720251255</v>
      </c>
      <c r="N90" s="57" t="b">
        <v>1</v>
      </c>
      <c r="O90" s="58"/>
      <c r="P90" s="226">
        <v>45856</v>
      </c>
      <c r="Q90" s="191" t="b">
        <v>1</v>
      </c>
      <c r="R90" s="308" t="s">
        <v>3138</v>
      </c>
      <c r="S90" s="173" t="s">
        <v>5513</v>
      </c>
      <c r="T90" s="57" t="b">
        <v>1</v>
      </c>
      <c r="U90" s="310" t="s">
        <v>5514</v>
      </c>
      <c r="V90" s="307"/>
      <c r="W90" s="54"/>
    </row>
    <row r="91" spans="1:23" ht="13.5" customHeight="1">
      <c r="A91" s="162"/>
      <c r="B91" s="71" t="s">
        <v>5510</v>
      </c>
      <c r="C91" s="151" t="s">
        <v>4135</v>
      </c>
      <c r="D91" s="151" t="s">
        <v>26</v>
      </c>
      <c r="E91" s="151" t="s">
        <v>27</v>
      </c>
      <c r="F91" s="151" t="s">
        <v>1590</v>
      </c>
      <c r="G91" s="151" t="s">
        <v>5515</v>
      </c>
      <c r="H91" s="131" t="s">
        <v>30</v>
      </c>
      <c r="I91" s="151">
        <v>3</v>
      </c>
      <c r="J91" s="335">
        <v>850</v>
      </c>
      <c r="K91" s="54">
        <f t="shared" si="1"/>
        <v>2550</v>
      </c>
      <c r="L91" s="55" t="b">
        <v>1</v>
      </c>
      <c r="M91" s="409">
        <v>170720251453</v>
      </c>
      <c r="N91" s="57" t="b">
        <v>1</v>
      </c>
      <c r="O91" s="58"/>
      <c r="P91" s="226"/>
      <c r="Q91" s="191" t="b">
        <v>1</v>
      </c>
      <c r="R91" s="308" t="s">
        <v>3138</v>
      </c>
      <c r="S91" s="173" t="s">
        <v>5516</v>
      </c>
      <c r="T91" s="57" t="b">
        <v>1</v>
      </c>
      <c r="U91" s="310" t="s">
        <v>5517</v>
      </c>
      <c r="V91" s="307"/>
      <c r="W91" s="54"/>
    </row>
    <row r="92" spans="1:23" ht="16">
      <c r="A92" s="162"/>
      <c r="B92" s="71" t="s">
        <v>5510</v>
      </c>
      <c r="C92" s="151" t="s">
        <v>3552</v>
      </c>
      <c r="D92" s="151" t="s">
        <v>51</v>
      </c>
      <c r="E92" s="151" t="s">
        <v>66</v>
      </c>
      <c r="F92" s="151" t="s">
        <v>67</v>
      </c>
      <c r="G92" s="334" t="s">
        <v>5518</v>
      </c>
      <c r="H92" s="131" t="s">
        <v>30</v>
      </c>
      <c r="I92" s="151">
        <v>50</v>
      </c>
      <c r="J92" s="335">
        <v>135</v>
      </c>
      <c r="K92" s="54">
        <f t="shared" si="1"/>
        <v>6750</v>
      </c>
      <c r="L92" s="55" t="b">
        <v>1</v>
      </c>
      <c r="M92" s="409">
        <v>170720251453</v>
      </c>
      <c r="N92" s="57" t="b">
        <v>1</v>
      </c>
      <c r="O92" s="58"/>
      <c r="P92" s="226"/>
      <c r="Q92" s="191" t="b">
        <v>1</v>
      </c>
      <c r="R92" s="308" t="s">
        <v>3138</v>
      </c>
      <c r="S92" s="173" t="s">
        <v>5519</v>
      </c>
      <c r="T92" s="57" t="b">
        <v>1</v>
      </c>
      <c r="U92" s="310" t="s">
        <v>5520</v>
      </c>
      <c r="V92" s="307"/>
      <c r="W92" s="54"/>
    </row>
    <row r="93" spans="1:23" ht="16">
      <c r="A93" s="162"/>
      <c r="B93" s="71" t="s">
        <v>5510</v>
      </c>
      <c r="C93" s="151" t="s">
        <v>3552</v>
      </c>
      <c r="D93" s="151" t="s">
        <v>51</v>
      </c>
      <c r="E93" s="151" t="s">
        <v>66</v>
      </c>
      <c r="F93" s="151" t="s">
        <v>67</v>
      </c>
      <c r="G93" s="151" t="s">
        <v>5407</v>
      </c>
      <c r="H93" s="131" t="s">
        <v>30</v>
      </c>
      <c r="I93" s="151">
        <v>10</v>
      </c>
      <c r="J93" s="335">
        <v>750</v>
      </c>
      <c r="K93" s="54">
        <f t="shared" si="1"/>
        <v>7500</v>
      </c>
      <c r="L93" s="55" t="b">
        <v>1</v>
      </c>
      <c r="M93" s="409">
        <v>170720251627</v>
      </c>
      <c r="N93" s="57" t="b">
        <v>1</v>
      </c>
      <c r="O93" s="58"/>
      <c r="P93" s="215"/>
      <c r="Q93" s="191" t="b">
        <v>1</v>
      </c>
      <c r="R93" s="308" t="s">
        <v>3138</v>
      </c>
      <c r="S93" s="173" t="s">
        <v>5521</v>
      </c>
      <c r="T93" s="57" t="b">
        <v>1</v>
      </c>
      <c r="U93" s="310" t="s">
        <v>5522</v>
      </c>
      <c r="V93" s="307"/>
      <c r="W93" s="54"/>
    </row>
    <row r="94" spans="1:23" ht="16">
      <c r="A94" s="162"/>
      <c r="B94" s="71" t="s">
        <v>5510</v>
      </c>
      <c r="C94" s="151" t="s">
        <v>3552</v>
      </c>
      <c r="D94" s="151" t="s">
        <v>51</v>
      </c>
      <c r="E94" s="151" t="s">
        <v>66</v>
      </c>
      <c r="F94" s="151" t="s">
        <v>67</v>
      </c>
      <c r="G94" s="151" t="s">
        <v>5523</v>
      </c>
      <c r="H94" s="131" t="s">
        <v>30</v>
      </c>
      <c r="I94" s="151">
        <v>10</v>
      </c>
      <c r="J94" s="335">
        <v>350</v>
      </c>
      <c r="K94" s="54">
        <f t="shared" si="1"/>
        <v>3500</v>
      </c>
      <c r="L94" s="55" t="b">
        <v>1</v>
      </c>
      <c r="M94" s="409">
        <v>170720251628</v>
      </c>
      <c r="N94" s="57" t="b">
        <v>1</v>
      </c>
      <c r="O94" s="58" t="s">
        <v>3300</v>
      </c>
      <c r="P94" s="226">
        <v>45859</v>
      </c>
      <c r="Q94" s="191" t="b">
        <v>1</v>
      </c>
      <c r="R94" s="308" t="s">
        <v>3138</v>
      </c>
      <c r="S94" s="173" t="s">
        <v>5524</v>
      </c>
      <c r="T94" s="57" t="b">
        <v>1</v>
      </c>
      <c r="U94" s="310" t="s">
        <v>5525</v>
      </c>
      <c r="V94" s="307"/>
      <c r="W94" s="54"/>
    </row>
    <row r="95" spans="1:23" ht="16.5" customHeight="1">
      <c r="A95" s="162"/>
      <c r="B95" s="71" t="s">
        <v>5510</v>
      </c>
      <c r="C95" s="151" t="s">
        <v>5296</v>
      </c>
      <c r="D95" s="151" t="s">
        <v>194</v>
      </c>
      <c r="E95" s="151" t="s">
        <v>137</v>
      </c>
      <c r="F95" s="151" t="s">
        <v>989</v>
      </c>
      <c r="G95" s="151" t="s">
        <v>1952</v>
      </c>
      <c r="H95" s="131" t="s">
        <v>30</v>
      </c>
      <c r="I95" s="151">
        <v>10</v>
      </c>
      <c r="J95" s="335">
        <v>650</v>
      </c>
      <c r="K95" s="54">
        <f t="shared" si="1"/>
        <v>6500</v>
      </c>
      <c r="L95" s="55" t="b">
        <v>1</v>
      </c>
      <c r="M95" s="409">
        <v>170720251628</v>
      </c>
      <c r="N95" s="57" t="b">
        <v>1</v>
      </c>
      <c r="O95" s="58" t="s">
        <v>39</v>
      </c>
      <c r="P95" s="226">
        <v>45855</v>
      </c>
      <c r="Q95" s="191" t="b">
        <v>1</v>
      </c>
      <c r="R95" s="308" t="s">
        <v>3138</v>
      </c>
      <c r="S95" s="173" t="s">
        <v>5526</v>
      </c>
      <c r="T95" s="57" t="b">
        <v>1</v>
      </c>
      <c r="U95" s="310" t="s">
        <v>5527</v>
      </c>
      <c r="V95" s="307"/>
      <c r="W95" s="54"/>
    </row>
    <row r="96" spans="1:23" ht="16">
      <c r="A96" s="162"/>
      <c r="B96" s="71" t="s">
        <v>5528</v>
      </c>
      <c r="C96" s="151" t="s">
        <v>3451</v>
      </c>
      <c r="D96" s="151" t="s">
        <v>397</v>
      </c>
      <c r="E96" s="151" t="s">
        <v>3452</v>
      </c>
      <c r="F96" s="151" t="s">
        <v>5403</v>
      </c>
      <c r="G96" s="53" t="s">
        <v>58</v>
      </c>
      <c r="H96" s="131" t="s">
        <v>30</v>
      </c>
      <c r="I96" s="151">
        <v>168</v>
      </c>
      <c r="J96" s="335">
        <v>42.5</v>
      </c>
      <c r="K96" s="54">
        <f t="shared" si="1"/>
        <v>7140</v>
      </c>
      <c r="L96" s="55" t="b">
        <v>1</v>
      </c>
      <c r="M96" s="409">
        <v>180720251056</v>
      </c>
      <c r="N96" s="57" t="b">
        <v>1</v>
      </c>
      <c r="O96" s="58"/>
      <c r="P96" s="226"/>
      <c r="Q96" s="191" t="b">
        <v>1</v>
      </c>
      <c r="R96" s="308" t="s">
        <v>3138</v>
      </c>
      <c r="S96" s="337" t="s">
        <v>5529</v>
      </c>
      <c r="T96" s="57" t="b">
        <v>1</v>
      </c>
      <c r="U96" s="310" t="s">
        <v>5530</v>
      </c>
      <c r="V96" s="307"/>
      <c r="W96" s="54"/>
    </row>
    <row r="97" spans="1:23" ht="16">
      <c r="A97" s="162"/>
      <c r="B97" s="71" t="s">
        <v>5528</v>
      </c>
      <c r="C97" s="151" t="s">
        <v>3451</v>
      </c>
      <c r="D97" s="151" t="s">
        <v>397</v>
      </c>
      <c r="E97" s="151" t="s">
        <v>3452</v>
      </c>
      <c r="F97" s="151" t="s">
        <v>5403</v>
      </c>
      <c r="G97" s="151" t="s">
        <v>4056</v>
      </c>
      <c r="H97" s="131" t="s">
        <v>30</v>
      </c>
      <c r="I97" s="151">
        <v>84</v>
      </c>
      <c r="J97" s="335">
        <v>39</v>
      </c>
      <c r="K97" s="54">
        <f t="shared" si="1"/>
        <v>3276</v>
      </c>
      <c r="L97" s="55" t="b">
        <v>1</v>
      </c>
      <c r="M97" s="409">
        <v>180720251057</v>
      </c>
      <c r="N97" s="57" t="b">
        <v>1</v>
      </c>
      <c r="O97" s="58"/>
      <c r="P97" s="226"/>
      <c r="Q97" s="191" t="b">
        <v>1</v>
      </c>
      <c r="R97" s="308" t="s">
        <v>3138</v>
      </c>
      <c r="S97" s="173" t="s">
        <v>5531</v>
      </c>
      <c r="T97" s="57" t="b">
        <v>1</v>
      </c>
      <c r="U97" s="310" t="s">
        <v>5532</v>
      </c>
      <c r="V97" s="307"/>
      <c r="W97" s="54"/>
    </row>
    <row r="98" spans="1:23" ht="16">
      <c r="A98" s="162"/>
      <c r="B98" s="71" t="s">
        <v>5533</v>
      </c>
      <c r="C98" s="151" t="s">
        <v>4173</v>
      </c>
      <c r="D98" s="151" t="s">
        <v>149</v>
      </c>
      <c r="E98" s="151" t="s">
        <v>130</v>
      </c>
      <c r="F98" s="151" t="s">
        <v>5534</v>
      </c>
      <c r="G98" s="151" t="s">
        <v>5535</v>
      </c>
      <c r="H98" s="131" t="s">
        <v>30</v>
      </c>
      <c r="I98" s="151">
        <v>2</v>
      </c>
      <c r="J98" s="335">
        <v>6950</v>
      </c>
      <c r="K98" s="54">
        <f t="shared" si="1"/>
        <v>13900</v>
      </c>
      <c r="L98" s="55" t="b">
        <v>1</v>
      </c>
      <c r="M98" s="409">
        <v>190720251138</v>
      </c>
      <c r="N98" s="57" t="b">
        <v>1</v>
      </c>
      <c r="O98" s="58" t="s">
        <v>529</v>
      </c>
      <c r="P98" s="215"/>
      <c r="Q98" s="191" t="b">
        <v>1</v>
      </c>
      <c r="R98" s="308" t="s">
        <v>3138</v>
      </c>
      <c r="S98" s="173" t="s">
        <v>5536</v>
      </c>
      <c r="T98" s="57" t="b">
        <v>1</v>
      </c>
      <c r="U98" s="310" t="s">
        <v>5537</v>
      </c>
      <c r="V98" s="307"/>
      <c r="W98" s="54"/>
    </row>
    <row r="99" spans="1:23" ht="16">
      <c r="A99" s="162"/>
      <c r="B99" s="71" t="s">
        <v>5533</v>
      </c>
      <c r="C99" s="151" t="s">
        <v>4173</v>
      </c>
      <c r="D99" s="151" t="s">
        <v>4606</v>
      </c>
      <c r="E99" s="151" t="s">
        <v>130</v>
      </c>
      <c r="F99" s="151" t="s">
        <v>5538</v>
      </c>
      <c r="G99" s="151" t="s">
        <v>72</v>
      </c>
      <c r="H99" s="131" t="s">
        <v>30</v>
      </c>
      <c r="I99" s="151">
        <v>1</v>
      </c>
      <c r="J99" s="335">
        <v>2250</v>
      </c>
      <c r="K99" s="54">
        <f t="shared" si="1"/>
        <v>2250</v>
      </c>
      <c r="L99" s="55" t="b">
        <v>1</v>
      </c>
      <c r="M99" s="409">
        <v>190720251139</v>
      </c>
      <c r="N99" s="57" t="b">
        <v>1</v>
      </c>
      <c r="O99" s="58" t="s">
        <v>529</v>
      </c>
      <c r="P99" s="215"/>
      <c r="Q99" s="191" t="b">
        <v>1</v>
      </c>
      <c r="R99" s="308" t="s">
        <v>3138</v>
      </c>
      <c r="S99" s="173" t="s">
        <v>5536</v>
      </c>
      <c r="T99" s="57" t="b">
        <v>1</v>
      </c>
      <c r="U99" s="310" t="s">
        <v>5537</v>
      </c>
      <c r="V99" s="307"/>
      <c r="W99" s="54"/>
    </row>
    <row r="100" spans="1:23" ht="15" customHeight="1">
      <c r="A100" s="162"/>
      <c r="B100" s="71" t="s">
        <v>5533</v>
      </c>
      <c r="C100" s="151" t="s">
        <v>5152</v>
      </c>
      <c r="D100" s="151" t="s">
        <v>5539</v>
      </c>
      <c r="E100" s="151" t="s">
        <v>3755</v>
      </c>
      <c r="F100" s="151" t="s">
        <v>2446</v>
      </c>
      <c r="G100" s="151" t="s">
        <v>1952</v>
      </c>
      <c r="H100" s="131" t="s">
        <v>30</v>
      </c>
      <c r="I100" s="151">
        <v>10</v>
      </c>
      <c r="J100" s="335">
        <v>650</v>
      </c>
      <c r="K100" s="54">
        <f t="shared" si="1"/>
        <v>6500</v>
      </c>
      <c r="L100" s="55" t="b">
        <v>1</v>
      </c>
      <c r="M100" s="409">
        <v>190720251448</v>
      </c>
      <c r="N100" s="57" t="b">
        <v>1</v>
      </c>
      <c r="O100" s="58" t="s">
        <v>39</v>
      </c>
      <c r="P100" s="226">
        <v>45859</v>
      </c>
      <c r="Q100" s="191" t="b">
        <v>1</v>
      </c>
      <c r="R100" s="308" t="s">
        <v>3138</v>
      </c>
      <c r="S100" s="337"/>
      <c r="T100" s="57" t="b">
        <v>1</v>
      </c>
      <c r="U100" s="310" t="s">
        <v>5540</v>
      </c>
      <c r="V100" s="307"/>
      <c r="W100" s="54"/>
    </row>
    <row r="101" spans="1:23" ht="16">
      <c r="A101" s="162"/>
      <c r="B101" s="71" t="s">
        <v>5533</v>
      </c>
      <c r="C101" s="151" t="s">
        <v>3487</v>
      </c>
      <c r="D101" s="151" t="s">
        <v>51</v>
      </c>
      <c r="E101" s="151" t="s">
        <v>89</v>
      </c>
      <c r="F101" s="151" t="s">
        <v>1872</v>
      </c>
      <c r="G101" s="340" t="s">
        <v>5482</v>
      </c>
      <c r="H101" s="131" t="s">
        <v>30</v>
      </c>
      <c r="I101" s="151">
        <v>100</v>
      </c>
      <c r="J101" s="335">
        <v>120</v>
      </c>
      <c r="K101" s="54">
        <f t="shared" si="1"/>
        <v>12000</v>
      </c>
      <c r="L101" s="55" t="b">
        <v>1</v>
      </c>
      <c r="M101" s="409">
        <v>190720251508</v>
      </c>
      <c r="N101" s="57" t="b">
        <v>1</v>
      </c>
      <c r="O101" s="58"/>
      <c r="P101" s="215"/>
      <c r="Q101" s="191" t="b">
        <v>1</v>
      </c>
      <c r="R101" s="308" t="s">
        <v>3138</v>
      </c>
      <c r="S101" s="173" t="s">
        <v>5541</v>
      </c>
      <c r="T101" s="57" t="b">
        <v>1</v>
      </c>
      <c r="U101" s="310" t="s">
        <v>5542</v>
      </c>
      <c r="V101" s="307"/>
      <c r="W101" s="54"/>
    </row>
    <row r="102" spans="1:23" ht="14.25" customHeight="1">
      <c r="A102" s="162"/>
      <c r="B102" s="71" t="s">
        <v>5543</v>
      </c>
      <c r="C102" s="151" t="s">
        <v>3650</v>
      </c>
      <c r="D102" s="151" t="s">
        <v>171</v>
      </c>
      <c r="E102" s="151" t="s">
        <v>137</v>
      </c>
      <c r="F102" s="151" t="s">
        <v>4317</v>
      </c>
      <c r="G102" s="151" t="s">
        <v>5404</v>
      </c>
      <c r="H102" s="131" t="s">
        <v>30</v>
      </c>
      <c r="I102" s="151">
        <v>300</v>
      </c>
      <c r="J102" s="335">
        <v>22.5</v>
      </c>
      <c r="K102" s="54">
        <f t="shared" si="1"/>
        <v>6750</v>
      </c>
      <c r="L102" s="55" t="b">
        <v>1</v>
      </c>
      <c r="M102" s="409">
        <v>200720252015</v>
      </c>
      <c r="N102" s="57" t="b">
        <v>1</v>
      </c>
      <c r="O102" s="58"/>
      <c r="P102" s="215"/>
      <c r="Q102" s="191" t="b">
        <v>1</v>
      </c>
      <c r="R102" s="308" t="s">
        <v>3138</v>
      </c>
      <c r="S102" s="173" t="s">
        <v>5544</v>
      </c>
      <c r="T102" s="57" t="b">
        <v>1</v>
      </c>
      <c r="U102" s="310" t="s">
        <v>5545</v>
      </c>
      <c r="V102" s="307"/>
      <c r="W102" s="54"/>
    </row>
    <row r="103" spans="1:23" ht="16">
      <c r="A103" s="162"/>
      <c r="B103" s="71" t="s">
        <v>5546</v>
      </c>
      <c r="C103" s="151" t="s">
        <v>4717</v>
      </c>
      <c r="D103" s="151" t="s">
        <v>51</v>
      </c>
      <c r="E103" s="151" t="s">
        <v>475</v>
      </c>
      <c r="F103" s="151" t="s">
        <v>2120</v>
      </c>
      <c r="G103" s="151" t="s">
        <v>436</v>
      </c>
      <c r="H103" s="131" t="s">
        <v>30</v>
      </c>
      <c r="I103" s="151">
        <v>50</v>
      </c>
      <c r="J103" s="335">
        <v>270</v>
      </c>
      <c r="K103" s="54">
        <f t="shared" si="1"/>
        <v>13500</v>
      </c>
      <c r="L103" s="55" t="b">
        <v>1</v>
      </c>
      <c r="M103" s="409">
        <v>210720250903</v>
      </c>
      <c r="N103" s="57" t="b">
        <v>1</v>
      </c>
      <c r="O103" s="58"/>
      <c r="P103" s="226"/>
      <c r="Q103" s="191" t="b">
        <v>1</v>
      </c>
      <c r="R103" s="308" t="s">
        <v>3138</v>
      </c>
      <c r="S103" s="428" t="s">
        <v>5547</v>
      </c>
      <c r="T103" s="57" t="b">
        <v>1</v>
      </c>
      <c r="U103" s="310" t="s">
        <v>5548</v>
      </c>
      <c r="V103" s="307"/>
      <c r="W103" s="54"/>
    </row>
    <row r="104" spans="1:23" ht="16">
      <c r="A104" s="162"/>
      <c r="B104" s="71" t="s">
        <v>5546</v>
      </c>
      <c r="C104" s="151" t="s">
        <v>5152</v>
      </c>
      <c r="D104" s="151" t="s">
        <v>104</v>
      </c>
      <c r="E104" s="151" t="s">
        <v>3755</v>
      </c>
      <c r="F104" s="151" t="s">
        <v>2446</v>
      </c>
      <c r="G104" s="151" t="s">
        <v>1700</v>
      </c>
      <c r="H104" s="131" t="s">
        <v>30</v>
      </c>
      <c r="I104" s="151">
        <v>100</v>
      </c>
      <c r="J104" s="335">
        <v>16</v>
      </c>
      <c r="K104" s="54">
        <f t="shared" si="1"/>
        <v>1600</v>
      </c>
      <c r="L104" s="55" t="b">
        <v>1</v>
      </c>
      <c r="M104" s="409">
        <v>210720250940</v>
      </c>
      <c r="N104" s="57" t="b">
        <v>1</v>
      </c>
      <c r="O104" s="58"/>
      <c r="P104" s="215"/>
      <c r="Q104" s="191" t="b">
        <v>1</v>
      </c>
      <c r="R104" s="308" t="s">
        <v>3138</v>
      </c>
      <c r="S104" s="173" t="s">
        <v>5549</v>
      </c>
      <c r="T104" s="57" t="b">
        <v>1</v>
      </c>
      <c r="U104" s="310" t="s">
        <v>5550</v>
      </c>
      <c r="V104" s="307"/>
      <c r="W104" s="54"/>
    </row>
    <row r="105" spans="1:23" ht="16">
      <c r="A105" s="162"/>
      <c r="B105" s="71" t="s">
        <v>5546</v>
      </c>
      <c r="C105" s="151" t="s">
        <v>4135</v>
      </c>
      <c r="D105" s="151" t="s">
        <v>26</v>
      </c>
      <c r="E105" s="151" t="s">
        <v>27</v>
      </c>
      <c r="F105" s="151" t="s">
        <v>28</v>
      </c>
      <c r="G105" s="151" t="s">
        <v>436</v>
      </c>
      <c r="H105" s="131" t="s">
        <v>30</v>
      </c>
      <c r="I105" s="151">
        <v>50</v>
      </c>
      <c r="J105" s="335">
        <v>270</v>
      </c>
      <c r="K105" s="54">
        <f t="shared" si="1"/>
        <v>13500</v>
      </c>
      <c r="L105" s="55" t="b">
        <v>1</v>
      </c>
      <c r="M105" s="409">
        <v>210720250940</v>
      </c>
      <c r="N105" s="57" t="b">
        <v>1</v>
      </c>
      <c r="O105" s="58"/>
      <c r="P105" s="226"/>
      <c r="Q105" s="191" t="b">
        <v>1</v>
      </c>
      <c r="R105" s="308" t="s">
        <v>3138</v>
      </c>
      <c r="S105" s="297" t="s">
        <v>5551</v>
      </c>
      <c r="T105" s="57" t="b">
        <v>1</v>
      </c>
      <c r="U105" s="310" t="s">
        <v>5552</v>
      </c>
      <c r="V105" s="307"/>
      <c r="W105" s="54"/>
    </row>
    <row r="106" spans="1:23" ht="16">
      <c r="A106" s="162"/>
      <c r="B106" s="71" t="s">
        <v>5546</v>
      </c>
      <c r="C106" s="151" t="s">
        <v>4135</v>
      </c>
      <c r="D106" s="151" t="s">
        <v>26</v>
      </c>
      <c r="E106" s="151" t="s">
        <v>27</v>
      </c>
      <c r="F106" s="151" t="s">
        <v>28</v>
      </c>
      <c r="G106" s="151" t="s">
        <v>72</v>
      </c>
      <c r="H106" s="131" t="s">
        <v>30</v>
      </c>
      <c r="I106" s="151">
        <v>1</v>
      </c>
      <c r="J106" s="335">
        <v>1500</v>
      </c>
      <c r="K106" s="54">
        <f t="shared" si="1"/>
        <v>1500</v>
      </c>
      <c r="L106" s="55" t="b">
        <v>1</v>
      </c>
      <c r="M106" s="409">
        <v>210720250940</v>
      </c>
      <c r="N106" s="57" t="b">
        <v>1</v>
      </c>
      <c r="O106" s="58"/>
      <c r="P106" s="215"/>
      <c r="Q106" s="191" t="b">
        <v>1</v>
      </c>
      <c r="R106" s="308" t="s">
        <v>3138</v>
      </c>
      <c r="S106" s="337"/>
      <c r="T106" s="57" t="b">
        <v>1</v>
      </c>
      <c r="U106" s="310" t="s">
        <v>5553</v>
      </c>
      <c r="V106" s="307"/>
      <c r="W106" s="54"/>
    </row>
    <row r="107" spans="1:23" ht="16">
      <c r="A107" s="162"/>
      <c r="B107" s="71" t="s">
        <v>5546</v>
      </c>
      <c r="C107" s="151" t="s">
        <v>3483</v>
      </c>
      <c r="D107" s="151" t="s">
        <v>26</v>
      </c>
      <c r="E107" s="151" t="s">
        <v>1976</v>
      </c>
      <c r="F107" s="151" t="s">
        <v>2124</v>
      </c>
      <c r="G107" s="151" t="s">
        <v>436</v>
      </c>
      <c r="H107" s="131" t="s">
        <v>30</v>
      </c>
      <c r="I107" s="151">
        <v>50</v>
      </c>
      <c r="J107" s="335">
        <v>270</v>
      </c>
      <c r="K107" s="54">
        <f t="shared" si="1"/>
        <v>13500</v>
      </c>
      <c r="L107" s="55" t="b">
        <v>1</v>
      </c>
      <c r="M107" s="409">
        <v>210720251010</v>
      </c>
      <c r="N107" s="57" t="b">
        <v>1</v>
      </c>
      <c r="O107" s="58"/>
      <c r="P107" s="215"/>
      <c r="Q107" s="191" t="b">
        <v>1</v>
      </c>
      <c r="R107" s="308" t="s">
        <v>3138</v>
      </c>
      <c r="S107" s="297" t="s">
        <v>5554</v>
      </c>
      <c r="T107" s="57" t="b">
        <v>1</v>
      </c>
      <c r="U107" s="310" t="s">
        <v>5555</v>
      </c>
      <c r="V107" s="307"/>
      <c r="W107" s="54"/>
    </row>
    <row r="108" spans="1:23" ht="16">
      <c r="A108" s="162"/>
      <c r="B108" s="71" t="s">
        <v>5546</v>
      </c>
      <c r="C108" s="151" t="s">
        <v>3483</v>
      </c>
      <c r="D108" s="151" t="s">
        <v>26</v>
      </c>
      <c r="E108" s="151" t="s">
        <v>1976</v>
      </c>
      <c r="F108" s="151" t="s">
        <v>2124</v>
      </c>
      <c r="G108" s="151" t="s">
        <v>72</v>
      </c>
      <c r="H108" s="131" t="s">
        <v>30</v>
      </c>
      <c r="I108" s="151">
        <v>1</v>
      </c>
      <c r="J108" s="335">
        <v>1500</v>
      </c>
      <c r="K108" s="54">
        <f t="shared" si="1"/>
        <v>1500</v>
      </c>
      <c r="L108" s="55" t="b">
        <v>1</v>
      </c>
      <c r="M108" s="409">
        <v>210720251010</v>
      </c>
      <c r="N108" s="57" t="b">
        <v>1</v>
      </c>
      <c r="O108" s="58"/>
      <c r="P108" s="226"/>
      <c r="Q108" s="191" t="b">
        <v>1</v>
      </c>
      <c r="R108" s="308" t="s">
        <v>3138</v>
      </c>
      <c r="S108" s="337"/>
      <c r="T108" s="57" t="b">
        <v>1</v>
      </c>
      <c r="U108" s="310" t="s">
        <v>5556</v>
      </c>
      <c r="V108" s="307"/>
      <c r="W108" s="54"/>
    </row>
    <row r="109" spans="1:23" ht="16">
      <c r="A109" s="162"/>
      <c r="B109" s="71" t="s">
        <v>5546</v>
      </c>
      <c r="C109" s="151" t="s">
        <v>4149</v>
      </c>
      <c r="D109" s="151" t="s">
        <v>144</v>
      </c>
      <c r="E109" s="151" t="s">
        <v>4503</v>
      </c>
      <c r="F109" s="151" t="s">
        <v>2732</v>
      </c>
      <c r="G109" s="151" t="s">
        <v>1952</v>
      </c>
      <c r="H109" s="131" t="s">
        <v>30</v>
      </c>
      <c r="I109" s="151">
        <v>10</v>
      </c>
      <c r="J109" s="335">
        <v>650</v>
      </c>
      <c r="K109" s="54">
        <f t="shared" si="1"/>
        <v>6500</v>
      </c>
      <c r="L109" s="55" t="b">
        <v>1</v>
      </c>
      <c r="M109" s="409">
        <v>210720251030</v>
      </c>
      <c r="N109" s="57" t="b">
        <v>1</v>
      </c>
      <c r="O109" s="58" t="s">
        <v>39</v>
      </c>
      <c r="P109" s="226">
        <v>45859</v>
      </c>
      <c r="Q109" s="191" t="b">
        <v>1</v>
      </c>
      <c r="R109" s="308" t="s">
        <v>3138</v>
      </c>
      <c r="S109" s="337"/>
      <c r="T109" s="57" t="b">
        <v>1</v>
      </c>
      <c r="U109" s="310" t="s">
        <v>5557</v>
      </c>
      <c r="V109" s="307"/>
      <c r="W109" s="54"/>
    </row>
    <row r="110" spans="1:23" ht="16">
      <c r="A110" s="162"/>
      <c r="B110" s="71" t="s">
        <v>5546</v>
      </c>
      <c r="C110" s="151" t="s">
        <v>3632</v>
      </c>
      <c r="D110" s="151" t="s">
        <v>1752</v>
      </c>
      <c r="E110" s="151" t="s">
        <v>486</v>
      </c>
      <c r="F110" s="151" t="s">
        <v>241</v>
      </c>
      <c r="G110" s="151" t="s">
        <v>68</v>
      </c>
      <c r="H110" s="131" t="s">
        <v>30</v>
      </c>
      <c r="I110" s="151">
        <v>1</v>
      </c>
      <c r="J110" s="335">
        <v>2350</v>
      </c>
      <c r="K110" s="54">
        <f t="shared" si="1"/>
        <v>2350</v>
      </c>
      <c r="L110" s="55" t="b">
        <v>1</v>
      </c>
      <c r="M110" s="409">
        <v>210720251134</v>
      </c>
      <c r="N110" s="57" t="b">
        <v>1</v>
      </c>
      <c r="O110" s="58"/>
      <c r="P110" s="215"/>
      <c r="Q110" s="191" t="b">
        <v>1</v>
      </c>
      <c r="R110" s="308" t="s">
        <v>3138</v>
      </c>
      <c r="S110" s="173" t="s">
        <v>5558</v>
      </c>
      <c r="T110" s="57" t="b">
        <v>1</v>
      </c>
      <c r="U110" s="310" t="s">
        <v>5559</v>
      </c>
      <c r="V110" s="307"/>
      <c r="W110" s="54"/>
    </row>
    <row r="111" spans="1:23" ht="16">
      <c r="A111" s="162"/>
      <c r="B111" s="71" t="s">
        <v>5546</v>
      </c>
      <c r="C111" s="151" t="s">
        <v>3534</v>
      </c>
      <c r="D111" s="151" t="s">
        <v>418</v>
      </c>
      <c r="E111" s="151" t="s">
        <v>1069</v>
      </c>
      <c r="F111" s="151" t="s">
        <v>420</v>
      </c>
      <c r="G111" s="151" t="s">
        <v>436</v>
      </c>
      <c r="H111" s="131" t="s">
        <v>30</v>
      </c>
      <c r="I111" s="151">
        <v>20</v>
      </c>
      <c r="J111" s="335">
        <v>270</v>
      </c>
      <c r="K111" s="54">
        <f t="shared" si="1"/>
        <v>5400</v>
      </c>
      <c r="L111" s="55" t="b">
        <v>1</v>
      </c>
      <c r="M111" s="409">
        <v>210720251135</v>
      </c>
      <c r="N111" s="57" t="b">
        <v>1</v>
      </c>
      <c r="O111" s="58"/>
      <c r="P111" s="215"/>
      <c r="Q111" s="191" t="b">
        <v>1</v>
      </c>
      <c r="R111" s="308" t="s">
        <v>3138</v>
      </c>
      <c r="S111" s="173" t="s">
        <v>5560</v>
      </c>
      <c r="T111" s="57" t="b">
        <v>1</v>
      </c>
      <c r="U111" s="310" t="s">
        <v>5561</v>
      </c>
      <c r="V111" s="307"/>
      <c r="W111" s="54"/>
    </row>
    <row r="112" spans="1:23" ht="16">
      <c r="A112" s="162"/>
      <c r="B112" s="71" t="s">
        <v>5546</v>
      </c>
      <c r="C112" s="151" t="s">
        <v>3487</v>
      </c>
      <c r="D112" s="151" t="s">
        <v>51</v>
      </c>
      <c r="E112" s="151" t="s">
        <v>89</v>
      </c>
      <c r="F112" s="151" t="s">
        <v>2090</v>
      </c>
      <c r="G112" s="151" t="s">
        <v>1181</v>
      </c>
      <c r="H112" s="131" t="s">
        <v>30</v>
      </c>
      <c r="I112" s="151">
        <v>20</v>
      </c>
      <c r="J112" s="335">
        <v>150</v>
      </c>
      <c r="K112" s="54">
        <f t="shared" si="1"/>
        <v>3000</v>
      </c>
      <c r="L112" s="55" t="b">
        <v>1</v>
      </c>
      <c r="M112" s="409" t="s">
        <v>529</v>
      </c>
      <c r="N112" s="57" t="b">
        <v>1</v>
      </c>
      <c r="O112" s="58"/>
      <c r="P112" s="215"/>
      <c r="Q112" s="191" t="b">
        <v>1</v>
      </c>
      <c r="R112" s="308" t="s">
        <v>3138</v>
      </c>
      <c r="S112" s="173" t="s">
        <v>5562</v>
      </c>
      <c r="T112" s="57" t="b">
        <v>1</v>
      </c>
      <c r="U112" s="310" t="s">
        <v>5563</v>
      </c>
      <c r="V112" s="307"/>
      <c r="W112" s="54"/>
    </row>
    <row r="113" spans="1:23" ht="16">
      <c r="A113" s="162"/>
      <c r="B113" s="71" t="s">
        <v>5546</v>
      </c>
      <c r="C113" s="151" t="s">
        <v>3589</v>
      </c>
      <c r="D113" s="151" t="s">
        <v>397</v>
      </c>
      <c r="E113" s="151" t="s">
        <v>213</v>
      </c>
      <c r="F113" s="151" t="s">
        <v>859</v>
      </c>
      <c r="G113" s="340" t="s">
        <v>1952</v>
      </c>
      <c r="H113" s="131" t="s">
        <v>30</v>
      </c>
      <c r="I113" s="151">
        <v>10</v>
      </c>
      <c r="J113" s="335">
        <v>650</v>
      </c>
      <c r="K113" s="54">
        <f t="shared" si="1"/>
        <v>6500</v>
      </c>
      <c r="L113" s="55" t="b">
        <v>1</v>
      </c>
      <c r="M113" s="409">
        <v>210720251929</v>
      </c>
      <c r="N113" s="57" t="b">
        <v>1</v>
      </c>
      <c r="O113" s="58" t="s">
        <v>39</v>
      </c>
      <c r="P113" s="226">
        <v>45860</v>
      </c>
      <c r="Q113" s="191" t="b">
        <v>1</v>
      </c>
      <c r="R113" s="308" t="s">
        <v>3138</v>
      </c>
      <c r="S113" s="337"/>
      <c r="T113" s="57" t="b">
        <v>1</v>
      </c>
      <c r="U113" s="310" t="s">
        <v>5564</v>
      </c>
      <c r="V113" s="307"/>
      <c r="W113" s="54"/>
    </row>
    <row r="114" spans="1:23" ht="16">
      <c r="A114" s="162"/>
      <c r="B114" s="71" t="s">
        <v>5546</v>
      </c>
      <c r="C114" s="151" t="s">
        <v>3534</v>
      </c>
      <c r="D114" s="151" t="s">
        <v>418</v>
      </c>
      <c r="E114" s="151" t="s">
        <v>1069</v>
      </c>
      <c r="F114" s="151" t="s">
        <v>420</v>
      </c>
      <c r="G114" s="80" t="s">
        <v>5565</v>
      </c>
      <c r="H114" s="131" t="s">
        <v>30</v>
      </c>
      <c r="I114" s="151">
        <v>1</v>
      </c>
      <c r="J114" s="335">
        <v>925</v>
      </c>
      <c r="K114" s="54">
        <f t="shared" si="1"/>
        <v>925</v>
      </c>
      <c r="L114" s="55" t="b">
        <v>1</v>
      </c>
      <c r="M114" s="409">
        <v>210720251929</v>
      </c>
      <c r="N114" s="57" t="b">
        <v>1</v>
      </c>
      <c r="O114" s="58" t="s">
        <v>529</v>
      </c>
      <c r="P114" s="226"/>
      <c r="Q114" s="191" t="b">
        <v>1</v>
      </c>
      <c r="R114" s="308" t="s">
        <v>3138</v>
      </c>
      <c r="S114" s="173" t="s">
        <v>5566</v>
      </c>
      <c r="T114" s="57" t="b">
        <v>1</v>
      </c>
      <c r="U114" s="310" t="s">
        <v>5567</v>
      </c>
      <c r="V114" s="307"/>
      <c r="W114" s="54"/>
    </row>
    <row r="115" spans="1:23" ht="16">
      <c r="A115" s="162"/>
      <c r="B115" s="71" t="s">
        <v>5546</v>
      </c>
      <c r="C115" s="151" t="s">
        <v>3487</v>
      </c>
      <c r="D115" s="151" t="s">
        <v>51</v>
      </c>
      <c r="E115" s="151" t="s">
        <v>89</v>
      </c>
      <c r="F115" s="151" t="s">
        <v>1872</v>
      </c>
      <c r="G115" s="151" t="s">
        <v>5568</v>
      </c>
      <c r="H115" s="131" t="s">
        <v>30</v>
      </c>
      <c r="I115" s="151">
        <v>47</v>
      </c>
      <c r="J115" s="151">
        <v>135</v>
      </c>
      <c r="K115" s="54">
        <f>(I115*J115)</f>
        <v>6345</v>
      </c>
      <c r="L115" s="55" t="b">
        <v>1</v>
      </c>
      <c r="M115" s="409">
        <v>210720251929</v>
      </c>
      <c r="N115" s="57" t="b">
        <v>1</v>
      </c>
      <c r="O115" s="58"/>
      <c r="P115" s="215" t="s">
        <v>529</v>
      </c>
      <c r="Q115" s="191" t="b">
        <v>1</v>
      </c>
      <c r="R115" s="308" t="s">
        <v>3138</v>
      </c>
      <c r="S115" s="337"/>
      <c r="T115" s="57" t="b">
        <v>1</v>
      </c>
      <c r="U115" s="310" t="s">
        <v>5569</v>
      </c>
      <c r="V115" s="307"/>
      <c r="W115" s="54"/>
    </row>
    <row r="116" spans="1:23" ht="16">
      <c r="A116" s="162"/>
      <c r="B116" s="71" t="s">
        <v>5570</v>
      </c>
      <c r="C116" s="343" t="s">
        <v>3583</v>
      </c>
      <c r="D116" s="343" t="s">
        <v>26</v>
      </c>
      <c r="E116" s="151" t="s">
        <v>158</v>
      </c>
      <c r="F116" s="151" t="s">
        <v>3584</v>
      </c>
      <c r="G116" s="151" t="s">
        <v>1952</v>
      </c>
      <c r="H116" s="131" t="s">
        <v>30</v>
      </c>
      <c r="I116" s="151">
        <v>10</v>
      </c>
      <c r="J116" s="335">
        <v>650</v>
      </c>
      <c r="K116" s="54">
        <f t="shared" ref="K116:K194" si="2">I116*J116</f>
        <v>6500</v>
      </c>
      <c r="L116" s="55" t="b">
        <v>1</v>
      </c>
      <c r="M116" s="409">
        <v>220720251015</v>
      </c>
      <c r="N116" s="57" t="b">
        <v>1</v>
      </c>
      <c r="O116" s="58" t="s">
        <v>39</v>
      </c>
      <c r="P116" s="226">
        <v>45860</v>
      </c>
      <c r="Q116" s="191" t="b">
        <v>1</v>
      </c>
      <c r="R116" s="308" t="s">
        <v>3138</v>
      </c>
      <c r="S116" s="337"/>
      <c r="T116" s="57" t="b">
        <v>1</v>
      </c>
      <c r="U116" s="310" t="s">
        <v>5571</v>
      </c>
      <c r="V116" s="307"/>
      <c r="W116" s="54"/>
    </row>
    <row r="117" spans="1:23" ht="16">
      <c r="A117" s="162"/>
      <c r="B117" s="71" t="s">
        <v>5570</v>
      </c>
      <c r="C117" s="151" t="s">
        <v>4330</v>
      </c>
      <c r="D117" s="151" t="s">
        <v>212</v>
      </c>
      <c r="E117" s="151" t="s">
        <v>213</v>
      </c>
      <c r="F117" s="151" t="s">
        <v>2839</v>
      </c>
      <c r="G117" s="151" t="s">
        <v>1952</v>
      </c>
      <c r="H117" s="131" t="s">
        <v>30</v>
      </c>
      <c r="I117" s="151">
        <v>10</v>
      </c>
      <c r="J117" s="335">
        <v>650</v>
      </c>
      <c r="K117" s="54">
        <f t="shared" si="2"/>
        <v>6500</v>
      </c>
      <c r="L117" s="55" t="b">
        <v>1</v>
      </c>
      <c r="M117" s="409">
        <v>220720251106</v>
      </c>
      <c r="N117" s="57" t="b">
        <v>1</v>
      </c>
      <c r="O117" s="58" t="s">
        <v>39</v>
      </c>
      <c r="P117" s="226">
        <v>45860</v>
      </c>
      <c r="Q117" s="191" t="b">
        <v>1</v>
      </c>
      <c r="R117" s="308" t="s">
        <v>3138</v>
      </c>
      <c r="S117" s="337"/>
      <c r="T117" s="57" t="b">
        <v>1</v>
      </c>
      <c r="U117" s="310" t="s">
        <v>5572</v>
      </c>
      <c r="V117" s="307"/>
      <c r="W117" s="54"/>
    </row>
    <row r="118" spans="1:23" ht="16">
      <c r="A118" s="162"/>
      <c r="B118" s="71" t="s">
        <v>5570</v>
      </c>
      <c r="C118" s="151" t="s">
        <v>3487</v>
      </c>
      <c r="D118" s="151" t="s">
        <v>51</v>
      </c>
      <c r="E118" s="151" t="s">
        <v>5573</v>
      </c>
      <c r="F118" s="151" t="s">
        <v>2090</v>
      </c>
      <c r="G118" s="151" t="s">
        <v>5574</v>
      </c>
      <c r="H118" s="131" t="s">
        <v>30</v>
      </c>
      <c r="I118" s="151">
        <v>2</v>
      </c>
      <c r="J118" s="335">
        <v>6000</v>
      </c>
      <c r="K118" s="54">
        <f t="shared" si="2"/>
        <v>12000</v>
      </c>
      <c r="L118" s="55" t="b">
        <v>1</v>
      </c>
      <c r="M118" s="409">
        <v>220720251238</v>
      </c>
      <c r="N118" s="57" t="b">
        <v>1</v>
      </c>
      <c r="O118" s="58"/>
      <c r="P118" s="215"/>
      <c r="Q118" s="191" t="b">
        <v>1</v>
      </c>
      <c r="R118" s="308" t="s">
        <v>3138</v>
      </c>
      <c r="S118" s="337"/>
      <c r="T118" s="57" t="b">
        <v>1</v>
      </c>
      <c r="U118" s="310" t="s">
        <v>5575</v>
      </c>
      <c r="V118" s="307"/>
      <c r="W118" s="54"/>
    </row>
    <row r="119" spans="1:23" ht="16">
      <c r="A119" s="162"/>
      <c r="B119" s="71" t="s">
        <v>5570</v>
      </c>
      <c r="C119" s="151" t="s">
        <v>3487</v>
      </c>
      <c r="D119" s="151" t="s">
        <v>51</v>
      </c>
      <c r="E119" s="151" t="s">
        <v>5573</v>
      </c>
      <c r="F119" s="151" t="s">
        <v>2090</v>
      </c>
      <c r="G119" s="151" t="s">
        <v>5576</v>
      </c>
      <c r="H119" s="131" t="s">
        <v>30</v>
      </c>
      <c r="I119" s="151">
        <v>80</v>
      </c>
      <c r="J119" s="335">
        <v>60</v>
      </c>
      <c r="K119" s="54">
        <f t="shared" si="2"/>
        <v>4800</v>
      </c>
      <c r="L119" s="55" t="b">
        <v>1</v>
      </c>
      <c r="M119" s="409">
        <v>220720251238</v>
      </c>
      <c r="N119" s="57" t="b">
        <v>1</v>
      </c>
      <c r="O119" s="58"/>
      <c r="P119" s="226"/>
      <c r="Q119" s="191" t="b">
        <v>1</v>
      </c>
      <c r="R119" s="308" t="s">
        <v>3138</v>
      </c>
      <c r="S119" s="337"/>
      <c r="T119" s="57" t="b">
        <v>1</v>
      </c>
      <c r="U119" s="310" t="s">
        <v>5575</v>
      </c>
      <c r="V119" s="307"/>
      <c r="W119" s="54"/>
    </row>
    <row r="120" spans="1:23" ht="16">
      <c r="A120" s="162"/>
      <c r="B120" s="71" t="s">
        <v>5570</v>
      </c>
      <c r="C120" s="151" t="s">
        <v>3641</v>
      </c>
      <c r="D120" s="151" t="s">
        <v>51</v>
      </c>
      <c r="E120" s="151" t="s">
        <v>335</v>
      </c>
      <c r="F120" s="151" t="s">
        <v>339</v>
      </c>
      <c r="G120" s="151" t="s">
        <v>5577</v>
      </c>
      <c r="H120" s="131" t="s">
        <v>30</v>
      </c>
      <c r="I120" s="151">
        <v>2</v>
      </c>
      <c r="J120" s="335">
        <v>6000</v>
      </c>
      <c r="K120" s="54">
        <f t="shared" si="2"/>
        <v>12000</v>
      </c>
      <c r="L120" s="55" t="b">
        <v>1</v>
      </c>
      <c r="M120" s="409">
        <v>220720251238</v>
      </c>
      <c r="N120" s="57" t="b">
        <v>1</v>
      </c>
      <c r="O120" s="58"/>
      <c r="P120" s="215"/>
      <c r="Q120" s="191" t="b">
        <v>1</v>
      </c>
      <c r="R120" s="308" t="s">
        <v>3138</v>
      </c>
      <c r="S120" s="337"/>
      <c r="T120" s="57" t="b">
        <v>1</v>
      </c>
      <c r="U120" s="310" t="s">
        <v>5578</v>
      </c>
      <c r="V120" s="307"/>
      <c r="W120" s="54"/>
    </row>
    <row r="121" spans="1:23" ht="16">
      <c r="A121" s="162"/>
      <c r="B121" s="71" t="s">
        <v>5570</v>
      </c>
      <c r="C121" s="151" t="s">
        <v>3641</v>
      </c>
      <c r="D121" s="151" t="s">
        <v>51</v>
      </c>
      <c r="E121" s="151" t="s">
        <v>335</v>
      </c>
      <c r="F121" s="151" t="s">
        <v>339</v>
      </c>
      <c r="G121" s="151" t="s">
        <v>5576</v>
      </c>
      <c r="H121" s="131" t="s">
        <v>30</v>
      </c>
      <c r="I121" s="151">
        <v>80</v>
      </c>
      <c r="J121" s="335">
        <v>60</v>
      </c>
      <c r="K121" s="54">
        <f t="shared" si="2"/>
        <v>4800</v>
      </c>
      <c r="L121" s="55" t="b">
        <v>1</v>
      </c>
      <c r="M121" s="409">
        <v>220720251238</v>
      </c>
      <c r="N121" s="57" t="b">
        <v>1</v>
      </c>
      <c r="O121" s="58"/>
      <c r="P121" s="215"/>
      <c r="Q121" s="191" t="b">
        <v>1</v>
      </c>
      <c r="R121" s="308" t="s">
        <v>3138</v>
      </c>
      <c r="S121" s="337"/>
      <c r="T121" s="57" t="b">
        <v>1</v>
      </c>
      <c r="U121" s="310" t="s">
        <v>5579</v>
      </c>
      <c r="V121" s="307"/>
      <c r="W121" s="54"/>
    </row>
    <row r="122" spans="1:23" ht="16">
      <c r="A122" s="162"/>
      <c r="B122" s="71" t="s">
        <v>5570</v>
      </c>
      <c r="C122" s="151" t="s">
        <v>3552</v>
      </c>
      <c r="D122" s="151" t="s">
        <v>51</v>
      </c>
      <c r="E122" s="151" t="s">
        <v>66</v>
      </c>
      <c r="F122" s="151" t="s">
        <v>67</v>
      </c>
      <c r="G122" s="151" t="s">
        <v>5576</v>
      </c>
      <c r="H122" s="131" t="s">
        <v>30</v>
      </c>
      <c r="I122" s="151">
        <v>100</v>
      </c>
      <c r="J122" s="335">
        <v>60</v>
      </c>
      <c r="K122" s="54">
        <f t="shared" si="2"/>
        <v>6000</v>
      </c>
      <c r="L122" s="55" t="b">
        <v>1</v>
      </c>
      <c r="M122" s="409">
        <v>220720251238</v>
      </c>
      <c r="N122" s="57" t="b">
        <v>1</v>
      </c>
      <c r="O122" s="58"/>
      <c r="P122" s="215"/>
      <c r="Q122" s="191" t="b">
        <v>1</v>
      </c>
      <c r="R122" s="308" t="s">
        <v>3138</v>
      </c>
      <c r="S122" s="337"/>
      <c r="T122" s="57" t="b">
        <v>1</v>
      </c>
      <c r="U122" s="310" t="s">
        <v>5580</v>
      </c>
      <c r="V122" s="307"/>
      <c r="W122" s="54"/>
    </row>
    <row r="123" spans="1:23" ht="16">
      <c r="A123" s="162"/>
      <c r="B123" s="71" t="s">
        <v>5570</v>
      </c>
      <c r="C123" s="151" t="s">
        <v>3552</v>
      </c>
      <c r="D123" s="151" t="s">
        <v>51</v>
      </c>
      <c r="E123" s="151" t="s">
        <v>66</v>
      </c>
      <c r="F123" s="151" t="s">
        <v>67</v>
      </c>
      <c r="G123" s="151" t="s">
        <v>5581</v>
      </c>
      <c r="H123" s="131" t="s">
        <v>30</v>
      </c>
      <c r="I123" s="151">
        <v>1</v>
      </c>
      <c r="J123" s="335">
        <v>3000</v>
      </c>
      <c r="K123" s="54">
        <f t="shared" si="2"/>
        <v>3000</v>
      </c>
      <c r="L123" s="55" t="b">
        <v>1</v>
      </c>
      <c r="M123" s="409">
        <v>220720251238</v>
      </c>
      <c r="N123" s="57" t="b">
        <v>1</v>
      </c>
      <c r="O123" s="58"/>
      <c r="P123" s="215"/>
      <c r="Q123" s="191" t="b">
        <v>1</v>
      </c>
      <c r="R123" s="308" t="s">
        <v>3138</v>
      </c>
      <c r="S123" s="337"/>
      <c r="T123" s="57" t="b">
        <v>1</v>
      </c>
      <c r="U123" s="310" t="s">
        <v>5580</v>
      </c>
      <c r="V123" s="307"/>
      <c r="W123" s="54"/>
    </row>
    <row r="124" spans="1:23" ht="16">
      <c r="A124" s="162"/>
      <c r="B124" s="132" t="s">
        <v>5570</v>
      </c>
      <c r="C124" s="151" t="s">
        <v>3548</v>
      </c>
      <c r="D124" s="151" t="s">
        <v>51</v>
      </c>
      <c r="E124" s="151" t="s">
        <v>137</v>
      </c>
      <c r="F124" s="151" t="s">
        <v>1214</v>
      </c>
      <c r="G124" s="151" t="s">
        <v>5577</v>
      </c>
      <c r="H124" s="131" t="s">
        <v>30</v>
      </c>
      <c r="I124" s="151">
        <v>1</v>
      </c>
      <c r="J124" s="335">
        <v>6000</v>
      </c>
      <c r="K124" s="54">
        <f t="shared" si="2"/>
        <v>6000</v>
      </c>
      <c r="L124" s="55" t="b">
        <v>1</v>
      </c>
      <c r="M124" s="409">
        <v>220720251238</v>
      </c>
      <c r="N124" s="57" t="b">
        <v>1</v>
      </c>
      <c r="O124" s="58"/>
      <c r="P124" s="215"/>
      <c r="Q124" s="191" t="b">
        <v>1</v>
      </c>
      <c r="R124" s="308" t="s">
        <v>3138</v>
      </c>
      <c r="S124" s="337"/>
      <c r="T124" s="57" t="b">
        <v>1</v>
      </c>
      <c r="U124" s="310" t="s">
        <v>5582</v>
      </c>
      <c r="V124" s="307"/>
      <c r="W124" s="54"/>
    </row>
    <row r="125" spans="1:23" ht="16">
      <c r="A125" s="162"/>
      <c r="B125" s="132" t="s">
        <v>5570</v>
      </c>
      <c r="C125" s="151" t="s">
        <v>3548</v>
      </c>
      <c r="D125" s="151" t="s">
        <v>51</v>
      </c>
      <c r="E125" s="151" t="s">
        <v>137</v>
      </c>
      <c r="F125" s="151" t="s">
        <v>1214</v>
      </c>
      <c r="G125" s="151" t="s">
        <v>5576</v>
      </c>
      <c r="H125" s="131" t="s">
        <v>30</v>
      </c>
      <c r="I125" s="151">
        <v>100</v>
      </c>
      <c r="J125" s="335">
        <v>60</v>
      </c>
      <c r="K125" s="54">
        <f t="shared" si="2"/>
        <v>6000</v>
      </c>
      <c r="L125" s="55" t="b">
        <v>1</v>
      </c>
      <c r="M125" s="409">
        <v>220720251238</v>
      </c>
      <c r="N125" s="57" t="b">
        <v>1</v>
      </c>
      <c r="O125" s="58"/>
      <c r="P125" s="215"/>
      <c r="Q125" s="191" t="b">
        <v>1</v>
      </c>
      <c r="R125" s="308" t="s">
        <v>3138</v>
      </c>
      <c r="S125" s="337"/>
      <c r="T125" s="57" t="b">
        <v>1</v>
      </c>
      <c r="U125" s="310" t="s">
        <v>5582</v>
      </c>
      <c r="V125" s="307"/>
      <c r="W125" s="54"/>
    </row>
    <row r="126" spans="1:23" ht="16">
      <c r="A126" s="162"/>
      <c r="B126" s="132" t="s">
        <v>5570</v>
      </c>
      <c r="C126" s="151" t="s">
        <v>5583</v>
      </c>
      <c r="D126" s="151" t="s">
        <v>51</v>
      </c>
      <c r="E126" s="151" t="s">
        <v>594</v>
      </c>
      <c r="F126" s="151" t="s">
        <v>595</v>
      </c>
      <c r="G126" s="151" t="s">
        <v>5576</v>
      </c>
      <c r="H126" s="131" t="s">
        <v>30</v>
      </c>
      <c r="I126" s="151">
        <v>100</v>
      </c>
      <c r="J126" s="335">
        <v>60</v>
      </c>
      <c r="K126" s="54">
        <f t="shared" si="2"/>
        <v>6000</v>
      </c>
      <c r="L126" s="55" t="b">
        <v>1</v>
      </c>
      <c r="M126" s="409">
        <v>220720251238</v>
      </c>
      <c r="N126" s="57" t="b">
        <v>1</v>
      </c>
      <c r="O126" s="58"/>
      <c r="P126" s="226"/>
      <c r="Q126" s="191" t="b">
        <v>1</v>
      </c>
      <c r="R126" s="308" t="s">
        <v>3138</v>
      </c>
      <c r="S126" s="337"/>
      <c r="T126" s="57" t="b">
        <v>1</v>
      </c>
      <c r="U126" s="310" t="s">
        <v>5584</v>
      </c>
      <c r="V126" s="307"/>
      <c r="W126" s="54"/>
    </row>
    <row r="127" spans="1:23" ht="16">
      <c r="A127" s="162"/>
      <c r="B127" s="132" t="s">
        <v>5570</v>
      </c>
      <c r="C127" s="151" t="s">
        <v>5583</v>
      </c>
      <c r="D127" s="151" t="s">
        <v>51</v>
      </c>
      <c r="E127" s="151" t="s">
        <v>594</v>
      </c>
      <c r="F127" s="151" t="s">
        <v>595</v>
      </c>
      <c r="G127" s="334" t="s">
        <v>5585</v>
      </c>
      <c r="H127" s="131" t="s">
        <v>30</v>
      </c>
      <c r="I127" s="151">
        <v>2</v>
      </c>
      <c r="J127" s="335">
        <v>3000</v>
      </c>
      <c r="K127" s="54">
        <f t="shared" si="2"/>
        <v>6000</v>
      </c>
      <c r="L127" s="55" t="b">
        <v>1</v>
      </c>
      <c r="M127" s="409">
        <v>220720251238</v>
      </c>
      <c r="N127" s="57" t="b">
        <v>1</v>
      </c>
      <c r="O127" s="58"/>
      <c r="P127" s="215"/>
      <c r="Q127" s="191" t="b">
        <v>1</v>
      </c>
      <c r="R127" s="308" t="s">
        <v>3138</v>
      </c>
      <c r="S127" s="337"/>
      <c r="T127" s="57" t="b">
        <v>1</v>
      </c>
      <c r="U127" s="310" t="s">
        <v>5584</v>
      </c>
      <c r="V127" s="307"/>
      <c r="W127" s="54"/>
    </row>
    <row r="128" spans="1:23" ht="16">
      <c r="A128" s="162"/>
      <c r="B128" s="132" t="s">
        <v>5570</v>
      </c>
      <c r="C128" s="151" t="s">
        <v>3517</v>
      </c>
      <c r="D128" s="151" t="s">
        <v>51</v>
      </c>
      <c r="E128" s="151" t="s">
        <v>61</v>
      </c>
      <c r="F128" s="151" t="s">
        <v>476</v>
      </c>
      <c r="G128" s="334" t="s">
        <v>5577</v>
      </c>
      <c r="H128" s="131" t="s">
        <v>30</v>
      </c>
      <c r="I128" s="151">
        <v>1</v>
      </c>
      <c r="J128" s="335">
        <v>6000</v>
      </c>
      <c r="K128" s="54">
        <f t="shared" si="2"/>
        <v>6000</v>
      </c>
      <c r="L128" s="55" t="b">
        <v>1</v>
      </c>
      <c r="M128" s="409">
        <v>220720251238</v>
      </c>
      <c r="N128" s="57" t="b">
        <v>1</v>
      </c>
      <c r="O128" s="58"/>
      <c r="P128" s="215"/>
      <c r="Q128" s="191" t="b">
        <v>1</v>
      </c>
      <c r="R128" s="308" t="s">
        <v>3138</v>
      </c>
      <c r="S128" s="337"/>
      <c r="T128" s="57" t="b">
        <v>1</v>
      </c>
      <c r="U128" s="310" t="s">
        <v>5586</v>
      </c>
      <c r="V128" s="307"/>
      <c r="W128" s="54"/>
    </row>
    <row r="129" spans="1:23" ht="16">
      <c r="A129" s="162"/>
      <c r="B129" s="132" t="s">
        <v>5570</v>
      </c>
      <c r="C129" s="151" t="s">
        <v>3517</v>
      </c>
      <c r="D129" s="151" t="s">
        <v>51</v>
      </c>
      <c r="E129" s="151" t="s">
        <v>61</v>
      </c>
      <c r="F129" s="151" t="s">
        <v>476</v>
      </c>
      <c r="G129" s="334" t="s">
        <v>5576</v>
      </c>
      <c r="H129" s="131" t="s">
        <v>30</v>
      </c>
      <c r="I129" s="151">
        <v>65</v>
      </c>
      <c r="J129" s="335">
        <v>60</v>
      </c>
      <c r="K129" s="54">
        <f t="shared" si="2"/>
        <v>3900</v>
      </c>
      <c r="L129" s="55" t="b">
        <v>1</v>
      </c>
      <c r="M129" s="409">
        <v>220720251238</v>
      </c>
      <c r="N129" s="57" t="b">
        <v>1</v>
      </c>
      <c r="O129" s="58"/>
      <c r="P129" s="215"/>
      <c r="Q129" s="191" t="b">
        <v>1</v>
      </c>
      <c r="R129" s="308" t="s">
        <v>3138</v>
      </c>
      <c r="S129" s="337"/>
      <c r="T129" s="57" t="b">
        <v>1</v>
      </c>
      <c r="U129" s="310" t="s">
        <v>5586</v>
      </c>
      <c r="V129" s="307"/>
      <c r="W129" s="54"/>
    </row>
    <row r="130" spans="1:23" ht="16">
      <c r="A130" s="162"/>
      <c r="B130" s="71" t="s">
        <v>5570</v>
      </c>
      <c r="C130" s="151" t="s">
        <v>3541</v>
      </c>
      <c r="D130" s="151" t="s">
        <v>51</v>
      </c>
      <c r="E130" s="151" t="s">
        <v>372</v>
      </c>
      <c r="F130" s="151" t="s">
        <v>5587</v>
      </c>
      <c r="G130" s="53" t="s">
        <v>5577</v>
      </c>
      <c r="H130" s="131" t="s">
        <v>30</v>
      </c>
      <c r="I130" s="151">
        <v>1</v>
      </c>
      <c r="J130" s="335">
        <v>6000</v>
      </c>
      <c r="K130" s="54">
        <f t="shared" si="2"/>
        <v>6000</v>
      </c>
      <c r="L130" s="55" t="b">
        <v>1</v>
      </c>
      <c r="M130" s="409">
        <v>220720251238</v>
      </c>
      <c r="N130" s="57" t="b">
        <v>1</v>
      </c>
      <c r="O130" s="58"/>
      <c r="P130" s="215"/>
      <c r="Q130" s="191" t="b">
        <v>1</v>
      </c>
      <c r="R130" s="308" t="s">
        <v>3138</v>
      </c>
      <c r="S130" s="337"/>
      <c r="T130" s="57" t="b">
        <v>1</v>
      </c>
      <c r="U130" s="310" t="s">
        <v>5588</v>
      </c>
      <c r="V130" s="307"/>
      <c r="W130" s="54"/>
    </row>
    <row r="131" spans="1:23" ht="16">
      <c r="A131" s="162"/>
      <c r="B131" s="71" t="s">
        <v>5570</v>
      </c>
      <c r="C131" s="151" t="s">
        <v>3541</v>
      </c>
      <c r="D131" s="151" t="s">
        <v>51</v>
      </c>
      <c r="E131" s="151" t="s">
        <v>372</v>
      </c>
      <c r="F131" s="151" t="s">
        <v>5587</v>
      </c>
      <c r="G131" s="53" t="s">
        <v>5576</v>
      </c>
      <c r="H131" s="131" t="s">
        <v>30</v>
      </c>
      <c r="I131" s="151">
        <v>50</v>
      </c>
      <c r="J131" s="335">
        <v>60</v>
      </c>
      <c r="K131" s="54">
        <f t="shared" si="2"/>
        <v>3000</v>
      </c>
      <c r="L131" s="55" t="b">
        <v>1</v>
      </c>
      <c r="M131" s="409">
        <v>220720251238</v>
      </c>
      <c r="N131" s="57" t="b">
        <v>1</v>
      </c>
      <c r="O131" s="58"/>
      <c r="P131" s="215"/>
      <c r="Q131" s="191" t="b">
        <v>1</v>
      </c>
      <c r="R131" s="308" t="s">
        <v>3138</v>
      </c>
      <c r="S131" s="337"/>
      <c r="T131" s="57" t="b">
        <v>1</v>
      </c>
      <c r="U131" s="310" t="s">
        <v>5588</v>
      </c>
      <c r="V131" s="307"/>
      <c r="W131" s="54"/>
    </row>
    <row r="132" spans="1:23" ht="16">
      <c r="A132" s="162"/>
      <c r="B132" s="71" t="s">
        <v>5570</v>
      </c>
      <c r="C132" s="151" t="s">
        <v>3532</v>
      </c>
      <c r="D132" s="151" t="s">
        <v>51</v>
      </c>
      <c r="E132" s="151" t="s">
        <v>52</v>
      </c>
      <c r="F132" s="151" t="s">
        <v>807</v>
      </c>
      <c r="G132" s="151" t="s">
        <v>5589</v>
      </c>
      <c r="H132" s="131" t="s">
        <v>30</v>
      </c>
      <c r="I132" s="151">
        <v>2</v>
      </c>
      <c r="J132" s="335">
        <v>2250</v>
      </c>
      <c r="K132" s="54">
        <f t="shared" si="2"/>
        <v>4500</v>
      </c>
      <c r="L132" s="55" t="b">
        <v>1</v>
      </c>
      <c r="M132" s="409">
        <v>220720251238</v>
      </c>
      <c r="N132" s="57" t="b">
        <v>1</v>
      </c>
      <c r="O132" s="58"/>
      <c r="P132" s="215"/>
      <c r="Q132" s="191" t="b">
        <v>1</v>
      </c>
      <c r="R132" s="308" t="s">
        <v>3138</v>
      </c>
      <c r="S132" s="337"/>
      <c r="T132" s="57" t="b">
        <v>1</v>
      </c>
      <c r="U132" s="310" t="s">
        <v>5590</v>
      </c>
      <c r="V132" s="307"/>
      <c r="W132" s="54"/>
    </row>
    <row r="133" spans="1:23" ht="16">
      <c r="A133" s="162"/>
      <c r="B133" s="71" t="s">
        <v>5570</v>
      </c>
      <c r="C133" s="151" t="s">
        <v>3532</v>
      </c>
      <c r="D133" s="151" t="s">
        <v>51</v>
      </c>
      <c r="E133" s="151" t="s">
        <v>52</v>
      </c>
      <c r="F133" s="151" t="s">
        <v>807</v>
      </c>
      <c r="G133" s="151" t="s">
        <v>5576</v>
      </c>
      <c r="H133" s="131" t="s">
        <v>30</v>
      </c>
      <c r="I133" s="151">
        <v>100</v>
      </c>
      <c r="J133" s="335">
        <v>60</v>
      </c>
      <c r="K133" s="54">
        <f t="shared" si="2"/>
        <v>6000</v>
      </c>
      <c r="L133" s="55" t="b">
        <v>1</v>
      </c>
      <c r="M133" s="409">
        <v>220720251238</v>
      </c>
      <c r="N133" s="57" t="b">
        <v>1</v>
      </c>
      <c r="O133" s="58"/>
      <c r="P133" s="215"/>
      <c r="Q133" s="191" t="b">
        <v>1</v>
      </c>
      <c r="R133" s="308" t="s">
        <v>3138</v>
      </c>
      <c r="S133" s="337"/>
      <c r="T133" s="57" t="b">
        <v>1</v>
      </c>
      <c r="U133" s="310" t="s">
        <v>5590</v>
      </c>
      <c r="V133" s="307"/>
      <c r="W133" s="54"/>
    </row>
    <row r="134" spans="1:23" ht="16">
      <c r="A134" s="162"/>
      <c r="B134" s="71" t="s">
        <v>5570</v>
      </c>
      <c r="C134" s="151" t="s">
        <v>3458</v>
      </c>
      <c r="D134" s="151" t="s">
        <v>51</v>
      </c>
      <c r="E134" s="151" t="s">
        <v>201</v>
      </c>
      <c r="F134" s="151" t="s">
        <v>1208</v>
      </c>
      <c r="G134" s="151" t="s">
        <v>5576</v>
      </c>
      <c r="H134" s="131" t="s">
        <v>30</v>
      </c>
      <c r="I134" s="151">
        <v>100</v>
      </c>
      <c r="J134" s="335">
        <v>60</v>
      </c>
      <c r="K134" s="54">
        <f t="shared" si="2"/>
        <v>6000</v>
      </c>
      <c r="L134" s="55" t="b">
        <v>1</v>
      </c>
      <c r="M134" s="409">
        <v>220720251238</v>
      </c>
      <c r="N134" s="57" t="b">
        <v>1</v>
      </c>
      <c r="O134" s="58"/>
      <c r="P134" s="215"/>
      <c r="Q134" s="191" t="b">
        <v>1</v>
      </c>
      <c r="R134" s="429" t="s">
        <v>3684</v>
      </c>
      <c r="S134" s="337"/>
      <c r="T134" s="57" t="b">
        <v>1</v>
      </c>
      <c r="U134" s="310" t="s">
        <v>5591</v>
      </c>
      <c r="V134" s="307"/>
      <c r="W134" s="54"/>
    </row>
    <row r="135" spans="1:23" ht="16">
      <c r="A135" s="162"/>
      <c r="B135" s="71" t="s">
        <v>5570</v>
      </c>
      <c r="C135" s="151" t="s">
        <v>4717</v>
      </c>
      <c r="D135" s="151" t="s">
        <v>51</v>
      </c>
      <c r="E135" s="151" t="s">
        <v>475</v>
      </c>
      <c r="F135" s="151" t="s">
        <v>168</v>
      </c>
      <c r="G135" s="151" t="s">
        <v>5592</v>
      </c>
      <c r="H135" s="131" t="s">
        <v>30</v>
      </c>
      <c r="I135" s="151">
        <v>1</v>
      </c>
      <c r="J135" s="335">
        <v>6000</v>
      </c>
      <c r="K135" s="54">
        <f t="shared" si="2"/>
        <v>6000</v>
      </c>
      <c r="L135" s="55" t="b">
        <v>1</v>
      </c>
      <c r="M135" s="409">
        <v>220720251547</v>
      </c>
      <c r="N135" s="57" t="b">
        <v>1</v>
      </c>
      <c r="O135" s="58"/>
      <c r="P135" s="215"/>
      <c r="Q135" s="191" t="b">
        <v>1</v>
      </c>
      <c r="R135" s="308" t="s">
        <v>3138</v>
      </c>
      <c r="S135" s="337"/>
      <c r="T135" s="57" t="b">
        <v>1</v>
      </c>
      <c r="U135" s="310" t="s">
        <v>5593</v>
      </c>
      <c r="V135" s="307"/>
      <c r="W135" s="54"/>
    </row>
    <row r="136" spans="1:23" ht="16">
      <c r="A136" s="162"/>
      <c r="B136" s="71" t="s">
        <v>5570</v>
      </c>
      <c r="C136" s="151" t="s">
        <v>3527</v>
      </c>
      <c r="D136" s="151" t="s">
        <v>51</v>
      </c>
      <c r="E136" s="151" t="s">
        <v>338</v>
      </c>
      <c r="F136" s="151" t="s">
        <v>3528</v>
      </c>
      <c r="G136" s="151" t="s">
        <v>5592</v>
      </c>
      <c r="H136" s="131" t="s">
        <v>30</v>
      </c>
      <c r="I136" s="151">
        <v>1</v>
      </c>
      <c r="J136" s="335">
        <v>3000</v>
      </c>
      <c r="K136" s="54">
        <f t="shared" si="2"/>
        <v>3000</v>
      </c>
      <c r="L136" s="55" t="b">
        <v>1</v>
      </c>
      <c r="M136" s="409">
        <v>220720251547</v>
      </c>
      <c r="N136" s="57" t="b">
        <v>1</v>
      </c>
      <c r="O136" s="58"/>
      <c r="P136" s="215"/>
      <c r="Q136" s="191" t="b">
        <v>1</v>
      </c>
      <c r="R136" s="308" t="s">
        <v>3138</v>
      </c>
      <c r="S136" s="173"/>
      <c r="T136" s="57" t="b">
        <v>1</v>
      </c>
      <c r="U136" s="310" t="s">
        <v>5594</v>
      </c>
      <c r="V136" s="307"/>
      <c r="W136" s="54"/>
    </row>
    <row r="137" spans="1:23" ht="16">
      <c r="A137" s="162"/>
      <c r="B137" s="71" t="s">
        <v>5570</v>
      </c>
      <c r="C137" s="151" t="s">
        <v>3697</v>
      </c>
      <c r="D137" s="151" t="s">
        <v>194</v>
      </c>
      <c r="E137" s="151" t="s">
        <v>195</v>
      </c>
      <c r="F137" s="151" t="s">
        <v>196</v>
      </c>
      <c r="G137" s="151" t="s">
        <v>5374</v>
      </c>
      <c r="H137" s="131" t="s">
        <v>30</v>
      </c>
      <c r="I137" s="151">
        <v>1</v>
      </c>
      <c r="J137" s="335">
        <v>2100</v>
      </c>
      <c r="K137" s="54">
        <f t="shared" si="2"/>
        <v>2100</v>
      </c>
      <c r="L137" s="55" t="b">
        <v>1</v>
      </c>
      <c r="M137" s="409">
        <v>220720251540</v>
      </c>
      <c r="N137" s="57" t="b">
        <v>1</v>
      </c>
      <c r="O137" s="58"/>
      <c r="P137" s="215"/>
      <c r="Q137" s="191" t="b">
        <v>1</v>
      </c>
      <c r="R137" s="308" t="s">
        <v>3138</v>
      </c>
      <c r="S137" s="173" t="s">
        <v>5595</v>
      </c>
      <c r="T137" s="57" t="b">
        <v>1</v>
      </c>
      <c r="U137" s="310" t="s">
        <v>5596</v>
      </c>
      <c r="V137" s="307"/>
      <c r="W137" s="54"/>
    </row>
    <row r="138" spans="1:23" ht="16">
      <c r="A138" s="162"/>
      <c r="B138" s="71" t="s">
        <v>5570</v>
      </c>
      <c r="C138" s="151" t="s">
        <v>3595</v>
      </c>
      <c r="D138" s="151" t="s">
        <v>55</v>
      </c>
      <c r="E138" s="151" t="s">
        <v>56</v>
      </c>
      <c r="F138" s="151" t="s">
        <v>57</v>
      </c>
      <c r="G138" s="151" t="s">
        <v>1952</v>
      </c>
      <c r="H138" s="131" t="s">
        <v>30</v>
      </c>
      <c r="I138" s="151">
        <v>10</v>
      </c>
      <c r="J138" s="335">
        <v>650</v>
      </c>
      <c r="K138" s="54">
        <f t="shared" si="2"/>
        <v>6500</v>
      </c>
      <c r="L138" s="55" t="b">
        <v>1</v>
      </c>
      <c r="M138" s="409">
        <v>220720251803</v>
      </c>
      <c r="N138" s="57" t="b">
        <v>1</v>
      </c>
      <c r="O138" s="58" t="s">
        <v>39</v>
      </c>
      <c r="P138" s="226">
        <v>45861</v>
      </c>
      <c r="Q138" s="191" t="b">
        <v>1</v>
      </c>
      <c r="R138" s="308" t="s">
        <v>3138</v>
      </c>
      <c r="S138" s="337"/>
      <c r="T138" s="57" t="b">
        <v>1</v>
      </c>
      <c r="U138" s="310" t="s">
        <v>5597</v>
      </c>
      <c r="V138" s="307"/>
      <c r="W138" s="54"/>
    </row>
    <row r="139" spans="1:23" ht="16">
      <c r="A139" s="162"/>
      <c r="B139" s="71" t="s">
        <v>5598</v>
      </c>
      <c r="C139" s="151" t="s">
        <v>3713</v>
      </c>
      <c r="D139" s="53" t="s">
        <v>26</v>
      </c>
      <c r="E139" s="53" t="s">
        <v>220</v>
      </c>
      <c r="F139" s="53" t="s">
        <v>221</v>
      </c>
      <c r="G139" s="53" t="s">
        <v>5272</v>
      </c>
      <c r="H139" s="131" t="s">
        <v>30</v>
      </c>
      <c r="I139" s="151">
        <v>7</v>
      </c>
      <c r="J139" s="335">
        <v>260</v>
      </c>
      <c r="K139" s="54">
        <f t="shared" si="2"/>
        <v>1820</v>
      </c>
      <c r="L139" s="55" t="b">
        <v>1</v>
      </c>
      <c r="M139" s="56">
        <v>230720251105</v>
      </c>
      <c r="N139" s="57" t="b">
        <v>1</v>
      </c>
      <c r="O139" s="58" t="s">
        <v>529</v>
      </c>
      <c r="P139" s="215"/>
      <c r="Q139" s="191" t="b">
        <v>1</v>
      </c>
      <c r="R139" s="308" t="s">
        <v>3138</v>
      </c>
      <c r="S139" s="173" t="s">
        <v>5599</v>
      </c>
      <c r="T139" s="57" t="b">
        <v>1</v>
      </c>
      <c r="U139" s="310" t="s">
        <v>5600</v>
      </c>
      <c r="V139" s="307"/>
      <c r="W139" s="54"/>
    </row>
    <row r="140" spans="1:23" ht="16">
      <c r="A140" s="162"/>
      <c r="B140" s="71" t="s">
        <v>5598</v>
      </c>
      <c r="C140" s="53" t="s">
        <v>3577</v>
      </c>
      <c r="D140" s="53" t="s">
        <v>46</v>
      </c>
      <c r="E140" s="53" t="s">
        <v>47</v>
      </c>
      <c r="F140" s="53" t="s">
        <v>2676</v>
      </c>
      <c r="G140" s="151" t="s">
        <v>5465</v>
      </c>
      <c r="H140" s="131" t="s">
        <v>30</v>
      </c>
      <c r="I140" s="151">
        <v>10</v>
      </c>
      <c r="J140" s="335">
        <v>125</v>
      </c>
      <c r="K140" s="54">
        <f t="shared" si="2"/>
        <v>1250</v>
      </c>
      <c r="L140" s="55" t="b">
        <v>1</v>
      </c>
      <c r="M140" s="56">
        <v>230720251624</v>
      </c>
      <c r="N140" s="57" t="b">
        <v>1</v>
      </c>
      <c r="O140" s="58" t="s">
        <v>529</v>
      </c>
      <c r="P140" s="215"/>
      <c r="Q140" s="191" t="b">
        <v>1</v>
      </c>
      <c r="R140" s="308" t="s">
        <v>3138</v>
      </c>
      <c r="S140" s="337"/>
      <c r="T140" s="57" t="b">
        <v>1</v>
      </c>
      <c r="U140" s="310" t="s">
        <v>5601</v>
      </c>
      <c r="V140" s="307"/>
      <c r="W140" s="54"/>
    </row>
    <row r="141" spans="1:23" ht="16">
      <c r="A141" s="162"/>
      <c r="B141" s="71" t="s">
        <v>5598</v>
      </c>
      <c r="C141" s="53" t="s">
        <v>3577</v>
      </c>
      <c r="D141" s="53" t="s">
        <v>46</v>
      </c>
      <c r="E141" s="53" t="s">
        <v>47</v>
      </c>
      <c r="F141" s="53" t="s">
        <v>2676</v>
      </c>
      <c r="G141" s="53" t="s">
        <v>5066</v>
      </c>
      <c r="H141" s="131" t="s">
        <v>30</v>
      </c>
      <c r="I141" s="151">
        <v>10</v>
      </c>
      <c r="J141" s="335">
        <v>135</v>
      </c>
      <c r="K141" s="54">
        <f t="shared" si="2"/>
        <v>1350</v>
      </c>
      <c r="L141" s="55" t="b">
        <v>1</v>
      </c>
      <c r="M141" s="56">
        <v>230720251624</v>
      </c>
      <c r="N141" s="57" t="b">
        <v>1</v>
      </c>
      <c r="O141" s="58" t="s">
        <v>529</v>
      </c>
      <c r="P141" s="215"/>
      <c r="Q141" s="191" t="b">
        <v>1</v>
      </c>
      <c r="R141" s="308" t="s">
        <v>3138</v>
      </c>
      <c r="S141" s="337"/>
      <c r="T141" s="57" t="b">
        <v>1</v>
      </c>
      <c r="U141" s="310" t="s">
        <v>5601</v>
      </c>
      <c r="V141" s="307"/>
      <c r="W141" s="54"/>
    </row>
    <row r="142" spans="1:23" ht="16">
      <c r="A142" s="162"/>
      <c r="B142" s="71" t="s">
        <v>5598</v>
      </c>
      <c r="C142" s="53" t="s">
        <v>3641</v>
      </c>
      <c r="D142" s="53" t="s">
        <v>51</v>
      </c>
      <c r="E142" s="53" t="s">
        <v>335</v>
      </c>
      <c r="F142" s="53" t="s">
        <v>5602</v>
      </c>
      <c r="G142" s="53" t="s">
        <v>5603</v>
      </c>
      <c r="H142" s="131" t="s">
        <v>30</v>
      </c>
      <c r="I142" s="151">
        <v>10</v>
      </c>
      <c r="J142" s="335">
        <v>725</v>
      </c>
      <c r="K142" s="54">
        <f t="shared" si="2"/>
        <v>7250</v>
      </c>
      <c r="L142" s="55" t="b">
        <v>1</v>
      </c>
      <c r="M142" s="56">
        <v>230720251630</v>
      </c>
      <c r="N142" s="57" t="b">
        <v>1</v>
      </c>
      <c r="O142" s="58"/>
      <c r="P142" s="215"/>
      <c r="Q142" s="191" t="b">
        <v>1</v>
      </c>
      <c r="R142" s="308" t="s">
        <v>3138</v>
      </c>
      <c r="S142" s="337"/>
      <c r="T142" s="57" t="b">
        <v>1</v>
      </c>
      <c r="U142" s="310" t="s">
        <v>5604</v>
      </c>
      <c r="V142" s="307"/>
      <c r="W142" s="54"/>
    </row>
    <row r="143" spans="1:23" ht="16">
      <c r="A143" s="162"/>
      <c r="B143" s="71" t="s">
        <v>5605</v>
      </c>
      <c r="C143" s="53" t="s">
        <v>4750</v>
      </c>
      <c r="D143" s="53" t="s">
        <v>418</v>
      </c>
      <c r="E143" s="53" t="s">
        <v>230</v>
      </c>
      <c r="F143" s="53" t="s">
        <v>1990</v>
      </c>
      <c r="G143" s="53" t="s">
        <v>2285</v>
      </c>
      <c r="H143" s="131" t="s">
        <v>30</v>
      </c>
      <c r="I143" s="151">
        <v>30</v>
      </c>
      <c r="J143" s="335">
        <v>270</v>
      </c>
      <c r="K143" s="54">
        <f t="shared" si="2"/>
        <v>8100</v>
      </c>
      <c r="L143" s="55" t="b">
        <v>1</v>
      </c>
      <c r="M143" s="56">
        <v>240620251329</v>
      </c>
      <c r="N143" s="57" t="b">
        <v>1</v>
      </c>
      <c r="O143" s="58"/>
      <c r="P143" s="215"/>
      <c r="Q143" s="191" t="b">
        <v>1</v>
      </c>
      <c r="R143" s="308" t="s">
        <v>3138</v>
      </c>
      <c r="S143" s="173" t="s">
        <v>5606</v>
      </c>
      <c r="T143" s="57" t="b">
        <v>1</v>
      </c>
      <c r="U143" s="310" t="s">
        <v>5607</v>
      </c>
      <c r="V143" s="307"/>
      <c r="W143" s="54"/>
    </row>
    <row r="144" spans="1:23" ht="16">
      <c r="A144" s="162"/>
      <c r="B144" s="71" t="s">
        <v>5605</v>
      </c>
      <c r="C144" s="53" t="s">
        <v>4717</v>
      </c>
      <c r="D144" s="53" t="s">
        <v>51</v>
      </c>
      <c r="E144" s="53" t="s">
        <v>475</v>
      </c>
      <c r="F144" s="53" t="s">
        <v>168</v>
      </c>
      <c r="G144" s="53" t="s">
        <v>5471</v>
      </c>
      <c r="H144" s="131" t="s">
        <v>30</v>
      </c>
      <c r="I144" s="151">
        <v>20</v>
      </c>
      <c r="J144" s="335">
        <v>165</v>
      </c>
      <c r="K144" s="54">
        <f t="shared" si="2"/>
        <v>3300</v>
      </c>
      <c r="L144" s="55" t="b">
        <v>1</v>
      </c>
      <c r="M144" s="56">
        <v>250720251838</v>
      </c>
      <c r="N144" s="57" t="b">
        <v>1</v>
      </c>
      <c r="O144" s="58"/>
      <c r="P144" s="215"/>
      <c r="Q144" s="191" t="b">
        <v>1</v>
      </c>
      <c r="R144" s="357" t="s">
        <v>3138</v>
      </c>
      <c r="S144" s="173" t="s">
        <v>5608</v>
      </c>
      <c r="T144" s="57" t="b">
        <v>1</v>
      </c>
      <c r="U144" s="310" t="s">
        <v>5609</v>
      </c>
      <c r="V144" s="307"/>
      <c r="W144" s="54"/>
    </row>
    <row r="145" spans="1:23" ht="16">
      <c r="A145" s="162"/>
      <c r="B145" s="71" t="s">
        <v>5605</v>
      </c>
      <c r="C145" s="53" t="s">
        <v>3632</v>
      </c>
      <c r="D145" s="53" t="s">
        <v>104</v>
      </c>
      <c r="E145" s="53" t="s">
        <v>486</v>
      </c>
      <c r="F145" s="53" t="s">
        <v>241</v>
      </c>
      <c r="G145" s="53" t="s">
        <v>304</v>
      </c>
      <c r="H145" s="131" t="s">
        <v>30</v>
      </c>
      <c r="I145" s="151">
        <v>24</v>
      </c>
      <c r="J145" s="335">
        <v>60</v>
      </c>
      <c r="K145" s="54">
        <f t="shared" si="2"/>
        <v>1440</v>
      </c>
      <c r="L145" s="55" t="b">
        <v>1</v>
      </c>
      <c r="M145" s="56">
        <v>250720251840</v>
      </c>
      <c r="N145" s="57" t="b">
        <v>1</v>
      </c>
      <c r="O145" s="58"/>
      <c r="P145" s="226"/>
      <c r="Q145" s="191" t="b">
        <v>1</v>
      </c>
      <c r="R145" s="357" t="s">
        <v>3138</v>
      </c>
      <c r="S145" s="173" t="s">
        <v>5610</v>
      </c>
      <c r="T145" s="57" t="b">
        <v>1</v>
      </c>
      <c r="U145" s="310" t="s">
        <v>5611</v>
      </c>
      <c r="V145" s="307"/>
      <c r="W145" s="54"/>
    </row>
    <row r="146" spans="1:23" ht="16">
      <c r="A146" s="162"/>
      <c r="B146" s="71" t="s">
        <v>5605</v>
      </c>
      <c r="C146" s="151" t="s">
        <v>4289</v>
      </c>
      <c r="D146" s="151" t="s">
        <v>104</v>
      </c>
      <c r="E146" s="151" t="s">
        <v>620</v>
      </c>
      <c r="F146" s="151" t="s">
        <v>621</v>
      </c>
      <c r="G146" s="53" t="s">
        <v>5101</v>
      </c>
      <c r="H146" s="131" t="s">
        <v>30</v>
      </c>
      <c r="I146" s="151">
        <v>30</v>
      </c>
      <c r="J146" s="335">
        <v>295</v>
      </c>
      <c r="K146" s="54">
        <f t="shared" si="2"/>
        <v>8850</v>
      </c>
      <c r="L146" s="55" t="b">
        <v>1</v>
      </c>
      <c r="M146" s="56">
        <v>250720251844</v>
      </c>
      <c r="N146" s="57" t="b">
        <v>1</v>
      </c>
      <c r="O146" s="58" t="s">
        <v>529</v>
      </c>
      <c r="P146" s="215"/>
      <c r="Q146" s="191" t="b">
        <v>1</v>
      </c>
      <c r="R146" s="357" t="s">
        <v>3138</v>
      </c>
      <c r="S146" s="173" t="s">
        <v>5095</v>
      </c>
      <c r="T146" s="57" t="b">
        <v>1</v>
      </c>
      <c r="U146" s="310" t="s">
        <v>5096</v>
      </c>
      <c r="V146" s="307"/>
      <c r="W146" s="54"/>
    </row>
    <row r="147" spans="1:23" ht="16">
      <c r="A147" s="162"/>
      <c r="B147" s="71" t="s">
        <v>5605</v>
      </c>
      <c r="C147" s="151" t="s">
        <v>4289</v>
      </c>
      <c r="D147" s="151" t="s">
        <v>104</v>
      </c>
      <c r="E147" s="151" t="s">
        <v>620</v>
      </c>
      <c r="F147" s="151" t="s">
        <v>621</v>
      </c>
      <c r="G147" s="53" t="s">
        <v>5098</v>
      </c>
      <c r="H147" s="131" t="s">
        <v>30</v>
      </c>
      <c r="I147" s="151">
        <v>30</v>
      </c>
      <c r="J147" s="335">
        <v>275</v>
      </c>
      <c r="K147" s="54">
        <f t="shared" si="2"/>
        <v>8250</v>
      </c>
      <c r="L147" s="55" t="b">
        <v>1</v>
      </c>
      <c r="M147" s="56">
        <v>250720251844</v>
      </c>
      <c r="N147" s="57" t="b">
        <v>1</v>
      </c>
      <c r="O147" s="58" t="s">
        <v>529</v>
      </c>
      <c r="P147" s="215"/>
      <c r="Q147" s="191" t="b">
        <v>1</v>
      </c>
      <c r="R147" s="357" t="s">
        <v>3138</v>
      </c>
      <c r="S147" s="173" t="s">
        <v>5095</v>
      </c>
      <c r="T147" s="57" t="b">
        <v>1</v>
      </c>
      <c r="U147" s="310" t="s">
        <v>5096</v>
      </c>
      <c r="V147" s="307"/>
      <c r="W147" s="54"/>
    </row>
    <row r="148" spans="1:23" ht="16">
      <c r="A148" s="162"/>
      <c r="B148" s="71" t="s">
        <v>5605</v>
      </c>
      <c r="C148" s="151" t="s">
        <v>4717</v>
      </c>
      <c r="D148" s="151" t="s">
        <v>51</v>
      </c>
      <c r="E148" s="151" t="s">
        <v>475</v>
      </c>
      <c r="F148" s="151" t="s">
        <v>168</v>
      </c>
      <c r="G148" s="53" t="s">
        <v>3642</v>
      </c>
      <c r="H148" s="131" t="s">
        <v>30</v>
      </c>
      <c r="I148" s="151">
        <v>50</v>
      </c>
      <c r="J148" s="335">
        <v>270</v>
      </c>
      <c r="K148" s="54">
        <f t="shared" si="2"/>
        <v>13500</v>
      </c>
      <c r="L148" s="55" t="b">
        <v>1</v>
      </c>
      <c r="M148" s="56">
        <v>250720251855</v>
      </c>
      <c r="N148" s="57" t="b">
        <v>1</v>
      </c>
      <c r="O148" s="58"/>
      <c r="P148" s="215"/>
      <c r="Q148" s="191" t="b">
        <v>1</v>
      </c>
      <c r="R148" s="357" t="s">
        <v>3138</v>
      </c>
      <c r="S148" s="297" t="s">
        <v>5612</v>
      </c>
      <c r="T148" s="57" t="b">
        <v>1</v>
      </c>
      <c r="U148" s="310" t="s">
        <v>5613</v>
      </c>
      <c r="V148" s="307"/>
      <c r="W148" s="54"/>
    </row>
    <row r="149" spans="1:23" ht="16">
      <c r="A149" s="162"/>
      <c r="B149" s="71" t="s">
        <v>5614</v>
      </c>
      <c r="C149" s="151" t="s">
        <v>4717</v>
      </c>
      <c r="D149" s="151" t="s">
        <v>51</v>
      </c>
      <c r="E149" s="151" t="s">
        <v>475</v>
      </c>
      <c r="F149" s="151" t="s">
        <v>3234</v>
      </c>
      <c r="G149" s="53" t="s">
        <v>1700</v>
      </c>
      <c r="H149" s="131" t="s">
        <v>30</v>
      </c>
      <c r="I149" s="151">
        <v>100</v>
      </c>
      <c r="J149" s="335">
        <v>16</v>
      </c>
      <c r="K149" s="54">
        <f t="shared" si="2"/>
        <v>1600</v>
      </c>
      <c r="L149" s="55" t="b">
        <v>1</v>
      </c>
      <c r="M149" s="56">
        <v>270720251514</v>
      </c>
      <c r="N149" s="57" t="b">
        <v>1</v>
      </c>
      <c r="O149" s="58" t="s">
        <v>1581</v>
      </c>
      <c r="P149" s="215"/>
      <c r="Q149" s="191" t="b">
        <v>1</v>
      </c>
      <c r="R149" s="357" t="s">
        <v>3138</v>
      </c>
      <c r="S149" s="173" t="s">
        <v>5608</v>
      </c>
      <c r="T149" s="57" t="b">
        <v>1</v>
      </c>
      <c r="U149" s="310" t="s">
        <v>5609</v>
      </c>
      <c r="V149" s="307"/>
      <c r="W149" s="54"/>
    </row>
    <row r="150" spans="1:23" ht="16">
      <c r="A150" s="162"/>
      <c r="B150" s="71" t="s">
        <v>5614</v>
      </c>
      <c r="C150" s="151" t="s">
        <v>4717</v>
      </c>
      <c r="D150" s="151" t="s">
        <v>51</v>
      </c>
      <c r="E150" s="151" t="s">
        <v>475</v>
      </c>
      <c r="F150" s="151" t="s">
        <v>3234</v>
      </c>
      <c r="G150" s="53" t="s">
        <v>1351</v>
      </c>
      <c r="H150" s="131" t="s">
        <v>30</v>
      </c>
      <c r="I150" s="151">
        <v>25</v>
      </c>
      <c r="J150" s="335">
        <v>150</v>
      </c>
      <c r="K150" s="54">
        <f t="shared" si="2"/>
        <v>3750</v>
      </c>
      <c r="L150" s="55" t="b">
        <v>1</v>
      </c>
      <c r="M150" s="56">
        <v>270720251514</v>
      </c>
      <c r="N150" s="57" t="b">
        <v>1</v>
      </c>
      <c r="O150" s="58" t="s">
        <v>1581</v>
      </c>
      <c r="P150" s="215"/>
      <c r="Q150" s="191" t="b">
        <v>1</v>
      </c>
      <c r="R150" s="357" t="s">
        <v>3138</v>
      </c>
      <c r="S150" s="173" t="s">
        <v>5608</v>
      </c>
      <c r="T150" s="57" t="b">
        <v>1</v>
      </c>
      <c r="U150" s="310" t="s">
        <v>5609</v>
      </c>
      <c r="V150" s="307"/>
      <c r="W150" s="54"/>
    </row>
    <row r="151" spans="1:23" ht="16">
      <c r="A151" s="162"/>
      <c r="B151" s="71" t="s">
        <v>5614</v>
      </c>
      <c r="C151" s="53" t="s">
        <v>4051</v>
      </c>
      <c r="D151" s="53" t="s">
        <v>418</v>
      </c>
      <c r="E151" s="53" t="s">
        <v>42</v>
      </c>
      <c r="F151" s="53" t="s">
        <v>209</v>
      </c>
      <c r="G151" s="53" t="s">
        <v>5404</v>
      </c>
      <c r="H151" s="131" t="s">
        <v>30</v>
      </c>
      <c r="I151" s="151">
        <v>150</v>
      </c>
      <c r="J151" s="335">
        <v>22.5</v>
      </c>
      <c r="K151" s="54">
        <f t="shared" si="2"/>
        <v>3375</v>
      </c>
      <c r="L151" s="55" t="b">
        <v>1</v>
      </c>
      <c r="M151" s="56">
        <v>270720251516</v>
      </c>
      <c r="N151" s="57" t="b">
        <v>1</v>
      </c>
      <c r="O151" s="58" t="s">
        <v>1581</v>
      </c>
      <c r="P151" s="215"/>
      <c r="Q151" s="191" t="b">
        <v>1</v>
      </c>
      <c r="R151" s="308" t="s">
        <v>3138</v>
      </c>
      <c r="S151" s="173" t="s">
        <v>5615</v>
      </c>
      <c r="T151" s="57" t="b">
        <v>1</v>
      </c>
      <c r="U151" s="310" t="s">
        <v>5616</v>
      </c>
      <c r="V151" s="307"/>
      <c r="W151" s="54"/>
    </row>
    <row r="152" spans="1:23" ht="14.25" customHeight="1">
      <c r="A152" s="162"/>
      <c r="B152" s="71" t="s">
        <v>5614</v>
      </c>
      <c r="C152" s="53" t="s">
        <v>3487</v>
      </c>
      <c r="D152" s="53" t="s">
        <v>51</v>
      </c>
      <c r="E152" s="53" t="s">
        <v>89</v>
      </c>
      <c r="F152" s="53" t="s">
        <v>2090</v>
      </c>
      <c r="G152" s="53" t="s">
        <v>1952</v>
      </c>
      <c r="H152" s="131" t="s">
        <v>30</v>
      </c>
      <c r="I152" s="151">
        <v>10</v>
      </c>
      <c r="J152" s="335">
        <v>650</v>
      </c>
      <c r="K152" s="54">
        <f t="shared" si="2"/>
        <v>6500</v>
      </c>
      <c r="L152" s="55" t="b">
        <v>1</v>
      </c>
      <c r="M152" s="56">
        <v>270720251519</v>
      </c>
      <c r="N152" s="57" t="b">
        <v>1</v>
      </c>
      <c r="O152" s="58" t="s">
        <v>39</v>
      </c>
      <c r="P152" s="226">
        <v>45866</v>
      </c>
      <c r="Q152" s="191" t="b">
        <v>1</v>
      </c>
      <c r="R152" s="308" t="s">
        <v>3138</v>
      </c>
      <c r="S152" s="337"/>
      <c r="T152" s="57" t="b">
        <v>1</v>
      </c>
      <c r="U152" s="310" t="s">
        <v>5617</v>
      </c>
      <c r="V152" s="307"/>
      <c r="W152" s="54"/>
    </row>
    <row r="153" spans="1:23" ht="16">
      <c r="A153" s="162"/>
      <c r="B153" s="71" t="s">
        <v>5618</v>
      </c>
      <c r="C153" s="53" t="s">
        <v>3595</v>
      </c>
      <c r="D153" s="53" t="s">
        <v>55</v>
      </c>
      <c r="E153" s="53" t="s">
        <v>56</v>
      </c>
      <c r="F153" s="53" t="s">
        <v>57</v>
      </c>
      <c r="G153" s="344" t="s">
        <v>5619</v>
      </c>
      <c r="H153" s="81" t="s">
        <v>30</v>
      </c>
      <c r="I153" s="151">
        <v>12</v>
      </c>
      <c r="J153" s="335">
        <v>230</v>
      </c>
      <c r="K153" s="54">
        <f t="shared" si="2"/>
        <v>2760</v>
      </c>
      <c r="L153" s="55" t="b">
        <v>1</v>
      </c>
      <c r="M153" s="56">
        <v>280720250919</v>
      </c>
      <c r="N153" s="57" t="b">
        <v>1</v>
      </c>
      <c r="O153" s="58" t="s">
        <v>3300</v>
      </c>
      <c r="P153" s="226">
        <v>45866</v>
      </c>
      <c r="Q153" s="191" t="b">
        <v>1</v>
      </c>
      <c r="R153" s="308" t="s">
        <v>3138</v>
      </c>
      <c r="S153" s="297" t="s">
        <v>5620</v>
      </c>
      <c r="T153" s="57" t="b">
        <v>1</v>
      </c>
      <c r="U153" s="310" t="s">
        <v>5621</v>
      </c>
      <c r="V153" s="307"/>
      <c r="W153" s="54"/>
    </row>
    <row r="154" spans="1:23" ht="16">
      <c r="A154" s="162"/>
      <c r="B154" s="71" t="s">
        <v>5618</v>
      </c>
      <c r="C154" s="53" t="s">
        <v>3458</v>
      </c>
      <c r="D154" s="53" t="s">
        <v>51</v>
      </c>
      <c r="E154" s="53" t="s">
        <v>201</v>
      </c>
      <c r="F154" s="53" t="s">
        <v>3410</v>
      </c>
      <c r="G154" s="53" t="s">
        <v>5622</v>
      </c>
      <c r="H154" s="131" t="s">
        <v>30</v>
      </c>
      <c r="I154" s="151">
        <v>1</v>
      </c>
      <c r="J154" s="335">
        <v>2850</v>
      </c>
      <c r="K154" s="54">
        <f t="shared" si="2"/>
        <v>2850</v>
      </c>
      <c r="L154" s="55" t="b">
        <v>1</v>
      </c>
      <c r="M154" s="56">
        <v>280720251138</v>
      </c>
      <c r="N154" s="57" t="b">
        <v>1</v>
      </c>
      <c r="O154" s="58" t="s">
        <v>39</v>
      </c>
      <c r="P154" s="226">
        <v>45866</v>
      </c>
      <c r="Q154" s="191" t="b">
        <v>1</v>
      </c>
      <c r="R154" s="308" t="s">
        <v>3138</v>
      </c>
      <c r="S154" s="337"/>
      <c r="T154" s="57" t="b">
        <v>1</v>
      </c>
      <c r="U154" s="310" t="s">
        <v>5623</v>
      </c>
      <c r="V154" s="307"/>
      <c r="W154" s="54"/>
    </row>
    <row r="155" spans="1:23" ht="16">
      <c r="A155" s="162"/>
      <c r="B155" s="71" t="s">
        <v>5618</v>
      </c>
      <c r="C155" s="151" t="s">
        <v>3487</v>
      </c>
      <c r="D155" s="53" t="s">
        <v>51</v>
      </c>
      <c r="E155" s="53" t="s">
        <v>89</v>
      </c>
      <c r="F155" s="53" t="s">
        <v>1872</v>
      </c>
      <c r="G155" s="53" t="s">
        <v>5624</v>
      </c>
      <c r="H155" s="131" t="s">
        <v>30</v>
      </c>
      <c r="I155" s="151">
        <v>2</v>
      </c>
      <c r="J155" s="335">
        <v>1250</v>
      </c>
      <c r="K155" s="54">
        <f t="shared" si="2"/>
        <v>2500</v>
      </c>
      <c r="L155" s="55" t="b">
        <v>1</v>
      </c>
      <c r="M155" s="56">
        <v>280720251138</v>
      </c>
      <c r="N155" s="57" t="b">
        <v>1</v>
      </c>
      <c r="O155" s="58"/>
      <c r="P155" s="215"/>
      <c r="Q155" s="191" t="b">
        <v>1</v>
      </c>
      <c r="R155" s="308" t="s">
        <v>3138</v>
      </c>
      <c r="S155" s="337"/>
      <c r="T155" s="57" t="b">
        <v>1</v>
      </c>
      <c r="U155" s="310" t="s">
        <v>5625</v>
      </c>
      <c r="V155" s="307"/>
      <c r="W155" s="54"/>
    </row>
    <row r="156" spans="1:23" ht="16">
      <c r="A156" s="162"/>
      <c r="B156" s="71" t="s">
        <v>5618</v>
      </c>
      <c r="C156" s="151" t="s">
        <v>3487</v>
      </c>
      <c r="D156" s="53" t="s">
        <v>51</v>
      </c>
      <c r="E156" s="53" t="s">
        <v>89</v>
      </c>
      <c r="F156" s="53" t="s">
        <v>1872</v>
      </c>
      <c r="G156" s="53" t="s">
        <v>5626</v>
      </c>
      <c r="H156" s="131" t="s">
        <v>30</v>
      </c>
      <c r="I156" s="151">
        <v>2</v>
      </c>
      <c r="J156" s="335">
        <v>350</v>
      </c>
      <c r="K156" s="54">
        <f t="shared" si="2"/>
        <v>700</v>
      </c>
      <c r="L156" s="55" t="b">
        <v>1</v>
      </c>
      <c r="M156" s="56">
        <v>280720251138</v>
      </c>
      <c r="N156" s="57" t="b">
        <v>1</v>
      </c>
      <c r="O156" s="58"/>
      <c r="P156" s="215"/>
      <c r="Q156" s="191" t="b">
        <v>1</v>
      </c>
      <c r="R156" s="308" t="s">
        <v>3138</v>
      </c>
      <c r="S156" s="337"/>
      <c r="T156" s="57" t="b">
        <v>1</v>
      </c>
      <c r="U156" s="310" t="s">
        <v>5625</v>
      </c>
      <c r="V156" s="307"/>
      <c r="W156" s="54"/>
    </row>
    <row r="157" spans="1:23" ht="16">
      <c r="A157" s="162"/>
      <c r="B157" s="71" t="s">
        <v>5618</v>
      </c>
      <c r="C157" s="53" t="s">
        <v>3690</v>
      </c>
      <c r="D157" s="53" t="s">
        <v>104</v>
      </c>
      <c r="E157" s="53" t="s">
        <v>516</v>
      </c>
      <c r="F157" s="53" t="s">
        <v>517</v>
      </c>
      <c r="G157" s="53" t="s">
        <v>300</v>
      </c>
      <c r="H157" s="131" t="s">
        <v>30</v>
      </c>
      <c r="I157" s="151">
        <v>20</v>
      </c>
      <c r="J157" s="335">
        <v>150</v>
      </c>
      <c r="K157" s="54">
        <f t="shared" si="2"/>
        <v>3000</v>
      </c>
      <c r="L157" s="55" t="b">
        <v>1</v>
      </c>
      <c r="M157" s="56">
        <v>280720251601</v>
      </c>
      <c r="N157" s="57" t="b">
        <v>1</v>
      </c>
      <c r="O157" s="58"/>
      <c r="P157" s="215"/>
      <c r="Q157" s="191" t="b">
        <v>1</v>
      </c>
      <c r="R157" s="357" t="s">
        <v>3138</v>
      </c>
      <c r="S157" s="173" t="s">
        <v>5627</v>
      </c>
      <c r="T157" s="57" t="b">
        <v>1</v>
      </c>
      <c r="U157" s="310" t="s">
        <v>5628</v>
      </c>
      <c r="V157" s="307"/>
      <c r="W157" s="54"/>
    </row>
    <row r="158" spans="1:23" ht="16">
      <c r="A158" s="162"/>
      <c r="B158" s="71" t="s">
        <v>5618</v>
      </c>
      <c r="C158" s="53" t="s">
        <v>3690</v>
      </c>
      <c r="D158" s="53" t="s">
        <v>104</v>
      </c>
      <c r="E158" s="53" t="s">
        <v>516</v>
      </c>
      <c r="F158" s="53" t="s">
        <v>517</v>
      </c>
      <c r="G158" s="53" t="s">
        <v>1952</v>
      </c>
      <c r="H158" s="131" t="s">
        <v>30</v>
      </c>
      <c r="I158" s="151">
        <v>10</v>
      </c>
      <c r="J158" s="335">
        <v>650</v>
      </c>
      <c r="K158" s="54">
        <f t="shared" si="2"/>
        <v>6500</v>
      </c>
      <c r="L158" s="55" t="b">
        <v>1</v>
      </c>
      <c r="M158" s="56">
        <v>280720251601</v>
      </c>
      <c r="N158" s="57" t="b">
        <v>1</v>
      </c>
      <c r="O158" s="58" t="s">
        <v>39</v>
      </c>
      <c r="P158" s="226">
        <v>45867</v>
      </c>
      <c r="Q158" s="191" t="b">
        <v>1</v>
      </c>
      <c r="R158" s="357" t="s">
        <v>3138</v>
      </c>
      <c r="S158" s="337"/>
      <c r="T158" s="57" t="b">
        <v>1</v>
      </c>
      <c r="U158" s="310" t="s">
        <v>5629</v>
      </c>
      <c r="V158" s="307"/>
      <c r="W158" s="54"/>
    </row>
    <row r="159" spans="1:23" ht="16">
      <c r="A159" s="162"/>
      <c r="B159" s="71" t="s">
        <v>5630</v>
      </c>
      <c r="C159" s="53" t="s">
        <v>3548</v>
      </c>
      <c r="D159" s="53" t="s">
        <v>51</v>
      </c>
      <c r="E159" s="53" t="s">
        <v>61</v>
      </c>
      <c r="F159" s="53" t="s">
        <v>476</v>
      </c>
      <c r="G159" s="53" t="s">
        <v>5631</v>
      </c>
      <c r="H159" s="131" t="s">
        <v>30</v>
      </c>
      <c r="I159" s="151">
        <v>5</v>
      </c>
      <c r="J159" s="335">
        <v>850</v>
      </c>
      <c r="K159" s="54">
        <f t="shared" si="2"/>
        <v>4250</v>
      </c>
      <c r="L159" s="55" t="b">
        <v>1</v>
      </c>
      <c r="M159" s="56">
        <v>290720251034</v>
      </c>
      <c r="N159" s="57" t="b">
        <v>1</v>
      </c>
      <c r="O159" s="58"/>
      <c r="P159" s="215"/>
      <c r="Q159" s="191" t="b">
        <v>1</v>
      </c>
      <c r="R159" s="357" t="s">
        <v>3138</v>
      </c>
      <c r="S159" s="173"/>
      <c r="T159" s="57" t="b">
        <v>1</v>
      </c>
      <c r="U159" s="310" t="s">
        <v>5632</v>
      </c>
      <c r="V159" s="307"/>
      <c r="W159" s="54"/>
    </row>
    <row r="160" spans="1:23" ht="16">
      <c r="A160" s="162"/>
      <c r="B160" s="71" t="s">
        <v>5630</v>
      </c>
      <c r="C160" s="53" t="s">
        <v>4153</v>
      </c>
      <c r="D160" s="53" t="s">
        <v>262</v>
      </c>
      <c r="E160" s="53" t="s">
        <v>263</v>
      </c>
      <c r="F160" s="53" t="s">
        <v>2855</v>
      </c>
      <c r="G160" s="53" t="s">
        <v>5633</v>
      </c>
      <c r="H160" s="131" t="s">
        <v>30</v>
      </c>
      <c r="I160" s="151">
        <v>100</v>
      </c>
      <c r="J160" s="335">
        <v>75</v>
      </c>
      <c r="K160" s="54">
        <f t="shared" si="2"/>
        <v>7500</v>
      </c>
      <c r="L160" s="55" t="b">
        <v>1</v>
      </c>
      <c r="M160" s="56">
        <v>290720251135</v>
      </c>
      <c r="N160" s="57" t="b">
        <v>1</v>
      </c>
      <c r="O160" s="58"/>
      <c r="P160" s="215"/>
      <c r="Q160" s="191" t="b">
        <v>1</v>
      </c>
      <c r="R160" s="308" t="s">
        <v>3138</v>
      </c>
      <c r="S160" s="173" t="s">
        <v>5634</v>
      </c>
      <c r="T160" s="57" t="b">
        <v>1</v>
      </c>
      <c r="U160" s="310" t="s">
        <v>5635</v>
      </c>
      <c r="V160" s="307"/>
      <c r="W160" s="54"/>
    </row>
    <row r="161" spans="1:26" ht="16">
      <c r="A161" s="162"/>
      <c r="B161" s="71" t="s">
        <v>5630</v>
      </c>
      <c r="C161" s="53" t="s">
        <v>4153</v>
      </c>
      <c r="D161" s="53" t="s">
        <v>262</v>
      </c>
      <c r="E161" s="53" t="s">
        <v>263</v>
      </c>
      <c r="F161" s="53" t="s">
        <v>2855</v>
      </c>
      <c r="G161" s="53" t="s">
        <v>68</v>
      </c>
      <c r="H161" s="131" t="s">
        <v>30</v>
      </c>
      <c r="I161" s="151">
        <v>1</v>
      </c>
      <c r="J161" s="335">
        <v>2350</v>
      </c>
      <c r="K161" s="54">
        <f t="shared" si="2"/>
        <v>2350</v>
      </c>
      <c r="L161" s="55" t="b">
        <v>1</v>
      </c>
      <c r="M161" s="56">
        <v>290720251136</v>
      </c>
      <c r="N161" s="57" t="b">
        <v>1</v>
      </c>
      <c r="O161" s="58"/>
      <c r="P161" s="215"/>
      <c r="Q161" s="191" t="b">
        <v>1</v>
      </c>
      <c r="R161" s="357" t="s">
        <v>3138</v>
      </c>
      <c r="S161" s="337"/>
      <c r="T161" s="57" t="b">
        <v>1</v>
      </c>
      <c r="U161" s="310" t="s">
        <v>5636</v>
      </c>
      <c r="V161" s="307"/>
      <c r="W161" s="54"/>
    </row>
    <row r="162" spans="1:26" ht="16">
      <c r="A162" s="162"/>
      <c r="B162" s="71" t="s">
        <v>5630</v>
      </c>
      <c r="C162" s="53" t="s">
        <v>3548</v>
      </c>
      <c r="D162" s="53" t="s">
        <v>51</v>
      </c>
      <c r="E162" s="53" t="s">
        <v>137</v>
      </c>
      <c r="F162" s="53" t="s">
        <v>138</v>
      </c>
      <c r="G162" s="53" t="s">
        <v>68</v>
      </c>
      <c r="H162" s="131" t="s">
        <v>30</v>
      </c>
      <c r="I162" s="151">
        <v>1</v>
      </c>
      <c r="J162" s="335">
        <v>2350</v>
      </c>
      <c r="K162" s="54">
        <f t="shared" si="2"/>
        <v>2350</v>
      </c>
      <c r="L162" s="55" t="b">
        <v>1</v>
      </c>
      <c r="M162" s="56">
        <v>290720251552</v>
      </c>
      <c r="N162" s="57" t="b">
        <v>1</v>
      </c>
      <c r="O162" s="58"/>
      <c r="P162" s="215"/>
      <c r="Q162" s="191" t="b">
        <v>1</v>
      </c>
      <c r="R162" s="357" t="s">
        <v>3138</v>
      </c>
      <c r="S162" s="173" t="s">
        <v>5637</v>
      </c>
      <c r="T162" s="57" t="b">
        <v>1</v>
      </c>
      <c r="U162" s="310" t="s">
        <v>5638</v>
      </c>
      <c r="V162" s="307"/>
      <c r="W162" s="54"/>
    </row>
    <row r="163" spans="1:26" ht="16">
      <c r="A163" s="162"/>
      <c r="B163" s="71" t="s">
        <v>5639</v>
      </c>
      <c r="C163" s="53" t="s">
        <v>4742</v>
      </c>
      <c r="D163" s="53" t="s">
        <v>2153</v>
      </c>
      <c r="E163" s="53" t="s">
        <v>2153</v>
      </c>
      <c r="F163" s="53" t="s">
        <v>3853</v>
      </c>
      <c r="G163" s="53" t="s">
        <v>1952</v>
      </c>
      <c r="H163" s="131" t="s">
        <v>30</v>
      </c>
      <c r="I163" s="151">
        <v>10</v>
      </c>
      <c r="J163" s="335">
        <v>650</v>
      </c>
      <c r="K163" s="54">
        <f t="shared" si="2"/>
        <v>6500</v>
      </c>
      <c r="L163" s="55" t="b">
        <v>1</v>
      </c>
      <c r="M163" s="56">
        <v>300720241619</v>
      </c>
      <c r="N163" s="57" t="b">
        <v>1</v>
      </c>
      <c r="O163" s="58" t="s">
        <v>39</v>
      </c>
      <c r="P163" s="226">
        <v>45868</v>
      </c>
      <c r="Q163" s="191" t="b">
        <v>1</v>
      </c>
      <c r="R163" s="357" t="s">
        <v>3138</v>
      </c>
      <c r="S163" s="337"/>
      <c r="T163" s="57" t="b">
        <v>1</v>
      </c>
      <c r="U163" s="310" t="s">
        <v>5640</v>
      </c>
      <c r="V163" s="307"/>
      <c r="W163" s="54"/>
    </row>
    <row r="164" spans="1:26" ht="16">
      <c r="A164" s="101"/>
      <c r="B164" s="71" t="s">
        <v>5639</v>
      </c>
      <c r="C164" s="53" t="s">
        <v>3480</v>
      </c>
      <c r="D164" s="53" t="s">
        <v>418</v>
      </c>
      <c r="E164" s="53" t="s">
        <v>565</v>
      </c>
      <c r="F164" s="53" t="s">
        <v>3481</v>
      </c>
      <c r="G164" s="53" t="s">
        <v>5641</v>
      </c>
      <c r="H164" s="131" t="s">
        <v>30</v>
      </c>
      <c r="I164" s="53">
        <v>50</v>
      </c>
      <c r="J164" s="188">
        <v>150</v>
      </c>
      <c r="K164" s="54">
        <f t="shared" si="2"/>
        <v>7500</v>
      </c>
      <c r="L164" s="189" t="b">
        <v>1</v>
      </c>
      <c r="M164" s="56">
        <v>300720241619</v>
      </c>
      <c r="N164" s="60" t="b">
        <v>1</v>
      </c>
      <c r="O164" s="190"/>
      <c r="P164" s="289">
        <v>45869</v>
      </c>
      <c r="Q164" s="191" t="b">
        <v>1</v>
      </c>
      <c r="R164" s="357" t="s">
        <v>3138</v>
      </c>
      <c r="S164" s="365" t="s">
        <v>5642</v>
      </c>
      <c r="T164" s="60" t="b">
        <v>1</v>
      </c>
      <c r="U164" s="310" t="s">
        <v>5643</v>
      </c>
      <c r="V164" s="313"/>
      <c r="W164" s="54"/>
      <c r="X164" s="193"/>
      <c r="Y164" s="193"/>
      <c r="Z164" s="193"/>
    </row>
    <row r="165" spans="1:26" ht="16">
      <c r="A165" s="101"/>
      <c r="B165" s="71" t="s">
        <v>5639</v>
      </c>
      <c r="C165" s="53" t="s">
        <v>4742</v>
      </c>
      <c r="D165" s="53" t="s">
        <v>2153</v>
      </c>
      <c r="E165" s="53" t="s">
        <v>2153</v>
      </c>
      <c r="F165" s="53" t="s">
        <v>3853</v>
      </c>
      <c r="G165" s="53" t="s">
        <v>68</v>
      </c>
      <c r="H165" s="131" t="s">
        <v>30</v>
      </c>
      <c r="I165" s="53">
        <v>1</v>
      </c>
      <c r="J165" s="188">
        <v>2350</v>
      </c>
      <c r="K165" s="54">
        <f t="shared" si="2"/>
        <v>2350</v>
      </c>
      <c r="L165" s="189" t="b">
        <v>1</v>
      </c>
      <c r="M165" s="56">
        <v>300720251804</v>
      </c>
      <c r="N165" s="60" t="b">
        <v>1</v>
      </c>
      <c r="O165" s="190"/>
      <c r="P165" s="291"/>
      <c r="Q165" s="191" t="b">
        <v>1</v>
      </c>
      <c r="R165" s="357" t="s">
        <v>3138</v>
      </c>
      <c r="S165" s="365" t="s">
        <v>5644</v>
      </c>
      <c r="T165" s="60" t="b">
        <v>1</v>
      </c>
      <c r="U165" s="310" t="s">
        <v>5645</v>
      </c>
      <c r="V165" s="313"/>
      <c r="W165" s="54"/>
      <c r="X165" s="193"/>
      <c r="Y165" s="193"/>
      <c r="Z165" s="193"/>
    </row>
    <row r="166" spans="1:26" ht="16">
      <c r="A166" s="101"/>
      <c r="B166" s="71" t="s">
        <v>5646</v>
      </c>
      <c r="C166" s="53" t="s">
        <v>3480</v>
      </c>
      <c r="D166" s="53" t="s">
        <v>418</v>
      </c>
      <c r="E166" s="53" t="s">
        <v>565</v>
      </c>
      <c r="F166" s="53" t="s">
        <v>3481</v>
      </c>
      <c r="G166" s="53" t="s">
        <v>68</v>
      </c>
      <c r="H166" s="131" t="s">
        <v>30</v>
      </c>
      <c r="I166" s="53">
        <v>1</v>
      </c>
      <c r="J166" s="188">
        <v>2350</v>
      </c>
      <c r="K166" s="54">
        <f t="shared" si="2"/>
        <v>2350</v>
      </c>
      <c r="L166" s="189" t="b">
        <v>1</v>
      </c>
      <c r="M166" s="56">
        <v>310720250951</v>
      </c>
      <c r="N166" s="60" t="b">
        <v>1</v>
      </c>
      <c r="O166" s="190"/>
      <c r="P166" s="291"/>
      <c r="Q166" s="191" t="b">
        <v>1</v>
      </c>
      <c r="R166" s="357" t="s">
        <v>3138</v>
      </c>
      <c r="S166" s="365" t="s">
        <v>5647</v>
      </c>
      <c r="T166" s="60" t="b">
        <v>1</v>
      </c>
      <c r="U166" s="310" t="s">
        <v>5648</v>
      </c>
      <c r="V166" s="313"/>
      <c r="W166" s="54"/>
      <c r="X166" s="193"/>
      <c r="Y166" s="193"/>
      <c r="Z166" s="193"/>
    </row>
    <row r="167" spans="1:26" ht="16">
      <c r="A167" s="162"/>
      <c r="B167" s="132" t="s">
        <v>5646</v>
      </c>
      <c r="C167" s="53" t="s">
        <v>4292</v>
      </c>
      <c r="D167" s="53" t="s">
        <v>98</v>
      </c>
      <c r="E167" s="53" t="s">
        <v>99</v>
      </c>
      <c r="F167" s="53" t="s">
        <v>2768</v>
      </c>
      <c r="G167" s="53" t="s">
        <v>58</v>
      </c>
      <c r="H167" s="131" t="s">
        <v>30</v>
      </c>
      <c r="I167" s="151">
        <v>168</v>
      </c>
      <c r="J167" s="335">
        <v>42.5</v>
      </c>
      <c r="K167" s="54">
        <f t="shared" si="2"/>
        <v>7140</v>
      </c>
      <c r="L167" s="55" t="b">
        <v>1</v>
      </c>
      <c r="M167" s="56">
        <v>310720251212</v>
      </c>
      <c r="N167" s="57" t="b">
        <v>1</v>
      </c>
      <c r="O167" s="58"/>
      <c r="P167" s="215"/>
      <c r="Q167" s="191" t="b">
        <v>1</v>
      </c>
      <c r="R167" s="357" t="s">
        <v>3138</v>
      </c>
      <c r="S167" s="173" t="s">
        <v>5649</v>
      </c>
      <c r="T167" s="57" t="b">
        <v>1</v>
      </c>
      <c r="U167" s="310" t="s">
        <v>5650</v>
      </c>
      <c r="V167" s="307"/>
      <c r="W167" s="54"/>
    </row>
    <row r="168" spans="1:26" ht="16">
      <c r="A168" s="162"/>
      <c r="B168" s="132" t="s">
        <v>5646</v>
      </c>
      <c r="C168" s="53" t="s">
        <v>3552</v>
      </c>
      <c r="D168" s="53" t="s">
        <v>51</v>
      </c>
      <c r="E168" s="53" t="s">
        <v>66</v>
      </c>
      <c r="F168" s="53" t="s">
        <v>67</v>
      </c>
      <c r="G168" s="53" t="s">
        <v>1952</v>
      </c>
      <c r="H168" s="131" t="s">
        <v>30</v>
      </c>
      <c r="I168" s="151">
        <v>10</v>
      </c>
      <c r="J168" s="335">
        <v>650</v>
      </c>
      <c r="K168" s="54">
        <f t="shared" si="2"/>
        <v>6500</v>
      </c>
      <c r="L168" s="55" t="b">
        <v>1</v>
      </c>
      <c r="M168" s="56">
        <v>310720251533</v>
      </c>
      <c r="N168" s="57" t="b">
        <v>1</v>
      </c>
      <c r="O168" s="58" t="s">
        <v>39</v>
      </c>
      <c r="P168" s="226">
        <v>45870</v>
      </c>
      <c r="Q168" s="191" t="b">
        <v>1</v>
      </c>
      <c r="R168" s="357" t="s">
        <v>3138</v>
      </c>
      <c r="S168" s="337"/>
      <c r="T168" s="57" t="b">
        <v>1</v>
      </c>
      <c r="U168" s="310" t="s">
        <v>5651</v>
      </c>
      <c r="V168" s="307"/>
      <c r="W168" s="54"/>
    </row>
    <row r="169" spans="1:26" ht="16">
      <c r="A169" s="162"/>
      <c r="B169" s="132" t="s">
        <v>5646</v>
      </c>
      <c r="C169" s="53" t="s">
        <v>3532</v>
      </c>
      <c r="D169" s="53" t="s">
        <v>51</v>
      </c>
      <c r="E169" s="53" t="s">
        <v>52</v>
      </c>
      <c r="F169" s="53" t="s">
        <v>1710</v>
      </c>
      <c r="G169" s="53" t="s">
        <v>1952</v>
      </c>
      <c r="H169" s="131" t="s">
        <v>30</v>
      </c>
      <c r="I169" s="151">
        <v>10</v>
      </c>
      <c r="J169" s="335">
        <v>650</v>
      </c>
      <c r="K169" s="54">
        <f t="shared" si="2"/>
        <v>6500</v>
      </c>
      <c r="L169" s="55" t="b">
        <v>1</v>
      </c>
      <c r="M169" s="56">
        <v>310720251533</v>
      </c>
      <c r="N169" s="57" t="b">
        <v>1</v>
      </c>
      <c r="O169" s="58" t="s">
        <v>39</v>
      </c>
      <c r="P169" s="226">
        <v>45870</v>
      </c>
      <c r="Q169" s="191" t="b">
        <v>1</v>
      </c>
      <c r="R169" s="357" t="s">
        <v>3138</v>
      </c>
      <c r="S169" s="337"/>
      <c r="T169" s="57" t="b">
        <v>1</v>
      </c>
      <c r="U169" s="310" t="s">
        <v>5652</v>
      </c>
      <c r="V169" s="307"/>
      <c r="W169" s="54"/>
    </row>
    <row r="170" spans="1:26" ht="16">
      <c r="A170" s="162"/>
      <c r="B170" s="132" t="s">
        <v>5646</v>
      </c>
      <c r="C170" s="53" t="s">
        <v>4717</v>
      </c>
      <c r="D170" s="53" t="s">
        <v>51</v>
      </c>
      <c r="E170" s="53" t="s">
        <v>475</v>
      </c>
      <c r="F170" s="53" t="s">
        <v>3234</v>
      </c>
      <c r="G170" s="53" t="s">
        <v>1024</v>
      </c>
      <c r="H170" s="131" t="s">
        <v>30</v>
      </c>
      <c r="I170" s="151">
        <v>20</v>
      </c>
      <c r="J170" s="335">
        <v>165</v>
      </c>
      <c r="K170" s="54">
        <f t="shared" si="2"/>
        <v>3300</v>
      </c>
      <c r="L170" s="55" t="b">
        <v>1</v>
      </c>
      <c r="M170" s="56">
        <v>310720251839</v>
      </c>
      <c r="N170" s="57" t="b">
        <v>1</v>
      </c>
      <c r="O170" s="58"/>
      <c r="P170" s="215"/>
      <c r="Q170" s="191" t="b">
        <v>1</v>
      </c>
      <c r="R170" s="357" t="s">
        <v>3138</v>
      </c>
      <c r="S170" s="173" t="s">
        <v>5653</v>
      </c>
      <c r="T170" s="57" t="b">
        <v>1</v>
      </c>
      <c r="U170" s="310" t="s">
        <v>5654</v>
      </c>
      <c r="V170" s="307"/>
      <c r="W170" s="54"/>
    </row>
    <row r="171" spans="1:26" ht="16">
      <c r="A171" s="162"/>
      <c r="B171" s="132" t="s">
        <v>5646</v>
      </c>
      <c r="C171" s="53" t="s">
        <v>3548</v>
      </c>
      <c r="D171" s="53" t="s">
        <v>51</v>
      </c>
      <c r="E171" s="53" t="s">
        <v>137</v>
      </c>
      <c r="F171" s="53" t="s">
        <v>5602</v>
      </c>
      <c r="G171" s="53" t="s">
        <v>5655</v>
      </c>
      <c r="H171" s="131" t="s">
        <v>30</v>
      </c>
      <c r="I171" s="151">
        <v>1</v>
      </c>
      <c r="J171" s="335">
        <v>1750</v>
      </c>
      <c r="K171" s="54">
        <f t="shared" si="2"/>
        <v>1750</v>
      </c>
      <c r="L171" s="55" t="b">
        <v>1</v>
      </c>
      <c r="M171" s="56">
        <v>310720251839</v>
      </c>
      <c r="N171" s="57" t="b">
        <v>1</v>
      </c>
      <c r="O171" s="58"/>
      <c r="P171" s="215"/>
      <c r="Q171" s="191" t="b">
        <v>1</v>
      </c>
      <c r="R171" s="357" t="s">
        <v>3138</v>
      </c>
      <c r="S171" s="173" t="s">
        <v>5656</v>
      </c>
      <c r="T171" s="57" t="b">
        <v>1</v>
      </c>
      <c r="U171" s="310" t="s">
        <v>5657</v>
      </c>
      <c r="V171" s="307"/>
      <c r="W171" s="54"/>
    </row>
    <row r="172" spans="1:26" ht="16">
      <c r="A172" s="162"/>
      <c r="B172" s="132" t="s">
        <v>5646</v>
      </c>
      <c r="C172" s="53" t="s">
        <v>3548</v>
      </c>
      <c r="D172" s="53" t="s">
        <v>51</v>
      </c>
      <c r="E172" s="53" t="s">
        <v>137</v>
      </c>
      <c r="F172" s="53" t="s">
        <v>5602</v>
      </c>
      <c r="G172" s="53" t="s">
        <v>5658</v>
      </c>
      <c r="H172" s="131" t="s">
        <v>30</v>
      </c>
      <c r="I172" s="151">
        <v>1</v>
      </c>
      <c r="J172" s="335">
        <v>1750</v>
      </c>
      <c r="K172" s="54">
        <f t="shared" si="2"/>
        <v>1750</v>
      </c>
      <c r="L172" s="55" t="b">
        <v>1</v>
      </c>
      <c r="M172" s="56">
        <v>310720251839</v>
      </c>
      <c r="N172" s="57" t="b">
        <v>1</v>
      </c>
      <c r="O172" s="58"/>
      <c r="P172" s="215"/>
      <c r="Q172" s="191" t="b">
        <v>1</v>
      </c>
      <c r="R172" s="357" t="s">
        <v>3138</v>
      </c>
      <c r="S172" s="173" t="s">
        <v>5656</v>
      </c>
      <c r="T172" s="57" t="b">
        <v>1</v>
      </c>
      <c r="U172" s="310" t="s">
        <v>5657</v>
      </c>
      <c r="V172" s="307"/>
      <c r="W172" s="54"/>
    </row>
    <row r="173" spans="1:26" ht="16">
      <c r="A173" s="162"/>
      <c r="B173" s="132"/>
      <c r="C173" s="53"/>
      <c r="D173" s="53"/>
      <c r="E173" s="53"/>
      <c r="F173" s="53"/>
      <c r="G173" s="53"/>
      <c r="H173" s="131" t="s">
        <v>30</v>
      </c>
      <c r="I173" s="151"/>
      <c r="J173" s="335"/>
      <c r="K173" s="54">
        <f t="shared" si="2"/>
        <v>0</v>
      </c>
      <c r="L173" s="55" t="b">
        <v>0</v>
      </c>
      <c r="M173" s="56"/>
      <c r="N173" s="57" t="b">
        <v>0</v>
      </c>
      <c r="O173" s="58"/>
      <c r="P173" s="215"/>
      <c r="Q173" s="191" t="b">
        <v>0</v>
      </c>
      <c r="R173" s="215"/>
      <c r="S173" s="337"/>
      <c r="T173" s="57" t="b">
        <v>0</v>
      </c>
      <c r="U173" s="337"/>
      <c r="V173" s="307"/>
      <c r="W173" s="54"/>
    </row>
    <row r="174" spans="1:26" ht="16">
      <c r="A174" s="162"/>
      <c r="B174" s="132"/>
      <c r="C174" s="53"/>
      <c r="D174" s="53"/>
      <c r="E174" s="53"/>
      <c r="F174" s="53"/>
      <c r="G174" s="53"/>
      <c r="H174" s="131" t="s">
        <v>30</v>
      </c>
      <c r="I174" s="151"/>
      <c r="J174" s="335"/>
      <c r="K174" s="54">
        <f t="shared" si="2"/>
        <v>0</v>
      </c>
      <c r="L174" s="55" t="b">
        <v>0</v>
      </c>
      <c r="M174" s="56"/>
      <c r="N174" s="57" t="b">
        <v>0</v>
      </c>
      <c r="O174" s="58"/>
      <c r="P174" s="215"/>
      <c r="Q174" s="191" t="b">
        <v>0</v>
      </c>
      <c r="R174" s="215"/>
      <c r="S174" s="337"/>
      <c r="T174" s="57" t="b">
        <v>0</v>
      </c>
      <c r="U174" s="337"/>
      <c r="V174" s="307"/>
      <c r="W174" s="54"/>
    </row>
    <row r="175" spans="1:26" ht="16">
      <c r="A175" s="162"/>
      <c r="B175" s="132"/>
      <c r="C175" s="53"/>
      <c r="D175" s="53"/>
      <c r="E175" s="53"/>
      <c r="F175" s="53"/>
      <c r="G175" s="53"/>
      <c r="H175" s="131" t="s">
        <v>30</v>
      </c>
      <c r="I175" s="151"/>
      <c r="J175" s="335"/>
      <c r="K175" s="54">
        <f t="shared" si="2"/>
        <v>0</v>
      </c>
      <c r="L175" s="55" t="b">
        <v>0</v>
      </c>
      <c r="M175" s="56"/>
      <c r="N175" s="57" t="b">
        <v>0</v>
      </c>
      <c r="O175" s="58"/>
      <c r="P175" s="215"/>
      <c r="Q175" s="191" t="b">
        <v>0</v>
      </c>
      <c r="R175" s="215"/>
      <c r="S175" s="337"/>
      <c r="T175" s="57" t="b">
        <v>0</v>
      </c>
      <c r="U175" s="337"/>
      <c r="V175" s="307"/>
      <c r="W175" s="54"/>
    </row>
    <row r="176" spans="1:26" ht="16">
      <c r="A176" s="162"/>
      <c r="B176" s="132"/>
      <c r="C176" s="53"/>
      <c r="D176" s="53"/>
      <c r="E176" s="53"/>
      <c r="F176" s="53"/>
      <c r="G176" s="53"/>
      <c r="H176" s="131" t="s">
        <v>30</v>
      </c>
      <c r="I176" s="151"/>
      <c r="J176" s="335"/>
      <c r="K176" s="54">
        <f t="shared" si="2"/>
        <v>0</v>
      </c>
      <c r="L176" s="55" t="b">
        <v>0</v>
      </c>
      <c r="M176" s="56"/>
      <c r="N176" s="57" t="b">
        <v>0</v>
      </c>
      <c r="O176" s="58"/>
      <c r="P176" s="215"/>
      <c r="Q176" s="191" t="b">
        <v>0</v>
      </c>
      <c r="R176" s="215"/>
      <c r="S176" s="337"/>
      <c r="T176" s="57" t="b">
        <v>0</v>
      </c>
      <c r="U176" s="337"/>
      <c r="V176" s="307"/>
      <c r="W176" s="54"/>
    </row>
    <row r="177" spans="1:23" ht="16">
      <c r="A177" s="162"/>
      <c r="B177" s="132"/>
      <c r="C177" s="53"/>
      <c r="D177" s="53"/>
      <c r="E177" s="53"/>
      <c r="F177" s="53"/>
      <c r="G177" s="53"/>
      <c r="H177" s="131" t="s">
        <v>30</v>
      </c>
      <c r="I177" s="151"/>
      <c r="J177" s="335"/>
      <c r="K177" s="54">
        <f t="shared" si="2"/>
        <v>0</v>
      </c>
      <c r="L177" s="55" t="b">
        <v>0</v>
      </c>
      <c r="M177" s="56"/>
      <c r="N177" s="57" t="b">
        <v>0</v>
      </c>
      <c r="O177" s="58"/>
      <c r="P177" s="215"/>
      <c r="Q177" s="191" t="b">
        <v>0</v>
      </c>
      <c r="R177" s="215"/>
      <c r="S177" s="337"/>
      <c r="T177" s="57" t="b">
        <v>0</v>
      </c>
      <c r="U177" s="337"/>
      <c r="V177" s="307"/>
      <c r="W177" s="54"/>
    </row>
    <row r="178" spans="1:23" ht="16">
      <c r="A178" s="162"/>
      <c r="B178" s="132"/>
      <c r="C178" s="53"/>
      <c r="D178" s="53"/>
      <c r="E178" s="53"/>
      <c r="F178" s="53"/>
      <c r="G178" s="53"/>
      <c r="H178" s="131" t="s">
        <v>30</v>
      </c>
      <c r="I178" s="151"/>
      <c r="J178" s="335"/>
      <c r="K178" s="54">
        <f t="shared" si="2"/>
        <v>0</v>
      </c>
      <c r="L178" s="55" t="b">
        <v>0</v>
      </c>
      <c r="M178" s="56"/>
      <c r="N178" s="57" t="b">
        <v>0</v>
      </c>
      <c r="O178" s="58"/>
      <c r="P178" s="215"/>
      <c r="Q178" s="191" t="b">
        <v>0</v>
      </c>
      <c r="R178" s="215"/>
      <c r="S178" s="337"/>
      <c r="T178" s="57" t="b">
        <v>0</v>
      </c>
      <c r="U178" s="337"/>
      <c r="V178" s="307"/>
      <c r="W178" s="54"/>
    </row>
    <row r="179" spans="1:23" ht="16">
      <c r="A179" s="162"/>
      <c r="B179" s="132"/>
      <c r="C179" s="53"/>
      <c r="D179" s="53"/>
      <c r="E179" s="53"/>
      <c r="F179" s="53"/>
      <c r="G179" s="53"/>
      <c r="H179" s="131" t="s">
        <v>30</v>
      </c>
      <c r="I179" s="151"/>
      <c r="J179" s="335"/>
      <c r="K179" s="54">
        <f t="shared" si="2"/>
        <v>0</v>
      </c>
      <c r="L179" s="55" t="b">
        <v>0</v>
      </c>
      <c r="M179" s="56"/>
      <c r="N179" s="57" t="b">
        <v>0</v>
      </c>
      <c r="O179" s="58"/>
      <c r="P179" s="215"/>
      <c r="Q179" s="191" t="b">
        <v>0</v>
      </c>
      <c r="R179" s="215"/>
      <c r="S179" s="337"/>
      <c r="T179" s="57" t="b">
        <v>0</v>
      </c>
      <c r="U179" s="337"/>
      <c r="V179" s="307"/>
      <c r="W179" s="54"/>
    </row>
    <row r="180" spans="1:23" ht="16">
      <c r="A180" s="162"/>
      <c r="B180" s="132"/>
      <c r="C180" s="53"/>
      <c r="D180" s="53"/>
      <c r="E180" s="53"/>
      <c r="F180" s="53"/>
      <c r="G180" s="53"/>
      <c r="H180" s="131" t="s">
        <v>30</v>
      </c>
      <c r="I180" s="151"/>
      <c r="J180" s="335"/>
      <c r="K180" s="54">
        <f t="shared" si="2"/>
        <v>0</v>
      </c>
      <c r="L180" s="55" t="b">
        <v>0</v>
      </c>
      <c r="M180" s="56"/>
      <c r="N180" s="57" t="b">
        <v>0</v>
      </c>
      <c r="O180" s="58"/>
      <c r="P180" s="215"/>
      <c r="Q180" s="191" t="b">
        <v>0</v>
      </c>
      <c r="R180" s="346"/>
      <c r="S180" s="337"/>
      <c r="T180" s="57" t="b">
        <v>0</v>
      </c>
      <c r="U180" s="337"/>
      <c r="V180" s="307"/>
      <c r="W180" s="54"/>
    </row>
    <row r="181" spans="1:23" ht="16">
      <c r="A181" s="162"/>
      <c r="B181" s="132"/>
      <c r="C181" s="53"/>
      <c r="D181" s="53"/>
      <c r="E181" s="53"/>
      <c r="F181" s="53"/>
      <c r="G181" s="53"/>
      <c r="H181" s="131" t="s">
        <v>30</v>
      </c>
      <c r="I181" s="151"/>
      <c r="J181" s="335"/>
      <c r="K181" s="54">
        <f t="shared" si="2"/>
        <v>0</v>
      </c>
      <c r="L181" s="55" t="b">
        <v>0</v>
      </c>
      <c r="M181" s="56"/>
      <c r="N181" s="57" t="b">
        <v>0</v>
      </c>
      <c r="O181" s="58"/>
      <c r="P181" s="215"/>
      <c r="Q181" s="191" t="b">
        <v>0</v>
      </c>
      <c r="R181" s="346"/>
      <c r="S181" s="337"/>
      <c r="T181" s="57" t="b">
        <v>0</v>
      </c>
      <c r="U181" s="337"/>
      <c r="V181" s="307"/>
      <c r="W181" s="54"/>
    </row>
    <row r="182" spans="1:23" ht="16">
      <c r="A182" s="162"/>
      <c r="B182" s="132"/>
      <c r="C182" s="53"/>
      <c r="D182" s="53"/>
      <c r="E182" s="53"/>
      <c r="F182" s="53"/>
      <c r="G182" s="53"/>
      <c r="H182" s="131" t="s">
        <v>30</v>
      </c>
      <c r="I182" s="151"/>
      <c r="J182" s="335"/>
      <c r="K182" s="54">
        <f t="shared" si="2"/>
        <v>0</v>
      </c>
      <c r="L182" s="55" t="b">
        <v>0</v>
      </c>
      <c r="M182" s="56"/>
      <c r="N182" s="57" t="b">
        <v>0</v>
      </c>
      <c r="O182" s="58"/>
      <c r="P182" s="215"/>
      <c r="Q182" s="191" t="b">
        <v>0</v>
      </c>
      <c r="R182" s="346"/>
      <c r="S182" s="337"/>
      <c r="T182" s="57" t="b">
        <v>0</v>
      </c>
      <c r="U182" s="337"/>
      <c r="V182" s="307"/>
      <c r="W182" s="54"/>
    </row>
    <row r="183" spans="1:23" ht="16">
      <c r="A183" s="162"/>
      <c r="B183" s="132"/>
      <c r="C183" s="53"/>
      <c r="D183" s="53"/>
      <c r="E183" s="53"/>
      <c r="F183" s="53"/>
      <c r="G183" s="53"/>
      <c r="H183" s="131" t="s">
        <v>30</v>
      </c>
      <c r="I183" s="151"/>
      <c r="J183" s="335"/>
      <c r="K183" s="54">
        <f t="shared" si="2"/>
        <v>0</v>
      </c>
      <c r="L183" s="55" t="b">
        <v>0</v>
      </c>
      <c r="M183" s="56"/>
      <c r="N183" s="57" t="b">
        <v>0</v>
      </c>
      <c r="O183" s="58"/>
      <c r="P183" s="215"/>
      <c r="Q183" s="191" t="b">
        <v>0</v>
      </c>
      <c r="R183" s="346"/>
      <c r="S183" s="337"/>
      <c r="T183" s="57" t="b">
        <v>0</v>
      </c>
      <c r="U183" s="337"/>
      <c r="V183" s="307"/>
      <c r="W183" s="54"/>
    </row>
    <row r="184" spans="1:23" ht="16">
      <c r="A184" s="162"/>
      <c r="B184" s="132"/>
      <c r="C184" s="53"/>
      <c r="D184" s="53"/>
      <c r="E184" s="53"/>
      <c r="F184" s="53"/>
      <c r="G184" s="53"/>
      <c r="H184" s="131" t="s">
        <v>30</v>
      </c>
      <c r="I184" s="151"/>
      <c r="J184" s="335"/>
      <c r="K184" s="54">
        <f t="shared" si="2"/>
        <v>0</v>
      </c>
      <c r="L184" s="55" t="b">
        <v>0</v>
      </c>
      <c r="M184" s="56"/>
      <c r="N184" s="57" t="b">
        <v>0</v>
      </c>
      <c r="O184" s="58"/>
      <c r="P184" s="215"/>
      <c r="Q184" s="191" t="b">
        <v>0</v>
      </c>
      <c r="R184" s="346"/>
      <c r="S184" s="347"/>
      <c r="T184" s="57" t="b">
        <v>0</v>
      </c>
      <c r="U184" s="349"/>
      <c r="V184" s="345"/>
      <c r="W184" s="54"/>
    </row>
    <row r="185" spans="1:23" ht="16">
      <c r="A185" s="162"/>
      <c r="B185" s="132"/>
      <c r="C185" s="53"/>
      <c r="D185" s="53"/>
      <c r="E185" s="53"/>
      <c r="F185" s="53"/>
      <c r="G185" s="53"/>
      <c r="H185" s="131" t="s">
        <v>30</v>
      </c>
      <c r="I185" s="151"/>
      <c r="J185" s="335"/>
      <c r="K185" s="54">
        <f t="shared" si="2"/>
        <v>0</v>
      </c>
      <c r="L185" s="55" t="b">
        <v>0</v>
      </c>
      <c r="M185" s="56"/>
      <c r="N185" s="57" t="b">
        <v>0</v>
      </c>
      <c r="O185" s="58"/>
      <c r="P185" s="215"/>
      <c r="Q185" s="191" t="b">
        <v>0</v>
      </c>
      <c r="R185" s="346"/>
      <c r="S185" s="347"/>
      <c r="T185" s="57" t="b">
        <v>0</v>
      </c>
      <c r="U185" s="349"/>
      <c r="V185" s="345"/>
      <c r="W185" s="54"/>
    </row>
    <row r="186" spans="1:23" ht="16">
      <c r="A186" s="162"/>
      <c r="B186" s="132"/>
      <c r="C186" s="53"/>
      <c r="D186" s="53"/>
      <c r="E186" s="53"/>
      <c r="F186" s="53"/>
      <c r="G186" s="53"/>
      <c r="H186" s="131" t="s">
        <v>30</v>
      </c>
      <c r="I186" s="151"/>
      <c r="J186" s="335"/>
      <c r="K186" s="54">
        <f t="shared" si="2"/>
        <v>0</v>
      </c>
      <c r="L186" s="55" t="b">
        <v>0</v>
      </c>
      <c r="M186" s="56"/>
      <c r="N186" s="57" t="b">
        <v>0</v>
      </c>
      <c r="O186" s="58"/>
      <c r="P186" s="215"/>
      <c r="Q186" s="191" t="b">
        <v>0</v>
      </c>
      <c r="R186" s="346"/>
      <c r="S186" s="347"/>
      <c r="T186" s="57" t="b">
        <v>0</v>
      </c>
      <c r="U186" s="349"/>
      <c r="V186" s="345"/>
      <c r="W186" s="54"/>
    </row>
    <row r="187" spans="1:23" ht="16">
      <c r="A187" s="162"/>
      <c r="B187" s="132"/>
      <c r="C187" s="53"/>
      <c r="D187" s="53"/>
      <c r="E187" s="53"/>
      <c r="F187" s="53"/>
      <c r="G187" s="53"/>
      <c r="H187" s="131" t="s">
        <v>30</v>
      </c>
      <c r="I187" s="151"/>
      <c r="J187" s="335"/>
      <c r="K187" s="54">
        <f t="shared" si="2"/>
        <v>0</v>
      </c>
      <c r="L187" s="55" t="b">
        <v>0</v>
      </c>
      <c r="M187" s="56"/>
      <c r="N187" s="57" t="b">
        <v>0</v>
      </c>
      <c r="O187" s="58"/>
      <c r="P187" s="215"/>
      <c r="Q187" s="191" t="b">
        <v>0</v>
      </c>
      <c r="R187" s="346"/>
      <c r="S187" s="347"/>
      <c r="T187" s="57" t="b">
        <v>0</v>
      </c>
      <c r="U187" s="349"/>
      <c r="V187" s="345"/>
      <c r="W187" s="54"/>
    </row>
    <row r="188" spans="1:23" ht="16">
      <c r="A188" s="162"/>
      <c r="B188" s="132"/>
      <c r="C188" s="53"/>
      <c r="D188" s="53"/>
      <c r="E188" s="53"/>
      <c r="F188" s="53"/>
      <c r="G188" s="53"/>
      <c r="H188" s="131" t="s">
        <v>30</v>
      </c>
      <c r="I188" s="151"/>
      <c r="J188" s="335"/>
      <c r="K188" s="54">
        <f t="shared" si="2"/>
        <v>0</v>
      </c>
      <c r="L188" s="55" t="b">
        <v>0</v>
      </c>
      <c r="M188" s="56"/>
      <c r="N188" s="57" t="b">
        <v>0</v>
      </c>
      <c r="O188" s="58"/>
      <c r="P188" s="215"/>
      <c r="Q188" s="191" t="b">
        <v>0</v>
      </c>
      <c r="R188" s="346"/>
      <c r="S188" s="347"/>
      <c r="T188" s="57" t="b">
        <v>0</v>
      </c>
      <c r="U188" s="349"/>
      <c r="V188" s="345"/>
      <c r="W188" s="54"/>
    </row>
    <row r="189" spans="1:23" ht="16">
      <c r="A189" s="162"/>
      <c r="B189" s="132"/>
      <c r="C189" s="53"/>
      <c r="D189" s="53"/>
      <c r="E189" s="53"/>
      <c r="F189" s="53"/>
      <c r="G189" s="53"/>
      <c r="H189" s="131" t="s">
        <v>30</v>
      </c>
      <c r="I189" s="151"/>
      <c r="J189" s="335"/>
      <c r="K189" s="54">
        <f t="shared" si="2"/>
        <v>0</v>
      </c>
      <c r="L189" s="55" t="b">
        <v>0</v>
      </c>
      <c r="M189" s="56"/>
      <c r="N189" s="57" t="b">
        <v>0</v>
      </c>
      <c r="O189" s="58"/>
      <c r="P189" s="215"/>
      <c r="Q189" s="191" t="b">
        <v>0</v>
      </c>
      <c r="R189" s="346"/>
      <c r="S189" s="347"/>
      <c r="T189" s="57" t="b">
        <v>0</v>
      </c>
      <c r="U189" s="349"/>
      <c r="V189" s="345"/>
      <c r="W189" s="54"/>
    </row>
    <row r="190" spans="1:23" ht="16">
      <c r="A190" s="162"/>
      <c r="B190" s="132"/>
      <c r="C190" s="53"/>
      <c r="D190" s="53"/>
      <c r="E190" s="53"/>
      <c r="F190" s="53"/>
      <c r="G190" s="53"/>
      <c r="H190" s="131" t="s">
        <v>30</v>
      </c>
      <c r="I190" s="151"/>
      <c r="J190" s="335"/>
      <c r="K190" s="54">
        <f t="shared" si="2"/>
        <v>0</v>
      </c>
      <c r="L190" s="55" t="b">
        <v>0</v>
      </c>
      <c r="M190" s="56"/>
      <c r="N190" s="57" t="b">
        <v>0</v>
      </c>
      <c r="O190" s="58"/>
      <c r="P190" s="215"/>
      <c r="Q190" s="191" t="b">
        <v>0</v>
      </c>
      <c r="R190" s="346"/>
      <c r="S190" s="347"/>
      <c r="T190" s="57" t="b">
        <v>0</v>
      </c>
      <c r="U190" s="349"/>
      <c r="V190" s="345"/>
      <c r="W190" s="54"/>
    </row>
    <row r="191" spans="1:23" ht="16">
      <c r="A191" s="162"/>
      <c r="B191" s="132"/>
      <c r="C191" s="53"/>
      <c r="D191" s="53"/>
      <c r="E191" s="53"/>
      <c r="F191" s="53"/>
      <c r="G191" s="53"/>
      <c r="H191" s="131" t="s">
        <v>30</v>
      </c>
      <c r="I191" s="151"/>
      <c r="J191" s="335"/>
      <c r="K191" s="54">
        <f t="shared" si="2"/>
        <v>0</v>
      </c>
      <c r="L191" s="55" t="b">
        <v>0</v>
      </c>
      <c r="M191" s="56"/>
      <c r="N191" s="57" t="b">
        <v>0</v>
      </c>
      <c r="O191" s="58"/>
      <c r="P191" s="215"/>
      <c r="Q191" s="191" t="b">
        <v>0</v>
      </c>
      <c r="R191" s="346"/>
      <c r="S191" s="347"/>
      <c r="T191" s="57" t="b">
        <v>0</v>
      </c>
      <c r="U191" s="349"/>
      <c r="V191" s="345"/>
      <c r="W191" s="54"/>
    </row>
    <row r="192" spans="1:23" ht="16">
      <c r="A192" s="162"/>
      <c r="B192" s="132"/>
      <c r="C192" s="53"/>
      <c r="D192" s="53"/>
      <c r="E192" s="53"/>
      <c r="F192" s="53"/>
      <c r="G192" s="53"/>
      <c r="H192" s="131" t="s">
        <v>30</v>
      </c>
      <c r="I192" s="151"/>
      <c r="J192" s="335"/>
      <c r="K192" s="54">
        <f t="shared" si="2"/>
        <v>0</v>
      </c>
      <c r="L192" s="55" t="b">
        <v>0</v>
      </c>
      <c r="M192" s="56"/>
      <c r="N192" s="57" t="b">
        <v>0</v>
      </c>
      <c r="O192" s="58"/>
      <c r="P192" s="215"/>
      <c r="Q192" s="191" t="b">
        <v>0</v>
      </c>
      <c r="R192" s="346"/>
      <c r="S192" s="347"/>
      <c r="T192" s="57" t="b">
        <v>0</v>
      </c>
      <c r="U192" s="349"/>
      <c r="V192" s="345"/>
      <c r="W192" s="54"/>
    </row>
    <row r="193" spans="1:23" ht="16">
      <c r="A193" s="162"/>
      <c r="B193" s="132"/>
      <c r="C193" s="53"/>
      <c r="D193" s="53"/>
      <c r="E193" s="53"/>
      <c r="F193" s="53"/>
      <c r="G193" s="53"/>
      <c r="H193" s="131" t="s">
        <v>30</v>
      </c>
      <c r="I193" s="151"/>
      <c r="J193" s="335"/>
      <c r="K193" s="54">
        <f t="shared" si="2"/>
        <v>0</v>
      </c>
      <c r="L193" s="55" t="b">
        <v>0</v>
      </c>
      <c r="M193" s="56"/>
      <c r="N193" s="57" t="b">
        <v>0</v>
      </c>
      <c r="O193" s="58"/>
      <c r="P193" s="215"/>
      <c r="Q193" s="191" t="b">
        <v>0</v>
      </c>
      <c r="R193" s="346"/>
      <c r="S193" s="347"/>
      <c r="T193" s="57" t="b">
        <v>0</v>
      </c>
      <c r="U193" s="349"/>
      <c r="V193" s="345"/>
      <c r="W193" s="54"/>
    </row>
    <row r="194" spans="1:23" ht="16">
      <c r="A194" s="162"/>
      <c r="B194" s="132"/>
      <c r="C194" s="53"/>
      <c r="D194" s="53"/>
      <c r="E194" s="53"/>
      <c r="F194" s="53"/>
      <c r="G194" s="53"/>
      <c r="H194" s="131" t="s">
        <v>30</v>
      </c>
      <c r="I194" s="151"/>
      <c r="J194" s="335"/>
      <c r="K194" s="54">
        <f t="shared" si="2"/>
        <v>0</v>
      </c>
      <c r="L194" s="55" t="b">
        <v>0</v>
      </c>
      <c r="M194" s="56"/>
      <c r="N194" s="57" t="b">
        <v>0</v>
      </c>
      <c r="O194" s="58"/>
      <c r="P194" s="215"/>
      <c r="Q194" s="191" t="b">
        <v>0</v>
      </c>
      <c r="R194" s="346"/>
      <c r="S194" s="347"/>
      <c r="T194" s="57" t="b">
        <v>0</v>
      </c>
      <c r="U194" s="349"/>
      <c r="V194" s="345"/>
      <c r="W194" s="54"/>
    </row>
    <row r="195" spans="1:23" ht="16">
      <c r="A195" s="162"/>
      <c r="B195" s="132"/>
      <c r="C195" s="53"/>
      <c r="D195" s="53"/>
      <c r="E195" s="53"/>
      <c r="F195" s="53"/>
      <c r="G195" s="53"/>
      <c r="H195" s="131"/>
      <c r="I195" s="53"/>
      <c r="J195" s="188"/>
      <c r="K195" s="54"/>
      <c r="L195" s="55" t="b">
        <v>0</v>
      </c>
      <c r="M195" s="56"/>
      <c r="N195" s="57" t="b">
        <v>0</v>
      </c>
      <c r="O195" s="58"/>
      <c r="P195" s="215"/>
      <c r="Q195" s="191" t="b">
        <v>0</v>
      </c>
      <c r="R195" s="346"/>
      <c r="S195" s="347"/>
      <c r="T195" s="57" t="b">
        <v>0</v>
      </c>
      <c r="U195" s="349"/>
      <c r="V195" s="345"/>
      <c r="W195" s="54"/>
    </row>
    <row r="196" spans="1:23" ht="16">
      <c r="A196" s="162"/>
      <c r="B196" s="132"/>
      <c r="C196" s="53"/>
      <c r="D196" s="53"/>
      <c r="E196" s="53"/>
      <c r="F196" s="53"/>
      <c r="G196" s="53"/>
      <c r="H196" s="131"/>
      <c r="I196" s="53"/>
      <c r="J196" s="188"/>
      <c r="K196" s="54"/>
      <c r="L196" s="55" t="b">
        <v>0</v>
      </c>
      <c r="M196" s="56"/>
      <c r="N196" s="57" t="b">
        <v>0</v>
      </c>
      <c r="O196" s="58"/>
      <c r="P196" s="215"/>
      <c r="Q196" s="191" t="b">
        <v>0</v>
      </c>
      <c r="R196" s="346"/>
      <c r="S196" s="347"/>
      <c r="T196" s="57" t="b">
        <v>0</v>
      </c>
      <c r="U196" s="349"/>
      <c r="V196" s="345"/>
      <c r="W196" s="58"/>
    </row>
    <row r="197" spans="1:23" ht="16">
      <c r="A197" s="162"/>
      <c r="B197" s="132"/>
      <c r="C197" s="53"/>
      <c r="D197" s="53"/>
      <c r="E197" s="53"/>
      <c r="F197" s="53"/>
      <c r="G197" s="53"/>
      <c r="H197" s="131"/>
      <c r="I197" s="53"/>
      <c r="J197" s="188"/>
      <c r="K197" s="54"/>
      <c r="L197" s="55" t="b">
        <v>0</v>
      </c>
      <c r="M197" s="56"/>
      <c r="N197" s="57" t="b">
        <v>0</v>
      </c>
      <c r="O197" s="58"/>
      <c r="P197" s="215"/>
      <c r="Q197" s="191" t="b">
        <v>0</v>
      </c>
      <c r="R197" s="346"/>
      <c r="S197" s="347"/>
      <c r="T197" s="57" t="b">
        <v>0</v>
      </c>
      <c r="U197" s="349"/>
      <c r="V197" s="345"/>
      <c r="W197" s="54"/>
    </row>
    <row r="198" spans="1:23" ht="16">
      <c r="A198" s="162"/>
      <c r="B198" s="132"/>
      <c r="C198" s="53"/>
      <c r="D198" s="53"/>
      <c r="E198" s="53"/>
      <c r="F198" s="53"/>
      <c r="G198" s="53"/>
      <c r="H198" s="131"/>
      <c r="I198" s="53"/>
      <c r="J198" s="188"/>
      <c r="K198" s="54"/>
      <c r="L198" s="55" t="b">
        <v>0</v>
      </c>
      <c r="M198" s="56"/>
      <c r="N198" s="57" t="b">
        <v>0</v>
      </c>
      <c r="O198" s="58"/>
      <c r="P198" s="215"/>
      <c r="Q198" s="191" t="b">
        <v>0</v>
      </c>
      <c r="R198" s="346"/>
      <c r="S198" s="347"/>
      <c r="T198" s="57" t="b">
        <v>0</v>
      </c>
      <c r="U198" s="349"/>
      <c r="V198" s="345"/>
      <c r="W198" s="54"/>
    </row>
    <row r="199" spans="1:23" ht="16">
      <c r="A199" s="162"/>
      <c r="B199" s="132"/>
      <c r="C199" s="53"/>
      <c r="D199" s="53"/>
      <c r="E199" s="53"/>
      <c r="F199" s="53"/>
      <c r="G199" s="53"/>
      <c r="H199" s="131"/>
      <c r="I199" s="53"/>
      <c r="J199" s="188"/>
      <c r="K199" s="54"/>
      <c r="L199" s="55" t="b">
        <v>0</v>
      </c>
      <c r="M199" s="56"/>
      <c r="N199" s="57" t="b">
        <v>0</v>
      </c>
      <c r="O199" s="58"/>
      <c r="P199" s="215"/>
      <c r="Q199" s="191" t="b">
        <v>0</v>
      </c>
      <c r="R199" s="346"/>
      <c r="S199" s="347"/>
      <c r="T199" s="57" t="b">
        <v>0</v>
      </c>
      <c r="U199" s="349"/>
      <c r="V199" s="345"/>
      <c r="W199" s="54"/>
    </row>
    <row r="200" spans="1:23" ht="16">
      <c r="A200" s="162"/>
      <c r="B200" s="132"/>
      <c r="C200" s="53"/>
      <c r="D200" s="53"/>
      <c r="E200" s="53"/>
      <c r="F200" s="53"/>
      <c r="G200" s="53"/>
      <c r="H200" s="131"/>
      <c r="I200" s="53"/>
      <c r="J200" s="188"/>
      <c r="K200" s="54"/>
      <c r="L200" s="55" t="b">
        <v>0</v>
      </c>
      <c r="M200" s="56"/>
      <c r="N200" s="57" t="b">
        <v>0</v>
      </c>
      <c r="O200" s="58"/>
      <c r="P200" s="215"/>
      <c r="Q200" s="191" t="b">
        <v>0</v>
      </c>
      <c r="R200" s="346"/>
      <c r="S200" s="347"/>
      <c r="T200" s="57" t="b">
        <v>0</v>
      </c>
      <c r="U200" s="349"/>
      <c r="V200" s="345"/>
      <c r="W200" s="54"/>
    </row>
    <row r="201" spans="1:23" ht="16">
      <c r="A201" s="162"/>
      <c r="B201" s="132"/>
      <c r="C201" s="53"/>
      <c r="D201" s="53"/>
      <c r="E201" s="53"/>
      <c r="F201" s="53"/>
      <c r="G201" s="53"/>
      <c r="H201" s="131"/>
      <c r="I201" s="53"/>
      <c r="J201" s="188"/>
      <c r="K201" s="54"/>
      <c r="L201" s="55" t="b">
        <v>0</v>
      </c>
      <c r="M201" s="56"/>
      <c r="N201" s="57" t="b">
        <v>0</v>
      </c>
      <c r="O201" s="58"/>
      <c r="P201" s="215"/>
      <c r="Q201" s="191" t="b">
        <v>0</v>
      </c>
      <c r="R201" s="346"/>
      <c r="S201" s="347"/>
      <c r="T201" s="57" t="b">
        <v>0</v>
      </c>
      <c r="U201" s="349"/>
      <c r="V201" s="345"/>
      <c r="W201" s="54"/>
    </row>
    <row r="202" spans="1:23" ht="16">
      <c r="A202" s="162"/>
      <c r="B202" s="132"/>
      <c r="C202" s="53"/>
      <c r="D202" s="53"/>
      <c r="E202" s="53"/>
      <c r="F202" s="53"/>
      <c r="G202" s="53"/>
      <c r="H202" s="131"/>
      <c r="I202" s="53"/>
      <c r="J202" s="188"/>
      <c r="K202" s="54"/>
      <c r="L202" s="55" t="b">
        <v>0</v>
      </c>
      <c r="M202" s="56"/>
      <c r="N202" s="57" t="b">
        <v>0</v>
      </c>
      <c r="O202" s="58"/>
      <c r="P202" s="215"/>
      <c r="Q202" s="191" t="b">
        <v>0</v>
      </c>
      <c r="R202" s="346"/>
      <c r="S202" s="347"/>
      <c r="T202" s="57" t="b">
        <v>0</v>
      </c>
      <c r="U202" s="349"/>
      <c r="V202" s="345"/>
      <c r="W202" s="54"/>
    </row>
    <row r="203" spans="1:23" ht="16">
      <c r="A203" s="162"/>
      <c r="B203" s="132"/>
      <c r="C203" s="53"/>
      <c r="D203" s="53"/>
      <c r="E203" s="53"/>
      <c r="F203" s="53"/>
      <c r="G203" s="53"/>
      <c r="H203" s="131"/>
      <c r="I203" s="53"/>
      <c r="J203" s="188"/>
      <c r="K203" s="54"/>
      <c r="L203" s="55" t="b">
        <v>0</v>
      </c>
      <c r="M203" s="56"/>
      <c r="N203" s="57" t="b">
        <v>0</v>
      </c>
      <c r="O203" s="58"/>
      <c r="P203" s="215"/>
      <c r="Q203" s="191" t="b">
        <v>0</v>
      </c>
      <c r="R203" s="346"/>
      <c r="S203" s="347"/>
      <c r="T203" s="57" t="b">
        <v>0</v>
      </c>
      <c r="U203" s="349"/>
      <c r="V203" s="345"/>
      <c r="W203" s="54"/>
    </row>
    <row r="204" spans="1:23" ht="16">
      <c r="A204" s="162"/>
      <c r="B204" s="132"/>
      <c r="C204" s="53"/>
      <c r="D204" s="53"/>
      <c r="E204" s="53"/>
      <c r="F204" s="53"/>
      <c r="G204" s="53"/>
      <c r="H204" s="131"/>
      <c r="I204" s="53"/>
      <c r="J204" s="188"/>
      <c r="K204" s="54"/>
      <c r="L204" s="55" t="b">
        <v>0</v>
      </c>
      <c r="M204" s="56"/>
      <c r="N204" s="57" t="b">
        <v>0</v>
      </c>
      <c r="O204" s="58"/>
      <c r="P204" s="215"/>
      <c r="Q204" s="191" t="b">
        <v>0</v>
      </c>
      <c r="R204" s="346"/>
      <c r="S204" s="347"/>
      <c r="T204" s="57" t="b">
        <v>0</v>
      </c>
      <c r="U204" s="349"/>
      <c r="V204" s="345"/>
      <c r="W204" s="54"/>
    </row>
    <row r="205" spans="1:23" ht="16">
      <c r="A205" s="162"/>
      <c r="B205" s="132"/>
      <c r="C205" s="53"/>
      <c r="D205" s="53"/>
      <c r="E205" s="53"/>
      <c r="F205" s="53"/>
      <c r="G205" s="53"/>
      <c r="H205" s="131"/>
      <c r="I205" s="53"/>
      <c r="J205" s="188"/>
      <c r="K205" s="54"/>
      <c r="L205" s="55" t="b">
        <v>0</v>
      </c>
      <c r="M205" s="56"/>
      <c r="N205" s="57" t="b">
        <v>0</v>
      </c>
      <c r="O205" s="58"/>
      <c r="P205" s="215"/>
      <c r="Q205" s="191" t="b">
        <v>0</v>
      </c>
      <c r="R205" s="346"/>
      <c r="S205" s="347"/>
      <c r="T205" s="57" t="b">
        <v>0</v>
      </c>
      <c r="U205" s="349"/>
      <c r="V205" s="345"/>
      <c r="W205" s="54"/>
    </row>
    <row r="206" spans="1:23" ht="16">
      <c r="A206" s="162"/>
      <c r="B206" s="132"/>
      <c r="C206" s="53"/>
      <c r="D206" s="53"/>
      <c r="E206" s="53"/>
      <c r="F206" s="53"/>
      <c r="G206" s="53"/>
      <c r="H206" s="131"/>
      <c r="I206" s="53"/>
      <c r="J206" s="188"/>
      <c r="K206" s="54"/>
      <c r="L206" s="55"/>
      <c r="M206" s="56"/>
      <c r="N206" s="57"/>
      <c r="O206" s="58"/>
      <c r="P206" s="215"/>
      <c r="Q206" s="191"/>
      <c r="R206" s="346"/>
      <c r="S206" s="347"/>
      <c r="T206" s="348"/>
      <c r="U206" s="349"/>
      <c r="V206" s="345"/>
      <c r="W206" s="54"/>
    </row>
    <row r="207" spans="1:23" ht="16">
      <c r="A207" s="162"/>
      <c r="B207" s="132"/>
      <c r="C207" s="53"/>
      <c r="D207" s="53"/>
      <c r="E207" s="53"/>
      <c r="F207" s="53"/>
      <c r="G207" s="53"/>
      <c r="H207" s="131"/>
      <c r="I207" s="53"/>
      <c r="J207" s="188"/>
      <c r="K207" s="54"/>
      <c r="L207" s="55"/>
      <c r="M207" s="56"/>
      <c r="N207" s="57"/>
      <c r="O207" s="58"/>
      <c r="P207" s="215"/>
      <c r="Q207" s="191"/>
      <c r="R207" s="346"/>
      <c r="S207" s="347"/>
      <c r="T207" s="348"/>
      <c r="U207" s="349"/>
      <c r="V207" s="345"/>
      <c r="W207" s="54"/>
    </row>
    <row r="208" spans="1:23" ht="16">
      <c r="A208" s="162"/>
      <c r="B208" s="132"/>
      <c r="C208" s="53"/>
      <c r="D208" s="53"/>
      <c r="E208" s="53"/>
      <c r="F208" s="53"/>
      <c r="G208" s="53"/>
      <c r="H208" s="131"/>
      <c r="I208" s="53"/>
      <c r="J208" s="188"/>
      <c r="K208" s="54"/>
      <c r="L208" s="55"/>
      <c r="M208" s="56"/>
      <c r="N208" s="57"/>
      <c r="O208" s="58"/>
      <c r="P208" s="215"/>
      <c r="Q208" s="191"/>
      <c r="R208" s="346"/>
      <c r="S208" s="347"/>
      <c r="T208" s="348"/>
      <c r="U208" s="349"/>
      <c r="V208" s="345"/>
      <c r="W208" s="54"/>
    </row>
    <row r="209" spans="1:23" ht="16">
      <c r="A209" s="162"/>
      <c r="B209" s="132"/>
      <c r="C209" s="53"/>
      <c r="D209" s="53"/>
      <c r="E209" s="53"/>
      <c r="F209" s="53"/>
      <c r="G209" s="53"/>
      <c r="H209" s="131"/>
      <c r="I209" s="53"/>
      <c r="J209" s="188"/>
      <c r="K209" s="54"/>
      <c r="L209" s="55"/>
      <c r="M209" s="56"/>
      <c r="N209" s="57"/>
      <c r="O209" s="58"/>
      <c r="P209" s="215"/>
      <c r="Q209" s="191"/>
      <c r="R209" s="346"/>
      <c r="S209" s="347"/>
      <c r="T209" s="348"/>
      <c r="U209" s="349"/>
      <c r="V209" s="345"/>
      <c r="W209" s="54"/>
    </row>
    <row r="210" spans="1:23" ht="16">
      <c r="A210" s="162"/>
      <c r="B210" s="132"/>
      <c r="C210" s="53"/>
      <c r="D210" s="53"/>
      <c r="E210" s="53"/>
      <c r="F210" s="53"/>
      <c r="G210" s="53"/>
      <c r="H210" s="131"/>
      <c r="I210" s="53"/>
      <c r="J210" s="188"/>
      <c r="K210" s="54"/>
      <c r="L210" s="55"/>
      <c r="M210" s="56"/>
      <c r="N210" s="57"/>
      <c r="O210" s="58"/>
      <c r="P210" s="215"/>
      <c r="Q210" s="191"/>
      <c r="R210" s="346"/>
      <c r="S210" s="347"/>
      <c r="T210" s="348"/>
      <c r="U210" s="349"/>
      <c r="V210" s="345"/>
      <c r="W210" s="54"/>
    </row>
    <row r="211" spans="1:23" ht="16">
      <c r="A211" s="162"/>
      <c r="B211" s="132"/>
      <c r="C211" s="53"/>
      <c r="D211" s="53"/>
      <c r="E211" s="53"/>
      <c r="F211" s="53"/>
      <c r="G211" s="53"/>
      <c r="H211" s="131"/>
      <c r="I211" s="53"/>
      <c r="J211" s="188"/>
      <c r="K211" s="54"/>
      <c r="L211" s="55"/>
      <c r="M211" s="56"/>
      <c r="N211" s="57"/>
      <c r="O211" s="58"/>
      <c r="P211" s="215"/>
      <c r="Q211" s="191"/>
      <c r="R211" s="346"/>
      <c r="S211" s="347"/>
      <c r="T211" s="348"/>
      <c r="U211" s="349"/>
      <c r="V211" s="345"/>
      <c r="W211" s="54"/>
    </row>
    <row r="212" spans="1:23" ht="16">
      <c r="A212" s="162"/>
      <c r="B212" s="132"/>
      <c r="C212" s="53"/>
      <c r="D212" s="53"/>
      <c r="E212" s="53"/>
      <c r="F212" s="53"/>
      <c r="G212" s="53"/>
      <c r="H212" s="131"/>
      <c r="I212" s="53"/>
      <c r="J212" s="188"/>
      <c r="K212" s="75"/>
      <c r="L212" s="55"/>
      <c r="M212" s="56"/>
      <c r="N212" s="57"/>
      <c r="O212" s="58"/>
      <c r="P212" s="215"/>
      <c r="Q212" s="191"/>
      <c r="R212" s="346"/>
      <c r="S212" s="347"/>
      <c r="T212" s="348"/>
      <c r="U212" s="349"/>
      <c r="V212" s="345"/>
      <c r="W212" s="54"/>
    </row>
    <row r="213" spans="1:23" ht="16">
      <c r="A213" s="162"/>
      <c r="B213" s="132"/>
      <c r="C213" s="53"/>
      <c r="D213" s="53"/>
      <c r="E213" s="53"/>
      <c r="F213" s="53"/>
      <c r="G213" s="53"/>
      <c r="H213" s="131"/>
      <c r="I213" s="53"/>
      <c r="J213" s="188"/>
      <c r="K213" s="75"/>
      <c r="L213" s="55"/>
      <c r="M213" s="56"/>
      <c r="N213" s="57"/>
      <c r="O213" s="58"/>
      <c r="P213" s="215"/>
      <c r="Q213" s="191"/>
      <c r="R213" s="346"/>
      <c r="S213" s="347"/>
      <c r="T213" s="348"/>
      <c r="U213" s="349"/>
      <c r="V213" s="345"/>
      <c r="W213" s="54"/>
    </row>
    <row r="214" spans="1:23" ht="16">
      <c r="A214" s="162"/>
      <c r="B214" s="132"/>
      <c r="C214" s="53"/>
      <c r="D214" s="53"/>
      <c r="E214" s="53"/>
      <c r="F214" s="53"/>
      <c r="G214" s="53"/>
      <c r="H214" s="131"/>
      <c r="I214" s="53"/>
      <c r="J214" s="188"/>
      <c r="K214" s="75"/>
      <c r="L214" s="55"/>
      <c r="M214" s="56"/>
      <c r="N214" s="57"/>
      <c r="O214" s="58"/>
      <c r="P214" s="215"/>
      <c r="Q214" s="191"/>
      <c r="R214" s="346"/>
      <c r="S214" s="347"/>
      <c r="T214" s="348"/>
      <c r="U214" s="349"/>
      <c r="V214" s="345"/>
      <c r="W214" s="54"/>
    </row>
    <row r="215" spans="1:23" ht="16">
      <c r="A215" s="162"/>
      <c r="B215" s="132"/>
      <c r="C215" s="53"/>
      <c r="D215" s="53"/>
      <c r="E215" s="53"/>
      <c r="F215" s="53"/>
      <c r="G215" s="53"/>
      <c r="H215" s="131"/>
      <c r="I215" s="53"/>
      <c r="J215" s="188"/>
      <c r="K215" s="75"/>
      <c r="L215" s="55"/>
      <c r="M215" s="56"/>
      <c r="N215" s="57"/>
      <c r="O215" s="58"/>
      <c r="P215" s="215"/>
      <c r="Q215" s="191"/>
      <c r="R215" s="346"/>
      <c r="S215" s="347"/>
      <c r="T215" s="348"/>
      <c r="U215" s="349"/>
      <c r="V215" s="345"/>
      <c r="W215" s="54"/>
    </row>
    <row r="216" spans="1:23" ht="16">
      <c r="A216" s="162"/>
      <c r="B216" s="132"/>
      <c r="C216" s="53"/>
      <c r="D216" s="53"/>
      <c r="E216" s="53"/>
      <c r="F216" s="53"/>
      <c r="G216" s="53"/>
      <c r="H216" s="131"/>
      <c r="I216" s="53"/>
      <c r="J216" s="188"/>
      <c r="K216" s="75"/>
      <c r="L216" s="55"/>
      <c r="M216" s="56"/>
      <c r="N216" s="57"/>
      <c r="O216" s="58"/>
      <c r="P216" s="215"/>
      <c r="Q216" s="191"/>
      <c r="R216" s="346"/>
      <c r="S216" s="347"/>
      <c r="T216" s="348"/>
      <c r="U216" s="349"/>
      <c r="V216" s="345"/>
      <c r="W216" s="54"/>
    </row>
    <row r="217" spans="1:23" ht="16">
      <c r="A217" s="162"/>
      <c r="B217" s="132"/>
      <c r="C217" s="53"/>
      <c r="D217" s="53"/>
      <c r="E217" s="53"/>
      <c r="F217" s="53"/>
      <c r="G217" s="53"/>
      <c r="H217" s="131"/>
      <c r="I217" s="53"/>
      <c r="J217" s="188"/>
      <c r="K217" s="75"/>
      <c r="L217" s="55"/>
      <c r="M217" s="56"/>
      <c r="N217" s="57"/>
      <c r="O217" s="58"/>
      <c r="P217" s="215"/>
      <c r="Q217" s="191"/>
      <c r="R217" s="346"/>
      <c r="S217" s="347"/>
      <c r="T217" s="348"/>
      <c r="U217" s="349"/>
      <c r="V217" s="345"/>
      <c r="W217" s="54"/>
    </row>
    <row r="218" spans="1:23" ht="16">
      <c r="A218" s="162"/>
      <c r="B218" s="132"/>
      <c r="C218" s="53"/>
      <c r="D218" s="53"/>
      <c r="E218" s="53"/>
      <c r="F218" s="53"/>
      <c r="G218" s="53"/>
      <c r="H218" s="131"/>
      <c r="I218" s="53"/>
      <c r="J218" s="188"/>
      <c r="K218" s="75"/>
      <c r="L218" s="55"/>
      <c r="M218" s="56"/>
      <c r="N218" s="57"/>
      <c r="O218" s="58"/>
      <c r="P218" s="215"/>
      <c r="Q218" s="191"/>
      <c r="R218" s="346"/>
      <c r="S218" s="347"/>
      <c r="T218" s="348"/>
      <c r="U218" s="349"/>
      <c r="V218" s="345"/>
      <c r="W218" s="54"/>
    </row>
    <row r="219" spans="1:23" ht="16">
      <c r="A219" s="162"/>
      <c r="B219" s="132"/>
      <c r="C219" s="53"/>
      <c r="D219" s="53"/>
      <c r="E219" s="53"/>
      <c r="F219" s="53"/>
      <c r="G219" s="53"/>
      <c r="H219" s="131"/>
      <c r="I219" s="53"/>
      <c r="J219" s="188"/>
      <c r="K219" s="75"/>
      <c r="L219" s="55"/>
      <c r="M219" s="56"/>
      <c r="N219" s="57"/>
      <c r="O219" s="58"/>
      <c r="P219" s="215"/>
      <c r="Q219" s="191"/>
      <c r="R219" s="346"/>
      <c r="S219" s="347"/>
      <c r="T219" s="348"/>
      <c r="U219" s="349"/>
      <c r="V219" s="345"/>
      <c r="W219" s="54"/>
    </row>
    <row r="220" spans="1:23" ht="16">
      <c r="A220" s="162"/>
      <c r="B220" s="132"/>
      <c r="C220" s="53"/>
      <c r="D220" s="53"/>
      <c r="E220" s="53"/>
      <c r="F220" s="53"/>
      <c r="G220" s="53"/>
      <c r="H220" s="131"/>
      <c r="I220" s="53"/>
      <c r="J220" s="188"/>
      <c r="K220" s="75"/>
      <c r="L220" s="55"/>
      <c r="M220" s="56"/>
      <c r="N220" s="57"/>
      <c r="O220" s="58"/>
      <c r="P220" s="215"/>
      <c r="Q220" s="191"/>
      <c r="R220" s="346"/>
      <c r="S220" s="347"/>
      <c r="T220" s="348"/>
      <c r="U220" s="349"/>
      <c r="V220" s="345"/>
      <c r="W220" s="54"/>
    </row>
    <row r="221" spans="1:23" ht="16">
      <c r="A221" s="162"/>
      <c r="B221" s="132"/>
      <c r="C221" s="53"/>
      <c r="D221" s="53"/>
      <c r="E221" s="53"/>
      <c r="F221" s="53"/>
      <c r="G221" s="53"/>
      <c r="H221" s="131"/>
      <c r="I221" s="53"/>
      <c r="J221" s="188"/>
      <c r="K221" s="75"/>
      <c r="L221" s="55"/>
      <c r="M221" s="56"/>
      <c r="N221" s="57"/>
      <c r="O221" s="58"/>
      <c r="P221" s="215"/>
      <c r="Q221" s="191"/>
      <c r="R221" s="346"/>
      <c r="S221" s="347"/>
      <c r="T221" s="348"/>
      <c r="U221" s="349"/>
      <c r="V221" s="345"/>
      <c r="W221" s="54"/>
    </row>
    <row r="222" spans="1:23" ht="16">
      <c r="A222" s="162"/>
      <c r="B222" s="132"/>
      <c r="C222" s="53"/>
      <c r="D222" s="53"/>
      <c r="E222" s="53"/>
      <c r="F222" s="53"/>
      <c r="G222" s="53"/>
      <c r="H222" s="131"/>
      <c r="I222" s="53"/>
      <c r="J222" s="188"/>
      <c r="K222" s="75"/>
      <c r="L222" s="55"/>
      <c r="M222" s="56"/>
      <c r="N222" s="57"/>
      <c r="O222" s="58"/>
      <c r="P222" s="215"/>
      <c r="Q222" s="191"/>
      <c r="R222" s="346"/>
      <c r="S222" s="347"/>
      <c r="T222" s="348"/>
      <c r="U222" s="349"/>
      <c r="V222" s="345"/>
      <c r="W222" s="54"/>
    </row>
    <row r="223" spans="1:23" ht="16">
      <c r="A223" s="162"/>
      <c r="B223" s="132"/>
      <c r="C223" s="53"/>
      <c r="D223" s="53"/>
      <c r="E223" s="53"/>
      <c r="F223" s="53"/>
      <c r="G223" s="53"/>
      <c r="H223" s="131"/>
      <c r="I223" s="53"/>
      <c r="J223" s="188"/>
      <c r="K223" s="75"/>
      <c r="L223" s="55"/>
      <c r="M223" s="56"/>
      <c r="N223" s="57"/>
      <c r="O223" s="58"/>
      <c r="P223" s="215"/>
      <c r="Q223" s="191"/>
      <c r="R223" s="346"/>
      <c r="S223" s="347"/>
      <c r="T223" s="348"/>
      <c r="U223" s="349"/>
      <c r="V223" s="345"/>
      <c r="W223" s="54"/>
    </row>
    <row r="224" spans="1:23" ht="16">
      <c r="A224" s="162"/>
      <c r="B224" s="132"/>
      <c r="C224" s="53"/>
      <c r="D224" s="53"/>
      <c r="E224" s="53"/>
      <c r="F224" s="53"/>
      <c r="G224" s="53"/>
      <c r="H224" s="131"/>
      <c r="I224" s="53"/>
      <c r="J224" s="188"/>
      <c r="K224" s="75"/>
      <c r="L224" s="55"/>
      <c r="M224" s="56"/>
      <c r="N224" s="57"/>
      <c r="O224" s="58"/>
      <c r="P224" s="215"/>
      <c r="Q224" s="191"/>
      <c r="R224" s="346"/>
      <c r="S224" s="347"/>
      <c r="T224" s="348"/>
      <c r="U224" s="349"/>
      <c r="V224" s="345"/>
      <c r="W224" s="54"/>
    </row>
    <row r="225" spans="1:23" ht="16">
      <c r="A225" s="162"/>
      <c r="B225" s="132"/>
      <c r="C225" s="53"/>
      <c r="D225" s="53"/>
      <c r="E225" s="53"/>
      <c r="F225" s="53"/>
      <c r="G225" s="53"/>
      <c r="H225" s="131"/>
      <c r="I225" s="53"/>
      <c r="J225" s="188"/>
      <c r="K225" s="75"/>
      <c r="L225" s="55"/>
      <c r="M225" s="56"/>
      <c r="N225" s="57"/>
      <c r="O225" s="58"/>
      <c r="P225" s="215"/>
      <c r="Q225" s="191"/>
      <c r="R225" s="346"/>
      <c r="S225" s="347"/>
      <c r="T225" s="348"/>
      <c r="U225" s="349"/>
      <c r="V225" s="345"/>
      <c r="W225" s="54"/>
    </row>
    <row r="226" spans="1:23" ht="16">
      <c r="A226" s="162"/>
      <c r="B226" s="132"/>
      <c r="C226" s="53"/>
      <c r="D226" s="53"/>
      <c r="E226" s="53"/>
      <c r="F226" s="53"/>
      <c r="G226" s="53"/>
      <c r="H226" s="131"/>
      <c r="I226" s="53"/>
      <c r="J226" s="188"/>
      <c r="K226" s="75"/>
      <c r="L226" s="55"/>
      <c r="M226" s="56"/>
      <c r="N226" s="57"/>
      <c r="O226" s="58"/>
      <c r="P226" s="215"/>
      <c r="Q226" s="191"/>
      <c r="R226" s="346"/>
      <c r="S226" s="347"/>
      <c r="T226" s="348"/>
      <c r="U226" s="349"/>
      <c r="V226" s="345"/>
      <c r="W226" s="54"/>
    </row>
    <row r="227" spans="1:23" ht="16">
      <c r="A227" s="162"/>
      <c r="B227" s="132"/>
      <c r="C227" s="53"/>
      <c r="D227" s="53"/>
      <c r="E227" s="53"/>
      <c r="F227" s="53"/>
      <c r="G227" s="53"/>
      <c r="H227" s="131"/>
      <c r="I227" s="53"/>
      <c r="J227" s="188"/>
      <c r="K227" s="75"/>
      <c r="L227" s="55"/>
      <c r="M227" s="56"/>
      <c r="N227" s="57"/>
      <c r="O227" s="58"/>
      <c r="P227" s="215"/>
      <c r="Q227" s="191"/>
      <c r="R227" s="346"/>
      <c r="S227" s="347"/>
      <c r="T227" s="348"/>
      <c r="U227" s="349"/>
      <c r="V227" s="345"/>
      <c r="W227" s="54"/>
    </row>
    <row r="228" spans="1:23" ht="16">
      <c r="A228" s="162"/>
      <c r="B228" s="132"/>
      <c r="C228" s="53"/>
      <c r="D228" s="53"/>
      <c r="E228" s="53"/>
      <c r="F228" s="53"/>
      <c r="G228" s="53"/>
      <c r="H228" s="131"/>
      <c r="I228" s="53"/>
      <c r="J228" s="188"/>
      <c r="K228" s="75"/>
      <c r="L228" s="55"/>
      <c r="M228" s="56"/>
      <c r="N228" s="57"/>
      <c r="O228" s="58"/>
      <c r="P228" s="215"/>
      <c r="Q228" s="191"/>
      <c r="R228" s="346"/>
      <c r="S228" s="347"/>
      <c r="T228" s="348"/>
      <c r="U228" s="349"/>
      <c r="V228" s="345"/>
      <c r="W228" s="54"/>
    </row>
    <row r="229" spans="1:23" ht="16">
      <c r="A229" s="162"/>
      <c r="B229" s="132"/>
      <c r="C229" s="53"/>
      <c r="D229" s="53"/>
      <c r="E229" s="53"/>
      <c r="F229" s="53"/>
      <c r="G229" s="53"/>
      <c r="H229" s="131"/>
      <c r="I229" s="53"/>
      <c r="J229" s="188"/>
      <c r="K229" s="75"/>
      <c r="L229" s="55"/>
      <c r="M229" s="56"/>
      <c r="N229" s="57"/>
      <c r="O229" s="58"/>
      <c r="P229" s="215"/>
      <c r="Q229" s="191"/>
      <c r="R229" s="346"/>
      <c r="S229" s="347"/>
      <c r="T229" s="348"/>
      <c r="U229" s="349"/>
      <c r="V229" s="345"/>
      <c r="W229" s="54"/>
    </row>
    <row r="230" spans="1:23" ht="16">
      <c r="A230" s="162"/>
      <c r="B230" s="132"/>
      <c r="C230" s="53"/>
      <c r="D230" s="53"/>
      <c r="E230" s="53"/>
      <c r="F230" s="53"/>
      <c r="G230" s="53"/>
      <c r="H230" s="131"/>
      <c r="I230" s="53"/>
      <c r="J230" s="188"/>
      <c r="K230" s="75"/>
      <c r="L230" s="55"/>
      <c r="M230" s="56"/>
      <c r="N230" s="57"/>
      <c r="O230" s="58"/>
      <c r="P230" s="215"/>
      <c r="Q230" s="191"/>
      <c r="R230" s="346"/>
      <c r="S230" s="347"/>
      <c r="T230" s="348"/>
      <c r="U230" s="349"/>
      <c r="V230" s="345"/>
      <c r="W230" s="54"/>
    </row>
    <row r="231" spans="1:23" ht="16">
      <c r="A231" s="162"/>
      <c r="B231" s="132"/>
      <c r="C231" s="53"/>
      <c r="D231" s="53"/>
      <c r="E231" s="53"/>
      <c r="F231" s="53"/>
      <c r="G231" s="53"/>
      <c r="H231" s="131"/>
      <c r="I231" s="53"/>
      <c r="J231" s="188"/>
      <c r="K231" s="75"/>
      <c r="L231" s="55"/>
      <c r="M231" s="56"/>
      <c r="N231" s="57"/>
      <c r="O231" s="58"/>
      <c r="P231" s="215"/>
      <c r="Q231" s="191"/>
      <c r="R231" s="346"/>
      <c r="S231" s="347"/>
      <c r="T231" s="348"/>
      <c r="U231" s="349"/>
      <c r="V231" s="345"/>
      <c r="W231" s="54"/>
    </row>
    <row r="232" spans="1:23" ht="16">
      <c r="A232" s="162"/>
      <c r="B232" s="132"/>
      <c r="C232" s="53"/>
      <c r="D232" s="53"/>
      <c r="E232" s="53"/>
      <c r="F232" s="53"/>
      <c r="G232" s="53"/>
      <c r="H232" s="131"/>
      <c r="I232" s="53"/>
      <c r="J232" s="188"/>
      <c r="K232" s="75"/>
      <c r="L232" s="55"/>
      <c r="M232" s="56"/>
      <c r="N232" s="57"/>
      <c r="O232" s="58"/>
      <c r="P232" s="215"/>
      <c r="Q232" s="191"/>
      <c r="R232" s="346"/>
      <c r="S232" s="347"/>
      <c r="T232" s="348"/>
      <c r="U232" s="349"/>
      <c r="V232" s="345"/>
      <c r="W232" s="54"/>
    </row>
    <row r="233" spans="1:23" ht="16">
      <c r="J233" s="314"/>
      <c r="M233" s="350"/>
      <c r="P233" s="225"/>
      <c r="U233" s="315"/>
      <c r="V233" s="315"/>
    </row>
    <row r="234" spans="1:23" ht="16">
      <c r="J234" s="314"/>
      <c r="M234" s="350"/>
      <c r="P234" s="225"/>
      <c r="U234" s="315"/>
      <c r="V234" s="315"/>
    </row>
    <row r="235" spans="1:23" ht="16">
      <c r="J235" s="314"/>
      <c r="M235" s="350"/>
      <c r="P235" s="225"/>
      <c r="U235" s="315"/>
      <c r="V235" s="315"/>
    </row>
    <row r="236" spans="1:23" ht="16">
      <c r="J236" s="314"/>
      <c r="M236" s="350"/>
      <c r="P236" s="225"/>
      <c r="U236" s="315"/>
      <c r="V236" s="315"/>
    </row>
    <row r="237" spans="1:23" ht="16">
      <c r="J237" s="314"/>
      <c r="M237" s="350"/>
      <c r="P237" s="225"/>
      <c r="U237" s="315"/>
      <c r="V237" s="315"/>
    </row>
    <row r="238" spans="1:23" ht="16">
      <c r="J238" s="314"/>
      <c r="M238" s="350"/>
      <c r="P238" s="225"/>
      <c r="U238" s="315"/>
      <c r="V238" s="315"/>
    </row>
    <row r="239" spans="1:23" ht="16">
      <c r="J239" s="314"/>
      <c r="M239" s="350"/>
      <c r="P239" s="225"/>
      <c r="U239" s="315"/>
      <c r="V239" s="315"/>
    </row>
    <row r="240" spans="1:23" ht="16">
      <c r="J240" s="314"/>
      <c r="M240" s="350"/>
      <c r="P240" s="225"/>
      <c r="U240" s="315"/>
      <c r="V240" s="315"/>
    </row>
    <row r="241" spans="10:22" ht="16">
      <c r="J241" s="314"/>
      <c r="M241" s="350"/>
      <c r="P241" s="225"/>
      <c r="U241" s="315"/>
      <c r="V241" s="315"/>
    </row>
    <row r="242" spans="10:22" ht="16">
      <c r="J242" s="314"/>
      <c r="M242" s="350"/>
      <c r="P242" s="225"/>
      <c r="U242" s="315"/>
      <c r="V242" s="315"/>
    </row>
    <row r="243" spans="10:22" ht="16">
      <c r="J243" s="314"/>
      <c r="M243" s="350"/>
      <c r="P243" s="225"/>
      <c r="U243" s="315"/>
      <c r="V243" s="315"/>
    </row>
    <row r="244" spans="10:22" ht="16">
      <c r="J244" s="314"/>
      <c r="M244" s="350"/>
      <c r="P244" s="225"/>
      <c r="U244" s="315"/>
      <c r="V244" s="315"/>
    </row>
    <row r="245" spans="10:22" ht="16">
      <c r="J245" s="314"/>
      <c r="M245" s="350"/>
      <c r="P245" s="225"/>
      <c r="U245" s="315"/>
      <c r="V245" s="315"/>
    </row>
    <row r="246" spans="10:22" ht="16">
      <c r="J246" s="314"/>
      <c r="M246" s="350"/>
      <c r="P246" s="225"/>
      <c r="U246" s="315"/>
      <c r="V246" s="315"/>
    </row>
    <row r="247" spans="10:22" ht="16">
      <c r="J247" s="314"/>
      <c r="M247" s="350"/>
      <c r="P247" s="225"/>
      <c r="U247" s="315"/>
      <c r="V247" s="315"/>
    </row>
    <row r="248" spans="10:22" ht="16">
      <c r="J248" s="314"/>
      <c r="M248" s="350"/>
      <c r="P248" s="225"/>
      <c r="U248" s="315"/>
      <c r="V248" s="315"/>
    </row>
    <row r="249" spans="10:22" ht="16">
      <c r="J249" s="314"/>
      <c r="M249" s="350"/>
      <c r="P249" s="225"/>
      <c r="U249" s="315"/>
      <c r="V249" s="315"/>
    </row>
    <row r="250" spans="10:22" ht="16">
      <c r="J250" s="314"/>
      <c r="M250" s="350"/>
      <c r="P250" s="225"/>
      <c r="U250" s="315"/>
      <c r="V250" s="315"/>
    </row>
    <row r="251" spans="10:22" ht="16">
      <c r="J251" s="314"/>
      <c r="M251" s="350"/>
      <c r="P251" s="225"/>
      <c r="U251" s="315"/>
      <c r="V251" s="315"/>
    </row>
    <row r="252" spans="10:22" ht="16">
      <c r="J252" s="314"/>
      <c r="M252" s="350"/>
      <c r="P252" s="225"/>
      <c r="U252" s="315"/>
      <c r="V252" s="315"/>
    </row>
    <row r="253" spans="10:22" ht="16">
      <c r="J253" s="314"/>
      <c r="M253" s="350"/>
      <c r="P253" s="225"/>
      <c r="U253" s="315"/>
      <c r="V253" s="315"/>
    </row>
    <row r="254" spans="10:22" ht="16">
      <c r="J254" s="314"/>
      <c r="M254" s="350"/>
      <c r="P254" s="225"/>
      <c r="U254" s="315"/>
      <c r="V254" s="315"/>
    </row>
    <row r="255" spans="10:22" ht="16">
      <c r="J255" s="314"/>
      <c r="M255" s="350"/>
      <c r="P255" s="225"/>
      <c r="U255" s="315"/>
      <c r="V255" s="315"/>
    </row>
    <row r="256" spans="10:22" ht="16">
      <c r="J256" s="314"/>
      <c r="M256" s="350"/>
      <c r="P256" s="225"/>
      <c r="U256" s="315"/>
      <c r="V256" s="315"/>
    </row>
    <row r="257" spans="10:22" ht="16">
      <c r="J257" s="314"/>
      <c r="M257" s="350"/>
      <c r="P257" s="225"/>
      <c r="U257" s="315"/>
      <c r="V257" s="315"/>
    </row>
    <row r="258" spans="10:22" ht="16">
      <c r="J258" s="314"/>
      <c r="M258" s="350"/>
      <c r="P258" s="225"/>
      <c r="U258" s="315"/>
      <c r="V258" s="315"/>
    </row>
    <row r="259" spans="10:22" ht="16">
      <c r="J259" s="314"/>
      <c r="M259" s="350"/>
      <c r="P259" s="225"/>
      <c r="U259" s="315"/>
      <c r="V259" s="315"/>
    </row>
    <row r="260" spans="10:22" ht="16">
      <c r="J260" s="314"/>
      <c r="M260" s="350"/>
      <c r="P260" s="225"/>
      <c r="U260" s="315"/>
      <c r="V260" s="315"/>
    </row>
    <row r="261" spans="10:22" ht="16">
      <c r="J261" s="314"/>
      <c r="M261" s="350"/>
      <c r="P261" s="225"/>
      <c r="U261" s="315"/>
      <c r="V261" s="315"/>
    </row>
    <row r="262" spans="10:22" ht="16">
      <c r="J262" s="314"/>
      <c r="M262" s="350"/>
      <c r="P262" s="225"/>
      <c r="U262" s="315"/>
      <c r="V262" s="315"/>
    </row>
    <row r="263" spans="10:22" ht="16">
      <c r="J263" s="314"/>
      <c r="M263" s="350"/>
      <c r="P263" s="225"/>
      <c r="U263" s="315"/>
      <c r="V263" s="315"/>
    </row>
    <row r="264" spans="10:22" ht="16">
      <c r="J264" s="314"/>
      <c r="M264" s="350"/>
      <c r="P264" s="225"/>
      <c r="U264" s="315"/>
      <c r="V264" s="315"/>
    </row>
    <row r="265" spans="10:22" ht="16">
      <c r="J265" s="314"/>
      <c r="M265" s="350"/>
      <c r="P265" s="225"/>
      <c r="U265" s="315"/>
      <c r="V265" s="315"/>
    </row>
    <row r="266" spans="10:22" ht="16">
      <c r="J266" s="314"/>
      <c r="M266" s="350"/>
      <c r="P266" s="225"/>
      <c r="U266" s="315"/>
      <c r="V266" s="315"/>
    </row>
    <row r="267" spans="10:22" ht="16">
      <c r="J267" s="314"/>
      <c r="M267" s="350"/>
      <c r="P267" s="225"/>
      <c r="U267" s="315"/>
      <c r="V267" s="315"/>
    </row>
    <row r="268" spans="10:22" ht="16">
      <c r="J268" s="314"/>
      <c r="M268" s="350"/>
      <c r="P268" s="225"/>
      <c r="U268" s="315"/>
      <c r="V268" s="315"/>
    </row>
    <row r="269" spans="10:22" ht="16">
      <c r="J269" s="314"/>
      <c r="M269" s="350"/>
      <c r="P269" s="225"/>
      <c r="U269" s="315"/>
      <c r="V269" s="315"/>
    </row>
    <row r="270" spans="10:22" ht="16">
      <c r="J270" s="314"/>
      <c r="M270" s="350"/>
      <c r="P270" s="225"/>
      <c r="U270" s="315"/>
      <c r="V270" s="315"/>
    </row>
    <row r="271" spans="10:22" ht="16">
      <c r="J271" s="314"/>
      <c r="M271" s="350"/>
      <c r="P271" s="225"/>
      <c r="U271" s="315"/>
      <c r="V271" s="315"/>
    </row>
    <row r="272" spans="10:22" ht="16">
      <c r="J272" s="314"/>
      <c r="M272" s="350"/>
      <c r="P272" s="225"/>
      <c r="U272" s="315"/>
      <c r="V272" s="315"/>
    </row>
    <row r="273" spans="10:22" ht="16">
      <c r="J273" s="314"/>
      <c r="M273" s="350"/>
      <c r="P273" s="225"/>
      <c r="U273" s="315"/>
      <c r="V273" s="315"/>
    </row>
    <row r="274" spans="10:22" ht="16">
      <c r="J274" s="314"/>
      <c r="M274" s="350"/>
      <c r="P274" s="225"/>
      <c r="U274" s="315"/>
      <c r="V274" s="315"/>
    </row>
    <row r="275" spans="10:22" ht="16">
      <c r="J275" s="314"/>
      <c r="M275" s="350"/>
      <c r="P275" s="225"/>
      <c r="U275" s="315"/>
      <c r="V275" s="315"/>
    </row>
    <row r="276" spans="10:22" ht="16">
      <c r="J276" s="314"/>
      <c r="M276" s="350"/>
      <c r="P276" s="225"/>
      <c r="U276" s="315"/>
      <c r="V276" s="315"/>
    </row>
    <row r="277" spans="10:22" ht="16">
      <c r="J277" s="314"/>
      <c r="M277" s="350"/>
      <c r="P277" s="225"/>
      <c r="U277" s="315"/>
      <c r="V277" s="315"/>
    </row>
    <row r="278" spans="10:22" ht="16">
      <c r="J278" s="314"/>
      <c r="M278" s="350"/>
      <c r="P278" s="225"/>
      <c r="U278" s="315"/>
      <c r="V278" s="315"/>
    </row>
    <row r="279" spans="10:22" ht="16">
      <c r="J279" s="314"/>
      <c r="M279" s="350"/>
      <c r="P279" s="225"/>
      <c r="U279" s="315"/>
      <c r="V279" s="315"/>
    </row>
    <row r="280" spans="10:22" ht="16">
      <c r="J280" s="314"/>
      <c r="M280" s="350"/>
      <c r="P280" s="225"/>
      <c r="U280" s="315"/>
      <c r="V280" s="315"/>
    </row>
    <row r="281" spans="10:22" ht="16">
      <c r="J281" s="314"/>
      <c r="M281" s="350"/>
      <c r="P281" s="225"/>
      <c r="U281" s="315"/>
      <c r="V281" s="315"/>
    </row>
    <row r="282" spans="10:22" ht="16">
      <c r="J282" s="314"/>
      <c r="M282" s="350"/>
      <c r="P282" s="225"/>
      <c r="U282" s="315"/>
      <c r="V282" s="315"/>
    </row>
    <row r="283" spans="10:22" ht="16">
      <c r="J283" s="314"/>
      <c r="M283" s="350"/>
      <c r="P283" s="225"/>
      <c r="U283" s="315"/>
      <c r="V283" s="315"/>
    </row>
    <row r="284" spans="10:22" ht="16">
      <c r="J284" s="314"/>
      <c r="M284" s="350"/>
      <c r="P284" s="225"/>
      <c r="U284" s="315"/>
      <c r="V284" s="315"/>
    </row>
    <row r="285" spans="10:22" ht="16">
      <c r="J285" s="314"/>
      <c r="M285" s="350"/>
      <c r="P285" s="225"/>
      <c r="U285" s="315"/>
      <c r="V285" s="315"/>
    </row>
    <row r="286" spans="10:22" ht="16">
      <c r="J286" s="314"/>
      <c r="M286" s="350"/>
      <c r="P286" s="225"/>
      <c r="U286" s="315"/>
      <c r="V286" s="315"/>
    </row>
    <row r="287" spans="10:22" ht="16">
      <c r="J287" s="314"/>
      <c r="M287" s="350"/>
      <c r="P287" s="225"/>
      <c r="U287" s="315"/>
      <c r="V287" s="315"/>
    </row>
    <row r="288" spans="10:22" ht="16">
      <c r="J288" s="314"/>
      <c r="M288" s="350"/>
      <c r="P288" s="225"/>
      <c r="U288" s="315"/>
      <c r="V288" s="315"/>
    </row>
    <row r="289" spans="10:22" ht="16">
      <c r="J289" s="314"/>
      <c r="M289" s="350"/>
      <c r="P289" s="225"/>
      <c r="U289" s="315"/>
      <c r="V289" s="315"/>
    </row>
    <row r="290" spans="10:22" ht="16">
      <c r="J290" s="314"/>
      <c r="M290" s="350"/>
      <c r="P290" s="225"/>
      <c r="U290" s="315"/>
      <c r="V290" s="315"/>
    </row>
    <row r="291" spans="10:22" ht="16">
      <c r="J291" s="314"/>
      <c r="M291" s="350"/>
      <c r="P291" s="225"/>
      <c r="U291" s="315"/>
      <c r="V291" s="315"/>
    </row>
    <row r="292" spans="10:22" ht="16">
      <c r="J292" s="314"/>
      <c r="M292" s="350"/>
      <c r="P292" s="225"/>
      <c r="U292" s="315"/>
      <c r="V292" s="315"/>
    </row>
    <row r="293" spans="10:22" ht="16">
      <c r="J293" s="314"/>
      <c r="M293" s="350"/>
      <c r="P293" s="225"/>
      <c r="U293" s="315"/>
      <c r="V293" s="315"/>
    </row>
    <row r="294" spans="10:22" ht="16">
      <c r="J294" s="314"/>
      <c r="M294" s="350"/>
      <c r="P294" s="225"/>
      <c r="U294" s="315"/>
      <c r="V294" s="315"/>
    </row>
    <row r="295" spans="10:22" ht="16">
      <c r="J295" s="314"/>
      <c r="M295" s="350"/>
      <c r="P295" s="225"/>
      <c r="U295" s="315"/>
      <c r="V295" s="315"/>
    </row>
    <row r="296" spans="10:22" ht="16">
      <c r="J296" s="314"/>
      <c r="M296" s="350"/>
      <c r="P296" s="225"/>
      <c r="U296" s="315"/>
      <c r="V296" s="315"/>
    </row>
    <row r="297" spans="10:22" ht="16">
      <c r="J297" s="314"/>
      <c r="M297" s="350"/>
      <c r="P297" s="225"/>
      <c r="U297" s="315"/>
      <c r="V297" s="315"/>
    </row>
    <row r="298" spans="10:22" ht="16">
      <c r="J298" s="314"/>
      <c r="M298" s="350"/>
      <c r="P298" s="225"/>
      <c r="U298" s="315"/>
      <c r="V298" s="315"/>
    </row>
    <row r="299" spans="10:22" ht="16">
      <c r="J299" s="314"/>
      <c r="M299" s="350"/>
      <c r="P299" s="225"/>
      <c r="U299" s="315"/>
      <c r="V299" s="315"/>
    </row>
    <row r="300" spans="10:22" ht="16">
      <c r="J300" s="314"/>
      <c r="M300" s="350"/>
      <c r="P300" s="225"/>
      <c r="U300" s="315"/>
      <c r="V300" s="315"/>
    </row>
    <row r="301" spans="10:22" ht="16">
      <c r="J301" s="314"/>
      <c r="M301" s="350"/>
      <c r="P301" s="225"/>
      <c r="U301" s="315"/>
      <c r="V301" s="315"/>
    </row>
    <row r="302" spans="10:22" ht="16">
      <c r="J302" s="314"/>
      <c r="M302" s="350"/>
      <c r="P302" s="225"/>
      <c r="U302" s="315"/>
      <c r="V302" s="315"/>
    </row>
    <row r="303" spans="10:22" ht="16">
      <c r="J303" s="314"/>
      <c r="M303" s="350"/>
      <c r="P303" s="225"/>
      <c r="U303" s="315"/>
      <c r="V303" s="315"/>
    </row>
    <row r="304" spans="10:22" ht="16">
      <c r="J304" s="314"/>
      <c r="M304" s="350"/>
      <c r="P304" s="225"/>
      <c r="U304" s="315"/>
      <c r="V304" s="315"/>
    </row>
    <row r="305" spans="10:22" ht="16">
      <c r="J305" s="314"/>
      <c r="M305" s="350"/>
      <c r="P305" s="225"/>
      <c r="U305" s="315"/>
      <c r="V305" s="315"/>
    </row>
    <row r="306" spans="10:22" ht="16">
      <c r="J306" s="314"/>
      <c r="M306" s="350"/>
      <c r="P306" s="225"/>
      <c r="U306" s="315"/>
      <c r="V306" s="315"/>
    </row>
    <row r="307" spans="10:22" ht="16">
      <c r="J307" s="314"/>
      <c r="M307" s="350"/>
      <c r="P307" s="225"/>
      <c r="U307" s="315"/>
      <c r="V307" s="315"/>
    </row>
    <row r="308" spans="10:22" ht="16">
      <c r="J308" s="314"/>
      <c r="M308" s="350"/>
      <c r="P308" s="225"/>
      <c r="U308" s="315"/>
      <c r="V308" s="315"/>
    </row>
    <row r="309" spans="10:22" ht="16">
      <c r="J309" s="314"/>
      <c r="M309" s="350"/>
      <c r="P309" s="225"/>
      <c r="U309" s="315"/>
      <c r="V309" s="315"/>
    </row>
    <row r="310" spans="10:22" ht="16">
      <c r="J310" s="314"/>
      <c r="M310" s="350"/>
      <c r="P310" s="225"/>
      <c r="U310" s="315"/>
      <c r="V310" s="315"/>
    </row>
    <row r="311" spans="10:22" ht="16">
      <c r="J311" s="314"/>
      <c r="M311" s="350"/>
      <c r="P311" s="225"/>
      <c r="U311" s="315"/>
      <c r="V311" s="315"/>
    </row>
    <row r="312" spans="10:22" ht="16">
      <c r="J312" s="314"/>
      <c r="M312" s="350"/>
      <c r="P312" s="225"/>
      <c r="U312" s="315"/>
      <c r="V312" s="315"/>
    </row>
    <row r="313" spans="10:22" ht="16">
      <c r="J313" s="314"/>
      <c r="M313" s="350"/>
      <c r="P313" s="225"/>
      <c r="U313" s="315"/>
      <c r="V313" s="315"/>
    </row>
    <row r="314" spans="10:22" ht="16">
      <c r="J314" s="314"/>
      <c r="M314" s="350"/>
      <c r="P314" s="225"/>
      <c r="U314" s="315"/>
      <c r="V314" s="315"/>
    </row>
    <row r="315" spans="10:22" ht="16">
      <c r="J315" s="314"/>
      <c r="M315" s="350"/>
      <c r="P315" s="225"/>
      <c r="U315" s="315"/>
      <c r="V315" s="315"/>
    </row>
    <row r="316" spans="10:22" ht="16">
      <c r="J316" s="314"/>
      <c r="M316" s="350"/>
      <c r="P316" s="225"/>
      <c r="U316" s="315"/>
      <c r="V316" s="315"/>
    </row>
    <row r="317" spans="10:22" ht="16">
      <c r="J317" s="314"/>
      <c r="M317" s="350"/>
      <c r="P317" s="225"/>
      <c r="U317" s="315"/>
      <c r="V317" s="315"/>
    </row>
    <row r="318" spans="10:22" ht="16">
      <c r="J318" s="314"/>
      <c r="M318" s="350"/>
      <c r="P318" s="225"/>
      <c r="U318" s="315"/>
      <c r="V318" s="315"/>
    </row>
    <row r="319" spans="10:22" ht="16">
      <c r="J319" s="314"/>
      <c r="M319" s="350"/>
      <c r="P319" s="225"/>
      <c r="U319" s="315"/>
      <c r="V319" s="315"/>
    </row>
    <row r="320" spans="10:22" ht="16">
      <c r="J320" s="314"/>
      <c r="M320" s="350"/>
      <c r="P320" s="225"/>
      <c r="U320" s="315"/>
      <c r="V320" s="315"/>
    </row>
    <row r="321" spans="10:22" ht="16">
      <c r="J321" s="314"/>
      <c r="M321" s="350"/>
      <c r="P321" s="225"/>
      <c r="U321" s="315"/>
      <c r="V321" s="315"/>
    </row>
    <row r="322" spans="10:22" ht="16">
      <c r="J322" s="314"/>
      <c r="M322" s="350"/>
      <c r="P322" s="225"/>
      <c r="U322" s="315"/>
      <c r="V322" s="315"/>
    </row>
    <row r="323" spans="10:22" ht="16">
      <c r="J323" s="314"/>
      <c r="M323" s="350"/>
      <c r="P323" s="225"/>
      <c r="U323" s="315"/>
      <c r="V323" s="315"/>
    </row>
    <row r="324" spans="10:22" ht="16">
      <c r="J324" s="314"/>
      <c r="M324" s="350"/>
      <c r="P324" s="225"/>
      <c r="U324" s="315"/>
      <c r="V324" s="315"/>
    </row>
    <row r="325" spans="10:22" ht="16">
      <c r="J325" s="314"/>
      <c r="M325" s="350"/>
      <c r="P325" s="225"/>
      <c r="U325" s="315"/>
      <c r="V325" s="315"/>
    </row>
    <row r="326" spans="10:22" ht="16">
      <c r="J326" s="314"/>
      <c r="M326" s="350"/>
      <c r="P326" s="225"/>
      <c r="U326" s="315"/>
      <c r="V326" s="315"/>
    </row>
    <row r="327" spans="10:22" ht="16">
      <c r="J327" s="314"/>
      <c r="M327" s="350"/>
      <c r="P327" s="225"/>
      <c r="U327" s="315"/>
      <c r="V327" s="315"/>
    </row>
    <row r="328" spans="10:22" ht="16">
      <c r="J328" s="314"/>
      <c r="M328" s="350"/>
      <c r="P328" s="225"/>
      <c r="U328" s="315"/>
      <c r="V328" s="315"/>
    </row>
    <row r="329" spans="10:22" ht="16">
      <c r="J329" s="314"/>
      <c r="M329" s="350"/>
      <c r="P329" s="225"/>
      <c r="U329" s="315"/>
      <c r="V329" s="315"/>
    </row>
    <row r="330" spans="10:22" ht="16">
      <c r="J330" s="314"/>
      <c r="M330" s="350"/>
      <c r="P330" s="225"/>
      <c r="U330" s="315"/>
      <c r="V330" s="315"/>
    </row>
    <row r="331" spans="10:22" ht="16">
      <c r="J331" s="314"/>
      <c r="M331" s="350"/>
      <c r="P331" s="225"/>
      <c r="U331" s="315"/>
      <c r="V331" s="315"/>
    </row>
    <row r="332" spans="10:22" ht="16">
      <c r="J332" s="314"/>
      <c r="M332" s="350"/>
      <c r="P332" s="225"/>
      <c r="U332" s="315"/>
      <c r="V332" s="315"/>
    </row>
    <row r="333" spans="10:22" ht="16">
      <c r="J333" s="314"/>
      <c r="M333" s="350"/>
      <c r="P333" s="225"/>
      <c r="U333" s="315"/>
      <c r="V333" s="315"/>
    </row>
    <row r="334" spans="10:22" ht="16">
      <c r="J334" s="314"/>
      <c r="M334" s="350"/>
      <c r="P334" s="225"/>
      <c r="U334" s="315"/>
      <c r="V334" s="315"/>
    </row>
    <row r="335" spans="10:22" ht="16">
      <c r="J335" s="314"/>
      <c r="M335" s="350"/>
      <c r="P335" s="225"/>
      <c r="U335" s="315"/>
      <c r="V335" s="315"/>
    </row>
    <row r="336" spans="10:22" ht="16">
      <c r="J336" s="314"/>
      <c r="M336" s="350"/>
      <c r="P336" s="225"/>
      <c r="U336" s="315"/>
      <c r="V336" s="315"/>
    </row>
    <row r="337" spans="10:22" ht="16">
      <c r="J337" s="314"/>
      <c r="M337" s="350"/>
      <c r="P337" s="225"/>
      <c r="U337" s="315"/>
      <c r="V337" s="315"/>
    </row>
    <row r="338" spans="10:22" ht="16">
      <c r="J338" s="314"/>
      <c r="M338" s="350"/>
      <c r="P338" s="225"/>
      <c r="U338" s="315"/>
      <c r="V338" s="315"/>
    </row>
    <row r="339" spans="10:22" ht="16">
      <c r="J339" s="314"/>
      <c r="M339" s="350"/>
      <c r="P339" s="225"/>
      <c r="U339" s="315"/>
      <c r="V339" s="315"/>
    </row>
    <row r="340" spans="10:22" ht="16">
      <c r="J340" s="314"/>
      <c r="M340" s="350"/>
      <c r="P340" s="225"/>
      <c r="U340" s="315"/>
      <c r="V340" s="315"/>
    </row>
    <row r="341" spans="10:22" ht="16">
      <c r="J341" s="314"/>
      <c r="M341" s="350"/>
      <c r="P341" s="225"/>
      <c r="U341" s="315"/>
      <c r="V341" s="315"/>
    </row>
    <row r="342" spans="10:22" ht="16">
      <c r="J342" s="314"/>
      <c r="M342" s="350"/>
      <c r="P342" s="225"/>
      <c r="U342" s="315"/>
      <c r="V342" s="315"/>
    </row>
    <row r="343" spans="10:22" ht="16">
      <c r="J343" s="314"/>
      <c r="M343" s="350"/>
      <c r="P343" s="225"/>
      <c r="U343" s="315"/>
      <c r="V343" s="315"/>
    </row>
    <row r="344" spans="10:22" ht="16">
      <c r="J344" s="314"/>
      <c r="M344" s="350"/>
      <c r="P344" s="225"/>
      <c r="U344" s="315"/>
      <c r="V344" s="315"/>
    </row>
    <row r="345" spans="10:22" ht="16">
      <c r="J345" s="314"/>
      <c r="M345" s="350"/>
      <c r="P345" s="225"/>
      <c r="U345" s="315"/>
      <c r="V345" s="315"/>
    </row>
    <row r="346" spans="10:22" ht="16">
      <c r="J346" s="314"/>
      <c r="M346" s="350"/>
      <c r="P346" s="225"/>
      <c r="U346" s="315"/>
      <c r="V346" s="315"/>
    </row>
    <row r="347" spans="10:22" ht="16">
      <c r="J347" s="314"/>
      <c r="M347" s="350"/>
      <c r="P347" s="225"/>
      <c r="U347" s="315"/>
      <c r="V347" s="315"/>
    </row>
    <row r="348" spans="10:22" ht="16">
      <c r="J348" s="314"/>
      <c r="M348" s="350"/>
      <c r="P348" s="225"/>
      <c r="U348" s="315"/>
      <c r="V348" s="315"/>
    </row>
    <row r="349" spans="10:22" ht="16">
      <c r="J349" s="314"/>
      <c r="M349" s="350"/>
      <c r="P349" s="225"/>
      <c r="U349" s="315"/>
      <c r="V349" s="315"/>
    </row>
    <row r="350" spans="10:22" ht="16">
      <c r="J350" s="314"/>
      <c r="M350" s="350"/>
      <c r="P350" s="225"/>
      <c r="U350" s="315"/>
      <c r="V350" s="315"/>
    </row>
    <row r="351" spans="10:22" ht="16">
      <c r="J351" s="314"/>
      <c r="M351" s="350"/>
      <c r="P351" s="225"/>
      <c r="U351" s="315"/>
      <c r="V351" s="315"/>
    </row>
    <row r="352" spans="10:22" ht="16">
      <c r="J352" s="314"/>
      <c r="M352" s="350"/>
      <c r="P352" s="225"/>
      <c r="U352" s="315"/>
      <c r="V352" s="315"/>
    </row>
    <row r="353" spans="10:22" ht="16">
      <c r="J353" s="314"/>
      <c r="M353" s="350"/>
      <c r="P353" s="225"/>
      <c r="U353" s="315"/>
      <c r="V353" s="315"/>
    </row>
    <row r="354" spans="10:22" ht="16">
      <c r="J354" s="314"/>
      <c r="M354" s="350"/>
      <c r="P354" s="225"/>
      <c r="U354" s="315"/>
      <c r="V354" s="315"/>
    </row>
    <row r="355" spans="10:22" ht="16">
      <c r="J355" s="314"/>
      <c r="M355" s="350"/>
      <c r="P355" s="225"/>
      <c r="U355" s="315"/>
      <c r="V355" s="315"/>
    </row>
    <row r="356" spans="10:22" ht="16">
      <c r="J356" s="314"/>
      <c r="M356" s="350"/>
      <c r="P356" s="225"/>
      <c r="U356" s="315"/>
      <c r="V356" s="315"/>
    </row>
    <row r="357" spans="10:22" ht="16">
      <c r="J357" s="314"/>
      <c r="M357" s="350"/>
      <c r="P357" s="225"/>
      <c r="U357" s="315"/>
      <c r="V357" s="315"/>
    </row>
    <row r="358" spans="10:22" ht="16">
      <c r="J358" s="314"/>
      <c r="M358" s="350"/>
      <c r="P358" s="225"/>
      <c r="U358" s="315"/>
      <c r="V358" s="315"/>
    </row>
    <row r="359" spans="10:22" ht="16">
      <c r="J359" s="314"/>
      <c r="M359" s="350"/>
      <c r="P359" s="225"/>
      <c r="U359" s="315"/>
      <c r="V359" s="315"/>
    </row>
    <row r="360" spans="10:22" ht="16">
      <c r="J360" s="314"/>
      <c r="M360" s="350"/>
      <c r="P360" s="225"/>
      <c r="U360" s="315"/>
      <c r="V360" s="315"/>
    </row>
    <row r="361" spans="10:22" ht="16">
      <c r="J361" s="314"/>
      <c r="M361" s="350"/>
      <c r="P361" s="225"/>
      <c r="U361" s="315"/>
      <c r="V361" s="315"/>
    </row>
    <row r="362" spans="10:22" ht="16">
      <c r="J362" s="314"/>
      <c r="M362" s="350"/>
      <c r="P362" s="225"/>
      <c r="U362" s="315"/>
      <c r="V362" s="315"/>
    </row>
    <row r="363" spans="10:22" ht="16">
      <c r="J363" s="314"/>
      <c r="M363" s="350"/>
      <c r="P363" s="225"/>
      <c r="U363" s="315"/>
      <c r="V363" s="315"/>
    </row>
    <row r="364" spans="10:22" ht="16">
      <c r="J364" s="314"/>
      <c r="M364" s="350"/>
      <c r="P364" s="225"/>
      <c r="U364" s="315"/>
      <c r="V364" s="315"/>
    </row>
    <row r="365" spans="10:22" ht="16">
      <c r="J365" s="314"/>
      <c r="M365" s="350"/>
      <c r="P365" s="225"/>
      <c r="U365" s="315"/>
      <c r="V365" s="315"/>
    </row>
    <row r="366" spans="10:22" ht="16">
      <c r="J366" s="314"/>
      <c r="M366" s="350"/>
      <c r="P366" s="225"/>
      <c r="U366" s="315"/>
      <c r="V366" s="315"/>
    </row>
    <row r="367" spans="10:22" ht="16">
      <c r="J367" s="314"/>
      <c r="M367" s="350"/>
      <c r="P367" s="225"/>
      <c r="U367" s="315"/>
      <c r="V367" s="315"/>
    </row>
    <row r="368" spans="10:22" ht="16">
      <c r="J368" s="314"/>
      <c r="M368" s="350"/>
      <c r="P368" s="225"/>
      <c r="U368" s="315"/>
      <c r="V368" s="315"/>
    </row>
    <row r="369" spans="10:22" ht="16">
      <c r="J369" s="314"/>
      <c r="M369" s="350"/>
      <c r="P369" s="225"/>
      <c r="U369" s="315"/>
      <c r="V369" s="315"/>
    </row>
    <row r="370" spans="10:22" ht="16">
      <c r="J370" s="314"/>
      <c r="M370" s="350"/>
      <c r="P370" s="225"/>
      <c r="U370" s="315"/>
      <c r="V370" s="315"/>
    </row>
    <row r="371" spans="10:22" ht="16">
      <c r="J371" s="314"/>
      <c r="M371" s="350"/>
      <c r="P371" s="225"/>
      <c r="U371" s="315"/>
      <c r="V371" s="315"/>
    </row>
    <row r="372" spans="10:22" ht="16">
      <c r="J372" s="314"/>
      <c r="M372" s="350"/>
      <c r="P372" s="225"/>
      <c r="U372" s="315"/>
      <c r="V372" s="315"/>
    </row>
    <row r="373" spans="10:22" ht="16">
      <c r="J373" s="314"/>
      <c r="M373" s="350"/>
      <c r="P373" s="225"/>
      <c r="U373" s="315"/>
      <c r="V373" s="315"/>
    </row>
    <row r="374" spans="10:22" ht="16">
      <c r="J374" s="314"/>
      <c r="M374" s="350"/>
      <c r="P374" s="225"/>
      <c r="U374" s="315"/>
      <c r="V374" s="315"/>
    </row>
    <row r="375" spans="10:22" ht="16">
      <c r="J375" s="314"/>
      <c r="M375" s="350"/>
      <c r="P375" s="225"/>
      <c r="U375" s="315"/>
      <c r="V375" s="315"/>
    </row>
    <row r="376" spans="10:22" ht="16">
      <c r="J376" s="314"/>
      <c r="M376" s="350"/>
      <c r="P376" s="225"/>
      <c r="U376" s="315"/>
      <c r="V376" s="315"/>
    </row>
    <row r="377" spans="10:22" ht="16">
      <c r="J377" s="314"/>
      <c r="M377" s="350"/>
      <c r="P377" s="225"/>
      <c r="U377" s="315"/>
      <c r="V377" s="315"/>
    </row>
    <row r="378" spans="10:22" ht="16">
      <c r="J378" s="314"/>
      <c r="M378" s="350"/>
      <c r="P378" s="225"/>
      <c r="U378" s="315"/>
      <c r="V378" s="315"/>
    </row>
    <row r="379" spans="10:22" ht="16">
      <c r="J379" s="314"/>
      <c r="M379" s="350"/>
      <c r="P379" s="225"/>
      <c r="U379" s="315"/>
      <c r="V379" s="315"/>
    </row>
    <row r="380" spans="10:22" ht="16">
      <c r="J380" s="314"/>
      <c r="M380" s="350"/>
      <c r="P380" s="225"/>
      <c r="U380" s="315"/>
      <c r="V380" s="315"/>
    </row>
    <row r="381" spans="10:22" ht="16">
      <c r="J381" s="314"/>
      <c r="M381" s="350"/>
      <c r="P381" s="225"/>
      <c r="U381" s="315"/>
      <c r="V381" s="315"/>
    </row>
    <row r="382" spans="10:22" ht="16">
      <c r="J382" s="314"/>
      <c r="M382" s="350"/>
      <c r="P382" s="225"/>
      <c r="U382" s="315"/>
      <c r="V382" s="315"/>
    </row>
    <row r="383" spans="10:22" ht="16">
      <c r="J383" s="314"/>
      <c r="M383" s="350"/>
      <c r="P383" s="225"/>
      <c r="U383" s="315"/>
      <c r="V383" s="315"/>
    </row>
    <row r="384" spans="10:22" ht="16">
      <c r="J384" s="314"/>
      <c r="M384" s="350"/>
      <c r="P384" s="225"/>
      <c r="U384" s="315"/>
      <c r="V384" s="315"/>
    </row>
    <row r="385" spans="10:22" ht="16">
      <c r="J385" s="314"/>
      <c r="M385" s="350"/>
      <c r="P385" s="225"/>
      <c r="U385" s="315"/>
      <c r="V385" s="315"/>
    </row>
    <row r="386" spans="10:22" ht="16">
      <c r="J386" s="314"/>
      <c r="M386" s="350"/>
      <c r="P386" s="225"/>
      <c r="U386" s="315"/>
      <c r="V386" s="315"/>
    </row>
    <row r="387" spans="10:22" ht="16">
      <c r="J387" s="314"/>
      <c r="M387" s="350"/>
      <c r="P387" s="225"/>
      <c r="U387" s="315"/>
      <c r="V387" s="315"/>
    </row>
    <row r="388" spans="10:22" ht="16">
      <c r="J388" s="314"/>
      <c r="M388" s="350"/>
      <c r="P388" s="225"/>
      <c r="U388" s="315"/>
      <c r="V388" s="315"/>
    </row>
    <row r="389" spans="10:22" ht="16">
      <c r="J389" s="314"/>
      <c r="M389" s="350"/>
      <c r="P389" s="225"/>
      <c r="U389" s="315"/>
      <c r="V389" s="315"/>
    </row>
    <row r="390" spans="10:22" ht="16">
      <c r="J390" s="314"/>
      <c r="M390" s="350"/>
      <c r="P390" s="225"/>
      <c r="U390" s="315"/>
      <c r="V390" s="315"/>
    </row>
    <row r="391" spans="10:22" ht="16">
      <c r="J391" s="314"/>
      <c r="M391" s="350"/>
      <c r="P391" s="225"/>
      <c r="U391" s="315"/>
      <c r="V391" s="315"/>
    </row>
    <row r="392" spans="10:22" ht="16">
      <c r="J392" s="314"/>
      <c r="M392" s="350"/>
      <c r="P392" s="225"/>
      <c r="U392" s="315"/>
      <c r="V392" s="315"/>
    </row>
    <row r="393" spans="10:22" ht="16">
      <c r="J393" s="314"/>
      <c r="M393" s="350"/>
      <c r="P393" s="225"/>
      <c r="U393" s="315"/>
      <c r="V393" s="315"/>
    </row>
    <row r="394" spans="10:22" ht="16">
      <c r="J394" s="314"/>
      <c r="M394" s="350"/>
      <c r="P394" s="225"/>
      <c r="U394" s="315"/>
      <c r="V394" s="315"/>
    </row>
    <row r="395" spans="10:22" ht="16">
      <c r="J395" s="314"/>
      <c r="M395" s="350"/>
      <c r="P395" s="225"/>
      <c r="U395" s="315"/>
      <c r="V395" s="315"/>
    </row>
    <row r="396" spans="10:22" ht="16">
      <c r="J396" s="314"/>
      <c r="M396" s="350"/>
      <c r="P396" s="225"/>
      <c r="U396" s="315"/>
      <c r="V396" s="315"/>
    </row>
    <row r="397" spans="10:22" ht="16">
      <c r="J397" s="314"/>
      <c r="M397" s="350"/>
      <c r="P397" s="225"/>
      <c r="U397" s="315"/>
      <c r="V397" s="315"/>
    </row>
    <row r="398" spans="10:22" ht="16">
      <c r="J398" s="314"/>
      <c r="M398" s="350"/>
      <c r="P398" s="225"/>
      <c r="U398" s="315"/>
      <c r="V398" s="315"/>
    </row>
    <row r="399" spans="10:22" ht="16">
      <c r="J399" s="314"/>
      <c r="M399" s="350"/>
      <c r="P399" s="225"/>
      <c r="U399" s="315"/>
      <c r="V399" s="315"/>
    </row>
    <row r="400" spans="10:22" ht="16">
      <c r="J400" s="314"/>
      <c r="M400" s="350"/>
      <c r="P400" s="225"/>
      <c r="U400" s="315"/>
      <c r="V400" s="315"/>
    </row>
    <row r="401" spans="10:22" ht="16">
      <c r="J401" s="314"/>
      <c r="M401" s="350"/>
      <c r="P401" s="225"/>
      <c r="U401" s="315"/>
      <c r="V401" s="315"/>
    </row>
    <row r="402" spans="10:22" ht="16">
      <c r="J402" s="314"/>
      <c r="M402" s="350"/>
      <c r="P402" s="225"/>
      <c r="U402" s="315"/>
      <c r="V402" s="315"/>
    </row>
    <row r="403" spans="10:22" ht="16">
      <c r="J403" s="314"/>
      <c r="M403" s="350"/>
      <c r="P403" s="225"/>
      <c r="U403" s="315"/>
      <c r="V403" s="315"/>
    </row>
    <row r="404" spans="10:22" ht="16">
      <c r="J404" s="314"/>
      <c r="M404" s="350"/>
      <c r="P404" s="225"/>
      <c r="U404" s="315"/>
      <c r="V404" s="315"/>
    </row>
    <row r="405" spans="10:22" ht="16">
      <c r="J405" s="314"/>
      <c r="M405" s="350"/>
      <c r="P405" s="225"/>
      <c r="U405" s="315"/>
      <c r="V405" s="315"/>
    </row>
    <row r="406" spans="10:22" ht="16">
      <c r="J406" s="314"/>
      <c r="M406" s="350"/>
      <c r="P406" s="225"/>
      <c r="U406" s="315"/>
      <c r="V406" s="315"/>
    </row>
    <row r="407" spans="10:22" ht="16">
      <c r="J407" s="314"/>
      <c r="M407" s="350"/>
      <c r="P407" s="225"/>
      <c r="U407" s="315"/>
      <c r="V407" s="315"/>
    </row>
    <row r="408" spans="10:22" ht="16">
      <c r="J408" s="314"/>
      <c r="M408" s="350"/>
      <c r="P408" s="225"/>
      <c r="U408" s="315"/>
      <c r="V408" s="315"/>
    </row>
    <row r="409" spans="10:22" ht="16">
      <c r="J409" s="314"/>
      <c r="M409" s="350"/>
      <c r="P409" s="225"/>
      <c r="U409" s="315"/>
      <c r="V409" s="315"/>
    </row>
    <row r="410" spans="10:22" ht="16">
      <c r="J410" s="314"/>
      <c r="M410" s="350"/>
      <c r="P410" s="225"/>
      <c r="U410" s="315"/>
      <c r="V410" s="315"/>
    </row>
    <row r="411" spans="10:22" ht="16">
      <c r="J411" s="314"/>
      <c r="M411" s="350"/>
      <c r="P411" s="225"/>
      <c r="U411" s="315"/>
      <c r="V411" s="315"/>
    </row>
    <row r="412" spans="10:22" ht="16">
      <c r="J412" s="314"/>
      <c r="M412" s="350"/>
      <c r="P412" s="225"/>
      <c r="U412" s="315"/>
      <c r="V412" s="315"/>
    </row>
    <row r="413" spans="10:22" ht="16">
      <c r="J413" s="314"/>
      <c r="M413" s="350"/>
      <c r="P413" s="225"/>
      <c r="U413" s="315"/>
      <c r="V413" s="315"/>
    </row>
    <row r="414" spans="10:22" ht="16">
      <c r="J414" s="314"/>
      <c r="M414" s="350"/>
      <c r="P414" s="225"/>
      <c r="U414" s="315"/>
      <c r="V414" s="315"/>
    </row>
    <row r="415" spans="10:22" ht="16">
      <c r="J415" s="314"/>
      <c r="M415" s="350"/>
      <c r="P415" s="225"/>
      <c r="U415" s="315"/>
      <c r="V415" s="315"/>
    </row>
    <row r="416" spans="10:22" ht="16">
      <c r="J416" s="314"/>
      <c r="M416" s="350"/>
      <c r="P416" s="225"/>
      <c r="U416" s="315"/>
      <c r="V416" s="315"/>
    </row>
    <row r="417" spans="10:22" ht="16">
      <c r="J417" s="314"/>
      <c r="M417" s="350"/>
      <c r="P417" s="225"/>
      <c r="U417" s="315"/>
      <c r="V417" s="315"/>
    </row>
    <row r="418" spans="10:22" ht="16">
      <c r="J418" s="314"/>
      <c r="M418" s="350"/>
      <c r="P418" s="225"/>
      <c r="U418" s="315"/>
      <c r="V418" s="315"/>
    </row>
    <row r="419" spans="10:22" ht="16">
      <c r="J419" s="314"/>
      <c r="M419" s="350"/>
      <c r="P419" s="225"/>
      <c r="U419" s="315"/>
      <c r="V419" s="315"/>
    </row>
    <row r="420" spans="10:22" ht="16">
      <c r="J420" s="314"/>
      <c r="M420" s="350"/>
      <c r="P420" s="225"/>
      <c r="U420" s="315"/>
      <c r="V420" s="315"/>
    </row>
    <row r="421" spans="10:22" ht="16">
      <c r="J421" s="314"/>
      <c r="M421" s="350"/>
      <c r="P421" s="225"/>
      <c r="U421" s="315"/>
      <c r="V421" s="315"/>
    </row>
    <row r="422" spans="10:22" ht="16">
      <c r="J422" s="314"/>
      <c r="M422" s="350"/>
      <c r="P422" s="225"/>
      <c r="U422" s="315"/>
      <c r="V422" s="315"/>
    </row>
    <row r="423" spans="10:22" ht="16">
      <c r="J423" s="314"/>
      <c r="M423" s="350"/>
      <c r="P423" s="225"/>
      <c r="U423" s="315"/>
      <c r="V423" s="315"/>
    </row>
    <row r="424" spans="10:22" ht="16">
      <c r="J424" s="314"/>
      <c r="M424" s="350"/>
      <c r="P424" s="225"/>
      <c r="U424" s="315"/>
      <c r="V424" s="315"/>
    </row>
    <row r="425" spans="10:22" ht="16">
      <c r="J425" s="314"/>
      <c r="M425" s="350"/>
      <c r="P425" s="225"/>
      <c r="U425" s="315"/>
      <c r="V425" s="315"/>
    </row>
    <row r="426" spans="10:22" ht="16">
      <c r="J426" s="314"/>
      <c r="M426" s="350"/>
      <c r="P426" s="225"/>
      <c r="U426" s="315"/>
      <c r="V426" s="315"/>
    </row>
    <row r="427" spans="10:22" ht="16">
      <c r="J427" s="314"/>
      <c r="M427" s="350"/>
      <c r="P427" s="225"/>
      <c r="U427" s="315"/>
      <c r="V427" s="315"/>
    </row>
    <row r="428" spans="10:22" ht="16">
      <c r="J428" s="314"/>
      <c r="M428" s="350"/>
      <c r="P428" s="225"/>
      <c r="U428" s="315"/>
      <c r="V428" s="315"/>
    </row>
    <row r="429" spans="10:22" ht="16">
      <c r="J429" s="314"/>
      <c r="M429" s="350"/>
      <c r="P429" s="225"/>
      <c r="U429" s="315"/>
      <c r="V429" s="315"/>
    </row>
    <row r="430" spans="10:22" ht="16">
      <c r="J430" s="314"/>
      <c r="M430" s="350"/>
      <c r="P430" s="225"/>
      <c r="U430" s="315"/>
      <c r="V430" s="315"/>
    </row>
    <row r="431" spans="10:22" ht="16">
      <c r="J431" s="314"/>
      <c r="M431" s="350"/>
      <c r="P431" s="225"/>
      <c r="U431" s="315"/>
      <c r="V431" s="315"/>
    </row>
    <row r="432" spans="10:22" ht="16">
      <c r="J432" s="314"/>
      <c r="M432" s="350"/>
      <c r="P432" s="225"/>
      <c r="U432" s="315"/>
      <c r="V432" s="315"/>
    </row>
    <row r="433" spans="10:22" ht="16">
      <c r="J433" s="314"/>
      <c r="M433" s="350"/>
      <c r="P433" s="225"/>
      <c r="U433" s="315"/>
      <c r="V433" s="315"/>
    </row>
    <row r="434" spans="10:22" ht="16">
      <c r="J434" s="314"/>
      <c r="M434" s="350"/>
      <c r="P434" s="225"/>
      <c r="U434" s="315"/>
      <c r="V434" s="315"/>
    </row>
    <row r="435" spans="10:22" ht="16">
      <c r="J435" s="314"/>
      <c r="M435" s="350"/>
      <c r="P435" s="225"/>
      <c r="U435" s="315"/>
      <c r="V435" s="315"/>
    </row>
    <row r="436" spans="10:22" ht="16">
      <c r="J436" s="314"/>
      <c r="M436" s="350"/>
      <c r="P436" s="225"/>
      <c r="U436" s="315"/>
      <c r="V436" s="315"/>
    </row>
    <row r="437" spans="10:22" ht="16">
      <c r="J437" s="314"/>
      <c r="M437" s="350"/>
      <c r="P437" s="225"/>
      <c r="U437" s="315"/>
      <c r="V437" s="315"/>
    </row>
    <row r="438" spans="10:22" ht="16">
      <c r="J438" s="314"/>
      <c r="M438" s="350"/>
      <c r="P438" s="225"/>
      <c r="U438" s="315"/>
      <c r="V438" s="315"/>
    </row>
    <row r="439" spans="10:22" ht="16">
      <c r="J439" s="314"/>
      <c r="M439" s="350"/>
      <c r="P439" s="225"/>
      <c r="U439" s="315"/>
      <c r="V439" s="315"/>
    </row>
    <row r="440" spans="10:22" ht="16">
      <c r="J440" s="314"/>
      <c r="M440" s="350"/>
      <c r="P440" s="225"/>
      <c r="U440" s="315"/>
      <c r="V440" s="315"/>
    </row>
    <row r="441" spans="10:22" ht="16">
      <c r="J441" s="314"/>
      <c r="M441" s="350"/>
      <c r="P441" s="225"/>
      <c r="U441" s="315"/>
      <c r="V441" s="315"/>
    </row>
    <row r="442" spans="10:22" ht="16">
      <c r="J442" s="314"/>
      <c r="M442" s="350"/>
      <c r="P442" s="225"/>
      <c r="U442" s="315"/>
      <c r="V442" s="315"/>
    </row>
    <row r="443" spans="10:22" ht="16">
      <c r="J443" s="314"/>
      <c r="M443" s="350"/>
      <c r="P443" s="225"/>
      <c r="U443" s="315"/>
      <c r="V443" s="315"/>
    </row>
    <row r="444" spans="10:22" ht="16">
      <c r="J444" s="314"/>
      <c r="M444" s="350"/>
      <c r="P444" s="225"/>
      <c r="U444" s="315"/>
      <c r="V444" s="315"/>
    </row>
    <row r="445" spans="10:22" ht="16">
      <c r="J445" s="314"/>
      <c r="M445" s="350"/>
      <c r="P445" s="225"/>
      <c r="U445" s="315"/>
      <c r="V445" s="315"/>
    </row>
    <row r="446" spans="10:22" ht="16">
      <c r="J446" s="314"/>
      <c r="M446" s="350"/>
      <c r="P446" s="225"/>
      <c r="U446" s="315"/>
      <c r="V446" s="315"/>
    </row>
    <row r="447" spans="10:22" ht="16">
      <c r="J447" s="314"/>
      <c r="M447" s="350"/>
      <c r="P447" s="225"/>
      <c r="U447" s="315"/>
      <c r="V447" s="315"/>
    </row>
    <row r="448" spans="10:22" ht="16">
      <c r="J448" s="314"/>
      <c r="M448" s="350"/>
      <c r="P448" s="225"/>
      <c r="U448" s="315"/>
      <c r="V448" s="315"/>
    </row>
    <row r="449" spans="10:22" ht="16">
      <c r="J449" s="314"/>
      <c r="M449" s="350"/>
      <c r="P449" s="225"/>
      <c r="U449" s="315"/>
      <c r="V449" s="315"/>
    </row>
    <row r="450" spans="10:22" ht="16">
      <c r="J450" s="314"/>
      <c r="M450" s="350"/>
      <c r="P450" s="225"/>
      <c r="U450" s="315"/>
      <c r="V450" s="315"/>
    </row>
    <row r="451" spans="10:22" ht="16">
      <c r="J451" s="314"/>
      <c r="M451" s="350"/>
      <c r="P451" s="225"/>
      <c r="U451" s="315"/>
      <c r="V451" s="315"/>
    </row>
    <row r="452" spans="10:22" ht="16">
      <c r="J452" s="314"/>
      <c r="M452" s="350"/>
      <c r="P452" s="225"/>
      <c r="U452" s="315"/>
      <c r="V452" s="315"/>
    </row>
    <row r="453" spans="10:22" ht="16">
      <c r="J453" s="314"/>
      <c r="M453" s="350"/>
      <c r="P453" s="225"/>
      <c r="U453" s="315"/>
      <c r="V453" s="315"/>
    </row>
    <row r="454" spans="10:22" ht="16">
      <c r="J454" s="314"/>
      <c r="M454" s="350"/>
      <c r="P454" s="225"/>
      <c r="U454" s="315"/>
      <c r="V454" s="315"/>
    </row>
    <row r="455" spans="10:22" ht="16">
      <c r="J455" s="314"/>
      <c r="M455" s="350"/>
      <c r="P455" s="225"/>
      <c r="U455" s="315"/>
      <c r="V455" s="315"/>
    </row>
    <row r="456" spans="10:22" ht="16">
      <c r="J456" s="314"/>
      <c r="M456" s="350"/>
      <c r="P456" s="225"/>
      <c r="U456" s="315"/>
      <c r="V456" s="315"/>
    </row>
    <row r="457" spans="10:22" ht="16">
      <c r="J457" s="314"/>
      <c r="M457" s="350"/>
      <c r="P457" s="225"/>
      <c r="U457" s="315"/>
      <c r="V457" s="315"/>
    </row>
    <row r="458" spans="10:22" ht="16">
      <c r="J458" s="314"/>
      <c r="M458" s="350"/>
      <c r="P458" s="225"/>
      <c r="U458" s="315"/>
      <c r="V458" s="315"/>
    </row>
    <row r="459" spans="10:22" ht="16">
      <c r="J459" s="314"/>
      <c r="M459" s="350"/>
      <c r="P459" s="225"/>
      <c r="U459" s="315"/>
      <c r="V459" s="315"/>
    </row>
    <row r="460" spans="10:22" ht="16">
      <c r="J460" s="314"/>
      <c r="M460" s="350"/>
      <c r="P460" s="225"/>
      <c r="U460" s="315"/>
      <c r="V460" s="315"/>
    </row>
    <row r="461" spans="10:22" ht="16">
      <c r="J461" s="314"/>
      <c r="M461" s="350"/>
      <c r="P461" s="225"/>
      <c r="U461" s="315"/>
      <c r="V461" s="315"/>
    </row>
    <row r="462" spans="10:22" ht="16">
      <c r="J462" s="314"/>
      <c r="M462" s="350"/>
      <c r="P462" s="225"/>
      <c r="U462" s="315"/>
      <c r="V462" s="315"/>
    </row>
    <row r="463" spans="10:22" ht="16">
      <c r="J463" s="314"/>
      <c r="M463" s="350"/>
      <c r="P463" s="225"/>
      <c r="U463" s="315"/>
      <c r="V463" s="315"/>
    </row>
    <row r="464" spans="10:22" ht="16">
      <c r="J464" s="314"/>
      <c r="M464" s="350"/>
      <c r="P464" s="225"/>
      <c r="U464" s="315"/>
      <c r="V464" s="315"/>
    </row>
    <row r="465" spans="10:22" ht="16">
      <c r="J465" s="314"/>
      <c r="M465" s="350"/>
      <c r="P465" s="225"/>
      <c r="U465" s="315"/>
      <c r="V465" s="315"/>
    </row>
    <row r="466" spans="10:22" ht="16">
      <c r="J466" s="314"/>
      <c r="M466" s="350"/>
      <c r="P466" s="225"/>
      <c r="U466" s="315"/>
      <c r="V466" s="315"/>
    </row>
    <row r="467" spans="10:22" ht="16">
      <c r="J467" s="314"/>
      <c r="M467" s="350"/>
      <c r="P467" s="225"/>
      <c r="U467" s="315"/>
      <c r="V467" s="315"/>
    </row>
    <row r="468" spans="10:22" ht="16">
      <c r="J468" s="314"/>
      <c r="M468" s="350"/>
      <c r="P468" s="225"/>
      <c r="U468" s="315"/>
      <c r="V468" s="315"/>
    </row>
    <row r="469" spans="10:22" ht="16">
      <c r="J469" s="314"/>
      <c r="M469" s="350"/>
      <c r="P469" s="225"/>
      <c r="U469" s="315"/>
      <c r="V469" s="315"/>
    </row>
    <row r="470" spans="10:22" ht="16">
      <c r="J470" s="314"/>
      <c r="M470" s="350"/>
      <c r="P470" s="225"/>
      <c r="U470" s="315"/>
      <c r="V470" s="315"/>
    </row>
    <row r="471" spans="10:22" ht="16">
      <c r="J471" s="314"/>
      <c r="M471" s="350"/>
      <c r="P471" s="225"/>
      <c r="U471" s="315"/>
      <c r="V471" s="315"/>
    </row>
    <row r="472" spans="10:22" ht="16">
      <c r="J472" s="314"/>
      <c r="M472" s="350"/>
      <c r="P472" s="225"/>
      <c r="U472" s="315"/>
      <c r="V472" s="315"/>
    </row>
    <row r="473" spans="10:22" ht="16">
      <c r="J473" s="314"/>
      <c r="M473" s="350"/>
      <c r="P473" s="225"/>
      <c r="U473" s="315"/>
      <c r="V473" s="315"/>
    </row>
    <row r="474" spans="10:22" ht="16">
      <c r="J474" s="314"/>
      <c r="M474" s="350"/>
      <c r="P474" s="225"/>
      <c r="U474" s="315"/>
      <c r="V474" s="315"/>
    </row>
    <row r="475" spans="10:22" ht="16">
      <c r="J475" s="314"/>
      <c r="M475" s="350"/>
      <c r="P475" s="225"/>
      <c r="U475" s="315"/>
      <c r="V475" s="315"/>
    </row>
    <row r="476" spans="10:22" ht="16">
      <c r="J476" s="314"/>
      <c r="M476" s="350"/>
      <c r="P476" s="225"/>
      <c r="U476" s="315"/>
      <c r="V476" s="315"/>
    </row>
    <row r="477" spans="10:22" ht="16">
      <c r="J477" s="314"/>
      <c r="M477" s="350"/>
      <c r="P477" s="225"/>
      <c r="U477" s="315"/>
      <c r="V477" s="315"/>
    </row>
    <row r="478" spans="10:22" ht="16">
      <c r="J478" s="314"/>
      <c r="M478" s="350"/>
      <c r="P478" s="225"/>
      <c r="U478" s="315"/>
      <c r="V478" s="315"/>
    </row>
    <row r="479" spans="10:22" ht="16">
      <c r="J479" s="314"/>
      <c r="M479" s="350"/>
      <c r="P479" s="225"/>
      <c r="U479" s="315"/>
      <c r="V479" s="315"/>
    </row>
    <row r="480" spans="10:22" ht="16">
      <c r="J480" s="314"/>
      <c r="M480" s="350"/>
      <c r="P480" s="225"/>
      <c r="U480" s="315"/>
      <c r="V480" s="315"/>
    </row>
    <row r="481" spans="10:22" ht="16">
      <c r="J481" s="314"/>
      <c r="M481" s="350"/>
      <c r="P481" s="225"/>
      <c r="U481" s="315"/>
      <c r="V481" s="315"/>
    </row>
    <row r="482" spans="10:22" ht="16">
      <c r="J482" s="314"/>
      <c r="M482" s="350"/>
      <c r="P482" s="225"/>
      <c r="U482" s="315"/>
      <c r="V482" s="315"/>
    </row>
    <row r="483" spans="10:22" ht="16">
      <c r="J483" s="314"/>
      <c r="M483" s="350"/>
      <c r="P483" s="225"/>
      <c r="U483" s="315"/>
      <c r="V483" s="315"/>
    </row>
    <row r="484" spans="10:22" ht="16">
      <c r="J484" s="314"/>
      <c r="M484" s="350"/>
      <c r="P484" s="225"/>
      <c r="U484" s="315"/>
      <c r="V484" s="315"/>
    </row>
    <row r="485" spans="10:22" ht="16">
      <c r="J485" s="314"/>
      <c r="M485" s="350"/>
      <c r="P485" s="225"/>
      <c r="U485" s="315"/>
      <c r="V485" s="315"/>
    </row>
    <row r="486" spans="10:22" ht="16">
      <c r="J486" s="314"/>
      <c r="M486" s="350"/>
      <c r="P486" s="225"/>
      <c r="U486" s="315"/>
      <c r="V486" s="315"/>
    </row>
    <row r="487" spans="10:22" ht="16">
      <c r="J487" s="314"/>
      <c r="M487" s="350"/>
      <c r="P487" s="225"/>
      <c r="U487" s="315"/>
      <c r="V487" s="315"/>
    </row>
    <row r="488" spans="10:22" ht="16">
      <c r="J488" s="314"/>
      <c r="M488" s="350"/>
      <c r="P488" s="225"/>
      <c r="U488" s="315"/>
      <c r="V488" s="315"/>
    </row>
    <row r="489" spans="10:22" ht="16">
      <c r="J489" s="314"/>
      <c r="M489" s="350"/>
      <c r="P489" s="225"/>
      <c r="U489" s="315"/>
      <c r="V489" s="315"/>
    </row>
    <row r="490" spans="10:22" ht="16">
      <c r="J490" s="314"/>
      <c r="M490" s="350"/>
      <c r="P490" s="225"/>
      <c r="U490" s="315"/>
      <c r="V490" s="315"/>
    </row>
    <row r="491" spans="10:22" ht="16">
      <c r="J491" s="314"/>
      <c r="M491" s="350"/>
      <c r="P491" s="225"/>
      <c r="U491" s="315"/>
      <c r="V491" s="315"/>
    </row>
    <row r="492" spans="10:22" ht="16">
      <c r="J492" s="314"/>
      <c r="M492" s="350"/>
      <c r="P492" s="225"/>
      <c r="U492" s="315"/>
      <c r="V492" s="315"/>
    </row>
    <row r="493" spans="10:22" ht="16">
      <c r="J493" s="314"/>
      <c r="M493" s="350"/>
      <c r="P493" s="225"/>
      <c r="U493" s="315"/>
      <c r="V493" s="315"/>
    </row>
    <row r="494" spans="10:22" ht="16">
      <c r="J494" s="314"/>
      <c r="M494" s="350"/>
      <c r="P494" s="225"/>
      <c r="U494" s="315"/>
      <c r="V494" s="315"/>
    </row>
    <row r="495" spans="10:22" ht="16">
      <c r="J495" s="314"/>
      <c r="M495" s="350"/>
      <c r="P495" s="225"/>
      <c r="U495" s="315"/>
      <c r="V495" s="315"/>
    </row>
    <row r="496" spans="10:22" ht="16">
      <c r="J496" s="314"/>
      <c r="M496" s="350"/>
      <c r="P496" s="225"/>
      <c r="U496" s="315"/>
      <c r="V496" s="315"/>
    </row>
    <row r="497" spans="10:22" ht="16">
      <c r="J497" s="314"/>
      <c r="M497" s="350"/>
      <c r="P497" s="225"/>
      <c r="U497" s="315"/>
      <c r="V497" s="315"/>
    </row>
    <row r="498" spans="10:22" ht="16">
      <c r="J498" s="314"/>
      <c r="M498" s="350"/>
      <c r="P498" s="225"/>
      <c r="U498" s="315"/>
      <c r="V498" s="315"/>
    </row>
    <row r="499" spans="10:22" ht="16">
      <c r="J499" s="314"/>
      <c r="M499" s="350"/>
      <c r="P499" s="225"/>
      <c r="U499" s="315"/>
      <c r="V499" s="315"/>
    </row>
    <row r="500" spans="10:22" ht="16">
      <c r="J500" s="314"/>
      <c r="M500" s="350"/>
      <c r="P500" s="225"/>
      <c r="U500" s="315"/>
      <c r="V500" s="315"/>
    </row>
    <row r="501" spans="10:22" ht="16">
      <c r="J501" s="314"/>
      <c r="M501" s="350"/>
      <c r="P501" s="225"/>
      <c r="U501" s="315"/>
      <c r="V501" s="315"/>
    </row>
    <row r="502" spans="10:22" ht="16">
      <c r="J502" s="314"/>
      <c r="M502" s="350"/>
      <c r="P502" s="225"/>
      <c r="U502" s="315"/>
      <c r="V502" s="315"/>
    </row>
    <row r="503" spans="10:22" ht="16">
      <c r="J503" s="314"/>
      <c r="M503" s="350"/>
      <c r="P503" s="225"/>
      <c r="U503" s="315"/>
      <c r="V503" s="315"/>
    </row>
    <row r="504" spans="10:22" ht="16">
      <c r="J504" s="314"/>
      <c r="M504" s="350"/>
      <c r="P504" s="225"/>
      <c r="U504" s="315"/>
      <c r="V504" s="315"/>
    </row>
    <row r="505" spans="10:22" ht="16">
      <c r="J505" s="314"/>
      <c r="M505" s="350"/>
      <c r="P505" s="225"/>
      <c r="U505" s="315"/>
      <c r="V505" s="315"/>
    </row>
    <row r="506" spans="10:22" ht="16">
      <c r="J506" s="314"/>
      <c r="M506" s="350"/>
      <c r="P506" s="225"/>
      <c r="U506" s="315"/>
      <c r="V506" s="315"/>
    </row>
    <row r="507" spans="10:22" ht="16">
      <c r="J507" s="314"/>
      <c r="M507" s="350"/>
      <c r="P507" s="225"/>
      <c r="U507" s="315"/>
      <c r="V507" s="315"/>
    </row>
    <row r="508" spans="10:22" ht="16">
      <c r="J508" s="314"/>
      <c r="M508" s="350"/>
      <c r="P508" s="225"/>
      <c r="U508" s="315"/>
      <c r="V508" s="315"/>
    </row>
    <row r="509" spans="10:22" ht="16">
      <c r="J509" s="314"/>
      <c r="M509" s="350"/>
      <c r="P509" s="225"/>
      <c r="U509" s="315"/>
      <c r="V509" s="315"/>
    </row>
    <row r="510" spans="10:22" ht="16">
      <c r="J510" s="314"/>
      <c r="M510" s="350"/>
      <c r="P510" s="225"/>
      <c r="U510" s="315"/>
      <c r="V510" s="315"/>
    </row>
    <row r="511" spans="10:22" ht="16">
      <c r="J511" s="314"/>
      <c r="M511" s="350"/>
      <c r="P511" s="225"/>
      <c r="U511" s="315"/>
      <c r="V511" s="315"/>
    </row>
    <row r="512" spans="10:22" ht="16">
      <c r="J512" s="314"/>
      <c r="M512" s="350"/>
      <c r="P512" s="225"/>
      <c r="U512" s="315"/>
      <c r="V512" s="315"/>
    </row>
    <row r="513" spans="10:22" ht="16">
      <c r="J513" s="314"/>
      <c r="M513" s="350"/>
      <c r="P513" s="225"/>
      <c r="U513" s="315"/>
      <c r="V513" s="315"/>
    </row>
    <row r="514" spans="10:22" ht="16">
      <c r="J514" s="314"/>
      <c r="M514" s="350"/>
      <c r="P514" s="225"/>
      <c r="U514" s="315"/>
      <c r="V514" s="315"/>
    </row>
    <row r="515" spans="10:22" ht="16">
      <c r="J515" s="314"/>
      <c r="M515" s="350"/>
      <c r="P515" s="225"/>
      <c r="U515" s="315"/>
      <c r="V515" s="315"/>
    </row>
    <row r="516" spans="10:22" ht="16">
      <c r="J516" s="314"/>
      <c r="M516" s="350"/>
      <c r="P516" s="225"/>
      <c r="U516" s="315"/>
      <c r="V516" s="315"/>
    </row>
    <row r="517" spans="10:22" ht="16">
      <c r="J517" s="314"/>
      <c r="M517" s="350"/>
      <c r="P517" s="225"/>
      <c r="U517" s="315"/>
      <c r="V517" s="315"/>
    </row>
    <row r="518" spans="10:22" ht="16">
      <c r="J518" s="314"/>
      <c r="M518" s="350"/>
      <c r="P518" s="225"/>
      <c r="U518" s="315"/>
      <c r="V518" s="315"/>
    </row>
    <row r="519" spans="10:22" ht="16">
      <c r="J519" s="314"/>
      <c r="M519" s="350"/>
      <c r="P519" s="225"/>
      <c r="U519" s="315"/>
      <c r="V519" s="315"/>
    </row>
    <row r="520" spans="10:22" ht="16">
      <c r="J520" s="314"/>
      <c r="M520" s="350"/>
      <c r="P520" s="225"/>
      <c r="U520" s="315"/>
      <c r="V520" s="315"/>
    </row>
    <row r="521" spans="10:22" ht="16">
      <c r="J521" s="314"/>
      <c r="M521" s="350"/>
      <c r="P521" s="225"/>
      <c r="U521" s="315"/>
      <c r="V521" s="315"/>
    </row>
    <row r="522" spans="10:22" ht="16">
      <c r="J522" s="314"/>
      <c r="M522" s="350"/>
      <c r="P522" s="225"/>
      <c r="U522" s="315"/>
      <c r="V522" s="315"/>
    </row>
    <row r="523" spans="10:22" ht="16">
      <c r="J523" s="314"/>
      <c r="M523" s="350"/>
      <c r="P523" s="225"/>
      <c r="U523" s="315"/>
      <c r="V523" s="315"/>
    </row>
    <row r="524" spans="10:22" ht="16">
      <c r="J524" s="314"/>
      <c r="M524" s="350"/>
      <c r="P524" s="225"/>
      <c r="U524" s="315"/>
      <c r="V524" s="315"/>
    </row>
    <row r="525" spans="10:22" ht="16">
      <c r="J525" s="314"/>
      <c r="M525" s="350"/>
      <c r="P525" s="225"/>
      <c r="U525" s="315"/>
      <c r="V525" s="315"/>
    </row>
    <row r="526" spans="10:22" ht="16">
      <c r="J526" s="314"/>
      <c r="M526" s="350"/>
      <c r="P526" s="225"/>
      <c r="U526" s="315"/>
      <c r="V526" s="315"/>
    </row>
    <row r="527" spans="10:22" ht="16">
      <c r="J527" s="314"/>
      <c r="M527" s="350"/>
      <c r="P527" s="225"/>
      <c r="U527" s="315"/>
      <c r="V527" s="315"/>
    </row>
    <row r="528" spans="10:22" ht="16">
      <c r="J528" s="314"/>
      <c r="M528" s="350"/>
      <c r="P528" s="225"/>
      <c r="U528" s="315"/>
      <c r="V528" s="315"/>
    </row>
    <row r="529" spans="10:22" ht="16">
      <c r="J529" s="314"/>
      <c r="M529" s="350"/>
      <c r="P529" s="225"/>
      <c r="U529" s="315"/>
      <c r="V529" s="315"/>
    </row>
    <row r="530" spans="10:22" ht="16">
      <c r="J530" s="314"/>
      <c r="M530" s="350"/>
      <c r="P530" s="225"/>
      <c r="U530" s="315"/>
      <c r="V530" s="315"/>
    </row>
    <row r="531" spans="10:22" ht="16">
      <c r="J531" s="314"/>
      <c r="M531" s="350"/>
      <c r="P531" s="225"/>
      <c r="U531" s="315"/>
      <c r="V531" s="315"/>
    </row>
    <row r="532" spans="10:22" ht="16">
      <c r="J532" s="314"/>
      <c r="M532" s="350"/>
      <c r="P532" s="225"/>
      <c r="U532" s="315"/>
      <c r="V532" s="315"/>
    </row>
    <row r="533" spans="10:22" ht="16">
      <c r="J533" s="314"/>
      <c r="M533" s="350"/>
      <c r="P533" s="225"/>
      <c r="U533" s="315"/>
      <c r="V533" s="315"/>
    </row>
    <row r="534" spans="10:22" ht="16">
      <c r="J534" s="314"/>
      <c r="M534" s="350"/>
      <c r="P534" s="225"/>
      <c r="U534" s="315"/>
      <c r="V534" s="315"/>
    </row>
    <row r="535" spans="10:22" ht="16">
      <c r="J535" s="314"/>
      <c r="M535" s="350"/>
      <c r="P535" s="225"/>
      <c r="U535" s="315"/>
      <c r="V535" s="315"/>
    </row>
    <row r="536" spans="10:22" ht="16">
      <c r="J536" s="314"/>
      <c r="M536" s="350"/>
      <c r="P536" s="225"/>
      <c r="U536" s="315"/>
      <c r="V536" s="315"/>
    </row>
    <row r="537" spans="10:22" ht="16">
      <c r="J537" s="314"/>
      <c r="M537" s="350"/>
      <c r="P537" s="225"/>
      <c r="U537" s="315"/>
      <c r="V537" s="315"/>
    </row>
    <row r="538" spans="10:22" ht="16">
      <c r="J538" s="314"/>
      <c r="M538" s="350"/>
      <c r="P538" s="225"/>
      <c r="U538" s="315"/>
      <c r="V538" s="315"/>
    </row>
    <row r="539" spans="10:22" ht="16">
      <c r="J539" s="314"/>
      <c r="M539" s="350"/>
      <c r="P539" s="225"/>
      <c r="U539" s="315"/>
      <c r="V539" s="315"/>
    </row>
    <row r="540" spans="10:22" ht="16">
      <c r="J540" s="314"/>
      <c r="M540" s="350"/>
      <c r="P540" s="225"/>
      <c r="U540" s="315"/>
      <c r="V540" s="315"/>
    </row>
    <row r="541" spans="10:22" ht="16">
      <c r="J541" s="314"/>
      <c r="M541" s="350"/>
      <c r="P541" s="225"/>
      <c r="U541" s="315"/>
      <c r="V541" s="315"/>
    </row>
    <row r="542" spans="10:22" ht="16">
      <c r="J542" s="314"/>
      <c r="M542" s="350"/>
      <c r="P542" s="225"/>
      <c r="U542" s="315"/>
      <c r="V542" s="315"/>
    </row>
    <row r="543" spans="10:22" ht="16">
      <c r="J543" s="314"/>
      <c r="M543" s="350"/>
      <c r="P543" s="225"/>
      <c r="U543" s="315"/>
      <c r="V543" s="315"/>
    </row>
    <row r="544" spans="10:22" ht="16">
      <c r="J544" s="314"/>
      <c r="M544" s="350"/>
      <c r="P544" s="225"/>
      <c r="U544" s="315"/>
      <c r="V544" s="315"/>
    </row>
    <row r="545" spans="10:22" ht="16">
      <c r="J545" s="314"/>
      <c r="M545" s="350"/>
      <c r="P545" s="225"/>
      <c r="U545" s="315"/>
      <c r="V545" s="315"/>
    </row>
    <row r="546" spans="10:22" ht="16">
      <c r="J546" s="314"/>
      <c r="M546" s="350"/>
      <c r="P546" s="225"/>
      <c r="U546" s="315"/>
      <c r="V546" s="315"/>
    </row>
    <row r="547" spans="10:22" ht="16">
      <c r="J547" s="314"/>
      <c r="M547" s="350"/>
      <c r="P547" s="225"/>
      <c r="U547" s="315"/>
      <c r="V547" s="315"/>
    </row>
    <row r="548" spans="10:22" ht="16">
      <c r="J548" s="314"/>
      <c r="M548" s="350"/>
      <c r="P548" s="225"/>
      <c r="U548" s="315"/>
      <c r="V548" s="315"/>
    </row>
    <row r="549" spans="10:22" ht="16">
      <c r="J549" s="314"/>
      <c r="M549" s="350"/>
      <c r="P549" s="225"/>
      <c r="U549" s="315"/>
      <c r="V549" s="315"/>
    </row>
    <row r="550" spans="10:22" ht="16">
      <c r="J550" s="314"/>
      <c r="M550" s="350"/>
      <c r="P550" s="225"/>
      <c r="U550" s="315"/>
      <c r="V550" s="315"/>
    </row>
    <row r="551" spans="10:22" ht="16">
      <c r="J551" s="314"/>
      <c r="M551" s="350"/>
      <c r="P551" s="225"/>
      <c r="U551" s="315"/>
      <c r="V551" s="315"/>
    </row>
    <row r="552" spans="10:22" ht="16">
      <c r="J552" s="314"/>
      <c r="M552" s="350"/>
      <c r="P552" s="225"/>
      <c r="U552" s="315"/>
      <c r="V552" s="315"/>
    </row>
    <row r="553" spans="10:22" ht="16">
      <c r="J553" s="314"/>
      <c r="M553" s="350"/>
      <c r="P553" s="225"/>
      <c r="U553" s="315"/>
      <c r="V553" s="315"/>
    </row>
    <row r="554" spans="10:22" ht="16">
      <c r="J554" s="314"/>
      <c r="M554" s="350"/>
      <c r="P554" s="225"/>
      <c r="U554" s="315"/>
      <c r="V554" s="315"/>
    </row>
    <row r="555" spans="10:22" ht="16">
      <c r="J555" s="314"/>
      <c r="M555" s="350"/>
      <c r="P555" s="225"/>
      <c r="U555" s="315"/>
      <c r="V555" s="315"/>
    </row>
    <row r="556" spans="10:22" ht="16">
      <c r="J556" s="314"/>
      <c r="M556" s="350"/>
      <c r="P556" s="225"/>
      <c r="U556" s="315"/>
      <c r="V556" s="315"/>
    </row>
    <row r="557" spans="10:22" ht="16">
      <c r="J557" s="314"/>
      <c r="M557" s="350"/>
      <c r="P557" s="225"/>
      <c r="U557" s="315"/>
      <c r="V557" s="315"/>
    </row>
    <row r="558" spans="10:22" ht="16">
      <c r="J558" s="314"/>
      <c r="M558" s="350"/>
      <c r="P558" s="225"/>
      <c r="U558" s="315"/>
      <c r="V558" s="315"/>
    </row>
    <row r="559" spans="10:22" ht="16">
      <c r="J559" s="314"/>
      <c r="M559" s="350"/>
      <c r="P559" s="225"/>
      <c r="U559" s="315"/>
      <c r="V559" s="315"/>
    </row>
    <row r="560" spans="10:22" ht="16">
      <c r="J560" s="314"/>
      <c r="M560" s="350"/>
      <c r="P560" s="225"/>
      <c r="U560" s="315"/>
      <c r="V560" s="315"/>
    </row>
    <row r="561" spans="10:22" ht="16">
      <c r="J561" s="314"/>
      <c r="M561" s="350"/>
      <c r="P561" s="225"/>
      <c r="U561" s="315"/>
      <c r="V561" s="315"/>
    </row>
    <row r="562" spans="10:22" ht="16">
      <c r="J562" s="314"/>
      <c r="M562" s="350"/>
      <c r="P562" s="225"/>
      <c r="U562" s="315"/>
      <c r="V562" s="315"/>
    </row>
    <row r="563" spans="10:22" ht="16">
      <c r="J563" s="314"/>
      <c r="M563" s="350"/>
      <c r="P563" s="225"/>
      <c r="U563" s="315"/>
      <c r="V563" s="315"/>
    </row>
    <row r="564" spans="10:22" ht="16">
      <c r="J564" s="314"/>
      <c r="M564" s="350"/>
      <c r="P564" s="225"/>
      <c r="U564" s="315"/>
      <c r="V564" s="315"/>
    </row>
    <row r="565" spans="10:22" ht="16">
      <c r="J565" s="314"/>
      <c r="M565" s="350"/>
      <c r="P565" s="225"/>
      <c r="U565" s="315"/>
      <c r="V565" s="315"/>
    </row>
    <row r="566" spans="10:22" ht="16">
      <c r="J566" s="314"/>
      <c r="M566" s="350"/>
      <c r="P566" s="225"/>
      <c r="U566" s="315"/>
      <c r="V566" s="315"/>
    </row>
    <row r="567" spans="10:22" ht="16">
      <c r="J567" s="314"/>
      <c r="M567" s="350"/>
      <c r="P567" s="225"/>
      <c r="U567" s="315"/>
      <c r="V567" s="315"/>
    </row>
    <row r="568" spans="10:22" ht="16">
      <c r="J568" s="314"/>
      <c r="M568" s="350"/>
      <c r="P568" s="225"/>
      <c r="U568" s="315"/>
      <c r="V568" s="315"/>
    </row>
    <row r="569" spans="10:22" ht="16">
      <c r="J569" s="314"/>
      <c r="M569" s="350"/>
      <c r="P569" s="225"/>
      <c r="U569" s="315"/>
      <c r="V569" s="315"/>
    </row>
    <row r="570" spans="10:22" ht="16">
      <c r="J570" s="314"/>
      <c r="M570" s="350"/>
      <c r="P570" s="225"/>
      <c r="U570" s="315"/>
      <c r="V570" s="315"/>
    </row>
    <row r="571" spans="10:22" ht="16">
      <c r="J571" s="314"/>
      <c r="M571" s="350"/>
      <c r="P571" s="225"/>
      <c r="U571" s="315"/>
      <c r="V571" s="315"/>
    </row>
    <row r="572" spans="10:22" ht="16">
      <c r="J572" s="314"/>
      <c r="M572" s="350"/>
      <c r="P572" s="225"/>
      <c r="U572" s="315"/>
      <c r="V572" s="315"/>
    </row>
    <row r="573" spans="10:22" ht="16">
      <c r="J573" s="314"/>
      <c r="M573" s="350"/>
      <c r="P573" s="225"/>
      <c r="U573" s="315"/>
      <c r="V573" s="315"/>
    </row>
    <row r="574" spans="10:22" ht="16">
      <c r="J574" s="314"/>
      <c r="M574" s="350"/>
      <c r="P574" s="225"/>
      <c r="U574" s="315"/>
      <c r="V574" s="315"/>
    </row>
    <row r="575" spans="10:22" ht="16">
      <c r="J575" s="314"/>
      <c r="M575" s="350"/>
      <c r="P575" s="225"/>
      <c r="U575" s="315"/>
      <c r="V575" s="315"/>
    </row>
    <row r="576" spans="10:22" ht="16">
      <c r="J576" s="314"/>
      <c r="M576" s="350"/>
      <c r="P576" s="225"/>
      <c r="U576" s="315"/>
      <c r="V576" s="315"/>
    </row>
    <row r="577" spans="10:22" ht="16">
      <c r="J577" s="314"/>
      <c r="M577" s="350"/>
      <c r="P577" s="225"/>
      <c r="U577" s="315"/>
      <c r="V577" s="315"/>
    </row>
    <row r="578" spans="10:22" ht="16">
      <c r="J578" s="314"/>
      <c r="M578" s="350"/>
      <c r="P578" s="225"/>
      <c r="U578" s="315"/>
      <c r="V578" s="315"/>
    </row>
    <row r="579" spans="10:22" ht="16">
      <c r="J579" s="314"/>
      <c r="M579" s="350"/>
      <c r="P579" s="225"/>
      <c r="U579" s="315"/>
      <c r="V579" s="315"/>
    </row>
    <row r="580" spans="10:22" ht="16">
      <c r="J580" s="314"/>
      <c r="M580" s="350"/>
      <c r="P580" s="225"/>
      <c r="U580" s="315"/>
      <c r="V580" s="315"/>
    </row>
    <row r="581" spans="10:22" ht="16">
      <c r="J581" s="314"/>
      <c r="M581" s="350"/>
      <c r="P581" s="225"/>
      <c r="U581" s="315"/>
      <c r="V581" s="315"/>
    </row>
    <row r="582" spans="10:22" ht="16">
      <c r="J582" s="314"/>
      <c r="M582" s="350"/>
      <c r="P582" s="225"/>
      <c r="U582" s="315"/>
      <c r="V582" s="315"/>
    </row>
    <row r="583" spans="10:22" ht="16">
      <c r="J583" s="314"/>
      <c r="M583" s="350"/>
      <c r="P583" s="225"/>
      <c r="U583" s="315"/>
      <c r="V583" s="315"/>
    </row>
    <row r="584" spans="10:22" ht="16">
      <c r="J584" s="314"/>
      <c r="M584" s="350"/>
      <c r="P584" s="225"/>
      <c r="U584" s="315"/>
      <c r="V584" s="315"/>
    </row>
    <row r="585" spans="10:22" ht="16">
      <c r="J585" s="314"/>
      <c r="M585" s="350"/>
      <c r="P585" s="225"/>
      <c r="U585" s="315"/>
      <c r="V585" s="315"/>
    </row>
    <row r="586" spans="10:22" ht="16">
      <c r="J586" s="314"/>
      <c r="M586" s="350"/>
      <c r="P586" s="225"/>
      <c r="U586" s="315"/>
      <c r="V586" s="315"/>
    </row>
    <row r="587" spans="10:22" ht="16">
      <c r="J587" s="314"/>
      <c r="M587" s="350"/>
      <c r="P587" s="225"/>
      <c r="U587" s="315"/>
      <c r="V587" s="315"/>
    </row>
    <row r="588" spans="10:22" ht="16">
      <c r="J588" s="314"/>
      <c r="M588" s="350"/>
      <c r="P588" s="225"/>
      <c r="U588" s="315"/>
      <c r="V588" s="315"/>
    </row>
    <row r="589" spans="10:22" ht="16">
      <c r="J589" s="314"/>
      <c r="M589" s="350"/>
      <c r="P589" s="225"/>
      <c r="U589" s="315"/>
      <c r="V589" s="315"/>
    </row>
    <row r="590" spans="10:22" ht="16">
      <c r="J590" s="314"/>
      <c r="M590" s="350"/>
      <c r="P590" s="225"/>
      <c r="U590" s="315"/>
      <c r="V590" s="315"/>
    </row>
    <row r="591" spans="10:22" ht="16">
      <c r="J591" s="314"/>
      <c r="M591" s="350"/>
      <c r="P591" s="225"/>
      <c r="U591" s="315"/>
      <c r="V591" s="315"/>
    </row>
    <row r="592" spans="10:22" ht="16">
      <c r="J592" s="314"/>
      <c r="M592" s="350"/>
      <c r="P592" s="225"/>
      <c r="U592" s="315"/>
      <c r="V592" s="315"/>
    </row>
    <row r="593" spans="10:22" ht="16">
      <c r="J593" s="314"/>
      <c r="M593" s="350"/>
      <c r="P593" s="225"/>
      <c r="U593" s="315"/>
      <c r="V593" s="315"/>
    </row>
    <row r="594" spans="10:22" ht="16">
      <c r="J594" s="314"/>
      <c r="M594" s="350"/>
      <c r="P594" s="225"/>
      <c r="U594" s="315"/>
      <c r="V594" s="315"/>
    </row>
    <row r="595" spans="10:22" ht="16">
      <c r="J595" s="314"/>
      <c r="M595" s="350"/>
      <c r="P595" s="225"/>
      <c r="U595" s="315"/>
      <c r="V595" s="315"/>
    </row>
    <row r="596" spans="10:22" ht="16">
      <c r="J596" s="314"/>
      <c r="M596" s="350"/>
      <c r="P596" s="225"/>
      <c r="U596" s="315"/>
      <c r="V596" s="315"/>
    </row>
    <row r="597" spans="10:22" ht="16">
      <c r="J597" s="314"/>
      <c r="M597" s="350"/>
      <c r="P597" s="225"/>
      <c r="U597" s="315"/>
      <c r="V597" s="315"/>
    </row>
    <row r="598" spans="10:22" ht="16">
      <c r="J598" s="314"/>
      <c r="M598" s="350"/>
      <c r="P598" s="225"/>
      <c r="U598" s="315"/>
      <c r="V598" s="315"/>
    </row>
    <row r="599" spans="10:22" ht="16">
      <c r="J599" s="314"/>
      <c r="M599" s="350"/>
      <c r="P599" s="225"/>
      <c r="U599" s="315"/>
      <c r="V599" s="315"/>
    </row>
    <row r="600" spans="10:22" ht="16">
      <c r="J600" s="314"/>
      <c r="M600" s="350"/>
      <c r="P600" s="225"/>
      <c r="U600" s="315"/>
      <c r="V600" s="315"/>
    </row>
    <row r="601" spans="10:22" ht="16">
      <c r="J601" s="314"/>
      <c r="M601" s="350"/>
      <c r="P601" s="225"/>
      <c r="U601" s="315"/>
      <c r="V601" s="315"/>
    </row>
    <row r="602" spans="10:22" ht="16">
      <c r="J602" s="314"/>
      <c r="M602" s="350"/>
      <c r="P602" s="225"/>
      <c r="U602" s="315"/>
      <c r="V602" s="315"/>
    </row>
    <row r="603" spans="10:22" ht="16">
      <c r="J603" s="314"/>
      <c r="M603" s="350"/>
      <c r="P603" s="225"/>
      <c r="U603" s="315"/>
      <c r="V603" s="315"/>
    </row>
    <row r="604" spans="10:22" ht="16">
      <c r="J604" s="314"/>
      <c r="M604" s="350"/>
      <c r="P604" s="225"/>
      <c r="U604" s="315"/>
      <c r="V604" s="315"/>
    </row>
    <row r="605" spans="10:22" ht="16">
      <c r="J605" s="314"/>
      <c r="M605" s="350"/>
      <c r="P605" s="225"/>
      <c r="U605" s="315"/>
      <c r="V605" s="315"/>
    </row>
    <row r="606" spans="10:22" ht="16">
      <c r="J606" s="314"/>
      <c r="M606" s="350"/>
      <c r="P606" s="225"/>
      <c r="U606" s="315"/>
      <c r="V606" s="315"/>
    </row>
    <row r="607" spans="10:22" ht="16">
      <c r="J607" s="314"/>
      <c r="M607" s="350"/>
      <c r="P607" s="225"/>
      <c r="U607" s="315"/>
      <c r="V607" s="315"/>
    </row>
    <row r="608" spans="10:22" ht="16">
      <c r="J608" s="314"/>
      <c r="M608" s="350"/>
      <c r="P608" s="225"/>
      <c r="U608" s="315"/>
      <c r="V608" s="315"/>
    </row>
    <row r="609" spans="10:22" ht="16">
      <c r="J609" s="314"/>
      <c r="M609" s="350"/>
      <c r="P609" s="225"/>
      <c r="U609" s="315"/>
      <c r="V609" s="315"/>
    </row>
    <row r="610" spans="10:22" ht="16">
      <c r="J610" s="314"/>
      <c r="M610" s="350"/>
      <c r="P610" s="225"/>
      <c r="U610" s="315"/>
      <c r="V610" s="315"/>
    </row>
    <row r="611" spans="10:22" ht="16">
      <c r="J611" s="314"/>
      <c r="M611" s="350"/>
      <c r="P611" s="225"/>
      <c r="U611" s="315"/>
      <c r="V611" s="315"/>
    </row>
    <row r="612" spans="10:22" ht="16">
      <c r="J612" s="314"/>
      <c r="M612" s="350"/>
      <c r="P612" s="225"/>
      <c r="U612" s="315"/>
      <c r="V612" s="315"/>
    </row>
    <row r="613" spans="10:22" ht="16">
      <c r="J613" s="314"/>
      <c r="M613" s="350"/>
      <c r="P613" s="225"/>
      <c r="U613" s="315"/>
      <c r="V613" s="315"/>
    </row>
    <row r="614" spans="10:22" ht="16">
      <c r="J614" s="314"/>
      <c r="M614" s="350"/>
      <c r="P614" s="225"/>
      <c r="U614" s="315"/>
      <c r="V614" s="315"/>
    </row>
    <row r="615" spans="10:22" ht="16">
      <c r="J615" s="314"/>
      <c r="M615" s="350"/>
      <c r="P615" s="225"/>
      <c r="U615" s="315"/>
      <c r="V615" s="315"/>
    </row>
    <row r="616" spans="10:22" ht="16">
      <c r="J616" s="314"/>
      <c r="M616" s="350"/>
      <c r="P616" s="225"/>
      <c r="U616" s="315"/>
      <c r="V616" s="315"/>
    </row>
    <row r="617" spans="10:22" ht="16">
      <c r="J617" s="314"/>
      <c r="M617" s="350"/>
      <c r="P617" s="225"/>
      <c r="U617" s="315"/>
      <c r="V617" s="315"/>
    </row>
    <row r="618" spans="10:22" ht="16">
      <c r="J618" s="314"/>
      <c r="M618" s="350"/>
      <c r="P618" s="225"/>
      <c r="U618" s="315"/>
      <c r="V618" s="315"/>
    </row>
    <row r="619" spans="10:22" ht="16">
      <c r="J619" s="314"/>
      <c r="M619" s="350"/>
      <c r="P619" s="225"/>
      <c r="U619" s="315"/>
      <c r="V619" s="315"/>
    </row>
    <row r="620" spans="10:22" ht="16">
      <c r="J620" s="314"/>
      <c r="M620" s="350"/>
      <c r="P620" s="225"/>
      <c r="U620" s="315"/>
      <c r="V620" s="315"/>
    </row>
    <row r="621" spans="10:22" ht="16">
      <c r="J621" s="314"/>
      <c r="M621" s="350"/>
      <c r="P621" s="225"/>
      <c r="U621" s="315"/>
      <c r="V621" s="315"/>
    </row>
    <row r="622" spans="10:22" ht="16">
      <c r="J622" s="314"/>
      <c r="M622" s="350"/>
      <c r="P622" s="225"/>
      <c r="U622" s="315"/>
      <c r="V622" s="315"/>
    </row>
    <row r="623" spans="10:22" ht="16">
      <c r="J623" s="314"/>
      <c r="M623" s="350"/>
      <c r="P623" s="225"/>
      <c r="U623" s="315"/>
      <c r="V623" s="315"/>
    </row>
    <row r="624" spans="10:22" ht="16">
      <c r="J624" s="314"/>
      <c r="M624" s="350"/>
      <c r="P624" s="225"/>
      <c r="U624" s="315"/>
      <c r="V624" s="315"/>
    </row>
    <row r="625" spans="10:22" ht="16">
      <c r="J625" s="314"/>
      <c r="M625" s="350"/>
      <c r="P625" s="225"/>
      <c r="U625" s="315"/>
      <c r="V625" s="315"/>
    </row>
    <row r="626" spans="10:22" ht="16">
      <c r="J626" s="314"/>
      <c r="M626" s="350"/>
      <c r="P626" s="225"/>
      <c r="U626" s="315"/>
      <c r="V626" s="315"/>
    </row>
    <row r="627" spans="10:22" ht="16">
      <c r="J627" s="314"/>
      <c r="M627" s="350"/>
      <c r="P627" s="225"/>
      <c r="U627" s="315"/>
      <c r="V627" s="315"/>
    </row>
    <row r="628" spans="10:22" ht="16">
      <c r="J628" s="314"/>
      <c r="M628" s="350"/>
      <c r="P628" s="225"/>
      <c r="U628" s="315"/>
      <c r="V628" s="315"/>
    </row>
    <row r="629" spans="10:22" ht="16">
      <c r="J629" s="314"/>
      <c r="M629" s="350"/>
      <c r="P629" s="225"/>
      <c r="U629" s="315"/>
      <c r="V629" s="315"/>
    </row>
    <row r="630" spans="10:22" ht="16">
      <c r="J630" s="314"/>
      <c r="M630" s="350"/>
      <c r="P630" s="225"/>
      <c r="U630" s="315"/>
      <c r="V630" s="315"/>
    </row>
    <row r="631" spans="10:22" ht="16">
      <c r="J631" s="314"/>
      <c r="M631" s="350"/>
      <c r="P631" s="225"/>
      <c r="U631" s="315"/>
      <c r="V631" s="315"/>
    </row>
    <row r="632" spans="10:22" ht="16">
      <c r="J632" s="314"/>
      <c r="M632" s="350"/>
      <c r="P632" s="225"/>
      <c r="U632" s="315"/>
      <c r="V632" s="315"/>
    </row>
    <row r="633" spans="10:22" ht="16">
      <c r="J633" s="314"/>
      <c r="M633" s="350"/>
      <c r="P633" s="225"/>
      <c r="U633" s="315"/>
      <c r="V633" s="315"/>
    </row>
    <row r="634" spans="10:22" ht="16">
      <c r="J634" s="314"/>
      <c r="M634" s="350"/>
      <c r="P634" s="225"/>
      <c r="U634" s="315"/>
      <c r="V634" s="315"/>
    </row>
    <row r="635" spans="10:22" ht="16">
      <c r="J635" s="314"/>
      <c r="M635" s="350"/>
      <c r="P635" s="225"/>
      <c r="U635" s="315"/>
      <c r="V635" s="315"/>
    </row>
    <row r="636" spans="10:22" ht="16">
      <c r="J636" s="314"/>
      <c r="M636" s="350"/>
      <c r="P636" s="225"/>
      <c r="U636" s="315"/>
      <c r="V636" s="315"/>
    </row>
    <row r="637" spans="10:22" ht="16">
      <c r="J637" s="314"/>
      <c r="M637" s="350"/>
      <c r="P637" s="225"/>
      <c r="U637" s="315"/>
      <c r="V637" s="315"/>
    </row>
    <row r="638" spans="10:22" ht="16">
      <c r="J638" s="314"/>
      <c r="M638" s="350"/>
      <c r="P638" s="225"/>
      <c r="U638" s="315"/>
      <c r="V638" s="315"/>
    </row>
    <row r="639" spans="10:22" ht="16">
      <c r="J639" s="314"/>
      <c r="M639" s="350"/>
      <c r="P639" s="225"/>
      <c r="U639" s="315"/>
      <c r="V639" s="315"/>
    </row>
    <row r="640" spans="10:22" ht="16">
      <c r="J640" s="314"/>
      <c r="M640" s="350"/>
      <c r="P640" s="225"/>
      <c r="U640" s="315"/>
      <c r="V640" s="315"/>
    </row>
    <row r="641" spans="10:22" ht="16">
      <c r="J641" s="314"/>
      <c r="M641" s="350"/>
      <c r="P641" s="225"/>
      <c r="U641" s="315"/>
      <c r="V641" s="315"/>
    </row>
    <row r="642" spans="10:22" ht="16">
      <c r="J642" s="314"/>
      <c r="M642" s="350"/>
      <c r="P642" s="225"/>
      <c r="U642" s="315"/>
      <c r="V642" s="315"/>
    </row>
    <row r="643" spans="10:22" ht="16">
      <c r="J643" s="314"/>
      <c r="M643" s="350"/>
      <c r="P643" s="225"/>
      <c r="U643" s="315"/>
      <c r="V643" s="315"/>
    </row>
    <row r="644" spans="10:22" ht="16">
      <c r="J644" s="314"/>
      <c r="M644" s="350"/>
      <c r="P644" s="225"/>
      <c r="U644" s="315"/>
      <c r="V644" s="315"/>
    </row>
    <row r="645" spans="10:22" ht="16">
      <c r="J645" s="314"/>
      <c r="M645" s="350"/>
      <c r="P645" s="225"/>
      <c r="U645" s="315"/>
      <c r="V645" s="315"/>
    </row>
    <row r="646" spans="10:22" ht="16">
      <c r="J646" s="314"/>
      <c r="M646" s="350"/>
      <c r="P646" s="225"/>
      <c r="U646" s="315"/>
      <c r="V646" s="315"/>
    </row>
    <row r="647" spans="10:22" ht="16">
      <c r="J647" s="314"/>
      <c r="M647" s="350"/>
      <c r="P647" s="225"/>
      <c r="U647" s="315"/>
      <c r="V647" s="315"/>
    </row>
    <row r="648" spans="10:22" ht="16">
      <c r="J648" s="314"/>
      <c r="M648" s="350"/>
      <c r="P648" s="225"/>
      <c r="U648" s="315"/>
      <c r="V648" s="315"/>
    </row>
    <row r="649" spans="10:22" ht="16">
      <c r="J649" s="314"/>
      <c r="M649" s="350"/>
      <c r="P649" s="225"/>
      <c r="U649" s="315"/>
      <c r="V649" s="315"/>
    </row>
    <row r="650" spans="10:22" ht="16">
      <c r="J650" s="314"/>
      <c r="M650" s="350"/>
      <c r="P650" s="225"/>
      <c r="U650" s="315"/>
      <c r="V650" s="315"/>
    </row>
    <row r="651" spans="10:22" ht="16">
      <c r="J651" s="314"/>
      <c r="M651" s="350"/>
      <c r="P651" s="225"/>
      <c r="U651" s="315"/>
      <c r="V651" s="315"/>
    </row>
    <row r="652" spans="10:22" ht="16">
      <c r="J652" s="314"/>
      <c r="M652" s="350"/>
      <c r="P652" s="225"/>
      <c r="U652" s="315"/>
      <c r="V652" s="315"/>
    </row>
    <row r="653" spans="10:22" ht="16">
      <c r="J653" s="314"/>
      <c r="M653" s="350"/>
      <c r="P653" s="225"/>
      <c r="U653" s="315"/>
      <c r="V653" s="315"/>
    </row>
    <row r="654" spans="10:22" ht="16">
      <c r="J654" s="314"/>
      <c r="M654" s="350"/>
      <c r="P654" s="225"/>
      <c r="U654" s="315"/>
      <c r="V654" s="315"/>
    </row>
    <row r="655" spans="10:22" ht="16">
      <c r="J655" s="314"/>
      <c r="M655" s="350"/>
      <c r="P655" s="225"/>
      <c r="U655" s="315"/>
      <c r="V655" s="315"/>
    </row>
    <row r="656" spans="10:22" ht="16">
      <c r="J656" s="314"/>
      <c r="M656" s="350"/>
      <c r="P656" s="225"/>
      <c r="U656" s="315"/>
      <c r="V656" s="315"/>
    </row>
    <row r="657" spans="10:22" ht="16">
      <c r="J657" s="314"/>
      <c r="M657" s="350"/>
      <c r="P657" s="225"/>
      <c r="U657" s="315"/>
      <c r="V657" s="315"/>
    </row>
    <row r="658" spans="10:22" ht="16">
      <c r="J658" s="314"/>
      <c r="M658" s="350"/>
      <c r="P658" s="225"/>
      <c r="U658" s="315"/>
      <c r="V658" s="315"/>
    </row>
    <row r="659" spans="10:22" ht="16">
      <c r="J659" s="314"/>
      <c r="M659" s="350"/>
      <c r="P659" s="225"/>
      <c r="U659" s="315"/>
      <c r="V659" s="315"/>
    </row>
    <row r="660" spans="10:22" ht="16">
      <c r="J660" s="314"/>
      <c r="M660" s="350"/>
      <c r="P660" s="225"/>
      <c r="U660" s="315"/>
      <c r="V660" s="315"/>
    </row>
    <row r="661" spans="10:22" ht="16">
      <c r="J661" s="314"/>
      <c r="M661" s="350"/>
      <c r="P661" s="225"/>
      <c r="U661" s="315"/>
      <c r="V661" s="315"/>
    </row>
    <row r="662" spans="10:22" ht="16">
      <c r="J662" s="314"/>
      <c r="M662" s="350"/>
      <c r="P662" s="225"/>
      <c r="U662" s="315"/>
      <c r="V662" s="315"/>
    </row>
    <row r="663" spans="10:22" ht="16">
      <c r="J663" s="314"/>
      <c r="M663" s="350"/>
      <c r="P663" s="225"/>
      <c r="U663" s="315"/>
      <c r="V663" s="315"/>
    </row>
    <row r="664" spans="10:22" ht="16">
      <c r="J664" s="314"/>
      <c r="M664" s="350"/>
      <c r="P664" s="225"/>
      <c r="U664" s="315"/>
      <c r="V664" s="315"/>
    </row>
    <row r="665" spans="10:22" ht="16">
      <c r="J665" s="314"/>
      <c r="M665" s="350"/>
      <c r="P665" s="225"/>
      <c r="U665" s="315"/>
      <c r="V665" s="315"/>
    </row>
    <row r="666" spans="10:22" ht="16">
      <c r="J666" s="314"/>
      <c r="M666" s="350"/>
      <c r="P666" s="225"/>
      <c r="U666" s="315"/>
      <c r="V666" s="315"/>
    </row>
    <row r="667" spans="10:22" ht="16">
      <c r="J667" s="314"/>
      <c r="M667" s="350"/>
      <c r="P667" s="225"/>
      <c r="U667" s="315"/>
      <c r="V667" s="315"/>
    </row>
    <row r="668" spans="10:22" ht="16">
      <c r="J668" s="314"/>
      <c r="M668" s="350"/>
      <c r="P668" s="225"/>
      <c r="U668" s="315"/>
      <c r="V668" s="315"/>
    </row>
    <row r="669" spans="10:22" ht="16">
      <c r="J669" s="314"/>
      <c r="M669" s="350"/>
      <c r="P669" s="225"/>
      <c r="U669" s="315"/>
      <c r="V669" s="315"/>
    </row>
    <row r="670" spans="10:22" ht="16">
      <c r="J670" s="314"/>
      <c r="M670" s="350"/>
      <c r="P670" s="225"/>
      <c r="U670" s="315"/>
      <c r="V670" s="315"/>
    </row>
    <row r="671" spans="10:22" ht="16">
      <c r="J671" s="314"/>
      <c r="M671" s="350"/>
      <c r="P671" s="225"/>
      <c r="U671" s="315"/>
      <c r="V671" s="315"/>
    </row>
    <row r="672" spans="10:22" ht="16">
      <c r="J672" s="314"/>
      <c r="M672" s="350"/>
      <c r="P672" s="225"/>
      <c r="U672" s="315"/>
      <c r="V672" s="315"/>
    </row>
    <row r="673" spans="10:22" ht="16">
      <c r="J673" s="314"/>
      <c r="M673" s="350"/>
      <c r="P673" s="225"/>
      <c r="U673" s="315"/>
      <c r="V673" s="315"/>
    </row>
    <row r="674" spans="10:22" ht="16">
      <c r="J674" s="314"/>
      <c r="M674" s="350"/>
      <c r="P674" s="225"/>
      <c r="U674" s="315"/>
      <c r="V674" s="315"/>
    </row>
    <row r="675" spans="10:22" ht="16">
      <c r="J675" s="314"/>
      <c r="M675" s="350"/>
      <c r="P675" s="225"/>
      <c r="U675" s="315"/>
      <c r="V675" s="315"/>
    </row>
    <row r="676" spans="10:22" ht="16">
      <c r="J676" s="314"/>
      <c r="M676" s="350"/>
      <c r="P676" s="225"/>
      <c r="U676" s="315"/>
      <c r="V676" s="315"/>
    </row>
    <row r="677" spans="10:22" ht="16">
      <c r="J677" s="314"/>
      <c r="M677" s="350"/>
      <c r="P677" s="225"/>
      <c r="U677" s="315"/>
      <c r="V677" s="315"/>
    </row>
    <row r="678" spans="10:22" ht="16">
      <c r="J678" s="314"/>
      <c r="M678" s="350"/>
      <c r="P678" s="225"/>
      <c r="U678" s="315"/>
      <c r="V678" s="315"/>
    </row>
    <row r="679" spans="10:22" ht="16">
      <c r="J679" s="314"/>
      <c r="M679" s="350"/>
      <c r="P679" s="225"/>
      <c r="U679" s="315"/>
      <c r="V679" s="315"/>
    </row>
    <row r="680" spans="10:22" ht="16">
      <c r="J680" s="314"/>
      <c r="M680" s="350"/>
      <c r="P680" s="225"/>
      <c r="U680" s="315"/>
      <c r="V680" s="315"/>
    </row>
    <row r="681" spans="10:22" ht="16">
      <c r="J681" s="314"/>
      <c r="M681" s="350"/>
      <c r="P681" s="225"/>
      <c r="U681" s="315"/>
      <c r="V681" s="315"/>
    </row>
    <row r="682" spans="10:22" ht="16">
      <c r="J682" s="314"/>
      <c r="M682" s="350"/>
      <c r="P682" s="225"/>
      <c r="U682" s="315"/>
      <c r="V682" s="315"/>
    </row>
    <row r="683" spans="10:22" ht="16">
      <c r="J683" s="314"/>
      <c r="M683" s="350"/>
      <c r="P683" s="225"/>
      <c r="U683" s="315"/>
      <c r="V683" s="315"/>
    </row>
    <row r="684" spans="10:22" ht="16">
      <c r="J684" s="314"/>
      <c r="M684" s="350"/>
      <c r="P684" s="225"/>
      <c r="U684" s="315"/>
      <c r="V684" s="315"/>
    </row>
    <row r="685" spans="10:22" ht="16">
      <c r="J685" s="314"/>
      <c r="M685" s="350"/>
      <c r="P685" s="225"/>
      <c r="U685" s="315"/>
      <c r="V685" s="315"/>
    </row>
    <row r="686" spans="10:22" ht="16">
      <c r="J686" s="314"/>
      <c r="M686" s="350"/>
      <c r="P686" s="225"/>
      <c r="U686" s="315"/>
      <c r="V686" s="315"/>
    </row>
    <row r="687" spans="10:22" ht="16">
      <c r="J687" s="314"/>
      <c r="M687" s="350"/>
      <c r="P687" s="225"/>
      <c r="U687" s="315"/>
      <c r="V687" s="315"/>
    </row>
    <row r="688" spans="10:22" ht="16">
      <c r="J688" s="314"/>
      <c r="M688" s="350"/>
      <c r="P688" s="225"/>
      <c r="U688" s="315"/>
      <c r="V688" s="315"/>
    </row>
    <row r="689" spans="10:22" ht="16">
      <c r="J689" s="314"/>
      <c r="M689" s="350"/>
      <c r="P689" s="225"/>
      <c r="U689" s="315"/>
      <c r="V689" s="315"/>
    </row>
    <row r="690" spans="10:22" ht="16">
      <c r="J690" s="314"/>
      <c r="M690" s="350"/>
      <c r="P690" s="225"/>
      <c r="U690" s="315"/>
      <c r="V690" s="315"/>
    </row>
    <row r="691" spans="10:22" ht="16">
      <c r="J691" s="314"/>
      <c r="M691" s="350"/>
      <c r="P691" s="225"/>
      <c r="U691" s="315"/>
      <c r="V691" s="315"/>
    </row>
    <row r="692" spans="10:22" ht="16">
      <c r="J692" s="314"/>
      <c r="M692" s="350"/>
      <c r="P692" s="225"/>
      <c r="U692" s="315"/>
      <c r="V692" s="315"/>
    </row>
    <row r="693" spans="10:22" ht="16">
      <c r="J693" s="314"/>
      <c r="M693" s="350"/>
      <c r="P693" s="225"/>
      <c r="U693" s="315"/>
      <c r="V693" s="315"/>
    </row>
    <row r="694" spans="10:22" ht="16">
      <c r="J694" s="314"/>
      <c r="M694" s="350"/>
      <c r="P694" s="225"/>
      <c r="U694" s="315"/>
      <c r="V694" s="315"/>
    </row>
    <row r="695" spans="10:22" ht="16">
      <c r="J695" s="314"/>
      <c r="M695" s="350"/>
      <c r="P695" s="225"/>
      <c r="U695" s="315"/>
      <c r="V695" s="315"/>
    </row>
    <row r="696" spans="10:22" ht="16">
      <c r="J696" s="314"/>
      <c r="M696" s="350"/>
      <c r="P696" s="225"/>
      <c r="U696" s="315"/>
      <c r="V696" s="315"/>
    </row>
    <row r="697" spans="10:22" ht="16">
      <c r="J697" s="314"/>
      <c r="M697" s="350"/>
      <c r="P697" s="225"/>
      <c r="U697" s="315"/>
      <c r="V697" s="315"/>
    </row>
    <row r="698" spans="10:22" ht="16">
      <c r="J698" s="314"/>
      <c r="M698" s="350"/>
      <c r="P698" s="225"/>
      <c r="U698" s="315"/>
      <c r="V698" s="315"/>
    </row>
    <row r="699" spans="10:22" ht="16">
      <c r="J699" s="314"/>
      <c r="M699" s="350"/>
      <c r="P699" s="225"/>
      <c r="U699" s="315"/>
      <c r="V699" s="315"/>
    </row>
    <row r="700" spans="10:22" ht="16">
      <c r="J700" s="314"/>
      <c r="M700" s="350"/>
      <c r="P700" s="225"/>
      <c r="U700" s="315"/>
      <c r="V700" s="315"/>
    </row>
    <row r="701" spans="10:22" ht="16">
      <c r="J701" s="314"/>
      <c r="M701" s="350"/>
      <c r="P701" s="225"/>
      <c r="U701" s="315"/>
      <c r="V701" s="315"/>
    </row>
    <row r="702" spans="10:22" ht="16">
      <c r="J702" s="314"/>
      <c r="M702" s="350"/>
      <c r="P702" s="225"/>
      <c r="U702" s="315"/>
      <c r="V702" s="315"/>
    </row>
    <row r="703" spans="10:22" ht="16">
      <c r="J703" s="314"/>
      <c r="M703" s="350"/>
      <c r="P703" s="225"/>
      <c r="U703" s="315"/>
      <c r="V703" s="315"/>
    </row>
    <row r="704" spans="10:22" ht="16">
      <c r="J704" s="314"/>
      <c r="M704" s="350"/>
      <c r="P704" s="225"/>
      <c r="U704" s="315"/>
      <c r="V704" s="315"/>
    </row>
    <row r="705" spans="10:22" ht="16">
      <c r="J705" s="314"/>
      <c r="M705" s="350"/>
      <c r="P705" s="225"/>
      <c r="U705" s="315"/>
      <c r="V705" s="315"/>
    </row>
    <row r="706" spans="10:22" ht="16">
      <c r="J706" s="314"/>
      <c r="M706" s="350"/>
      <c r="P706" s="225"/>
      <c r="U706" s="315"/>
      <c r="V706" s="315"/>
    </row>
    <row r="707" spans="10:22" ht="16">
      <c r="J707" s="314"/>
      <c r="M707" s="350"/>
      <c r="P707" s="225"/>
      <c r="U707" s="315"/>
      <c r="V707" s="315"/>
    </row>
    <row r="708" spans="10:22" ht="16">
      <c r="J708" s="314"/>
      <c r="M708" s="350"/>
      <c r="P708" s="225"/>
      <c r="U708" s="315"/>
      <c r="V708" s="315"/>
    </row>
    <row r="709" spans="10:22" ht="16">
      <c r="J709" s="314"/>
      <c r="M709" s="350"/>
      <c r="P709" s="225"/>
      <c r="U709" s="315"/>
      <c r="V709" s="315"/>
    </row>
    <row r="710" spans="10:22" ht="16">
      <c r="J710" s="314"/>
      <c r="M710" s="350"/>
      <c r="P710" s="225"/>
      <c r="U710" s="315"/>
      <c r="V710" s="315"/>
    </row>
    <row r="711" spans="10:22" ht="16">
      <c r="J711" s="314"/>
      <c r="M711" s="350"/>
      <c r="P711" s="225"/>
      <c r="U711" s="315"/>
      <c r="V711" s="315"/>
    </row>
    <row r="712" spans="10:22" ht="16">
      <c r="J712" s="314"/>
      <c r="M712" s="350"/>
      <c r="P712" s="225"/>
      <c r="U712" s="315"/>
      <c r="V712" s="315"/>
    </row>
    <row r="713" spans="10:22" ht="16">
      <c r="J713" s="314"/>
      <c r="M713" s="350"/>
      <c r="P713" s="225"/>
      <c r="U713" s="315"/>
      <c r="V713" s="315"/>
    </row>
    <row r="714" spans="10:22" ht="16">
      <c r="J714" s="314"/>
      <c r="M714" s="350"/>
      <c r="P714" s="225"/>
      <c r="U714" s="315"/>
      <c r="V714" s="315"/>
    </row>
    <row r="715" spans="10:22" ht="16">
      <c r="J715" s="314"/>
      <c r="M715" s="350"/>
      <c r="P715" s="225"/>
      <c r="U715" s="315"/>
      <c r="V715" s="315"/>
    </row>
    <row r="716" spans="10:22" ht="16">
      <c r="J716" s="314"/>
      <c r="M716" s="350"/>
      <c r="P716" s="225"/>
      <c r="U716" s="315"/>
      <c r="V716" s="315"/>
    </row>
    <row r="717" spans="10:22" ht="16">
      <c r="J717" s="314"/>
      <c r="M717" s="350"/>
      <c r="P717" s="225"/>
      <c r="U717" s="315"/>
      <c r="V717" s="315"/>
    </row>
    <row r="718" spans="10:22" ht="16">
      <c r="J718" s="314"/>
      <c r="M718" s="350"/>
      <c r="P718" s="225"/>
      <c r="U718" s="315"/>
      <c r="V718" s="315"/>
    </row>
    <row r="719" spans="10:22" ht="16">
      <c r="J719" s="314"/>
      <c r="M719" s="350"/>
      <c r="P719" s="225"/>
      <c r="U719" s="315"/>
      <c r="V719" s="315"/>
    </row>
    <row r="720" spans="10:22" ht="16">
      <c r="J720" s="314"/>
      <c r="M720" s="350"/>
      <c r="P720" s="225"/>
      <c r="U720" s="315"/>
      <c r="V720" s="315"/>
    </row>
    <row r="721" spans="10:22" ht="16">
      <c r="J721" s="314"/>
      <c r="M721" s="350"/>
      <c r="P721" s="225"/>
      <c r="U721" s="315"/>
      <c r="V721" s="315"/>
    </row>
    <row r="722" spans="10:22" ht="16">
      <c r="J722" s="314"/>
      <c r="M722" s="350"/>
      <c r="P722" s="225"/>
      <c r="U722" s="315"/>
      <c r="V722" s="315"/>
    </row>
    <row r="723" spans="10:22" ht="16">
      <c r="J723" s="314"/>
      <c r="M723" s="350"/>
      <c r="P723" s="225"/>
      <c r="U723" s="315"/>
      <c r="V723" s="315"/>
    </row>
    <row r="724" spans="10:22" ht="16">
      <c r="J724" s="314"/>
      <c r="M724" s="350"/>
      <c r="P724" s="225"/>
      <c r="U724" s="315"/>
      <c r="V724" s="315"/>
    </row>
    <row r="725" spans="10:22" ht="16">
      <c r="J725" s="314"/>
      <c r="M725" s="350"/>
      <c r="P725" s="225"/>
      <c r="U725" s="315"/>
      <c r="V725" s="315"/>
    </row>
    <row r="726" spans="10:22" ht="16">
      <c r="J726" s="314"/>
      <c r="M726" s="350"/>
      <c r="P726" s="225"/>
      <c r="U726" s="315"/>
      <c r="V726" s="315"/>
    </row>
    <row r="727" spans="10:22" ht="16">
      <c r="J727" s="314"/>
      <c r="M727" s="350"/>
      <c r="P727" s="225"/>
      <c r="U727" s="315"/>
      <c r="V727" s="315"/>
    </row>
    <row r="728" spans="10:22" ht="16">
      <c r="J728" s="314"/>
      <c r="M728" s="350"/>
      <c r="P728" s="225"/>
      <c r="U728" s="315"/>
      <c r="V728" s="315"/>
    </row>
    <row r="729" spans="10:22" ht="16">
      <c r="J729" s="314"/>
      <c r="M729" s="350"/>
      <c r="P729" s="225"/>
      <c r="U729" s="315"/>
      <c r="V729" s="315"/>
    </row>
    <row r="730" spans="10:22" ht="16">
      <c r="J730" s="314"/>
      <c r="M730" s="350"/>
      <c r="P730" s="225"/>
      <c r="U730" s="315"/>
      <c r="V730" s="315"/>
    </row>
    <row r="731" spans="10:22" ht="16">
      <c r="J731" s="314"/>
      <c r="M731" s="350"/>
      <c r="P731" s="225"/>
      <c r="U731" s="315"/>
      <c r="V731" s="315"/>
    </row>
    <row r="732" spans="10:22" ht="16">
      <c r="J732" s="314"/>
      <c r="M732" s="350"/>
      <c r="P732" s="225"/>
      <c r="U732" s="315"/>
      <c r="V732" s="315"/>
    </row>
    <row r="733" spans="10:22" ht="16">
      <c r="J733" s="314"/>
      <c r="M733" s="350"/>
      <c r="P733" s="225"/>
      <c r="U733" s="315"/>
      <c r="V733" s="315"/>
    </row>
    <row r="734" spans="10:22" ht="16">
      <c r="J734" s="314"/>
      <c r="M734" s="350"/>
      <c r="P734" s="225"/>
      <c r="U734" s="315"/>
      <c r="V734" s="315"/>
    </row>
    <row r="735" spans="10:22" ht="16">
      <c r="J735" s="314"/>
      <c r="M735" s="350"/>
      <c r="P735" s="225"/>
      <c r="U735" s="315"/>
      <c r="V735" s="315"/>
    </row>
    <row r="736" spans="10:22" ht="16">
      <c r="J736" s="314"/>
      <c r="M736" s="350"/>
      <c r="P736" s="225"/>
      <c r="U736" s="315"/>
      <c r="V736" s="315"/>
    </row>
    <row r="737" spans="10:22" ht="16">
      <c r="J737" s="314"/>
      <c r="M737" s="350"/>
      <c r="P737" s="225"/>
      <c r="U737" s="315"/>
      <c r="V737" s="315"/>
    </row>
    <row r="738" spans="10:22" ht="16">
      <c r="J738" s="314"/>
      <c r="M738" s="350"/>
      <c r="P738" s="225"/>
      <c r="U738" s="315"/>
      <c r="V738" s="315"/>
    </row>
    <row r="739" spans="10:22" ht="16">
      <c r="J739" s="314"/>
      <c r="M739" s="350"/>
      <c r="P739" s="225"/>
      <c r="U739" s="315"/>
      <c r="V739" s="315"/>
    </row>
    <row r="740" spans="10:22" ht="16">
      <c r="J740" s="314"/>
      <c r="M740" s="350"/>
      <c r="P740" s="225"/>
      <c r="U740" s="315"/>
      <c r="V740" s="315"/>
    </row>
    <row r="741" spans="10:22" ht="16">
      <c r="J741" s="314"/>
      <c r="M741" s="350"/>
      <c r="P741" s="225"/>
      <c r="U741" s="315"/>
      <c r="V741" s="315"/>
    </row>
    <row r="742" spans="10:22" ht="16">
      <c r="J742" s="314"/>
      <c r="M742" s="350"/>
      <c r="P742" s="225"/>
      <c r="U742" s="315"/>
      <c r="V742" s="315"/>
    </row>
    <row r="743" spans="10:22" ht="16">
      <c r="J743" s="314"/>
      <c r="M743" s="350"/>
      <c r="P743" s="225"/>
      <c r="U743" s="315"/>
      <c r="V743" s="315"/>
    </row>
    <row r="744" spans="10:22" ht="16">
      <c r="J744" s="314"/>
      <c r="M744" s="350"/>
      <c r="P744" s="225"/>
      <c r="U744" s="315"/>
      <c r="V744" s="315"/>
    </row>
    <row r="745" spans="10:22" ht="16">
      <c r="J745" s="314"/>
      <c r="M745" s="350"/>
      <c r="P745" s="225"/>
      <c r="U745" s="315"/>
      <c r="V745" s="315"/>
    </row>
    <row r="746" spans="10:22" ht="16">
      <c r="J746" s="314"/>
      <c r="M746" s="350"/>
      <c r="P746" s="225"/>
      <c r="U746" s="315"/>
      <c r="V746" s="315"/>
    </row>
    <row r="747" spans="10:22" ht="16">
      <c r="J747" s="314"/>
      <c r="M747" s="350"/>
      <c r="P747" s="225"/>
      <c r="U747" s="315"/>
      <c r="V747" s="315"/>
    </row>
    <row r="748" spans="10:22" ht="16">
      <c r="J748" s="314"/>
      <c r="M748" s="350"/>
      <c r="P748" s="225"/>
      <c r="U748" s="315"/>
      <c r="V748" s="315"/>
    </row>
    <row r="749" spans="10:22" ht="16">
      <c r="J749" s="314"/>
      <c r="M749" s="350"/>
      <c r="P749" s="225"/>
      <c r="U749" s="315"/>
      <c r="V749" s="315"/>
    </row>
    <row r="750" spans="10:22" ht="16">
      <c r="J750" s="314"/>
      <c r="M750" s="350"/>
      <c r="P750" s="225"/>
      <c r="U750" s="315"/>
      <c r="V750" s="315"/>
    </row>
    <row r="751" spans="10:22" ht="16">
      <c r="J751" s="314"/>
      <c r="M751" s="350"/>
      <c r="P751" s="225"/>
      <c r="U751" s="315"/>
      <c r="V751" s="315"/>
    </row>
    <row r="752" spans="10:22" ht="16">
      <c r="J752" s="314"/>
      <c r="M752" s="350"/>
      <c r="P752" s="225"/>
      <c r="U752" s="315"/>
      <c r="V752" s="315"/>
    </row>
    <row r="753" spans="10:22" ht="16">
      <c r="J753" s="314"/>
      <c r="M753" s="350"/>
      <c r="P753" s="225"/>
      <c r="U753" s="315"/>
      <c r="V753" s="315"/>
    </row>
    <row r="754" spans="10:22" ht="16">
      <c r="J754" s="314"/>
      <c r="M754" s="350"/>
      <c r="P754" s="225"/>
      <c r="U754" s="315"/>
      <c r="V754" s="315"/>
    </row>
    <row r="755" spans="10:22" ht="16">
      <c r="J755" s="314"/>
      <c r="M755" s="350"/>
      <c r="P755" s="225"/>
      <c r="U755" s="315"/>
      <c r="V755" s="315"/>
    </row>
    <row r="756" spans="10:22" ht="16">
      <c r="J756" s="314"/>
      <c r="M756" s="350"/>
      <c r="P756" s="225"/>
      <c r="U756" s="315"/>
      <c r="V756" s="315"/>
    </row>
    <row r="757" spans="10:22" ht="16">
      <c r="J757" s="314"/>
      <c r="M757" s="350"/>
      <c r="P757" s="225"/>
      <c r="U757" s="315"/>
      <c r="V757" s="315"/>
    </row>
    <row r="758" spans="10:22" ht="16">
      <c r="J758" s="314"/>
      <c r="M758" s="350"/>
      <c r="P758" s="225"/>
      <c r="U758" s="315"/>
      <c r="V758" s="315"/>
    </row>
    <row r="759" spans="10:22" ht="16">
      <c r="J759" s="314"/>
      <c r="M759" s="350"/>
      <c r="P759" s="225"/>
      <c r="U759" s="315"/>
      <c r="V759" s="315"/>
    </row>
    <row r="760" spans="10:22" ht="16">
      <c r="J760" s="314"/>
      <c r="M760" s="350"/>
      <c r="P760" s="225"/>
      <c r="U760" s="315"/>
      <c r="V760" s="315"/>
    </row>
    <row r="761" spans="10:22" ht="16">
      <c r="J761" s="314"/>
      <c r="M761" s="350"/>
      <c r="P761" s="225"/>
      <c r="U761" s="315"/>
      <c r="V761" s="315"/>
    </row>
    <row r="762" spans="10:22" ht="16">
      <c r="J762" s="314"/>
      <c r="M762" s="350"/>
      <c r="P762" s="225"/>
      <c r="U762" s="315"/>
      <c r="V762" s="315"/>
    </row>
    <row r="763" spans="10:22" ht="16">
      <c r="J763" s="314"/>
      <c r="M763" s="350"/>
      <c r="P763" s="225"/>
      <c r="U763" s="315"/>
      <c r="V763" s="315"/>
    </row>
    <row r="764" spans="10:22" ht="16">
      <c r="J764" s="314"/>
      <c r="M764" s="350"/>
      <c r="P764" s="225"/>
      <c r="U764" s="315"/>
      <c r="V764" s="315"/>
    </row>
    <row r="765" spans="10:22" ht="16">
      <c r="J765" s="314"/>
      <c r="M765" s="350"/>
      <c r="P765" s="225"/>
      <c r="U765" s="315"/>
      <c r="V765" s="315"/>
    </row>
    <row r="766" spans="10:22" ht="16">
      <c r="J766" s="314"/>
      <c r="M766" s="350"/>
      <c r="P766" s="225"/>
      <c r="U766" s="315"/>
      <c r="V766" s="315"/>
    </row>
    <row r="767" spans="10:22" ht="16">
      <c r="J767" s="314"/>
      <c r="M767" s="350"/>
      <c r="P767" s="225"/>
      <c r="U767" s="315"/>
      <c r="V767" s="315"/>
    </row>
    <row r="768" spans="10:22" ht="16">
      <c r="J768" s="314"/>
      <c r="M768" s="350"/>
      <c r="P768" s="225"/>
      <c r="U768" s="315"/>
      <c r="V768" s="315"/>
    </row>
    <row r="769" spans="10:22" ht="16">
      <c r="J769" s="314"/>
      <c r="M769" s="350"/>
      <c r="P769" s="225"/>
      <c r="U769" s="315"/>
      <c r="V769" s="315"/>
    </row>
    <row r="770" spans="10:22" ht="16">
      <c r="J770" s="314"/>
      <c r="M770" s="350"/>
      <c r="P770" s="225"/>
      <c r="U770" s="315"/>
      <c r="V770" s="315"/>
    </row>
    <row r="771" spans="10:22" ht="16">
      <c r="J771" s="314"/>
      <c r="M771" s="350"/>
      <c r="P771" s="225"/>
      <c r="U771" s="315"/>
      <c r="V771" s="315"/>
    </row>
    <row r="772" spans="10:22" ht="16">
      <c r="J772" s="314"/>
      <c r="M772" s="350"/>
      <c r="P772" s="225"/>
      <c r="U772" s="315"/>
      <c r="V772" s="315"/>
    </row>
    <row r="773" spans="10:22" ht="16">
      <c r="J773" s="314"/>
      <c r="M773" s="350"/>
      <c r="P773" s="225"/>
      <c r="U773" s="315"/>
      <c r="V773" s="315"/>
    </row>
    <row r="774" spans="10:22" ht="16">
      <c r="J774" s="314"/>
      <c r="M774" s="350"/>
      <c r="P774" s="225"/>
      <c r="U774" s="315"/>
      <c r="V774" s="315"/>
    </row>
    <row r="775" spans="10:22" ht="16">
      <c r="J775" s="314"/>
      <c r="M775" s="350"/>
      <c r="P775" s="225"/>
      <c r="U775" s="315"/>
      <c r="V775" s="315"/>
    </row>
    <row r="776" spans="10:22" ht="16">
      <c r="J776" s="314"/>
      <c r="M776" s="350"/>
      <c r="P776" s="225"/>
      <c r="U776" s="315"/>
      <c r="V776" s="315"/>
    </row>
    <row r="777" spans="10:22" ht="16">
      <c r="J777" s="314"/>
      <c r="M777" s="350"/>
      <c r="P777" s="225"/>
      <c r="U777" s="315"/>
      <c r="V777" s="315"/>
    </row>
    <row r="778" spans="10:22" ht="16">
      <c r="J778" s="314"/>
      <c r="M778" s="350"/>
      <c r="P778" s="225"/>
      <c r="U778" s="315"/>
      <c r="V778" s="315"/>
    </row>
    <row r="779" spans="10:22" ht="16">
      <c r="J779" s="314"/>
      <c r="M779" s="350"/>
      <c r="P779" s="225"/>
      <c r="U779" s="315"/>
      <c r="V779" s="315"/>
    </row>
    <row r="780" spans="10:22" ht="16">
      <c r="J780" s="314"/>
      <c r="M780" s="350"/>
      <c r="P780" s="225"/>
      <c r="U780" s="315"/>
      <c r="V780" s="315"/>
    </row>
    <row r="781" spans="10:22" ht="16">
      <c r="J781" s="314"/>
      <c r="M781" s="350"/>
      <c r="P781" s="225"/>
      <c r="U781" s="315"/>
      <c r="V781" s="315"/>
    </row>
    <row r="782" spans="10:22" ht="16">
      <c r="J782" s="314"/>
      <c r="M782" s="350"/>
      <c r="P782" s="225"/>
      <c r="U782" s="315"/>
      <c r="V782" s="315"/>
    </row>
    <row r="783" spans="10:22" ht="16">
      <c r="J783" s="314"/>
      <c r="M783" s="350"/>
      <c r="P783" s="225"/>
      <c r="U783" s="315"/>
      <c r="V783" s="315"/>
    </row>
    <row r="784" spans="10:22" ht="16">
      <c r="J784" s="314"/>
      <c r="M784" s="350"/>
      <c r="P784" s="225"/>
      <c r="U784" s="315"/>
      <c r="V784" s="315"/>
    </row>
    <row r="785" spans="10:22" ht="16">
      <c r="J785" s="314"/>
      <c r="M785" s="350"/>
      <c r="P785" s="225"/>
      <c r="U785" s="315"/>
      <c r="V785" s="315"/>
    </row>
    <row r="786" spans="10:22" ht="16">
      <c r="J786" s="314"/>
      <c r="M786" s="350"/>
      <c r="P786" s="225"/>
      <c r="U786" s="315"/>
      <c r="V786" s="315"/>
    </row>
    <row r="787" spans="10:22" ht="16">
      <c r="J787" s="314"/>
      <c r="M787" s="350"/>
      <c r="P787" s="225"/>
      <c r="U787" s="315"/>
      <c r="V787" s="315"/>
    </row>
    <row r="788" spans="10:22" ht="16">
      <c r="J788" s="314"/>
      <c r="M788" s="350"/>
      <c r="P788" s="225"/>
      <c r="U788" s="315"/>
      <c r="V788" s="315"/>
    </row>
    <row r="789" spans="10:22" ht="16">
      <c r="J789" s="314"/>
      <c r="M789" s="350"/>
      <c r="P789" s="225"/>
      <c r="U789" s="315"/>
      <c r="V789" s="315"/>
    </row>
    <row r="790" spans="10:22" ht="16">
      <c r="J790" s="314"/>
      <c r="M790" s="350"/>
      <c r="P790" s="225"/>
      <c r="U790" s="315"/>
      <c r="V790" s="315"/>
    </row>
    <row r="791" spans="10:22" ht="16">
      <c r="J791" s="314"/>
      <c r="M791" s="350"/>
      <c r="P791" s="225"/>
      <c r="U791" s="315"/>
      <c r="V791" s="315"/>
    </row>
    <row r="792" spans="10:22" ht="16">
      <c r="J792" s="314"/>
      <c r="M792" s="350"/>
      <c r="P792" s="225"/>
      <c r="U792" s="315"/>
      <c r="V792" s="315"/>
    </row>
    <row r="793" spans="10:22" ht="16">
      <c r="J793" s="314"/>
      <c r="M793" s="350"/>
      <c r="P793" s="225"/>
      <c r="U793" s="315"/>
      <c r="V793" s="315"/>
    </row>
    <row r="794" spans="10:22" ht="16">
      <c r="J794" s="314"/>
      <c r="M794" s="350"/>
      <c r="P794" s="225"/>
      <c r="U794" s="315"/>
      <c r="V794" s="315"/>
    </row>
    <row r="795" spans="10:22" ht="16">
      <c r="J795" s="314"/>
      <c r="M795" s="350"/>
      <c r="P795" s="225"/>
      <c r="U795" s="315"/>
      <c r="V795" s="315"/>
    </row>
    <row r="796" spans="10:22" ht="16">
      <c r="J796" s="314"/>
      <c r="M796" s="350"/>
      <c r="P796" s="225"/>
      <c r="U796" s="315"/>
      <c r="V796" s="315"/>
    </row>
    <row r="797" spans="10:22" ht="16">
      <c r="J797" s="314"/>
      <c r="M797" s="350"/>
      <c r="P797" s="225"/>
      <c r="U797" s="315"/>
      <c r="V797" s="315"/>
    </row>
    <row r="798" spans="10:22" ht="16">
      <c r="J798" s="314"/>
      <c r="M798" s="350"/>
      <c r="P798" s="225"/>
      <c r="U798" s="315"/>
      <c r="V798" s="315"/>
    </row>
    <row r="799" spans="10:22" ht="16">
      <c r="J799" s="314"/>
      <c r="M799" s="350"/>
      <c r="P799" s="225"/>
      <c r="U799" s="315"/>
      <c r="V799" s="315"/>
    </row>
    <row r="800" spans="10:22" ht="16">
      <c r="J800" s="314"/>
      <c r="M800" s="350"/>
      <c r="P800" s="225"/>
      <c r="U800" s="315"/>
      <c r="V800" s="315"/>
    </row>
    <row r="801" spans="10:22" ht="16">
      <c r="J801" s="314"/>
      <c r="M801" s="350"/>
      <c r="P801" s="225"/>
      <c r="U801" s="315"/>
      <c r="V801" s="315"/>
    </row>
    <row r="802" spans="10:22" ht="16">
      <c r="J802" s="314"/>
      <c r="M802" s="350"/>
      <c r="P802" s="225"/>
      <c r="U802" s="315"/>
      <c r="V802" s="315"/>
    </row>
    <row r="803" spans="10:22" ht="16">
      <c r="J803" s="314"/>
      <c r="M803" s="350"/>
      <c r="P803" s="225"/>
      <c r="U803" s="315"/>
      <c r="V803" s="315"/>
    </row>
    <row r="804" spans="10:22" ht="16">
      <c r="J804" s="314"/>
      <c r="M804" s="350"/>
      <c r="P804" s="225"/>
      <c r="U804" s="315"/>
      <c r="V804" s="315"/>
    </row>
    <row r="805" spans="10:22" ht="16">
      <c r="J805" s="314"/>
      <c r="M805" s="350"/>
      <c r="P805" s="225"/>
      <c r="U805" s="315"/>
      <c r="V805" s="315"/>
    </row>
    <row r="806" spans="10:22" ht="16">
      <c r="J806" s="314"/>
      <c r="M806" s="350"/>
      <c r="P806" s="225"/>
      <c r="U806" s="315"/>
      <c r="V806" s="315"/>
    </row>
    <row r="807" spans="10:22" ht="16">
      <c r="J807" s="314"/>
      <c r="M807" s="350"/>
      <c r="P807" s="225"/>
      <c r="U807" s="315"/>
      <c r="V807" s="315"/>
    </row>
    <row r="808" spans="10:22" ht="16">
      <c r="J808" s="314"/>
      <c r="M808" s="350"/>
      <c r="P808" s="225"/>
      <c r="U808" s="315"/>
      <c r="V808" s="315"/>
    </row>
    <row r="809" spans="10:22" ht="16">
      <c r="J809" s="314"/>
      <c r="M809" s="350"/>
      <c r="P809" s="225"/>
      <c r="U809" s="315"/>
      <c r="V809" s="315"/>
    </row>
    <row r="810" spans="10:22" ht="16">
      <c r="J810" s="314"/>
      <c r="M810" s="350"/>
      <c r="P810" s="225"/>
      <c r="U810" s="315"/>
      <c r="V810" s="315"/>
    </row>
    <row r="811" spans="10:22" ht="16">
      <c r="J811" s="314"/>
      <c r="M811" s="350"/>
      <c r="P811" s="225"/>
      <c r="U811" s="315"/>
      <c r="V811" s="315"/>
    </row>
    <row r="812" spans="10:22" ht="16">
      <c r="J812" s="314"/>
      <c r="M812" s="350"/>
      <c r="P812" s="225"/>
      <c r="U812" s="315"/>
      <c r="V812" s="315"/>
    </row>
    <row r="813" spans="10:22" ht="16">
      <c r="J813" s="314"/>
      <c r="M813" s="350"/>
      <c r="P813" s="225"/>
      <c r="U813" s="315"/>
      <c r="V813" s="315"/>
    </row>
    <row r="814" spans="10:22" ht="16">
      <c r="J814" s="314"/>
      <c r="M814" s="350"/>
      <c r="P814" s="225"/>
      <c r="U814" s="315"/>
      <c r="V814" s="315"/>
    </row>
    <row r="815" spans="10:22" ht="16">
      <c r="J815" s="314"/>
      <c r="M815" s="350"/>
      <c r="P815" s="225"/>
      <c r="U815" s="315"/>
      <c r="V815" s="315"/>
    </row>
    <row r="816" spans="10:22" ht="16">
      <c r="J816" s="314"/>
      <c r="M816" s="350"/>
      <c r="P816" s="225"/>
      <c r="U816" s="315"/>
      <c r="V816" s="315"/>
    </row>
    <row r="817" spans="10:22" ht="16">
      <c r="J817" s="314"/>
      <c r="M817" s="350"/>
      <c r="P817" s="225"/>
      <c r="U817" s="315"/>
      <c r="V817" s="315"/>
    </row>
    <row r="818" spans="10:22" ht="16">
      <c r="J818" s="314"/>
      <c r="M818" s="350"/>
      <c r="P818" s="225"/>
      <c r="U818" s="315"/>
      <c r="V818" s="315"/>
    </row>
    <row r="819" spans="10:22" ht="16">
      <c r="J819" s="314"/>
      <c r="M819" s="350"/>
      <c r="P819" s="225"/>
      <c r="U819" s="315"/>
      <c r="V819" s="315"/>
    </row>
    <row r="820" spans="10:22" ht="16">
      <c r="J820" s="314"/>
      <c r="M820" s="350"/>
      <c r="P820" s="225"/>
      <c r="U820" s="315"/>
      <c r="V820" s="315"/>
    </row>
    <row r="821" spans="10:22" ht="16">
      <c r="J821" s="314"/>
      <c r="M821" s="350"/>
      <c r="P821" s="225"/>
      <c r="U821" s="315"/>
      <c r="V821" s="315"/>
    </row>
    <row r="822" spans="10:22" ht="16">
      <c r="J822" s="314"/>
      <c r="M822" s="350"/>
      <c r="P822" s="225"/>
      <c r="U822" s="315"/>
      <c r="V822" s="315"/>
    </row>
    <row r="823" spans="10:22" ht="16">
      <c r="J823" s="314"/>
      <c r="M823" s="350"/>
      <c r="P823" s="225"/>
      <c r="U823" s="315"/>
      <c r="V823" s="315"/>
    </row>
    <row r="824" spans="10:22" ht="16">
      <c r="J824" s="314"/>
      <c r="M824" s="350"/>
      <c r="P824" s="225"/>
      <c r="U824" s="315"/>
      <c r="V824" s="315"/>
    </row>
    <row r="825" spans="10:22" ht="16">
      <c r="J825" s="314"/>
      <c r="M825" s="350"/>
      <c r="P825" s="225"/>
      <c r="U825" s="315"/>
      <c r="V825" s="315"/>
    </row>
    <row r="826" spans="10:22" ht="16">
      <c r="J826" s="314"/>
      <c r="M826" s="350"/>
      <c r="P826" s="225"/>
      <c r="U826" s="315"/>
      <c r="V826" s="315"/>
    </row>
    <row r="827" spans="10:22" ht="16">
      <c r="J827" s="314"/>
      <c r="M827" s="350"/>
      <c r="P827" s="225"/>
      <c r="U827" s="315"/>
      <c r="V827" s="315"/>
    </row>
    <row r="828" spans="10:22" ht="16">
      <c r="J828" s="314"/>
      <c r="M828" s="350"/>
      <c r="P828" s="225"/>
      <c r="U828" s="315"/>
      <c r="V828" s="315"/>
    </row>
    <row r="829" spans="10:22" ht="16">
      <c r="J829" s="314"/>
      <c r="M829" s="350"/>
      <c r="P829" s="225"/>
      <c r="U829" s="315"/>
      <c r="V829" s="315"/>
    </row>
    <row r="830" spans="10:22" ht="16">
      <c r="J830" s="314"/>
      <c r="M830" s="350"/>
      <c r="P830" s="225"/>
      <c r="U830" s="315"/>
      <c r="V830" s="315"/>
    </row>
    <row r="831" spans="10:22" ht="16">
      <c r="J831" s="314"/>
      <c r="M831" s="350"/>
      <c r="P831" s="225"/>
      <c r="U831" s="315"/>
      <c r="V831" s="315"/>
    </row>
    <row r="832" spans="10:22" ht="16">
      <c r="J832" s="314"/>
      <c r="M832" s="350"/>
      <c r="P832" s="225"/>
      <c r="U832" s="315"/>
      <c r="V832" s="315"/>
    </row>
    <row r="833" spans="10:22" ht="16">
      <c r="J833" s="314"/>
      <c r="M833" s="350"/>
      <c r="P833" s="225"/>
      <c r="U833" s="315"/>
      <c r="V833" s="315"/>
    </row>
    <row r="834" spans="10:22" ht="16">
      <c r="J834" s="314"/>
      <c r="M834" s="350"/>
      <c r="P834" s="225"/>
      <c r="U834" s="315"/>
      <c r="V834" s="315"/>
    </row>
    <row r="835" spans="10:22" ht="16">
      <c r="J835" s="314"/>
      <c r="M835" s="350"/>
      <c r="P835" s="225"/>
      <c r="U835" s="315"/>
      <c r="V835" s="315"/>
    </row>
    <row r="836" spans="10:22" ht="16">
      <c r="J836" s="314"/>
      <c r="M836" s="350"/>
      <c r="P836" s="225"/>
      <c r="U836" s="315"/>
      <c r="V836" s="315"/>
    </row>
    <row r="837" spans="10:22" ht="16">
      <c r="J837" s="314"/>
      <c r="M837" s="350"/>
      <c r="P837" s="225"/>
      <c r="U837" s="315"/>
      <c r="V837" s="315"/>
    </row>
    <row r="838" spans="10:22" ht="16">
      <c r="J838" s="314"/>
      <c r="M838" s="350"/>
      <c r="P838" s="225"/>
      <c r="U838" s="315"/>
      <c r="V838" s="315"/>
    </row>
    <row r="839" spans="10:22" ht="16">
      <c r="J839" s="314"/>
      <c r="M839" s="350"/>
      <c r="P839" s="225"/>
      <c r="U839" s="315"/>
      <c r="V839" s="315"/>
    </row>
    <row r="840" spans="10:22" ht="16">
      <c r="J840" s="314"/>
      <c r="M840" s="350"/>
      <c r="P840" s="225"/>
      <c r="U840" s="315"/>
      <c r="V840" s="315"/>
    </row>
    <row r="841" spans="10:22" ht="16">
      <c r="J841" s="314"/>
      <c r="M841" s="350"/>
      <c r="P841" s="225"/>
      <c r="U841" s="315"/>
      <c r="V841" s="315"/>
    </row>
    <row r="842" spans="10:22" ht="16">
      <c r="J842" s="314"/>
      <c r="M842" s="350"/>
      <c r="P842" s="225"/>
      <c r="U842" s="315"/>
      <c r="V842" s="315"/>
    </row>
    <row r="843" spans="10:22" ht="16">
      <c r="J843" s="314"/>
      <c r="M843" s="350"/>
      <c r="P843" s="225"/>
      <c r="U843" s="315"/>
      <c r="V843" s="315"/>
    </row>
    <row r="844" spans="10:22" ht="16">
      <c r="J844" s="314"/>
      <c r="M844" s="350"/>
      <c r="P844" s="225"/>
      <c r="U844" s="315"/>
      <c r="V844" s="315"/>
    </row>
    <row r="845" spans="10:22" ht="16">
      <c r="J845" s="314"/>
      <c r="M845" s="350"/>
      <c r="P845" s="225"/>
      <c r="U845" s="315"/>
      <c r="V845" s="315"/>
    </row>
    <row r="846" spans="10:22" ht="16">
      <c r="J846" s="314"/>
      <c r="M846" s="350"/>
      <c r="P846" s="225"/>
      <c r="U846" s="315"/>
      <c r="V846" s="315"/>
    </row>
    <row r="847" spans="10:22" ht="16">
      <c r="J847" s="314"/>
      <c r="M847" s="350"/>
      <c r="P847" s="225"/>
      <c r="U847" s="315"/>
      <c r="V847" s="315"/>
    </row>
    <row r="848" spans="10:22" ht="16">
      <c r="J848" s="314"/>
      <c r="M848" s="350"/>
      <c r="P848" s="225"/>
      <c r="U848" s="315"/>
      <c r="V848" s="315"/>
    </row>
    <row r="849" spans="10:22" ht="16">
      <c r="J849" s="314"/>
      <c r="M849" s="350"/>
      <c r="P849" s="225"/>
      <c r="U849" s="315"/>
      <c r="V849" s="315"/>
    </row>
    <row r="850" spans="10:22" ht="16">
      <c r="J850" s="314"/>
      <c r="M850" s="350"/>
      <c r="P850" s="225"/>
      <c r="U850" s="315"/>
      <c r="V850" s="315"/>
    </row>
    <row r="851" spans="10:22" ht="16">
      <c r="J851" s="314"/>
      <c r="M851" s="350"/>
      <c r="P851" s="225"/>
      <c r="U851" s="315"/>
      <c r="V851" s="315"/>
    </row>
    <row r="852" spans="10:22" ht="16">
      <c r="J852" s="314"/>
      <c r="M852" s="350"/>
      <c r="P852" s="225"/>
      <c r="U852" s="315"/>
      <c r="V852" s="315"/>
    </row>
    <row r="853" spans="10:22" ht="16">
      <c r="J853" s="314"/>
      <c r="M853" s="350"/>
      <c r="P853" s="225"/>
      <c r="U853" s="315"/>
      <c r="V853" s="315"/>
    </row>
    <row r="854" spans="10:22" ht="16">
      <c r="J854" s="314"/>
      <c r="M854" s="350"/>
      <c r="P854" s="225"/>
      <c r="U854" s="315"/>
      <c r="V854" s="315"/>
    </row>
    <row r="855" spans="10:22" ht="16">
      <c r="J855" s="314"/>
      <c r="M855" s="350"/>
      <c r="P855" s="225"/>
      <c r="U855" s="315"/>
      <c r="V855" s="315"/>
    </row>
    <row r="856" spans="10:22" ht="16">
      <c r="J856" s="314"/>
      <c r="M856" s="350"/>
      <c r="P856" s="225"/>
      <c r="U856" s="315"/>
      <c r="V856" s="315"/>
    </row>
    <row r="857" spans="10:22" ht="16">
      <c r="J857" s="314"/>
      <c r="M857" s="350"/>
      <c r="P857" s="225"/>
      <c r="U857" s="315"/>
      <c r="V857" s="315"/>
    </row>
    <row r="858" spans="10:22" ht="16">
      <c r="J858" s="314"/>
      <c r="M858" s="350"/>
      <c r="P858" s="225"/>
      <c r="U858" s="315"/>
      <c r="V858" s="315"/>
    </row>
    <row r="859" spans="10:22" ht="16">
      <c r="J859" s="314"/>
      <c r="M859" s="350"/>
      <c r="P859" s="225"/>
      <c r="U859" s="315"/>
      <c r="V859" s="315"/>
    </row>
    <row r="860" spans="10:22" ht="16">
      <c r="J860" s="314"/>
      <c r="M860" s="350"/>
      <c r="P860" s="225"/>
      <c r="U860" s="315"/>
      <c r="V860" s="315"/>
    </row>
    <row r="861" spans="10:22" ht="16">
      <c r="J861" s="314"/>
      <c r="M861" s="350"/>
      <c r="P861" s="225"/>
      <c r="U861" s="315"/>
      <c r="V861" s="315"/>
    </row>
    <row r="862" spans="10:22" ht="16">
      <c r="J862" s="314"/>
      <c r="M862" s="350"/>
      <c r="P862" s="225"/>
      <c r="U862" s="315"/>
      <c r="V862" s="315"/>
    </row>
    <row r="863" spans="10:22" ht="16">
      <c r="J863" s="314"/>
      <c r="M863" s="350"/>
      <c r="P863" s="225"/>
      <c r="U863" s="315"/>
      <c r="V863" s="315"/>
    </row>
    <row r="864" spans="10:22" ht="16">
      <c r="J864" s="314"/>
      <c r="M864" s="350"/>
      <c r="P864" s="225"/>
      <c r="U864" s="315"/>
      <c r="V864" s="315"/>
    </row>
    <row r="865" spans="10:22" ht="16">
      <c r="J865" s="314"/>
      <c r="M865" s="350"/>
      <c r="P865" s="225"/>
      <c r="U865" s="315"/>
      <c r="V865" s="315"/>
    </row>
    <row r="866" spans="10:22" ht="16">
      <c r="J866" s="314"/>
      <c r="M866" s="350"/>
      <c r="P866" s="225"/>
      <c r="U866" s="315"/>
      <c r="V866" s="315"/>
    </row>
    <row r="867" spans="10:22" ht="16">
      <c r="J867" s="314"/>
      <c r="M867" s="350"/>
      <c r="P867" s="225"/>
      <c r="U867" s="315"/>
      <c r="V867" s="315"/>
    </row>
    <row r="868" spans="10:22" ht="16">
      <c r="J868" s="314"/>
      <c r="M868" s="350"/>
      <c r="P868" s="225"/>
      <c r="U868" s="315"/>
      <c r="V868" s="315"/>
    </row>
    <row r="869" spans="10:22" ht="16">
      <c r="J869" s="314"/>
      <c r="M869" s="350"/>
      <c r="P869" s="225"/>
      <c r="U869" s="315"/>
      <c r="V869" s="315"/>
    </row>
    <row r="870" spans="10:22" ht="16">
      <c r="J870" s="314"/>
      <c r="M870" s="350"/>
      <c r="P870" s="225"/>
      <c r="U870" s="315"/>
      <c r="V870" s="315"/>
    </row>
    <row r="871" spans="10:22" ht="16">
      <c r="J871" s="314"/>
      <c r="M871" s="350"/>
      <c r="P871" s="225"/>
      <c r="U871" s="315"/>
      <c r="V871" s="315"/>
    </row>
    <row r="872" spans="10:22" ht="16">
      <c r="J872" s="314"/>
      <c r="M872" s="350"/>
      <c r="P872" s="225"/>
      <c r="U872" s="315"/>
      <c r="V872" s="315"/>
    </row>
    <row r="873" spans="10:22" ht="16">
      <c r="J873" s="314"/>
      <c r="M873" s="350"/>
      <c r="P873" s="225"/>
      <c r="U873" s="315"/>
      <c r="V873" s="315"/>
    </row>
    <row r="874" spans="10:22" ht="16">
      <c r="J874" s="314"/>
      <c r="M874" s="350"/>
      <c r="P874" s="225"/>
      <c r="U874" s="315"/>
      <c r="V874" s="315"/>
    </row>
    <row r="875" spans="10:22" ht="16">
      <c r="J875" s="314"/>
      <c r="M875" s="350"/>
      <c r="P875" s="225"/>
      <c r="U875" s="315"/>
      <c r="V875" s="315"/>
    </row>
    <row r="876" spans="10:22" ht="16">
      <c r="J876" s="314"/>
      <c r="M876" s="350"/>
      <c r="P876" s="225"/>
      <c r="U876" s="315"/>
      <c r="V876" s="315"/>
    </row>
    <row r="877" spans="10:22" ht="16">
      <c r="J877" s="314"/>
      <c r="M877" s="350"/>
      <c r="P877" s="225"/>
      <c r="U877" s="315"/>
      <c r="V877" s="315"/>
    </row>
    <row r="878" spans="10:22" ht="16">
      <c r="J878" s="314"/>
      <c r="M878" s="350"/>
      <c r="P878" s="225"/>
      <c r="U878" s="315"/>
      <c r="V878" s="315"/>
    </row>
    <row r="879" spans="10:22" ht="16">
      <c r="J879" s="314"/>
      <c r="M879" s="350"/>
      <c r="P879" s="225"/>
      <c r="U879" s="315"/>
      <c r="V879" s="315"/>
    </row>
    <row r="880" spans="10:22" ht="16">
      <c r="J880" s="314"/>
      <c r="M880" s="350"/>
      <c r="P880" s="225"/>
      <c r="U880" s="315"/>
      <c r="V880" s="315"/>
    </row>
    <row r="881" spans="10:22" ht="16">
      <c r="J881" s="314"/>
      <c r="M881" s="350"/>
      <c r="P881" s="225"/>
      <c r="U881" s="315"/>
      <c r="V881" s="315"/>
    </row>
    <row r="882" spans="10:22" ht="16">
      <c r="J882" s="314"/>
      <c r="M882" s="350"/>
      <c r="P882" s="225"/>
      <c r="U882" s="315"/>
      <c r="V882" s="315"/>
    </row>
    <row r="883" spans="10:22" ht="16">
      <c r="J883" s="314"/>
      <c r="M883" s="350"/>
      <c r="P883" s="225"/>
      <c r="U883" s="315"/>
      <c r="V883" s="315"/>
    </row>
    <row r="884" spans="10:22" ht="16">
      <c r="J884" s="314"/>
      <c r="M884" s="350"/>
      <c r="P884" s="225"/>
      <c r="U884" s="315"/>
      <c r="V884" s="315"/>
    </row>
    <row r="885" spans="10:22" ht="16">
      <c r="J885" s="314"/>
      <c r="M885" s="350"/>
      <c r="P885" s="225"/>
      <c r="U885" s="315"/>
      <c r="V885" s="315"/>
    </row>
    <row r="886" spans="10:22" ht="16">
      <c r="J886" s="314"/>
      <c r="M886" s="350"/>
      <c r="P886" s="225"/>
      <c r="U886" s="315"/>
      <c r="V886" s="315"/>
    </row>
    <row r="887" spans="10:22" ht="16">
      <c r="J887" s="314"/>
      <c r="M887" s="350"/>
      <c r="P887" s="225"/>
      <c r="U887" s="315"/>
      <c r="V887" s="315"/>
    </row>
    <row r="888" spans="10:22" ht="16">
      <c r="J888" s="314"/>
      <c r="M888" s="350"/>
      <c r="P888" s="225"/>
      <c r="U888" s="315"/>
      <c r="V888" s="315"/>
    </row>
    <row r="889" spans="10:22" ht="16">
      <c r="J889" s="314"/>
      <c r="M889" s="350"/>
      <c r="P889" s="225"/>
      <c r="U889" s="315"/>
      <c r="V889" s="315"/>
    </row>
    <row r="890" spans="10:22" ht="16">
      <c r="J890" s="314"/>
      <c r="M890" s="350"/>
      <c r="P890" s="225"/>
      <c r="U890" s="315"/>
      <c r="V890" s="315"/>
    </row>
    <row r="891" spans="10:22" ht="16">
      <c r="J891" s="314"/>
      <c r="M891" s="350"/>
      <c r="P891" s="225"/>
      <c r="U891" s="315"/>
      <c r="V891" s="315"/>
    </row>
    <row r="892" spans="10:22" ht="16">
      <c r="J892" s="314"/>
      <c r="M892" s="350"/>
      <c r="P892" s="225"/>
      <c r="U892" s="315"/>
      <c r="V892" s="315"/>
    </row>
    <row r="893" spans="10:22" ht="16">
      <c r="J893" s="314"/>
      <c r="M893" s="350"/>
      <c r="P893" s="225"/>
      <c r="U893" s="315"/>
      <c r="V893" s="315"/>
    </row>
    <row r="894" spans="10:22" ht="16">
      <c r="J894" s="314"/>
      <c r="M894" s="350"/>
      <c r="P894" s="225"/>
      <c r="U894" s="315"/>
      <c r="V894" s="315"/>
    </row>
    <row r="895" spans="10:22" ht="16">
      <c r="J895" s="314"/>
      <c r="M895" s="350"/>
      <c r="P895" s="225"/>
      <c r="U895" s="315"/>
      <c r="V895" s="315"/>
    </row>
    <row r="896" spans="10:22" ht="16">
      <c r="J896" s="314"/>
      <c r="M896" s="350"/>
      <c r="P896" s="225"/>
      <c r="U896" s="315"/>
      <c r="V896" s="315"/>
    </row>
    <row r="897" spans="10:22" ht="16">
      <c r="J897" s="314"/>
      <c r="M897" s="350"/>
      <c r="P897" s="225"/>
      <c r="U897" s="315"/>
      <c r="V897" s="315"/>
    </row>
    <row r="898" spans="10:22" ht="16">
      <c r="J898" s="314"/>
      <c r="M898" s="350"/>
      <c r="P898" s="225"/>
      <c r="U898" s="315"/>
      <c r="V898" s="315"/>
    </row>
    <row r="899" spans="10:22" ht="16">
      <c r="J899" s="314"/>
      <c r="M899" s="350"/>
      <c r="P899" s="225"/>
      <c r="U899" s="315"/>
      <c r="V899" s="315"/>
    </row>
    <row r="900" spans="10:22" ht="16">
      <c r="J900" s="314"/>
      <c r="M900" s="350"/>
      <c r="P900" s="225"/>
      <c r="U900" s="315"/>
      <c r="V900" s="315"/>
    </row>
    <row r="901" spans="10:22" ht="16">
      <c r="J901" s="314"/>
      <c r="M901" s="350"/>
      <c r="P901" s="225"/>
      <c r="U901" s="315"/>
      <c r="V901" s="315"/>
    </row>
    <row r="902" spans="10:22" ht="16">
      <c r="J902" s="314"/>
      <c r="M902" s="350"/>
      <c r="P902" s="225"/>
      <c r="U902" s="315"/>
      <c r="V902" s="315"/>
    </row>
    <row r="903" spans="10:22" ht="16">
      <c r="J903" s="314"/>
      <c r="M903" s="350"/>
      <c r="P903" s="225"/>
      <c r="U903" s="315"/>
      <c r="V903" s="315"/>
    </row>
    <row r="904" spans="10:22" ht="16">
      <c r="J904" s="314"/>
      <c r="M904" s="350"/>
      <c r="P904" s="225"/>
      <c r="U904" s="315"/>
      <c r="V904" s="315"/>
    </row>
    <row r="905" spans="10:22" ht="16">
      <c r="J905" s="314"/>
      <c r="M905" s="350"/>
      <c r="P905" s="225"/>
      <c r="U905" s="315"/>
      <c r="V905" s="315"/>
    </row>
    <row r="906" spans="10:22" ht="16">
      <c r="J906" s="314"/>
      <c r="M906" s="350"/>
      <c r="P906" s="225"/>
      <c r="U906" s="315"/>
      <c r="V906" s="315"/>
    </row>
    <row r="907" spans="10:22" ht="16">
      <c r="J907" s="314"/>
      <c r="M907" s="350"/>
      <c r="P907" s="225"/>
      <c r="U907" s="315"/>
      <c r="V907" s="315"/>
    </row>
    <row r="908" spans="10:22" ht="16">
      <c r="J908" s="314"/>
      <c r="M908" s="350"/>
      <c r="P908" s="225"/>
      <c r="U908" s="315"/>
      <c r="V908" s="315"/>
    </row>
    <row r="909" spans="10:22" ht="16">
      <c r="J909" s="314"/>
      <c r="M909" s="350"/>
      <c r="P909" s="225"/>
      <c r="U909" s="315"/>
      <c r="V909" s="315"/>
    </row>
    <row r="910" spans="10:22" ht="16">
      <c r="J910" s="314"/>
      <c r="M910" s="350"/>
      <c r="P910" s="225"/>
      <c r="U910" s="315"/>
      <c r="V910" s="315"/>
    </row>
    <row r="911" spans="10:22" ht="16">
      <c r="J911" s="314"/>
      <c r="M911" s="350"/>
      <c r="P911" s="225"/>
      <c r="U911" s="315"/>
      <c r="V911" s="315"/>
    </row>
    <row r="912" spans="10:22" ht="16">
      <c r="J912" s="314"/>
      <c r="M912" s="350"/>
      <c r="P912" s="225"/>
      <c r="U912" s="315"/>
      <c r="V912" s="315"/>
    </row>
    <row r="913" spans="10:22" ht="16">
      <c r="J913" s="314"/>
      <c r="M913" s="350"/>
      <c r="P913" s="225"/>
      <c r="U913" s="315"/>
      <c r="V913" s="315"/>
    </row>
    <row r="914" spans="10:22" ht="16">
      <c r="J914" s="314"/>
      <c r="M914" s="350"/>
      <c r="P914" s="225"/>
      <c r="U914" s="315"/>
      <c r="V914" s="315"/>
    </row>
    <row r="915" spans="10:22" ht="16">
      <c r="J915" s="314"/>
      <c r="M915" s="350"/>
      <c r="P915" s="225"/>
      <c r="U915" s="315"/>
      <c r="V915" s="315"/>
    </row>
    <row r="916" spans="10:22" ht="16">
      <c r="J916" s="314"/>
      <c r="M916" s="350"/>
      <c r="P916" s="225"/>
      <c r="U916" s="315"/>
      <c r="V916" s="315"/>
    </row>
    <row r="917" spans="10:22" ht="16">
      <c r="J917" s="314"/>
      <c r="M917" s="350"/>
      <c r="P917" s="225"/>
      <c r="U917" s="315"/>
      <c r="V917" s="315"/>
    </row>
    <row r="918" spans="10:22" ht="16">
      <c r="J918" s="314"/>
      <c r="M918" s="350"/>
      <c r="P918" s="225"/>
      <c r="U918" s="315"/>
      <c r="V918" s="315"/>
    </row>
    <row r="919" spans="10:22" ht="16">
      <c r="J919" s="314"/>
      <c r="M919" s="350"/>
      <c r="P919" s="225"/>
      <c r="U919" s="315"/>
      <c r="V919" s="315"/>
    </row>
    <row r="920" spans="10:22" ht="16">
      <c r="J920" s="314"/>
      <c r="M920" s="350"/>
      <c r="P920" s="225"/>
      <c r="U920" s="315"/>
      <c r="V920" s="315"/>
    </row>
    <row r="921" spans="10:22" ht="16">
      <c r="J921" s="314"/>
      <c r="M921" s="350"/>
      <c r="P921" s="225"/>
      <c r="U921" s="315"/>
      <c r="V921" s="315"/>
    </row>
    <row r="922" spans="10:22" ht="16">
      <c r="J922" s="314"/>
      <c r="M922" s="350"/>
      <c r="P922" s="225"/>
      <c r="U922" s="315"/>
      <c r="V922" s="315"/>
    </row>
    <row r="923" spans="10:22" ht="16">
      <c r="J923" s="314"/>
      <c r="M923" s="350"/>
      <c r="P923" s="225"/>
      <c r="U923" s="315"/>
      <c r="V923" s="315"/>
    </row>
    <row r="924" spans="10:22" ht="16">
      <c r="J924" s="314"/>
      <c r="M924" s="350"/>
      <c r="P924" s="225"/>
      <c r="U924" s="315"/>
      <c r="V924" s="315"/>
    </row>
    <row r="925" spans="10:22" ht="16">
      <c r="J925" s="314"/>
      <c r="M925" s="350"/>
      <c r="P925" s="225"/>
      <c r="U925" s="315"/>
      <c r="V925" s="315"/>
    </row>
    <row r="926" spans="10:22" ht="16">
      <c r="J926" s="314"/>
      <c r="M926" s="350"/>
      <c r="P926" s="225"/>
      <c r="U926" s="315"/>
      <c r="V926" s="315"/>
    </row>
    <row r="927" spans="10:22" ht="16">
      <c r="J927" s="314"/>
      <c r="M927" s="350"/>
      <c r="P927" s="225"/>
      <c r="U927" s="315"/>
      <c r="V927" s="315"/>
    </row>
    <row r="928" spans="10:22" ht="16">
      <c r="J928" s="314"/>
      <c r="M928" s="350"/>
      <c r="P928" s="225"/>
      <c r="U928" s="315"/>
      <c r="V928" s="315"/>
    </row>
    <row r="929" spans="10:22" ht="16">
      <c r="J929" s="314"/>
      <c r="M929" s="350"/>
      <c r="P929" s="225"/>
      <c r="U929" s="315"/>
      <c r="V929" s="315"/>
    </row>
    <row r="930" spans="10:22" ht="16">
      <c r="J930" s="314"/>
      <c r="M930" s="350"/>
      <c r="P930" s="225"/>
      <c r="U930" s="315"/>
      <c r="V930" s="315"/>
    </row>
    <row r="931" spans="10:22" ht="16">
      <c r="J931" s="314"/>
      <c r="M931" s="350"/>
      <c r="P931" s="225"/>
      <c r="U931" s="315"/>
      <c r="V931" s="315"/>
    </row>
    <row r="932" spans="10:22" ht="16">
      <c r="J932" s="314"/>
      <c r="M932" s="350"/>
      <c r="P932" s="225"/>
      <c r="U932" s="315"/>
      <c r="V932" s="315"/>
    </row>
    <row r="933" spans="10:22" ht="16">
      <c r="J933" s="314"/>
      <c r="M933" s="350"/>
      <c r="P933" s="225"/>
      <c r="U933" s="315"/>
      <c r="V933" s="315"/>
    </row>
    <row r="934" spans="10:22" ht="16">
      <c r="J934" s="314"/>
      <c r="M934" s="350"/>
      <c r="P934" s="225"/>
      <c r="U934" s="315"/>
      <c r="V934" s="315"/>
    </row>
    <row r="935" spans="10:22" ht="16">
      <c r="J935" s="314"/>
      <c r="M935" s="350"/>
      <c r="P935" s="225"/>
      <c r="U935" s="315"/>
      <c r="V935" s="315"/>
    </row>
    <row r="936" spans="10:22" ht="16">
      <c r="J936" s="314"/>
      <c r="M936" s="350"/>
      <c r="P936" s="225"/>
      <c r="U936" s="315"/>
      <c r="V936" s="315"/>
    </row>
    <row r="937" spans="10:22" ht="16">
      <c r="J937" s="314"/>
      <c r="M937" s="350"/>
      <c r="P937" s="225"/>
      <c r="U937" s="315"/>
      <c r="V937" s="315"/>
    </row>
    <row r="938" spans="10:22" ht="16">
      <c r="J938" s="314"/>
      <c r="M938" s="350"/>
      <c r="P938" s="225"/>
      <c r="U938" s="315"/>
      <c r="V938" s="315"/>
    </row>
    <row r="939" spans="10:22" ht="16">
      <c r="J939" s="314"/>
      <c r="M939" s="350"/>
      <c r="P939" s="225"/>
      <c r="U939" s="315"/>
      <c r="V939" s="315"/>
    </row>
    <row r="940" spans="10:22" ht="16">
      <c r="J940" s="314"/>
      <c r="M940" s="350"/>
      <c r="P940" s="225"/>
      <c r="U940" s="315"/>
      <c r="V940" s="315"/>
    </row>
    <row r="941" spans="10:22" ht="16">
      <c r="J941" s="314"/>
      <c r="M941" s="350"/>
      <c r="P941" s="225"/>
      <c r="U941" s="315"/>
      <c r="V941" s="315"/>
    </row>
    <row r="942" spans="10:22" ht="16">
      <c r="J942" s="314"/>
      <c r="M942" s="350"/>
      <c r="P942" s="225"/>
      <c r="U942" s="315"/>
      <c r="V942" s="315"/>
    </row>
    <row r="943" spans="10:22" ht="16">
      <c r="J943" s="314"/>
      <c r="M943" s="350"/>
      <c r="P943" s="225"/>
      <c r="U943" s="315"/>
      <c r="V943" s="315"/>
    </row>
    <row r="944" spans="10:22" ht="16">
      <c r="J944" s="314"/>
      <c r="M944" s="350"/>
      <c r="P944" s="225"/>
      <c r="U944" s="315"/>
      <c r="V944" s="315"/>
    </row>
    <row r="945" spans="10:22" ht="16">
      <c r="J945" s="314"/>
      <c r="M945" s="350"/>
      <c r="P945" s="225"/>
      <c r="U945" s="315"/>
      <c r="V945" s="315"/>
    </row>
    <row r="946" spans="10:22" ht="16">
      <c r="J946" s="314"/>
      <c r="M946" s="350"/>
      <c r="P946" s="225"/>
      <c r="U946" s="315"/>
      <c r="V946" s="315"/>
    </row>
    <row r="947" spans="10:22" ht="16">
      <c r="J947" s="314"/>
      <c r="M947" s="350"/>
      <c r="P947" s="225"/>
      <c r="U947" s="315"/>
      <c r="V947" s="315"/>
    </row>
    <row r="948" spans="10:22" ht="16">
      <c r="J948" s="314"/>
      <c r="M948" s="350"/>
      <c r="P948" s="225"/>
      <c r="U948" s="315"/>
      <c r="V948" s="315"/>
    </row>
    <row r="949" spans="10:22" ht="16">
      <c r="J949" s="314"/>
      <c r="M949" s="350"/>
      <c r="P949" s="225"/>
      <c r="U949" s="315"/>
      <c r="V949" s="315"/>
    </row>
    <row r="950" spans="10:22" ht="16">
      <c r="J950" s="314"/>
      <c r="M950" s="350"/>
      <c r="P950" s="225"/>
      <c r="U950" s="315"/>
      <c r="V950" s="315"/>
    </row>
    <row r="951" spans="10:22" ht="16">
      <c r="J951" s="314"/>
      <c r="M951" s="350"/>
      <c r="P951" s="225"/>
      <c r="U951" s="315"/>
      <c r="V951" s="315"/>
    </row>
    <row r="952" spans="10:22" ht="16">
      <c r="J952" s="314"/>
      <c r="M952" s="350"/>
      <c r="P952" s="225"/>
      <c r="U952" s="315"/>
      <c r="V952" s="315"/>
    </row>
    <row r="953" spans="10:22" ht="16">
      <c r="J953" s="314"/>
      <c r="M953" s="350"/>
      <c r="P953" s="225"/>
      <c r="U953" s="315"/>
      <c r="V953" s="315"/>
    </row>
    <row r="954" spans="10:22" ht="16">
      <c r="J954" s="314"/>
      <c r="M954" s="350"/>
      <c r="P954" s="225"/>
      <c r="U954" s="315"/>
      <c r="V954" s="315"/>
    </row>
    <row r="955" spans="10:22" ht="16">
      <c r="J955" s="314"/>
      <c r="M955" s="350"/>
      <c r="P955" s="225"/>
      <c r="U955" s="315"/>
      <c r="V955" s="315"/>
    </row>
    <row r="956" spans="10:22" ht="16">
      <c r="J956" s="314"/>
      <c r="M956" s="350"/>
      <c r="P956" s="225"/>
      <c r="U956" s="315"/>
      <c r="V956" s="315"/>
    </row>
    <row r="957" spans="10:22" ht="16">
      <c r="J957" s="314"/>
      <c r="M957" s="350"/>
      <c r="P957" s="225"/>
      <c r="U957" s="315"/>
      <c r="V957" s="315"/>
    </row>
    <row r="958" spans="10:22" ht="16">
      <c r="J958" s="314"/>
      <c r="M958" s="350"/>
      <c r="P958" s="225"/>
      <c r="U958" s="315"/>
      <c r="V958" s="315"/>
    </row>
    <row r="959" spans="10:22" ht="16">
      <c r="J959" s="314"/>
      <c r="M959" s="350"/>
      <c r="P959" s="225"/>
      <c r="U959" s="315"/>
      <c r="V959" s="315"/>
    </row>
    <row r="960" spans="10:22" ht="16">
      <c r="J960" s="314"/>
      <c r="M960" s="350"/>
      <c r="P960" s="225"/>
      <c r="U960" s="315"/>
      <c r="V960" s="315"/>
    </row>
    <row r="961" spans="10:22" ht="16">
      <c r="J961" s="314"/>
      <c r="M961" s="350"/>
      <c r="P961" s="225"/>
      <c r="U961" s="315"/>
      <c r="V961" s="315"/>
    </row>
    <row r="962" spans="10:22" ht="16">
      <c r="J962" s="314"/>
      <c r="M962" s="350"/>
      <c r="P962" s="225"/>
      <c r="U962" s="315"/>
      <c r="V962" s="315"/>
    </row>
    <row r="963" spans="10:22" ht="16">
      <c r="J963" s="314"/>
      <c r="M963" s="350"/>
      <c r="P963" s="225"/>
      <c r="U963" s="315"/>
      <c r="V963" s="315"/>
    </row>
    <row r="964" spans="10:22" ht="16">
      <c r="J964" s="314"/>
      <c r="M964" s="350"/>
      <c r="P964" s="225"/>
      <c r="U964" s="315"/>
      <c r="V964" s="315"/>
    </row>
    <row r="965" spans="10:22" ht="16">
      <c r="J965" s="314"/>
      <c r="M965" s="350"/>
      <c r="P965" s="225"/>
      <c r="U965" s="315"/>
      <c r="V965" s="315"/>
    </row>
    <row r="966" spans="10:22" ht="16">
      <c r="J966" s="314"/>
      <c r="M966" s="350"/>
      <c r="P966" s="225"/>
      <c r="U966" s="315"/>
      <c r="V966" s="315"/>
    </row>
    <row r="967" spans="10:22" ht="16">
      <c r="J967" s="314"/>
      <c r="M967" s="350"/>
      <c r="P967" s="225"/>
      <c r="U967" s="315"/>
      <c r="V967" s="315"/>
    </row>
    <row r="968" spans="10:22" ht="16">
      <c r="J968" s="314"/>
      <c r="M968" s="350"/>
      <c r="P968" s="225"/>
      <c r="U968" s="315"/>
      <c r="V968" s="315"/>
    </row>
    <row r="969" spans="10:22" ht="16">
      <c r="J969" s="314"/>
      <c r="M969" s="350"/>
      <c r="P969" s="225"/>
      <c r="U969" s="315"/>
      <c r="V969" s="315"/>
    </row>
    <row r="970" spans="10:22" ht="16">
      <c r="J970" s="314"/>
      <c r="M970" s="350"/>
      <c r="P970" s="225"/>
      <c r="U970" s="315"/>
      <c r="V970" s="315"/>
    </row>
    <row r="971" spans="10:22" ht="16">
      <c r="J971" s="314"/>
      <c r="M971" s="350"/>
      <c r="P971" s="225"/>
      <c r="U971" s="315"/>
      <c r="V971" s="315"/>
    </row>
    <row r="972" spans="10:22" ht="16">
      <c r="J972" s="314"/>
      <c r="M972" s="350"/>
      <c r="P972" s="225"/>
      <c r="U972" s="315"/>
      <c r="V972" s="315"/>
    </row>
    <row r="973" spans="10:22" ht="16">
      <c r="J973" s="314"/>
      <c r="M973" s="350"/>
      <c r="P973" s="225"/>
      <c r="U973" s="315"/>
      <c r="V973" s="315"/>
    </row>
    <row r="974" spans="10:22" ht="16">
      <c r="J974" s="314"/>
      <c r="M974" s="350"/>
      <c r="P974" s="225"/>
      <c r="U974" s="315"/>
      <c r="V974" s="315"/>
    </row>
    <row r="975" spans="10:22" ht="16">
      <c r="J975" s="314"/>
      <c r="M975" s="350"/>
      <c r="P975" s="225"/>
      <c r="U975" s="315"/>
      <c r="V975" s="315"/>
    </row>
    <row r="976" spans="10:22" ht="16">
      <c r="J976" s="314"/>
      <c r="M976" s="350"/>
      <c r="P976" s="225"/>
      <c r="U976" s="315"/>
      <c r="V976" s="315"/>
    </row>
    <row r="977" spans="10:22" ht="16">
      <c r="J977" s="314"/>
      <c r="M977" s="350"/>
      <c r="P977" s="225"/>
      <c r="U977" s="315"/>
      <c r="V977" s="315"/>
    </row>
    <row r="978" spans="10:22" ht="16">
      <c r="J978" s="314"/>
      <c r="M978" s="350"/>
      <c r="P978" s="225"/>
      <c r="U978" s="315"/>
      <c r="V978" s="315"/>
    </row>
    <row r="979" spans="10:22" ht="16">
      <c r="J979" s="314"/>
      <c r="M979" s="350"/>
      <c r="P979" s="225"/>
      <c r="U979" s="315"/>
      <c r="V979" s="315"/>
    </row>
    <row r="980" spans="10:22" ht="16">
      <c r="J980" s="314"/>
      <c r="M980" s="350"/>
      <c r="P980" s="225"/>
      <c r="U980" s="315"/>
      <c r="V980" s="315"/>
    </row>
    <row r="981" spans="10:22" ht="16">
      <c r="J981" s="314"/>
      <c r="M981" s="350"/>
      <c r="P981" s="225"/>
      <c r="U981" s="315"/>
      <c r="V981" s="315"/>
    </row>
    <row r="982" spans="10:22" ht="16">
      <c r="J982" s="314"/>
      <c r="M982" s="350"/>
      <c r="P982" s="225"/>
      <c r="U982" s="315"/>
      <c r="V982" s="315"/>
    </row>
    <row r="983" spans="10:22" ht="16">
      <c r="J983" s="314"/>
      <c r="M983" s="350"/>
      <c r="P983" s="225"/>
      <c r="U983" s="315"/>
      <c r="V983" s="315"/>
    </row>
    <row r="984" spans="10:22" ht="16">
      <c r="J984" s="314"/>
      <c r="M984" s="350"/>
      <c r="P984" s="225"/>
      <c r="U984" s="315"/>
      <c r="V984" s="315"/>
    </row>
    <row r="985" spans="10:22" ht="16">
      <c r="J985" s="314"/>
      <c r="M985" s="350"/>
      <c r="P985" s="225"/>
      <c r="U985" s="315"/>
      <c r="V985" s="315"/>
    </row>
    <row r="986" spans="10:22" ht="16">
      <c r="J986" s="314"/>
      <c r="M986" s="350"/>
      <c r="P986" s="225"/>
      <c r="U986" s="315"/>
      <c r="V986" s="315"/>
    </row>
    <row r="987" spans="10:22" ht="16">
      <c r="J987" s="314"/>
      <c r="M987" s="350"/>
      <c r="P987" s="225"/>
      <c r="U987" s="315"/>
      <c r="V987" s="315"/>
    </row>
    <row r="988" spans="10:22" ht="16">
      <c r="J988" s="314"/>
      <c r="M988" s="350"/>
      <c r="P988" s="225"/>
      <c r="U988" s="315"/>
      <c r="V988" s="315"/>
    </row>
    <row r="989" spans="10:22" ht="16">
      <c r="J989" s="314"/>
      <c r="M989" s="350"/>
      <c r="P989" s="225"/>
      <c r="U989" s="315"/>
      <c r="V989" s="315"/>
    </row>
    <row r="990" spans="10:22" ht="16">
      <c r="J990" s="314"/>
      <c r="M990" s="350"/>
      <c r="P990" s="225"/>
      <c r="U990" s="315"/>
      <c r="V990" s="315"/>
    </row>
    <row r="991" spans="10:22" ht="16">
      <c r="J991" s="314"/>
      <c r="M991" s="350"/>
      <c r="P991" s="225"/>
      <c r="U991" s="315"/>
      <c r="V991" s="315"/>
    </row>
    <row r="992" spans="10:22" ht="16">
      <c r="J992" s="314"/>
      <c r="M992" s="350"/>
      <c r="P992" s="225"/>
      <c r="U992" s="315"/>
      <c r="V992" s="315"/>
    </row>
    <row r="993" spans="10:22" ht="16">
      <c r="J993" s="314"/>
      <c r="M993" s="350"/>
      <c r="P993" s="225"/>
      <c r="U993" s="315"/>
      <c r="V993" s="315"/>
    </row>
    <row r="994" spans="10:22" ht="16">
      <c r="J994" s="314"/>
      <c r="M994" s="350"/>
      <c r="P994" s="225"/>
      <c r="U994" s="315"/>
      <c r="V994" s="315"/>
    </row>
    <row r="995" spans="10:22" ht="16">
      <c r="J995" s="314"/>
      <c r="M995" s="350"/>
      <c r="P995" s="225"/>
      <c r="U995" s="315"/>
      <c r="V995" s="315"/>
    </row>
    <row r="996" spans="10:22" ht="16">
      <c r="J996" s="314"/>
      <c r="M996" s="350"/>
      <c r="P996" s="225"/>
      <c r="U996" s="315"/>
      <c r="V996" s="315"/>
    </row>
    <row r="997" spans="10:22" ht="16">
      <c r="J997" s="314"/>
      <c r="M997" s="350"/>
      <c r="P997" s="225"/>
      <c r="U997" s="315"/>
      <c r="V997" s="315"/>
    </row>
    <row r="998" spans="10:22" ht="16">
      <c r="J998" s="314"/>
      <c r="M998" s="350"/>
      <c r="P998" s="225"/>
      <c r="U998" s="315"/>
      <c r="V998" s="315"/>
    </row>
    <row r="999" spans="10:22" ht="16">
      <c r="J999" s="314"/>
      <c r="M999" s="350"/>
      <c r="P999" s="225"/>
      <c r="U999" s="315"/>
      <c r="V999" s="315"/>
    </row>
    <row r="1000" spans="10:22" ht="16">
      <c r="J1000" s="314"/>
      <c r="M1000" s="350"/>
      <c r="P1000" s="225"/>
      <c r="U1000" s="315"/>
      <c r="V1000" s="315"/>
    </row>
    <row r="1001" spans="10:22" ht="16">
      <c r="J1001" s="314"/>
      <c r="M1001" s="350"/>
      <c r="P1001" s="225"/>
      <c r="U1001" s="315"/>
      <c r="V1001" s="315"/>
    </row>
    <row r="1002" spans="10:22" ht="16">
      <c r="J1002" s="314"/>
      <c r="M1002" s="350"/>
      <c r="P1002" s="225"/>
      <c r="U1002" s="315"/>
      <c r="V1002" s="315"/>
    </row>
    <row r="1003" spans="10:22" ht="16">
      <c r="J1003" s="314"/>
      <c r="M1003" s="350"/>
      <c r="P1003" s="225"/>
      <c r="U1003" s="315"/>
      <c r="V1003" s="315"/>
    </row>
    <row r="1004" spans="10:22" ht="16">
      <c r="J1004" s="314"/>
      <c r="M1004" s="350"/>
      <c r="P1004" s="225"/>
      <c r="U1004" s="315"/>
      <c r="V1004" s="315"/>
    </row>
    <row r="1005" spans="10:22" ht="16">
      <c r="J1005" s="314"/>
      <c r="M1005" s="350"/>
      <c r="U1005" s="316"/>
      <c r="V1005" s="316"/>
    </row>
    <row r="1006" spans="10:22" ht="16">
      <c r="J1006" s="314"/>
      <c r="M1006" s="350"/>
      <c r="U1006" s="316"/>
      <c r="V1006" s="316"/>
    </row>
    <row r="1007" spans="10:22" ht="16">
      <c r="J1007" s="314"/>
      <c r="M1007" s="350"/>
      <c r="U1007" s="316"/>
      <c r="V1007" s="316"/>
    </row>
    <row r="1008" spans="10:22" ht="16">
      <c r="J1008" s="314"/>
      <c r="M1008" s="350"/>
      <c r="U1008" s="316"/>
      <c r="V1008" s="316"/>
    </row>
  </sheetData>
  <mergeCells count="2">
    <mergeCell ref="B6:F6"/>
    <mergeCell ref="H7:I7"/>
  </mergeCells>
  <conditionalFormatting sqref="E2">
    <cfRule type="notContainsBlanks" dxfId="4" priority="1">
      <formula>LEN(TRIM(E2))&gt;0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1024"/>
  <sheetViews>
    <sheetView topLeftCell="H1" workbookViewId="0">
      <pane ySplit="6" topLeftCell="A189" activePane="bottomLeft" state="frozen"/>
      <selection pane="bottomLeft" activeCell="K204" sqref="K204"/>
    </sheetView>
  </sheetViews>
  <sheetFormatPr baseColWidth="10" defaultColWidth="14.5" defaultRowHeight="15" customHeight="1"/>
  <cols>
    <col min="1" max="1" width="2" customWidth="1"/>
    <col min="2" max="2" width="13.6640625" customWidth="1"/>
    <col min="3" max="4" width="12.33203125" customWidth="1"/>
    <col min="5" max="5" width="21.1640625" customWidth="1"/>
    <col min="6" max="6" width="16.83203125" customWidth="1"/>
    <col min="7" max="7" width="68.33203125" customWidth="1"/>
    <col min="8" max="8" width="6.83203125" customWidth="1"/>
    <col min="9" max="9" width="5.5" customWidth="1"/>
    <col min="10" max="10" width="9.83203125" customWidth="1"/>
    <col min="11" max="11" width="10.6640625" customWidth="1"/>
    <col min="12" max="12" width="4.5" customWidth="1"/>
    <col min="13" max="13" width="12.33203125" customWidth="1"/>
    <col min="14" max="14" width="5.5" customWidth="1"/>
    <col min="15" max="15" width="4.1640625" customWidth="1"/>
    <col min="16" max="16" width="8.83203125" customWidth="1"/>
    <col min="17" max="17" width="4.83203125" customWidth="1"/>
    <col min="18" max="18" width="16.1640625" customWidth="1"/>
    <col min="19" max="19" width="20.6640625" customWidth="1"/>
    <col min="20" max="20" width="6.1640625" customWidth="1"/>
    <col min="21" max="21" width="26.1640625" customWidth="1"/>
    <col min="22" max="22" width="23.33203125" customWidth="1"/>
  </cols>
  <sheetData>
    <row r="1" spans="1:23" ht="63.75" customHeight="1">
      <c r="A1" s="173"/>
      <c r="B1" s="550"/>
      <c r="C1" s="543"/>
      <c r="D1" s="543"/>
      <c r="E1" s="543"/>
      <c r="G1" s="430"/>
      <c r="H1" s="297"/>
      <c r="I1" s="297"/>
      <c r="J1" s="297"/>
      <c r="K1" s="1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1"/>
    </row>
    <row r="2" spans="1:23" ht="16">
      <c r="A2" s="1"/>
      <c r="B2" s="318" t="s">
        <v>1</v>
      </c>
      <c r="C2" s="319">
        <v>1300000</v>
      </c>
      <c r="D2" s="319"/>
      <c r="E2" s="320">
        <f>C3/C2</f>
        <v>0.89505389230769239</v>
      </c>
      <c r="F2" s="49"/>
      <c r="G2" s="166"/>
      <c r="H2" s="90"/>
      <c r="I2" s="90"/>
      <c r="J2" s="90"/>
      <c r="K2" s="90"/>
      <c r="L2" s="90"/>
      <c r="M2" s="321"/>
      <c r="N2" s="90"/>
      <c r="O2" s="90"/>
      <c r="P2" s="90"/>
      <c r="Q2" s="90"/>
      <c r="R2" s="90"/>
      <c r="S2" s="90"/>
      <c r="T2" s="90"/>
      <c r="U2" s="90"/>
      <c r="V2" s="90"/>
      <c r="W2" s="1"/>
    </row>
    <row r="3" spans="1:23" ht="16">
      <c r="A3" s="1"/>
      <c r="B3" s="322" t="s">
        <v>2</v>
      </c>
      <c r="C3" s="319">
        <f>SUM(K8:K266)</f>
        <v>1163570.06</v>
      </c>
      <c r="D3" s="319"/>
      <c r="E3" s="323" t="s">
        <v>3</v>
      </c>
      <c r="F3" s="324"/>
      <c r="G3" s="431"/>
      <c r="H3" s="299"/>
      <c r="I3" s="90"/>
      <c r="J3" s="299"/>
      <c r="K3" s="299"/>
      <c r="L3" s="299"/>
      <c r="M3" s="325"/>
      <c r="N3" s="299"/>
      <c r="O3" s="299"/>
      <c r="P3" s="299"/>
      <c r="Q3" s="299"/>
      <c r="R3" s="299"/>
      <c r="S3" s="299"/>
      <c r="T3" s="299"/>
      <c r="U3" s="299"/>
      <c r="V3" s="299"/>
      <c r="W3" s="1"/>
    </row>
    <row r="4" spans="1:23">
      <c r="A4" s="1"/>
      <c r="B4" s="326" t="s">
        <v>2218</v>
      </c>
      <c r="C4" s="326">
        <f ca="1">(E5-TODAY())</f>
        <v>-66</v>
      </c>
      <c r="D4" s="326"/>
      <c r="E4" s="17"/>
      <c r="F4" s="327"/>
      <c r="G4" s="431"/>
      <c r="H4" s="90"/>
      <c r="J4" s="90"/>
      <c r="L4" s="90"/>
      <c r="M4" s="321"/>
      <c r="N4" s="90"/>
      <c r="O4" s="90"/>
      <c r="P4" s="90"/>
      <c r="Q4" s="90"/>
      <c r="R4" s="90"/>
      <c r="S4" s="90"/>
      <c r="T4" s="90"/>
      <c r="U4" s="90"/>
      <c r="V4" s="90"/>
      <c r="W4" s="1"/>
    </row>
    <row r="5" spans="1:23" ht="16">
      <c r="A5" s="1"/>
      <c r="B5" s="328" t="s">
        <v>6</v>
      </c>
      <c r="C5" s="329">
        <f ca="1">TODAY()</f>
        <v>46026</v>
      </c>
      <c r="D5" s="328"/>
      <c r="E5" s="330">
        <v>45960</v>
      </c>
      <c r="F5" s="90"/>
      <c r="G5" s="299"/>
      <c r="H5" s="90"/>
      <c r="I5" s="90"/>
      <c r="J5" s="300"/>
      <c r="K5" s="300"/>
      <c r="L5" s="90"/>
      <c r="M5" s="321"/>
      <c r="N5" s="301"/>
      <c r="O5" s="302"/>
      <c r="P5" s="303"/>
      <c r="Q5" s="90"/>
      <c r="R5" s="304"/>
      <c r="S5" s="304"/>
      <c r="T5" s="90"/>
      <c r="U5" s="305"/>
      <c r="V5" s="305"/>
      <c r="W5" s="1"/>
    </row>
    <row r="6" spans="1:23" ht="22">
      <c r="A6" s="1"/>
      <c r="B6" s="549" t="s">
        <v>2734</v>
      </c>
      <c r="C6" s="537"/>
      <c r="D6" s="537"/>
      <c r="E6" s="537"/>
      <c r="F6" s="537"/>
      <c r="G6" s="26"/>
      <c r="H6" s="23"/>
      <c r="I6" s="23"/>
      <c r="J6" s="23"/>
      <c r="K6" s="23"/>
      <c r="L6" s="23"/>
      <c r="M6" s="331"/>
      <c r="N6" s="23"/>
      <c r="O6" s="24"/>
      <c r="P6" s="211"/>
      <c r="Q6" s="23"/>
      <c r="R6" s="332"/>
      <c r="S6" s="127"/>
      <c r="T6" s="26"/>
      <c r="U6" s="306"/>
      <c r="V6" s="306"/>
      <c r="W6" s="1"/>
    </row>
    <row r="7" spans="1:23" ht="14.25" customHeight="1">
      <c r="A7" s="98"/>
      <c r="B7" s="38" t="s">
        <v>18</v>
      </c>
      <c r="C7" s="38" t="s">
        <v>3442</v>
      </c>
      <c r="D7" s="38" t="s">
        <v>19</v>
      </c>
      <c r="E7" s="38" t="s">
        <v>20</v>
      </c>
      <c r="F7" s="38" t="s">
        <v>21</v>
      </c>
      <c r="G7" s="39" t="s">
        <v>2018</v>
      </c>
      <c r="H7" s="538" t="s">
        <v>22</v>
      </c>
      <c r="I7" s="528"/>
      <c r="J7" s="40" t="s">
        <v>4046</v>
      </c>
      <c r="K7" s="41" t="s">
        <v>23</v>
      </c>
      <c r="L7" s="42"/>
      <c r="M7" s="333"/>
      <c r="N7" s="43"/>
      <c r="O7" s="44"/>
      <c r="P7" s="213"/>
      <c r="Q7" s="45"/>
      <c r="R7" s="128"/>
      <c r="S7" s="307" t="s">
        <v>3443</v>
      </c>
      <c r="T7" s="47"/>
      <c r="U7" s="307"/>
      <c r="V7" s="307"/>
      <c r="W7" s="100" t="s">
        <v>24</v>
      </c>
    </row>
    <row r="8" spans="1:23" ht="15" customHeight="1">
      <c r="A8" s="1"/>
      <c r="B8" s="71" t="s">
        <v>5659</v>
      </c>
      <c r="C8" s="53" t="s">
        <v>3458</v>
      </c>
      <c r="D8" s="151" t="s">
        <v>51</v>
      </c>
      <c r="E8" s="53" t="s">
        <v>201</v>
      </c>
      <c r="F8" s="53" t="s">
        <v>202</v>
      </c>
      <c r="G8" s="66" t="s">
        <v>5660</v>
      </c>
      <c r="H8" s="131" t="s">
        <v>30</v>
      </c>
      <c r="I8" s="66">
        <v>2</v>
      </c>
      <c r="J8" s="75">
        <v>2750</v>
      </c>
      <c r="K8" s="54">
        <f t="shared" ref="K8:K48" si="0">(J8*I8)</f>
        <v>5500</v>
      </c>
      <c r="L8" s="55" t="b">
        <v>1</v>
      </c>
      <c r="M8" s="56">
        <v>11020251330</v>
      </c>
      <c r="N8" s="57" t="b">
        <v>1</v>
      </c>
      <c r="O8" s="58" t="s">
        <v>3300</v>
      </c>
      <c r="P8" s="226"/>
      <c r="Q8" s="191" t="b">
        <v>1</v>
      </c>
      <c r="R8" s="342" t="s">
        <v>3684</v>
      </c>
      <c r="S8" s="49"/>
      <c r="T8" s="57" t="b">
        <v>1</v>
      </c>
      <c r="U8" s="310" t="s">
        <v>5661</v>
      </c>
      <c r="V8" s="307"/>
      <c r="W8" s="54"/>
    </row>
    <row r="9" spans="1:23" ht="15" customHeight="1">
      <c r="A9" s="18"/>
      <c r="B9" s="71" t="s">
        <v>5659</v>
      </c>
      <c r="C9" s="53" t="s">
        <v>4176</v>
      </c>
      <c r="D9" s="151" t="s">
        <v>104</v>
      </c>
      <c r="E9" s="151" t="s">
        <v>61</v>
      </c>
      <c r="F9" s="151" t="s">
        <v>333</v>
      </c>
      <c r="G9" s="66" t="s">
        <v>5066</v>
      </c>
      <c r="H9" s="131" t="s">
        <v>30</v>
      </c>
      <c r="I9" s="151">
        <v>80</v>
      </c>
      <c r="J9" s="75">
        <v>135</v>
      </c>
      <c r="K9" s="54">
        <f t="shared" si="0"/>
        <v>10800</v>
      </c>
      <c r="L9" s="55" t="b">
        <v>1</v>
      </c>
      <c r="M9" s="56">
        <v>11020252112</v>
      </c>
      <c r="N9" s="57" t="b">
        <v>1</v>
      </c>
      <c r="O9" s="58" t="s">
        <v>351</v>
      </c>
      <c r="P9" s="226"/>
      <c r="Q9" s="191" t="b">
        <v>1</v>
      </c>
      <c r="R9" s="342" t="s">
        <v>3684</v>
      </c>
      <c r="S9" s="173" t="s">
        <v>5662</v>
      </c>
      <c r="T9" s="57" t="b">
        <v>1</v>
      </c>
      <c r="U9" s="310" t="s">
        <v>5663</v>
      </c>
      <c r="V9" s="307"/>
      <c r="W9" s="54"/>
    </row>
    <row r="10" spans="1:23" ht="15" customHeight="1">
      <c r="A10" s="18"/>
      <c r="B10" s="71" t="s">
        <v>5659</v>
      </c>
      <c r="C10" s="151" t="s">
        <v>3595</v>
      </c>
      <c r="D10" s="151" t="s">
        <v>55</v>
      </c>
      <c r="E10" s="151" t="s">
        <v>56</v>
      </c>
      <c r="F10" s="151" t="s">
        <v>57</v>
      </c>
      <c r="G10" s="66" t="s">
        <v>103</v>
      </c>
      <c r="H10" s="131" t="s">
        <v>30</v>
      </c>
      <c r="I10" s="151">
        <v>30</v>
      </c>
      <c r="J10" s="75">
        <v>300</v>
      </c>
      <c r="K10" s="54">
        <f t="shared" si="0"/>
        <v>9000</v>
      </c>
      <c r="L10" s="55" t="b">
        <v>1</v>
      </c>
      <c r="M10" s="56">
        <v>11020251330</v>
      </c>
      <c r="N10" s="57" t="b">
        <v>1</v>
      </c>
      <c r="O10" s="58" t="s">
        <v>351</v>
      </c>
      <c r="P10" s="215"/>
      <c r="Q10" s="191" t="b">
        <v>1</v>
      </c>
      <c r="R10" s="342" t="s">
        <v>3138</v>
      </c>
      <c r="S10" s="297"/>
      <c r="T10" s="57" t="b">
        <v>1</v>
      </c>
      <c r="U10" s="310" t="s">
        <v>5664</v>
      </c>
      <c r="V10" s="307"/>
      <c r="W10" s="54"/>
    </row>
    <row r="11" spans="1:23" ht="15" customHeight="1">
      <c r="A11" s="162"/>
      <c r="B11" s="71" t="s">
        <v>5659</v>
      </c>
      <c r="C11" s="151" t="s">
        <v>4095</v>
      </c>
      <c r="D11" s="151" t="s">
        <v>345</v>
      </c>
      <c r="E11" s="151" t="s">
        <v>342</v>
      </c>
      <c r="F11" s="151" t="s">
        <v>343</v>
      </c>
      <c r="G11" s="66" t="s">
        <v>49</v>
      </c>
      <c r="H11" s="53" t="s">
        <v>30</v>
      </c>
      <c r="I11" s="151">
        <v>10</v>
      </c>
      <c r="J11" s="75">
        <v>795</v>
      </c>
      <c r="K11" s="54">
        <f t="shared" si="0"/>
        <v>7950</v>
      </c>
      <c r="L11" s="55" t="b">
        <v>1</v>
      </c>
      <c r="M11" s="56">
        <v>11020252128</v>
      </c>
      <c r="N11" s="57" t="b">
        <v>1</v>
      </c>
      <c r="O11" s="58" t="s">
        <v>39</v>
      </c>
      <c r="P11" s="226">
        <v>45932</v>
      </c>
      <c r="Q11" s="191" t="b">
        <v>1</v>
      </c>
      <c r="R11" s="342" t="s">
        <v>3684</v>
      </c>
      <c r="S11" s="49"/>
      <c r="T11" s="57" t="b">
        <v>1</v>
      </c>
      <c r="U11" s="310" t="s">
        <v>5665</v>
      </c>
      <c r="V11" s="307"/>
      <c r="W11" s="54"/>
    </row>
    <row r="12" spans="1:23" ht="15" customHeight="1">
      <c r="A12" s="162"/>
      <c r="B12" s="71" t="s">
        <v>5666</v>
      </c>
      <c r="C12" s="151" t="s">
        <v>3706</v>
      </c>
      <c r="D12" s="151" t="s">
        <v>418</v>
      </c>
      <c r="E12" s="151" t="s">
        <v>1549</v>
      </c>
      <c r="F12" s="151" t="s">
        <v>607</v>
      </c>
      <c r="G12" s="66" t="s">
        <v>5667</v>
      </c>
      <c r="H12" s="53" t="s">
        <v>30</v>
      </c>
      <c r="I12" s="151">
        <v>10</v>
      </c>
      <c r="J12" s="75">
        <v>2750</v>
      </c>
      <c r="K12" s="54">
        <f t="shared" si="0"/>
        <v>27500</v>
      </c>
      <c r="L12" s="55" t="b">
        <v>1</v>
      </c>
      <c r="M12" s="56">
        <v>20920251106</v>
      </c>
      <c r="N12" s="57" t="b">
        <v>1</v>
      </c>
      <c r="O12" s="58" t="s">
        <v>351</v>
      </c>
      <c r="P12" s="226"/>
      <c r="Q12" s="191" t="b">
        <v>1</v>
      </c>
      <c r="R12" s="342" t="s">
        <v>3684</v>
      </c>
      <c r="S12" s="337" t="s">
        <v>5668</v>
      </c>
      <c r="T12" s="57" t="b">
        <v>1</v>
      </c>
      <c r="U12" s="310" t="s">
        <v>5669</v>
      </c>
      <c r="V12" s="307"/>
      <c r="W12" s="54"/>
    </row>
    <row r="13" spans="1:23" ht="15" customHeight="1">
      <c r="A13" s="162"/>
      <c r="B13" s="71" t="s">
        <v>5666</v>
      </c>
      <c r="C13" s="151" t="s">
        <v>3706</v>
      </c>
      <c r="D13" s="151" t="s">
        <v>418</v>
      </c>
      <c r="E13" s="151" t="s">
        <v>1549</v>
      </c>
      <c r="F13" s="151" t="s">
        <v>607</v>
      </c>
      <c r="G13" s="66" t="s">
        <v>5670</v>
      </c>
      <c r="H13" s="53" t="s">
        <v>30</v>
      </c>
      <c r="I13" s="151">
        <v>5</v>
      </c>
      <c r="J13" s="75">
        <v>2250</v>
      </c>
      <c r="K13" s="54">
        <f t="shared" si="0"/>
        <v>11250</v>
      </c>
      <c r="L13" s="55" t="b">
        <v>1</v>
      </c>
      <c r="M13" s="56">
        <v>20920251106</v>
      </c>
      <c r="N13" s="57" t="b">
        <v>1</v>
      </c>
      <c r="O13" s="58" t="s">
        <v>351</v>
      </c>
      <c r="P13" s="226"/>
      <c r="Q13" s="191" t="b">
        <v>1</v>
      </c>
      <c r="R13" s="342" t="s">
        <v>3684</v>
      </c>
      <c r="S13" s="337" t="s">
        <v>5668</v>
      </c>
      <c r="T13" s="57" t="b">
        <v>1</v>
      </c>
      <c r="U13" s="310" t="s">
        <v>5669</v>
      </c>
      <c r="V13" s="307"/>
      <c r="W13" s="54"/>
    </row>
    <row r="14" spans="1:23" ht="15" customHeight="1">
      <c r="A14" s="162"/>
      <c r="B14" s="71" t="s">
        <v>5666</v>
      </c>
      <c r="C14" s="151" t="s">
        <v>3706</v>
      </c>
      <c r="D14" s="151" t="s">
        <v>418</v>
      </c>
      <c r="E14" s="151" t="s">
        <v>1549</v>
      </c>
      <c r="F14" s="151" t="s">
        <v>607</v>
      </c>
      <c r="G14" s="66" t="s">
        <v>5671</v>
      </c>
      <c r="H14" s="53" t="s">
        <v>30</v>
      </c>
      <c r="I14" s="151">
        <v>200</v>
      </c>
      <c r="J14" s="75">
        <v>270</v>
      </c>
      <c r="K14" s="54">
        <f t="shared" si="0"/>
        <v>54000</v>
      </c>
      <c r="L14" s="55" t="b">
        <v>1</v>
      </c>
      <c r="M14" s="56">
        <v>20920251106</v>
      </c>
      <c r="N14" s="57" t="b">
        <v>1</v>
      </c>
      <c r="O14" s="58" t="s">
        <v>351</v>
      </c>
      <c r="P14" s="226"/>
      <c r="Q14" s="191" t="b">
        <v>1</v>
      </c>
      <c r="R14" s="342" t="s">
        <v>3684</v>
      </c>
      <c r="S14" s="173" t="s">
        <v>5672</v>
      </c>
      <c r="T14" s="57" t="b">
        <v>1</v>
      </c>
      <c r="U14" s="310" t="s">
        <v>5673</v>
      </c>
      <c r="V14" s="307"/>
      <c r="W14" s="54"/>
    </row>
    <row r="15" spans="1:23" ht="15" customHeight="1">
      <c r="A15" s="162"/>
      <c r="B15" s="71" t="s">
        <v>5666</v>
      </c>
      <c r="C15" s="151" t="s">
        <v>3706</v>
      </c>
      <c r="D15" s="151" t="s">
        <v>418</v>
      </c>
      <c r="E15" s="151" t="s">
        <v>1549</v>
      </c>
      <c r="F15" s="151" t="s">
        <v>607</v>
      </c>
      <c r="G15" s="66" t="s">
        <v>72</v>
      </c>
      <c r="H15" s="53" t="s">
        <v>30</v>
      </c>
      <c r="I15" s="151">
        <v>1</v>
      </c>
      <c r="J15" s="75">
        <v>2000</v>
      </c>
      <c r="K15" s="54">
        <f t="shared" si="0"/>
        <v>2000</v>
      </c>
      <c r="L15" s="55" t="b">
        <v>1</v>
      </c>
      <c r="M15" s="56">
        <v>20920251106</v>
      </c>
      <c r="N15" s="57" t="b">
        <v>1</v>
      </c>
      <c r="O15" s="58"/>
      <c r="P15" s="226"/>
      <c r="Q15" s="191" t="b">
        <v>1</v>
      </c>
      <c r="R15" s="342" t="s">
        <v>3684</v>
      </c>
      <c r="S15" s="173"/>
      <c r="T15" s="57" t="b">
        <v>1</v>
      </c>
      <c r="U15" s="310" t="s">
        <v>5674</v>
      </c>
      <c r="V15" s="307"/>
      <c r="W15" s="54"/>
    </row>
    <row r="16" spans="1:23" ht="15" customHeight="1">
      <c r="A16" s="162"/>
      <c r="B16" s="71" t="s">
        <v>5666</v>
      </c>
      <c r="C16" s="151" t="s">
        <v>3487</v>
      </c>
      <c r="D16" s="151" t="s">
        <v>51</v>
      </c>
      <c r="E16" s="151" t="s">
        <v>89</v>
      </c>
      <c r="F16" s="151" t="s">
        <v>2090</v>
      </c>
      <c r="G16" s="66" t="s">
        <v>5675</v>
      </c>
      <c r="H16" s="53" t="s">
        <v>30</v>
      </c>
      <c r="I16" s="151">
        <v>300</v>
      </c>
      <c r="J16" s="75">
        <v>12</v>
      </c>
      <c r="K16" s="54">
        <f t="shared" si="0"/>
        <v>3600</v>
      </c>
      <c r="L16" s="55" t="b">
        <v>1</v>
      </c>
      <c r="M16" s="56">
        <v>21020251150</v>
      </c>
      <c r="N16" s="57" t="b">
        <v>1</v>
      </c>
      <c r="O16" s="58" t="s">
        <v>2968</v>
      </c>
      <c r="P16" s="226"/>
      <c r="Q16" s="191" t="b">
        <v>1</v>
      </c>
      <c r="R16" s="342" t="s">
        <v>3684</v>
      </c>
      <c r="S16" s="173" t="s">
        <v>5676</v>
      </c>
      <c r="T16" s="57" t="b">
        <v>1</v>
      </c>
      <c r="U16" s="310" t="s">
        <v>5677</v>
      </c>
      <c r="V16" s="307"/>
      <c r="W16" s="54"/>
    </row>
    <row r="17" spans="1:26" ht="15" customHeight="1">
      <c r="A17" s="162"/>
      <c r="B17" s="71" t="s">
        <v>5666</v>
      </c>
      <c r="C17" s="151" t="s">
        <v>3601</v>
      </c>
      <c r="D17" s="151" t="s">
        <v>523</v>
      </c>
      <c r="E17" s="151" t="s">
        <v>523</v>
      </c>
      <c r="F17" s="151" t="s">
        <v>2048</v>
      </c>
      <c r="G17" s="66" t="s">
        <v>68</v>
      </c>
      <c r="H17" s="53" t="s">
        <v>30</v>
      </c>
      <c r="I17" s="151">
        <v>3</v>
      </c>
      <c r="J17" s="75">
        <v>2350</v>
      </c>
      <c r="K17" s="54">
        <f t="shared" si="0"/>
        <v>7050</v>
      </c>
      <c r="L17" s="55" t="b">
        <v>1</v>
      </c>
      <c r="M17" s="56">
        <v>21020251150</v>
      </c>
      <c r="N17" s="57" t="b">
        <v>1</v>
      </c>
      <c r="O17" s="58"/>
      <c r="P17" s="226"/>
      <c r="Q17" s="191" t="b">
        <v>1</v>
      </c>
      <c r="R17" s="342" t="s">
        <v>3684</v>
      </c>
      <c r="S17" s="337" t="s">
        <v>5678</v>
      </c>
      <c r="T17" s="57" t="b">
        <v>1</v>
      </c>
      <c r="U17" s="310" t="s">
        <v>5679</v>
      </c>
      <c r="V17" s="307"/>
      <c r="W17" s="54"/>
    </row>
    <row r="18" spans="1:26" ht="15" customHeight="1">
      <c r="A18" s="162"/>
      <c r="B18" s="71" t="s">
        <v>5666</v>
      </c>
      <c r="C18" s="151" t="s">
        <v>4750</v>
      </c>
      <c r="D18" s="151" t="s">
        <v>418</v>
      </c>
      <c r="E18" s="151" t="s">
        <v>230</v>
      </c>
      <c r="F18" s="151" t="s">
        <v>1990</v>
      </c>
      <c r="G18" s="66" t="s">
        <v>300</v>
      </c>
      <c r="H18" s="53" t="s">
        <v>30</v>
      </c>
      <c r="I18" s="151">
        <v>100</v>
      </c>
      <c r="J18" s="75">
        <v>150</v>
      </c>
      <c r="K18" s="54">
        <f t="shared" si="0"/>
        <v>15000</v>
      </c>
      <c r="L18" s="55" t="b">
        <v>1</v>
      </c>
      <c r="M18" s="56">
        <v>21020251325</v>
      </c>
      <c r="N18" s="57" t="b">
        <v>1</v>
      </c>
      <c r="O18" s="58"/>
      <c r="P18" s="226"/>
      <c r="Q18" s="191" t="b">
        <v>1</v>
      </c>
      <c r="R18" s="342" t="s">
        <v>3684</v>
      </c>
      <c r="S18" s="337" t="s">
        <v>5680</v>
      </c>
      <c r="T18" s="57" t="b">
        <v>1</v>
      </c>
      <c r="U18" s="310" t="s">
        <v>5681</v>
      </c>
      <c r="V18" s="307"/>
      <c r="W18" s="54"/>
    </row>
    <row r="19" spans="1:26" ht="15" customHeight="1">
      <c r="A19" s="162"/>
      <c r="B19" s="71" t="s">
        <v>5666</v>
      </c>
      <c r="C19" s="151" t="s">
        <v>4750</v>
      </c>
      <c r="D19" s="151" t="s">
        <v>418</v>
      </c>
      <c r="E19" s="151" t="s">
        <v>230</v>
      </c>
      <c r="F19" s="151" t="s">
        <v>1990</v>
      </c>
      <c r="G19" s="66" t="s">
        <v>68</v>
      </c>
      <c r="H19" s="53" t="s">
        <v>30</v>
      </c>
      <c r="I19" s="151">
        <v>1</v>
      </c>
      <c r="J19" s="75">
        <v>2350</v>
      </c>
      <c r="K19" s="54">
        <f t="shared" si="0"/>
        <v>2350</v>
      </c>
      <c r="L19" s="55" t="b">
        <v>1</v>
      </c>
      <c r="M19" s="56">
        <v>21020251325</v>
      </c>
      <c r="N19" s="57" t="b">
        <v>1</v>
      </c>
      <c r="O19" s="58"/>
      <c r="P19" s="226"/>
      <c r="Q19" s="191" t="b">
        <v>1</v>
      </c>
      <c r="R19" s="342" t="s">
        <v>3684</v>
      </c>
      <c r="S19" s="337" t="s">
        <v>5680</v>
      </c>
      <c r="T19" s="57" t="b">
        <v>1</v>
      </c>
      <c r="U19" s="310" t="s">
        <v>5681</v>
      </c>
      <c r="V19" s="307"/>
      <c r="W19" s="54"/>
    </row>
    <row r="20" spans="1:26" ht="15" customHeight="1">
      <c r="A20" s="162"/>
      <c r="B20" s="71" t="s">
        <v>5682</v>
      </c>
      <c r="C20" s="151" t="s">
        <v>3706</v>
      </c>
      <c r="D20" s="151" t="s">
        <v>418</v>
      </c>
      <c r="E20" s="151" t="s">
        <v>1549</v>
      </c>
      <c r="F20" s="151" t="s">
        <v>607</v>
      </c>
      <c r="G20" s="66" t="s">
        <v>300</v>
      </c>
      <c r="H20" s="53" t="s">
        <v>30</v>
      </c>
      <c r="I20" s="151">
        <v>100</v>
      </c>
      <c r="J20" s="75">
        <v>150</v>
      </c>
      <c r="K20" s="54">
        <f t="shared" si="0"/>
        <v>15000</v>
      </c>
      <c r="L20" s="55" t="b">
        <v>1</v>
      </c>
      <c r="M20" s="56">
        <v>31020250851</v>
      </c>
      <c r="N20" s="57" t="b">
        <v>1</v>
      </c>
      <c r="O20" s="58" t="s">
        <v>351</v>
      </c>
      <c r="P20" s="215"/>
      <c r="Q20" s="191" t="b">
        <v>1</v>
      </c>
      <c r="R20" s="432" t="s">
        <v>4528</v>
      </c>
      <c r="S20" s="173" t="s">
        <v>5683</v>
      </c>
      <c r="T20" s="57" t="b">
        <v>1</v>
      </c>
      <c r="U20" s="310" t="s">
        <v>5684</v>
      </c>
      <c r="V20" s="307"/>
      <c r="W20" s="54"/>
    </row>
    <row r="21" spans="1:26" ht="15" customHeight="1">
      <c r="A21" s="162"/>
      <c r="B21" s="71" t="s">
        <v>5682</v>
      </c>
      <c r="C21" s="151" t="s">
        <v>3706</v>
      </c>
      <c r="D21" s="151" t="s">
        <v>418</v>
      </c>
      <c r="E21" s="151" t="s">
        <v>1549</v>
      </c>
      <c r="F21" s="151" t="s">
        <v>607</v>
      </c>
      <c r="G21" s="66" t="s">
        <v>68</v>
      </c>
      <c r="H21" s="53" t="s">
        <v>30</v>
      </c>
      <c r="I21" s="151">
        <v>3</v>
      </c>
      <c r="J21" s="75">
        <v>2350</v>
      </c>
      <c r="K21" s="54">
        <f t="shared" si="0"/>
        <v>7050</v>
      </c>
      <c r="L21" s="55" t="b">
        <v>1</v>
      </c>
      <c r="M21" s="56">
        <v>31020250851</v>
      </c>
      <c r="N21" s="57" t="b">
        <v>1</v>
      </c>
      <c r="O21" s="58"/>
      <c r="P21" s="226"/>
      <c r="Q21" s="191" t="b">
        <v>1</v>
      </c>
      <c r="R21" s="342" t="s">
        <v>3684</v>
      </c>
      <c r="S21" s="337" t="s">
        <v>5685</v>
      </c>
      <c r="T21" s="57" t="b">
        <v>1</v>
      </c>
      <c r="U21" s="310" t="s">
        <v>5686</v>
      </c>
      <c r="V21" s="307"/>
      <c r="W21" s="54"/>
    </row>
    <row r="22" spans="1:26" ht="15" customHeight="1">
      <c r="A22" s="162"/>
      <c r="B22" s="71" t="s">
        <v>5682</v>
      </c>
      <c r="C22" s="53" t="s">
        <v>3458</v>
      </c>
      <c r="D22" s="151" t="s">
        <v>51</v>
      </c>
      <c r="E22" s="53" t="s">
        <v>201</v>
      </c>
      <c r="F22" s="53" t="s">
        <v>202</v>
      </c>
      <c r="G22" s="66" t="s">
        <v>512</v>
      </c>
      <c r="H22" s="53" t="s">
        <v>30</v>
      </c>
      <c r="I22" s="151">
        <v>10</v>
      </c>
      <c r="J22" s="75">
        <v>775</v>
      </c>
      <c r="K22" s="54">
        <f t="shared" si="0"/>
        <v>7750</v>
      </c>
      <c r="L22" s="55" t="b">
        <v>1</v>
      </c>
      <c r="M22" s="56">
        <v>31020251339</v>
      </c>
      <c r="N22" s="57" t="b">
        <v>1</v>
      </c>
      <c r="O22" s="58"/>
      <c r="P22" s="215"/>
      <c r="Q22" s="191" t="b">
        <v>1</v>
      </c>
      <c r="R22" s="342" t="s">
        <v>3684</v>
      </c>
      <c r="S22" s="173"/>
      <c r="T22" s="57" t="b">
        <v>1</v>
      </c>
      <c r="U22" s="310" t="s">
        <v>5687</v>
      </c>
      <c r="V22" s="307"/>
      <c r="W22" s="54"/>
    </row>
    <row r="23" spans="1:26" ht="15" customHeight="1">
      <c r="A23" s="162"/>
      <c r="B23" s="71" t="s">
        <v>5682</v>
      </c>
      <c r="C23" s="53" t="s">
        <v>3458</v>
      </c>
      <c r="D23" s="151" t="s">
        <v>51</v>
      </c>
      <c r="E23" s="53" t="s">
        <v>201</v>
      </c>
      <c r="F23" s="53" t="s">
        <v>202</v>
      </c>
      <c r="G23" s="66" t="s">
        <v>236</v>
      </c>
      <c r="H23" s="53" t="s">
        <v>30</v>
      </c>
      <c r="I23" s="151">
        <v>12</v>
      </c>
      <c r="J23" s="75">
        <v>230</v>
      </c>
      <c r="K23" s="54">
        <f t="shared" si="0"/>
        <v>2760</v>
      </c>
      <c r="L23" s="55" t="b">
        <v>1</v>
      </c>
      <c r="M23" s="56">
        <v>31020251339</v>
      </c>
      <c r="N23" s="57" t="b">
        <v>1</v>
      </c>
      <c r="O23" s="58" t="s">
        <v>351</v>
      </c>
      <c r="P23" s="215"/>
      <c r="Q23" s="191" t="b">
        <v>1</v>
      </c>
      <c r="R23" s="342" t="s">
        <v>3684</v>
      </c>
      <c r="S23" s="173"/>
      <c r="T23" s="57" t="b">
        <v>1</v>
      </c>
      <c r="U23" s="310" t="s">
        <v>5688</v>
      </c>
      <c r="V23" s="307"/>
      <c r="W23" s="54"/>
    </row>
    <row r="24" spans="1:26" ht="15" customHeight="1">
      <c r="A24" s="162"/>
      <c r="B24" s="71" t="s">
        <v>5682</v>
      </c>
      <c r="C24" s="151" t="s">
        <v>3641</v>
      </c>
      <c r="D24" s="151" t="s">
        <v>51</v>
      </c>
      <c r="E24" s="151" t="s">
        <v>335</v>
      </c>
      <c r="F24" s="151" t="s">
        <v>339</v>
      </c>
      <c r="G24" s="66" t="s">
        <v>5689</v>
      </c>
      <c r="H24" s="53" t="s">
        <v>30</v>
      </c>
      <c r="I24" s="151">
        <v>1</v>
      </c>
      <c r="J24" s="75">
        <v>3000</v>
      </c>
      <c r="K24" s="54">
        <f t="shared" si="0"/>
        <v>3000</v>
      </c>
      <c r="L24" s="55" t="b">
        <v>1</v>
      </c>
      <c r="M24" s="56">
        <v>31020251345</v>
      </c>
      <c r="N24" s="57" t="b">
        <v>1</v>
      </c>
      <c r="O24" s="58"/>
      <c r="P24" s="226"/>
      <c r="Q24" s="191" t="b">
        <v>1</v>
      </c>
      <c r="R24" s="342" t="s">
        <v>3684</v>
      </c>
      <c r="S24" s="49"/>
      <c r="T24" s="57" t="b">
        <v>1</v>
      </c>
      <c r="U24" s="310" t="s">
        <v>5690</v>
      </c>
      <c r="V24" s="307"/>
      <c r="W24" s="54"/>
    </row>
    <row r="25" spans="1:26" ht="15" customHeight="1">
      <c r="A25" s="162"/>
      <c r="B25" s="71" t="s">
        <v>5682</v>
      </c>
      <c r="C25" s="151" t="s">
        <v>5174</v>
      </c>
      <c r="D25" s="151" t="s">
        <v>832</v>
      </c>
      <c r="E25" s="151" t="s">
        <v>832</v>
      </c>
      <c r="F25" s="151" t="s">
        <v>834</v>
      </c>
      <c r="G25" s="158" t="s">
        <v>68</v>
      </c>
      <c r="H25" s="53" t="s">
        <v>30</v>
      </c>
      <c r="I25" s="151">
        <v>2</v>
      </c>
      <c r="J25" s="75">
        <v>2350</v>
      </c>
      <c r="K25" s="54">
        <f t="shared" si="0"/>
        <v>4700</v>
      </c>
      <c r="L25" s="55" t="b">
        <v>1</v>
      </c>
      <c r="M25" s="56">
        <v>31020251345</v>
      </c>
      <c r="N25" s="57" t="b">
        <v>1</v>
      </c>
      <c r="O25" s="58" t="s">
        <v>1581</v>
      </c>
      <c r="P25" s="226"/>
      <c r="Q25" s="191" t="b">
        <v>1</v>
      </c>
      <c r="R25" s="342" t="s">
        <v>3684</v>
      </c>
      <c r="S25" s="337" t="s">
        <v>5691</v>
      </c>
      <c r="T25" s="57" t="b">
        <v>1</v>
      </c>
      <c r="U25" s="310" t="s">
        <v>5692</v>
      </c>
      <c r="V25" s="307"/>
      <c r="W25" s="54"/>
    </row>
    <row r="26" spans="1:26" ht="15" customHeight="1">
      <c r="A26" s="162"/>
      <c r="B26" s="71" t="s">
        <v>5682</v>
      </c>
      <c r="C26" s="151" t="s">
        <v>5174</v>
      </c>
      <c r="D26" s="151" t="s">
        <v>832</v>
      </c>
      <c r="E26" s="151" t="s">
        <v>832</v>
      </c>
      <c r="F26" s="151" t="s">
        <v>834</v>
      </c>
      <c r="G26" s="66" t="s">
        <v>771</v>
      </c>
      <c r="H26" s="53" t="s">
        <v>30</v>
      </c>
      <c r="I26" s="151">
        <v>20</v>
      </c>
      <c r="J26" s="75">
        <v>130</v>
      </c>
      <c r="K26" s="54">
        <f t="shared" si="0"/>
        <v>2600</v>
      </c>
      <c r="L26" s="55" t="b">
        <v>1</v>
      </c>
      <c r="M26" s="56">
        <v>31020251345</v>
      </c>
      <c r="N26" s="57" t="b">
        <v>1</v>
      </c>
      <c r="O26" s="58"/>
      <c r="P26" s="215"/>
      <c r="Q26" s="191" t="b">
        <v>1</v>
      </c>
      <c r="R26" s="342" t="s">
        <v>3684</v>
      </c>
      <c r="S26" s="337" t="s">
        <v>5691</v>
      </c>
      <c r="T26" s="57" t="b">
        <v>1</v>
      </c>
      <c r="U26" s="310" t="s">
        <v>5692</v>
      </c>
      <c r="V26" s="307"/>
      <c r="W26" s="54"/>
    </row>
    <row r="27" spans="1:26" ht="15" customHeight="1">
      <c r="A27" s="101"/>
      <c r="B27" s="71" t="s">
        <v>5682</v>
      </c>
      <c r="C27" s="151" t="s">
        <v>3641</v>
      </c>
      <c r="D27" s="151" t="s">
        <v>51</v>
      </c>
      <c r="E27" s="151" t="s">
        <v>335</v>
      </c>
      <c r="F27" s="53" t="s">
        <v>457</v>
      </c>
      <c r="G27" s="66" t="s">
        <v>5693</v>
      </c>
      <c r="H27" s="53" t="s">
        <v>30</v>
      </c>
      <c r="I27" s="53">
        <v>1</v>
      </c>
      <c r="J27" s="75"/>
      <c r="K27" s="54">
        <f t="shared" si="0"/>
        <v>0</v>
      </c>
      <c r="L27" s="55" t="b">
        <v>1</v>
      </c>
      <c r="M27" s="56">
        <v>31020251345</v>
      </c>
      <c r="N27" s="57" t="b">
        <v>1</v>
      </c>
      <c r="O27" s="58" t="s">
        <v>351</v>
      </c>
      <c r="P27" s="226"/>
      <c r="Q27" s="191" t="b">
        <v>0</v>
      </c>
      <c r="R27" s="433" t="s">
        <v>5694</v>
      </c>
      <c r="S27" s="49"/>
      <c r="T27" s="57" t="b">
        <v>0</v>
      </c>
      <c r="U27" s="434"/>
      <c r="V27" s="307"/>
      <c r="W27" s="54"/>
      <c r="X27" s="193"/>
      <c r="Y27" s="193"/>
      <c r="Z27" s="193"/>
    </row>
    <row r="28" spans="1:26" ht="15" customHeight="1">
      <c r="A28" s="162"/>
      <c r="B28" s="71" t="s">
        <v>4128</v>
      </c>
      <c r="C28" s="151" t="s">
        <v>3650</v>
      </c>
      <c r="D28" s="151" t="s">
        <v>171</v>
      </c>
      <c r="E28" s="151" t="s">
        <v>137</v>
      </c>
      <c r="F28" s="151" t="s">
        <v>3651</v>
      </c>
      <c r="G28" s="66" t="s">
        <v>5465</v>
      </c>
      <c r="H28" s="53" t="s">
        <v>30</v>
      </c>
      <c r="I28" s="151">
        <v>100</v>
      </c>
      <c r="J28" s="75">
        <v>115</v>
      </c>
      <c r="K28" s="54">
        <f t="shared" si="0"/>
        <v>11500</v>
      </c>
      <c r="L28" s="55" t="b">
        <v>1</v>
      </c>
      <c r="M28" s="56">
        <v>31020251345</v>
      </c>
      <c r="N28" s="57" t="b">
        <v>1</v>
      </c>
      <c r="O28" s="58" t="s">
        <v>351</v>
      </c>
      <c r="P28" s="226"/>
      <c r="Q28" s="191" t="b">
        <v>1</v>
      </c>
      <c r="R28" s="342" t="s">
        <v>3684</v>
      </c>
      <c r="S28" s="173" t="s">
        <v>5695</v>
      </c>
      <c r="T28" s="57" t="b">
        <v>1</v>
      </c>
      <c r="U28" s="310" t="s">
        <v>5696</v>
      </c>
      <c r="V28" s="307"/>
      <c r="W28" s="54"/>
    </row>
    <row r="29" spans="1:26" ht="15" customHeight="1">
      <c r="A29" s="162"/>
      <c r="B29" s="71" t="s">
        <v>4128</v>
      </c>
      <c r="C29" s="151" t="s">
        <v>3650</v>
      </c>
      <c r="D29" s="151" t="s">
        <v>171</v>
      </c>
      <c r="E29" s="151" t="s">
        <v>137</v>
      </c>
      <c r="F29" s="151" t="s">
        <v>3651</v>
      </c>
      <c r="G29" s="66" t="s">
        <v>5066</v>
      </c>
      <c r="H29" s="53" t="s">
        <v>30</v>
      </c>
      <c r="I29" s="151">
        <v>100</v>
      </c>
      <c r="J29" s="75">
        <v>135</v>
      </c>
      <c r="K29" s="54">
        <f t="shared" si="0"/>
        <v>13500</v>
      </c>
      <c r="L29" s="55" t="b">
        <v>1</v>
      </c>
      <c r="M29" s="56">
        <v>31020251345</v>
      </c>
      <c r="N29" s="57" t="b">
        <v>1</v>
      </c>
      <c r="O29" s="58" t="s">
        <v>351</v>
      </c>
      <c r="P29" s="226"/>
      <c r="Q29" s="191" t="b">
        <v>1</v>
      </c>
      <c r="R29" s="342" t="s">
        <v>3684</v>
      </c>
      <c r="S29" s="173" t="s">
        <v>5695</v>
      </c>
      <c r="T29" s="57" t="b">
        <v>1</v>
      </c>
      <c r="U29" s="310" t="s">
        <v>5696</v>
      </c>
      <c r="V29" s="307"/>
      <c r="W29" s="54"/>
    </row>
    <row r="30" spans="1:26" ht="15" customHeight="1">
      <c r="A30" s="162"/>
      <c r="B30" s="71" t="s">
        <v>4128</v>
      </c>
      <c r="C30" s="151" t="s">
        <v>3650</v>
      </c>
      <c r="D30" s="151" t="s">
        <v>171</v>
      </c>
      <c r="E30" s="151" t="s">
        <v>137</v>
      </c>
      <c r="F30" s="151" t="s">
        <v>3651</v>
      </c>
      <c r="G30" s="66" t="s">
        <v>5697</v>
      </c>
      <c r="H30" s="53" t="s">
        <v>30</v>
      </c>
      <c r="I30" s="151">
        <v>5</v>
      </c>
      <c r="J30" s="75">
        <v>600</v>
      </c>
      <c r="K30" s="54">
        <f t="shared" si="0"/>
        <v>3000</v>
      </c>
      <c r="L30" s="55" t="b">
        <v>1</v>
      </c>
      <c r="M30" s="56">
        <v>31020251345</v>
      </c>
      <c r="N30" s="57" t="b">
        <v>1</v>
      </c>
      <c r="O30" s="58" t="s">
        <v>1581</v>
      </c>
      <c r="P30" s="226"/>
      <c r="Q30" s="191" t="b">
        <v>1</v>
      </c>
      <c r="R30" s="342" t="s">
        <v>3684</v>
      </c>
      <c r="S30" s="337" t="s">
        <v>5698</v>
      </c>
      <c r="T30" s="57" t="b">
        <v>1</v>
      </c>
      <c r="U30" s="310" t="s">
        <v>5699</v>
      </c>
      <c r="V30" s="307"/>
      <c r="W30" s="54"/>
    </row>
    <row r="31" spans="1:26" ht="15" customHeight="1">
      <c r="A31" s="162"/>
      <c r="B31" s="71" t="s">
        <v>5700</v>
      </c>
      <c r="C31" s="151" t="s">
        <v>3532</v>
      </c>
      <c r="D31" s="151" t="s">
        <v>51</v>
      </c>
      <c r="E31" s="151" t="s">
        <v>52</v>
      </c>
      <c r="F31" s="151" t="s">
        <v>2653</v>
      </c>
      <c r="G31" s="435" t="s">
        <v>5701</v>
      </c>
      <c r="H31" s="53" t="s">
        <v>30</v>
      </c>
      <c r="I31" s="151">
        <v>2</v>
      </c>
      <c r="J31" s="75">
        <v>975</v>
      </c>
      <c r="K31" s="54">
        <f t="shared" si="0"/>
        <v>1950</v>
      </c>
      <c r="L31" s="55" t="b">
        <v>1</v>
      </c>
      <c r="M31" s="56">
        <v>51020250913</v>
      </c>
      <c r="N31" s="57" t="b">
        <v>1</v>
      </c>
      <c r="O31" s="58" t="s">
        <v>39</v>
      </c>
      <c r="P31" s="226"/>
      <c r="Q31" s="191" t="b">
        <v>1</v>
      </c>
      <c r="R31" s="342" t="s">
        <v>3684</v>
      </c>
      <c r="S31" s="49"/>
      <c r="T31" s="57" t="b">
        <v>1</v>
      </c>
      <c r="U31" s="310" t="s">
        <v>5702</v>
      </c>
      <c r="V31" s="307"/>
      <c r="W31" s="54"/>
    </row>
    <row r="32" spans="1:26" ht="15" customHeight="1">
      <c r="A32" s="162"/>
      <c r="B32" s="132" t="s">
        <v>5700</v>
      </c>
      <c r="C32" s="53" t="s">
        <v>3534</v>
      </c>
      <c r="D32" s="53" t="s">
        <v>418</v>
      </c>
      <c r="E32" s="53" t="s">
        <v>1069</v>
      </c>
      <c r="F32" s="53" t="s">
        <v>420</v>
      </c>
      <c r="G32" s="66" t="s">
        <v>5703</v>
      </c>
      <c r="H32" s="53" t="s">
        <v>30</v>
      </c>
      <c r="I32" s="151">
        <v>8</v>
      </c>
      <c r="J32" s="75">
        <v>150</v>
      </c>
      <c r="K32" s="54">
        <f t="shared" si="0"/>
        <v>1200</v>
      </c>
      <c r="L32" s="55" t="b">
        <v>1</v>
      </c>
      <c r="M32" s="56">
        <v>51020250946</v>
      </c>
      <c r="N32" s="57" t="b">
        <v>1</v>
      </c>
      <c r="O32" s="58"/>
      <c r="P32" s="226"/>
      <c r="Q32" s="191" t="b">
        <v>1</v>
      </c>
      <c r="R32" s="342" t="s">
        <v>3684</v>
      </c>
      <c r="S32" s="337" t="s">
        <v>5704</v>
      </c>
      <c r="T32" s="57" t="b">
        <v>1</v>
      </c>
      <c r="U32" s="310" t="s">
        <v>5705</v>
      </c>
      <c r="V32" s="307"/>
      <c r="W32" s="54"/>
    </row>
    <row r="33" spans="1:23" ht="15" customHeight="1">
      <c r="A33" s="162"/>
      <c r="B33" s="132" t="s">
        <v>5700</v>
      </c>
      <c r="C33" s="53" t="s">
        <v>3534</v>
      </c>
      <c r="D33" s="53" t="s">
        <v>418</v>
      </c>
      <c r="E33" s="53" t="s">
        <v>1069</v>
      </c>
      <c r="F33" s="53" t="s">
        <v>420</v>
      </c>
      <c r="G33" s="66" t="s">
        <v>5706</v>
      </c>
      <c r="H33" s="53" t="s">
        <v>30</v>
      </c>
      <c r="I33" s="151">
        <v>2</v>
      </c>
      <c r="J33" s="75">
        <v>625</v>
      </c>
      <c r="K33" s="54">
        <f t="shared" si="0"/>
        <v>1250</v>
      </c>
      <c r="L33" s="55" t="b">
        <v>1</v>
      </c>
      <c r="M33" s="56">
        <v>51020250948</v>
      </c>
      <c r="N33" s="57" t="b">
        <v>1</v>
      </c>
      <c r="O33" s="58"/>
      <c r="P33" s="215"/>
      <c r="Q33" s="191" t="b">
        <v>1</v>
      </c>
      <c r="R33" s="342" t="s">
        <v>5707</v>
      </c>
      <c r="S33" s="337" t="s">
        <v>5704</v>
      </c>
      <c r="T33" s="57" t="b">
        <v>1</v>
      </c>
      <c r="U33" s="310" t="s">
        <v>5705</v>
      </c>
      <c r="V33" s="307"/>
      <c r="W33" s="54"/>
    </row>
    <row r="34" spans="1:23" ht="15" customHeight="1">
      <c r="A34" s="162"/>
      <c r="B34" s="132" t="s">
        <v>5700</v>
      </c>
      <c r="C34" s="53" t="s">
        <v>3534</v>
      </c>
      <c r="D34" s="53" t="s">
        <v>418</v>
      </c>
      <c r="E34" s="53" t="s">
        <v>1069</v>
      </c>
      <c r="F34" s="53" t="s">
        <v>420</v>
      </c>
      <c r="G34" s="66" t="s">
        <v>5708</v>
      </c>
      <c r="H34" s="53" t="s">
        <v>30</v>
      </c>
      <c r="I34" s="151">
        <v>10</v>
      </c>
      <c r="J34" s="75">
        <v>350</v>
      </c>
      <c r="K34" s="54">
        <f t="shared" si="0"/>
        <v>3500</v>
      </c>
      <c r="L34" s="55" t="b">
        <v>1</v>
      </c>
      <c r="M34" s="56">
        <v>51020250948</v>
      </c>
      <c r="N34" s="57" t="b">
        <v>1</v>
      </c>
      <c r="O34" s="58"/>
      <c r="P34" s="226"/>
      <c r="Q34" s="191" t="b">
        <v>1</v>
      </c>
      <c r="R34" s="342" t="s">
        <v>3684</v>
      </c>
      <c r="S34" s="173" t="s">
        <v>5709</v>
      </c>
      <c r="T34" s="57" t="b">
        <v>1</v>
      </c>
      <c r="U34" s="310" t="s">
        <v>5710</v>
      </c>
      <c r="V34" s="307"/>
      <c r="W34" s="54"/>
    </row>
    <row r="35" spans="1:23" ht="15" customHeight="1">
      <c r="A35" s="162"/>
      <c r="B35" s="71" t="s">
        <v>5711</v>
      </c>
      <c r="C35" s="53" t="s">
        <v>3568</v>
      </c>
      <c r="D35" s="53" t="s">
        <v>438</v>
      </c>
      <c r="E35" s="53" t="s">
        <v>883</v>
      </c>
      <c r="F35" s="53" t="s">
        <v>5712</v>
      </c>
      <c r="G35" s="66" t="s">
        <v>5713</v>
      </c>
      <c r="H35" s="53" t="s">
        <v>30</v>
      </c>
      <c r="I35" s="151">
        <v>3</v>
      </c>
      <c r="J35" s="75">
        <v>975</v>
      </c>
      <c r="K35" s="54">
        <f t="shared" si="0"/>
        <v>2925</v>
      </c>
      <c r="L35" s="55" t="b">
        <v>1</v>
      </c>
      <c r="M35" s="56">
        <v>61020250941</v>
      </c>
      <c r="N35" s="57" t="b">
        <v>1</v>
      </c>
      <c r="O35" s="58" t="s">
        <v>39</v>
      </c>
      <c r="P35" s="226"/>
      <c r="Q35" s="191" t="b">
        <v>1</v>
      </c>
      <c r="R35" s="342" t="s">
        <v>3684</v>
      </c>
      <c r="S35" s="49"/>
      <c r="T35" s="57" t="b">
        <v>1</v>
      </c>
      <c r="U35" s="310" t="s">
        <v>5714</v>
      </c>
      <c r="V35" s="307"/>
      <c r="W35" s="54"/>
    </row>
    <row r="36" spans="1:23" ht="15" customHeight="1">
      <c r="A36" s="162"/>
      <c r="B36" s="71" t="s">
        <v>5711</v>
      </c>
      <c r="C36" s="53" t="s">
        <v>3568</v>
      </c>
      <c r="D36" s="53" t="s">
        <v>438</v>
      </c>
      <c r="E36" s="53" t="s">
        <v>883</v>
      </c>
      <c r="F36" s="53" t="s">
        <v>5712</v>
      </c>
      <c r="G36" s="66" t="s">
        <v>5715</v>
      </c>
      <c r="H36" s="53" t="s">
        <v>30</v>
      </c>
      <c r="I36" s="151">
        <v>9</v>
      </c>
      <c r="J36" s="75">
        <v>350</v>
      </c>
      <c r="K36" s="54">
        <f t="shared" si="0"/>
        <v>3150</v>
      </c>
      <c r="L36" s="55" t="b">
        <v>1</v>
      </c>
      <c r="M36" s="56">
        <v>61020250944</v>
      </c>
      <c r="N36" s="57" t="b">
        <v>1</v>
      </c>
      <c r="O36" s="58" t="s">
        <v>2968</v>
      </c>
      <c r="P36" s="226"/>
      <c r="Q36" s="191" t="b">
        <v>1</v>
      </c>
      <c r="R36" s="342" t="s">
        <v>3684</v>
      </c>
      <c r="S36" s="173" t="s">
        <v>5716</v>
      </c>
      <c r="T36" s="57" t="b">
        <v>1</v>
      </c>
      <c r="U36" s="310" t="s">
        <v>5717</v>
      </c>
      <c r="V36" s="307"/>
      <c r="W36" s="54"/>
    </row>
    <row r="37" spans="1:23" ht="15" customHeight="1">
      <c r="A37" s="162"/>
      <c r="B37" s="71" t="s">
        <v>5711</v>
      </c>
      <c r="C37" s="53" t="s">
        <v>3568</v>
      </c>
      <c r="D37" s="53" t="s">
        <v>438</v>
      </c>
      <c r="E37" s="53" t="s">
        <v>883</v>
      </c>
      <c r="F37" s="53" t="s">
        <v>5712</v>
      </c>
      <c r="G37" s="66" t="s">
        <v>2085</v>
      </c>
      <c r="H37" s="53" t="s">
        <v>30</v>
      </c>
      <c r="I37" s="151">
        <v>3</v>
      </c>
      <c r="J37" s="75">
        <v>350</v>
      </c>
      <c r="K37" s="54">
        <f t="shared" si="0"/>
        <v>1050</v>
      </c>
      <c r="L37" s="55" t="b">
        <v>1</v>
      </c>
      <c r="M37" s="56">
        <v>61020250944</v>
      </c>
      <c r="N37" s="57" t="b">
        <v>1</v>
      </c>
      <c r="O37" s="58"/>
      <c r="P37" s="226"/>
      <c r="Q37" s="191" t="b">
        <v>1</v>
      </c>
      <c r="R37" s="342" t="s">
        <v>3684</v>
      </c>
      <c r="S37" s="173" t="s">
        <v>5716</v>
      </c>
      <c r="T37" s="57" t="b">
        <v>1</v>
      </c>
      <c r="U37" s="310" t="s">
        <v>5717</v>
      </c>
      <c r="V37" s="307"/>
      <c r="W37" s="54"/>
    </row>
    <row r="38" spans="1:23" ht="15" customHeight="1">
      <c r="A38" s="162"/>
      <c r="B38" s="132" t="s">
        <v>5711</v>
      </c>
      <c r="C38" s="53" t="s">
        <v>3577</v>
      </c>
      <c r="D38" s="53" t="s">
        <v>46</v>
      </c>
      <c r="E38" s="53" t="s">
        <v>47</v>
      </c>
      <c r="F38" s="53" t="s">
        <v>48</v>
      </c>
      <c r="G38" s="66" t="s">
        <v>278</v>
      </c>
      <c r="H38" s="53" t="s">
        <v>30</v>
      </c>
      <c r="I38" s="151">
        <v>10</v>
      </c>
      <c r="J38" s="75">
        <v>175</v>
      </c>
      <c r="K38" s="54">
        <f t="shared" si="0"/>
        <v>1750</v>
      </c>
      <c r="L38" s="55" t="b">
        <v>1</v>
      </c>
      <c r="M38" s="56">
        <v>61020250944</v>
      </c>
      <c r="N38" s="57" t="b">
        <v>1</v>
      </c>
      <c r="O38" s="58"/>
      <c r="P38" s="226"/>
      <c r="Q38" s="191" t="b">
        <v>1</v>
      </c>
      <c r="R38" s="342" t="s">
        <v>3684</v>
      </c>
      <c r="S38" s="337" t="s">
        <v>5718</v>
      </c>
      <c r="T38" s="57" t="b">
        <v>1</v>
      </c>
      <c r="U38" s="310" t="s">
        <v>5719</v>
      </c>
      <c r="V38" s="307"/>
      <c r="W38" s="54"/>
    </row>
    <row r="39" spans="1:23" ht="15" customHeight="1">
      <c r="A39" s="162"/>
      <c r="B39" s="132" t="s">
        <v>5711</v>
      </c>
      <c r="C39" s="53" t="s">
        <v>3577</v>
      </c>
      <c r="D39" s="53" t="s">
        <v>46</v>
      </c>
      <c r="E39" s="53" t="s">
        <v>47</v>
      </c>
      <c r="F39" s="53" t="s">
        <v>48</v>
      </c>
      <c r="G39" s="66" t="s">
        <v>2719</v>
      </c>
      <c r="H39" s="53" t="s">
        <v>30</v>
      </c>
      <c r="I39" s="151">
        <v>10</v>
      </c>
      <c r="J39" s="75">
        <v>130</v>
      </c>
      <c r="K39" s="54">
        <f t="shared" si="0"/>
        <v>1300</v>
      </c>
      <c r="L39" s="55" t="b">
        <v>1</v>
      </c>
      <c r="M39" s="56">
        <v>61020250944</v>
      </c>
      <c r="N39" s="57" t="b">
        <v>1</v>
      </c>
      <c r="O39" s="58"/>
      <c r="P39" s="215"/>
      <c r="Q39" s="191" t="b">
        <v>1</v>
      </c>
      <c r="R39" s="342" t="s">
        <v>3684</v>
      </c>
      <c r="S39" s="173" t="s">
        <v>5720</v>
      </c>
      <c r="T39" s="57" t="b">
        <v>1</v>
      </c>
      <c r="U39" s="310" t="s">
        <v>5721</v>
      </c>
      <c r="V39" s="307"/>
      <c r="W39" s="54"/>
    </row>
    <row r="40" spans="1:23" ht="15" customHeight="1">
      <c r="A40" s="162"/>
      <c r="B40" s="71" t="s">
        <v>5711</v>
      </c>
      <c r="C40" s="151" t="s">
        <v>3506</v>
      </c>
      <c r="D40" s="151" t="s">
        <v>55</v>
      </c>
      <c r="E40" s="151">
        <v>41</v>
      </c>
      <c r="F40" s="151" t="s">
        <v>1552</v>
      </c>
      <c r="G40" s="66" t="s">
        <v>49</v>
      </c>
      <c r="H40" s="53" t="s">
        <v>30</v>
      </c>
      <c r="I40" s="151">
        <v>10</v>
      </c>
      <c r="J40" s="75">
        <v>795</v>
      </c>
      <c r="K40" s="54">
        <f t="shared" si="0"/>
        <v>7950</v>
      </c>
      <c r="L40" s="55" t="b">
        <v>1</v>
      </c>
      <c r="M40" s="56">
        <v>61020251325</v>
      </c>
      <c r="N40" s="57" t="b">
        <v>1</v>
      </c>
      <c r="O40" s="58" t="s">
        <v>39</v>
      </c>
      <c r="P40" s="226">
        <v>45936</v>
      </c>
      <c r="Q40" s="191" t="b">
        <v>1</v>
      </c>
      <c r="R40" s="342" t="s">
        <v>3684</v>
      </c>
      <c r="S40" s="49"/>
      <c r="T40" s="57" t="b">
        <v>1</v>
      </c>
      <c r="U40" s="310" t="s">
        <v>5722</v>
      </c>
      <c r="V40" s="307"/>
      <c r="W40" s="54"/>
    </row>
    <row r="41" spans="1:23" ht="15" customHeight="1">
      <c r="A41" s="162"/>
      <c r="B41" s="132" t="s">
        <v>5711</v>
      </c>
      <c r="C41" s="151" t="s">
        <v>4292</v>
      </c>
      <c r="D41" s="151" t="s">
        <v>98</v>
      </c>
      <c r="E41" s="151" t="s">
        <v>99</v>
      </c>
      <c r="F41" s="151" t="s">
        <v>2768</v>
      </c>
      <c r="G41" s="66" t="s">
        <v>49</v>
      </c>
      <c r="H41" s="53" t="s">
        <v>30</v>
      </c>
      <c r="I41" s="151">
        <v>10</v>
      </c>
      <c r="J41" s="75">
        <v>795</v>
      </c>
      <c r="K41" s="54">
        <f t="shared" si="0"/>
        <v>7950</v>
      </c>
      <c r="L41" s="55" t="b">
        <v>1</v>
      </c>
      <c r="M41" s="56">
        <v>61020251424</v>
      </c>
      <c r="N41" s="57" t="b">
        <v>1</v>
      </c>
      <c r="O41" s="58" t="s">
        <v>39</v>
      </c>
      <c r="P41" s="226">
        <v>45936</v>
      </c>
      <c r="Q41" s="191" t="b">
        <v>1</v>
      </c>
      <c r="R41" s="342" t="s">
        <v>3684</v>
      </c>
      <c r="S41" s="49"/>
      <c r="T41" s="57" t="b">
        <v>1</v>
      </c>
      <c r="U41" s="310" t="s">
        <v>5723</v>
      </c>
      <c r="V41" s="307"/>
      <c r="W41" s="54"/>
    </row>
    <row r="42" spans="1:23" ht="15" customHeight="1">
      <c r="A42" s="162"/>
      <c r="B42" s="132" t="s">
        <v>5711</v>
      </c>
      <c r="C42" s="151" t="s">
        <v>4099</v>
      </c>
      <c r="D42" s="151" t="s">
        <v>51</v>
      </c>
      <c r="E42" s="151" t="s">
        <v>594</v>
      </c>
      <c r="F42" s="151" t="s">
        <v>595</v>
      </c>
      <c r="G42" s="66" t="s">
        <v>5724</v>
      </c>
      <c r="H42" s="53" t="s">
        <v>30</v>
      </c>
      <c r="I42" s="151">
        <v>2</v>
      </c>
      <c r="J42" s="75">
        <v>1300</v>
      </c>
      <c r="K42" s="54">
        <f t="shared" si="0"/>
        <v>2600</v>
      </c>
      <c r="L42" s="55" t="b">
        <v>1</v>
      </c>
      <c r="M42" s="56">
        <v>61020252045</v>
      </c>
      <c r="N42" s="57" t="b">
        <v>1</v>
      </c>
      <c r="O42" s="58"/>
      <c r="P42" s="215"/>
      <c r="Q42" s="191" t="b">
        <v>1</v>
      </c>
      <c r="R42" s="342" t="s">
        <v>3684</v>
      </c>
      <c r="S42" s="173" t="s">
        <v>5725</v>
      </c>
      <c r="T42" s="57" t="b">
        <v>1</v>
      </c>
      <c r="U42" s="310" t="s">
        <v>5726</v>
      </c>
      <c r="V42" s="307"/>
      <c r="W42" s="54"/>
    </row>
    <row r="43" spans="1:23" ht="15" customHeight="1">
      <c r="A43" s="162"/>
      <c r="B43" s="132" t="s">
        <v>5711</v>
      </c>
      <c r="C43" s="151" t="s">
        <v>3445</v>
      </c>
      <c r="D43" s="151" t="s">
        <v>262</v>
      </c>
      <c r="E43" s="151" t="s">
        <v>3446</v>
      </c>
      <c r="F43" s="151" t="s">
        <v>3447</v>
      </c>
      <c r="G43" s="66" t="s">
        <v>5727</v>
      </c>
      <c r="H43" s="53" t="s">
        <v>30</v>
      </c>
      <c r="I43" s="151">
        <v>2</v>
      </c>
      <c r="J43" s="75">
        <v>1350</v>
      </c>
      <c r="K43" s="54">
        <f t="shared" si="0"/>
        <v>2700</v>
      </c>
      <c r="L43" s="55" t="b">
        <v>1</v>
      </c>
      <c r="M43" s="56">
        <v>61020252045</v>
      </c>
      <c r="N43" s="57" t="b">
        <v>1</v>
      </c>
      <c r="O43" s="58"/>
      <c r="P43" s="226"/>
      <c r="Q43" s="191" t="b">
        <v>1</v>
      </c>
      <c r="R43" s="342" t="s">
        <v>3684</v>
      </c>
      <c r="S43" s="173" t="s">
        <v>5728</v>
      </c>
      <c r="T43" s="57" t="b">
        <v>1</v>
      </c>
      <c r="U43" s="310" t="s">
        <v>5729</v>
      </c>
      <c r="V43" s="307"/>
      <c r="W43" s="54"/>
    </row>
    <row r="44" spans="1:23" ht="15" customHeight="1">
      <c r="A44" s="162"/>
      <c r="B44" s="132" t="s">
        <v>5711</v>
      </c>
      <c r="C44" s="151" t="s">
        <v>5174</v>
      </c>
      <c r="D44" s="151" t="s">
        <v>832</v>
      </c>
      <c r="E44" s="151" t="s">
        <v>137</v>
      </c>
      <c r="F44" s="151" t="s">
        <v>834</v>
      </c>
      <c r="G44" s="66" t="s">
        <v>5730</v>
      </c>
      <c r="H44" s="53" t="s">
        <v>30</v>
      </c>
      <c r="I44" s="151">
        <v>1</v>
      </c>
      <c r="J44" s="75">
        <v>975</v>
      </c>
      <c r="K44" s="54">
        <f t="shared" si="0"/>
        <v>975</v>
      </c>
      <c r="L44" s="55" t="b">
        <v>1</v>
      </c>
      <c r="M44" s="56">
        <v>61020252047</v>
      </c>
      <c r="N44" s="57" t="b">
        <v>1</v>
      </c>
      <c r="O44" s="58" t="s">
        <v>39</v>
      </c>
      <c r="P44" s="226"/>
      <c r="Q44" s="191" t="b">
        <v>1</v>
      </c>
      <c r="R44" s="342" t="s">
        <v>3684</v>
      </c>
      <c r="S44" s="49"/>
      <c r="T44" s="57" t="b">
        <v>1</v>
      </c>
      <c r="U44" s="310" t="s">
        <v>5731</v>
      </c>
      <c r="V44" s="307"/>
      <c r="W44" s="54"/>
    </row>
    <row r="45" spans="1:23" ht="15" customHeight="1">
      <c r="A45" s="162"/>
      <c r="B45" s="71" t="s">
        <v>5711</v>
      </c>
      <c r="C45" s="151" t="s">
        <v>3487</v>
      </c>
      <c r="D45" s="151" t="s">
        <v>51</v>
      </c>
      <c r="E45" s="151" t="s">
        <v>89</v>
      </c>
      <c r="F45" s="151" t="s">
        <v>1872</v>
      </c>
      <c r="G45" s="66" t="s">
        <v>5732</v>
      </c>
      <c r="H45" s="53" t="s">
        <v>30</v>
      </c>
      <c r="I45" s="53">
        <v>504</v>
      </c>
      <c r="J45" s="75">
        <v>43</v>
      </c>
      <c r="K45" s="54">
        <f t="shared" si="0"/>
        <v>21672</v>
      </c>
      <c r="L45" s="55" t="b">
        <v>1</v>
      </c>
      <c r="M45" s="56">
        <v>61020252047</v>
      </c>
      <c r="N45" s="57" t="b">
        <v>1</v>
      </c>
      <c r="O45" s="58"/>
      <c r="P45" s="226"/>
      <c r="Q45" s="191" t="b">
        <v>1</v>
      </c>
      <c r="R45" s="342" t="s">
        <v>3684</v>
      </c>
      <c r="S45" s="49"/>
      <c r="T45" s="57" t="b">
        <v>1</v>
      </c>
      <c r="U45" s="310" t="s">
        <v>5733</v>
      </c>
      <c r="V45" s="307"/>
      <c r="W45" s="54"/>
    </row>
    <row r="46" spans="1:23" ht="15" customHeight="1">
      <c r="A46" s="162"/>
      <c r="B46" s="71" t="s">
        <v>5734</v>
      </c>
      <c r="C46" s="151" t="s">
        <v>3601</v>
      </c>
      <c r="D46" s="151" t="s">
        <v>523</v>
      </c>
      <c r="E46" s="151" t="s">
        <v>523</v>
      </c>
      <c r="F46" s="151" t="s">
        <v>525</v>
      </c>
      <c r="G46" s="66" t="s">
        <v>49</v>
      </c>
      <c r="H46" s="53" t="s">
        <v>30</v>
      </c>
      <c r="I46" s="53">
        <v>10</v>
      </c>
      <c r="J46" s="75">
        <v>795</v>
      </c>
      <c r="K46" s="54">
        <f t="shared" si="0"/>
        <v>7950</v>
      </c>
      <c r="L46" s="55" t="b">
        <v>1</v>
      </c>
      <c r="M46" s="56">
        <v>71020251413</v>
      </c>
      <c r="N46" s="57" t="b">
        <v>1</v>
      </c>
      <c r="O46" s="58" t="s">
        <v>39</v>
      </c>
      <c r="P46" s="226">
        <v>45937</v>
      </c>
      <c r="Q46" s="191" t="b">
        <v>1</v>
      </c>
      <c r="R46" s="342" t="s">
        <v>3684</v>
      </c>
      <c r="S46" s="49"/>
      <c r="T46" s="57" t="b">
        <v>1</v>
      </c>
      <c r="U46" s="310" t="s">
        <v>5735</v>
      </c>
      <c r="V46" s="307"/>
      <c r="W46" s="54"/>
    </row>
    <row r="47" spans="1:23" ht="15" customHeight="1">
      <c r="A47" s="162"/>
      <c r="B47" s="71" t="s">
        <v>5734</v>
      </c>
      <c r="C47" s="151" t="s">
        <v>3601</v>
      </c>
      <c r="D47" s="151" t="s">
        <v>523</v>
      </c>
      <c r="E47" s="151" t="s">
        <v>523</v>
      </c>
      <c r="F47" s="151" t="s">
        <v>525</v>
      </c>
      <c r="G47" s="66" t="s">
        <v>4056</v>
      </c>
      <c r="H47" s="53" t="s">
        <v>30</v>
      </c>
      <c r="I47" s="53">
        <v>84</v>
      </c>
      <c r="J47" s="75">
        <v>38</v>
      </c>
      <c r="K47" s="54">
        <f t="shared" si="0"/>
        <v>3192</v>
      </c>
      <c r="L47" s="55" t="b">
        <v>1</v>
      </c>
      <c r="M47" s="56">
        <v>71020251414</v>
      </c>
      <c r="N47" s="57" t="b">
        <v>1</v>
      </c>
      <c r="O47" s="58"/>
      <c r="P47" s="226"/>
      <c r="Q47" s="191" t="b">
        <v>1</v>
      </c>
      <c r="R47" s="342" t="s">
        <v>3684</v>
      </c>
      <c r="S47" s="173" t="s">
        <v>5736</v>
      </c>
      <c r="T47" s="57" t="b">
        <v>1</v>
      </c>
      <c r="U47" s="310" t="s">
        <v>5737</v>
      </c>
      <c r="V47" s="307"/>
      <c r="W47" s="54"/>
    </row>
    <row r="48" spans="1:23" ht="15" customHeight="1">
      <c r="A48" s="162"/>
      <c r="B48" s="71" t="s">
        <v>5734</v>
      </c>
      <c r="C48" s="151" t="s">
        <v>3601</v>
      </c>
      <c r="D48" s="151" t="s">
        <v>523</v>
      </c>
      <c r="E48" s="151" t="s">
        <v>523</v>
      </c>
      <c r="F48" s="151" t="s">
        <v>525</v>
      </c>
      <c r="G48" s="66" t="s">
        <v>1024</v>
      </c>
      <c r="H48" s="53" t="s">
        <v>30</v>
      </c>
      <c r="I48" s="151">
        <v>10</v>
      </c>
      <c r="J48" s="75">
        <v>165</v>
      </c>
      <c r="K48" s="54">
        <f t="shared" si="0"/>
        <v>1650</v>
      </c>
      <c r="L48" s="55" t="b">
        <v>1</v>
      </c>
      <c r="M48" s="56">
        <v>71020251416</v>
      </c>
      <c r="N48" s="57" t="b">
        <v>1</v>
      </c>
      <c r="O48" s="58"/>
      <c r="P48" s="226"/>
      <c r="Q48" s="191" t="b">
        <v>1</v>
      </c>
      <c r="R48" s="342" t="s">
        <v>3684</v>
      </c>
      <c r="S48" s="173" t="s">
        <v>5738</v>
      </c>
      <c r="T48" s="57" t="b">
        <v>1</v>
      </c>
      <c r="U48" s="310" t="s">
        <v>5739</v>
      </c>
      <c r="V48" s="307"/>
      <c r="W48" s="54"/>
    </row>
    <row r="49" spans="1:23" ht="15" customHeight="1">
      <c r="A49" s="162"/>
      <c r="B49" s="71" t="s">
        <v>5734</v>
      </c>
      <c r="C49" s="151" t="s">
        <v>3706</v>
      </c>
      <c r="D49" s="151" t="s">
        <v>418</v>
      </c>
      <c r="E49" s="151" t="s">
        <v>1549</v>
      </c>
      <c r="F49" s="151" t="s">
        <v>607</v>
      </c>
      <c r="G49" s="66" t="s">
        <v>229</v>
      </c>
      <c r="H49" s="53" t="s">
        <v>30</v>
      </c>
      <c r="I49" s="151">
        <v>3</v>
      </c>
      <c r="J49" s="75">
        <v>875</v>
      </c>
      <c r="K49" s="54">
        <v>2625</v>
      </c>
      <c r="L49" s="55" t="b">
        <v>1</v>
      </c>
      <c r="M49" s="56">
        <v>71020251416</v>
      </c>
      <c r="N49" s="57" t="b">
        <v>1</v>
      </c>
      <c r="O49" s="58"/>
      <c r="P49" s="226"/>
      <c r="Q49" s="191" t="b">
        <v>1</v>
      </c>
      <c r="R49" s="342" t="s">
        <v>3684</v>
      </c>
      <c r="S49" s="49"/>
      <c r="T49" s="57" t="b">
        <v>1</v>
      </c>
      <c r="U49" s="310" t="s">
        <v>5740</v>
      </c>
      <c r="V49" s="307"/>
      <c r="W49" s="54"/>
    </row>
    <row r="50" spans="1:23" ht="15" customHeight="1">
      <c r="A50" s="162"/>
      <c r="B50" s="71" t="s">
        <v>5734</v>
      </c>
      <c r="C50" s="151" t="s">
        <v>3706</v>
      </c>
      <c r="D50" s="151" t="s">
        <v>418</v>
      </c>
      <c r="E50" s="151" t="s">
        <v>1549</v>
      </c>
      <c r="F50" s="151" t="s">
        <v>607</v>
      </c>
      <c r="G50" s="66" t="s">
        <v>229</v>
      </c>
      <c r="H50" s="53" t="s">
        <v>30</v>
      </c>
      <c r="I50" s="151">
        <v>11</v>
      </c>
      <c r="J50" s="75">
        <v>875</v>
      </c>
      <c r="K50" s="54">
        <f t="shared" ref="K50:K52" si="1">(J50*I50)</f>
        <v>9625</v>
      </c>
      <c r="L50" s="55" t="b">
        <v>1</v>
      </c>
      <c r="M50" s="56">
        <v>71020251837</v>
      </c>
      <c r="N50" s="57" t="b">
        <v>1</v>
      </c>
      <c r="O50" s="58"/>
      <c r="P50" s="226"/>
      <c r="Q50" s="191" t="b">
        <v>1</v>
      </c>
      <c r="R50" s="342" t="s">
        <v>3684</v>
      </c>
      <c r="S50" s="173" t="s">
        <v>5741</v>
      </c>
      <c r="T50" s="57" t="b">
        <v>1</v>
      </c>
      <c r="U50" s="310" t="s">
        <v>5742</v>
      </c>
      <c r="V50" s="307"/>
      <c r="W50" s="54"/>
    </row>
    <row r="51" spans="1:23" ht="15" customHeight="1">
      <c r="A51" s="162"/>
      <c r="B51" s="71" t="s">
        <v>5743</v>
      </c>
      <c r="C51" s="151" t="s">
        <v>3458</v>
      </c>
      <c r="D51" s="151" t="s">
        <v>51</v>
      </c>
      <c r="E51" s="151" t="s">
        <v>201</v>
      </c>
      <c r="F51" s="151" t="s">
        <v>202</v>
      </c>
      <c r="G51" s="66" t="s">
        <v>5744</v>
      </c>
      <c r="H51" s="53" t="s">
        <v>30</v>
      </c>
      <c r="I51" s="151">
        <v>20</v>
      </c>
      <c r="J51" s="75">
        <v>400</v>
      </c>
      <c r="K51" s="54">
        <f t="shared" si="1"/>
        <v>8000</v>
      </c>
      <c r="L51" s="55" t="b">
        <v>1</v>
      </c>
      <c r="M51" s="436" t="s">
        <v>529</v>
      </c>
      <c r="N51" s="57" t="b">
        <v>1</v>
      </c>
      <c r="O51" s="58"/>
      <c r="P51" s="226"/>
      <c r="Q51" s="191" t="b">
        <v>1</v>
      </c>
      <c r="R51" s="342" t="s">
        <v>3684</v>
      </c>
      <c r="S51" s="173" t="s">
        <v>5745</v>
      </c>
      <c r="T51" s="57" t="b">
        <v>1</v>
      </c>
      <c r="U51" s="310" t="s">
        <v>5746</v>
      </c>
      <c r="V51" s="307"/>
      <c r="W51" s="54"/>
    </row>
    <row r="52" spans="1:23" ht="15" customHeight="1">
      <c r="A52" s="162"/>
      <c r="B52" s="71" t="s">
        <v>5743</v>
      </c>
      <c r="C52" s="151" t="s">
        <v>3458</v>
      </c>
      <c r="D52" s="151" t="s">
        <v>51</v>
      </c>
      <c r="E52" s="151" t="s">
        <v>201</v>
      </c>
      <c r="F52" s="151" t="s">
        <v>202</v>
      </c>
      <c r="G52" s="66" t="s">
        <v>5747</v>
      </c>
      <c r="H52" s="53" t="s">
        <v>30</v>
      </c>
      <c r="I52" s="151">
        <v>15</v>
      </c>
      <c r="J52" s="75">
        <v>425</v>
      </c>
      <c r="K52" s="54">
        <f t="shared" si="1"/>
        <v>6375</v>
      </c>
      <c r="L52" s="55" t="b">
        <v>1</v>
      </c>
      <c r="M52" s="436" t="s">
        <v>529</v>
      </c>
      <c r="N52" s="57" t="b">
        <v>1</v>
      </c>
      <c r="O52" s="58"/>
      <c r="P52" s="226"/>
      <c r="Q52" s="191" t="b">
        <v>1</v>
      </c>
      <c r="R52" s="342" t="s">
        <v>3684</v>
      </c>
      <c r="S52" s="173" t="s">
        <v>5745</v>
      </c>
      <c r="T52" s="57" t="b">
        <v>1</v>
      </c>
      <c r="U52" s="310" t="s">
        <v>5746</v>
      </c>
      <c r="V52" s="307"/>
      <c r="W52" s="54"/>
    </row>
    <row r="53" spans="1:23" ht="15" customHeight="1">
      <c r="A53" s="162"/>
      <c r="B53" s="71" t="s">
        <v>5743</v>
      </c>
      <c r="C53" s="151" t="s">
        <v>3458</v>
      </c>
      <c r="D53" s="151" t="s">
        <v>51</v>
      </c>
      <c r="E53" s="151" t="s">
        <v>201</v>
      </c>
      <c r="F53" s="151" t="s">
        <v>202</v>
      </c>
      <c r="G53" s="66" t="s">
        <v>1084</v>
      </c>
      <c r="H53" s="131" t="s">
        <v>30</v>
      </c>
      <c r="I53" s="53">
        <v>100</v>
      </c>
      <c r="J53" s="188">
        <v>27.5</v>
      </c>
      <c r="K53" s="54">
        <f>I53*J53</f>
        <v>2750</v>
      </c>
      <c r="L53" s="55" t="b">
        <v>1</v>
      </c>
      <c r="M53" s="436" t="s">
        <v>529</v>
      </c>
      <c r="N53" s="57" t="b">
        <v>1</v>
      </c>
      <c r="O53" s="58"/>
      <c r="P53" s="226"/>
      <c r="Q53" s="191" t="b">
        <v>1</v>
      </c>
      <c r="R53" s="342" t="s">
        <v>3684</v>
      </c>
      <c r="S53" s="173" t="s">
        <v>5748</v>
      </c>
      <c r="T53" s="57" t="b">
        <v>1</v>
      </c>
      <c r="U53" s="310" t="s">
        <v>5749</v>
      </c>
      <c r="V53" s="307"/>
      <c r="W53" s="54"/>
    </row>
    <row r="54" spans="1:23" ht="15" customHeight="1">
      <c r="A54" s="162"/>
      <c r="B54" s="71" t="s">
        <v>5743</v>
      </c>
      <c r="C54" s="151" t="s">
        <v>3641</v>
      </c>
      <c r="D54" s="151" t="s">
        <v>51</v>
      </c>
      <c r="E54" s="151" t="s">
        <v>335</v>
      </c>
      <c r="F54" s="151" t="s">
        <v>457</v>
      </c>
      <c r="G54" s="66" t="s">
        <v>3375</v>
      </c>
      <c r="H54" s="53" t="s">
        <v>30</v>
      </c>
      <c r="I54" s="151">
        <v>2</v>
      </c>
      <c r="J54" s="75">
        <v>2100</v>
      </c>
      <c r="K54" s="54">
        <f t="shared" ref="K54:K97" si="2">(J54*I54)</f>
        <v>4200</v>
      </c>
      <c r="L54" s="55" t="b">
        <v>1</v>
      </c>
      <c r="M54" s="56"/>
      <c r="N54" s="57" t="b">
        <v>1</v>
      </c>
      <c r="O54" s="58"/>
      <c r="P54" s="226"/>
      <c r="Q54" s="191" t="b">
        <v>1</v>
      </c>
      <c r="R54" s="342" t="s">
        <v>3684</v>
      </c>
      <c r="S54" s="173" t="s">
        <v>5750</v>
      </c>
      <c r="T54" s="57" t="b">
        <v>1</v>
      </c>
      <c r="U54" s="310" t="s">
        <v>5751</v>
      </c>
      <c r="V54" s="307"/>
      <c r="W54" s="54"/>
    </row>
    <row r="55" spans="1:23" ht="15" customHeight="1">
      <c r="A55" s="162"/>
      <c r="B55" s="71" t="s">
        <v>5743</v>
      </c>
      <c r="C55" s="151" t="s">
        <v>3641</v>
      </c>
      <c r="D55" s="151" t="s">
        <v>51</v>
      </c>
      <c r="E55" s="151" t="s">
        <v>335</v>
      </c>
      <c r="F55" s="151" t="s">
        <v>457</v>
      </c>
      <c r="G55" s="66" t="s">
        <v>49</v>
      </c>
      <c r="H55" s="53" t="s">
        <v>30</v>
      </c>
      <c r="I55" s="53">
        <v>10</v>
      </c>
      <c r="J55" s="75">
        <v>795</v>
      </c>
      <c r="K55" s="54">
        <f t="shared" si="2"/>
        <v>7950</v>
      </c>
      <c r="L55" s="55" t="b">
        <v>1</v>
      </c>
      <c r="M55" s="56">
        <v>91020250740</v>
      </c>
      <c r="N55" s="57" t="b">
        <v>1</v>
      </c>
      <c r="O55" s="58"/>
      <c r="P55" s="226">
        <v>45939</v>
      </c>
      <c r="Q55" s="191" t="b">
        <v>1</v>
      </c>
      <c r="R55" s="342" t="s">
        <v>3684</v>
      </c>
      <c r="S55" s="49"/>
      <c r="T55" s="57" t="b">
        <v>1</v>
      </c>
      <c r="U55" s="310" t="s">
        <v>5752</v>
      </c>
      <c r="V55" s="307"/>
      <c r="W55" s="54"/>
    </row>
    <row r="56" spans="1:23" ht="15" customHeight="1">
      <c r="A56" s="162"/>
      <c r="B56" s="71" t="s">
        <v>5743</v>
      </c>
      <c r="C56" s="151" t="s">
        <v>3641</v>
      </c>
      <c r="D56" s="151" t="s">
        <v>51</v>
      </c>
      <c r="E56" s="151" t="s">
        <v>335</v>
      </c>
      <c r="F56" s="151" t="s">
        <v>339</v>
      </c>
      <c r="G56" s="75" t="s">
        <v>1398</v>
      </c>
      <c r="H56" s="53" t="s">
        <v>30</v>
      </c>
      <c r="I56" s="151">
        <v>1</v>
      </c>
      <c r="J56" s="75">
        <v>4500</v>
      </c>
      <c r="K56" s="54">
        <f t="shared" si="2"/>
        <v>4500</v>
      </c>
      <c r="L56" s="55" t="b">
        <v>1</v>
      </c>
      <c r="M56" s="56" t="s">
        <v>529</v>
      </c>
      <c r="N56" s="57" t="b">
        <v>1</v>
      </c>
      <c r="O56" s="58"/>
      <c r="P56" s="215" t="s">
        <v>529</v>
      </c>
      <c r="Q56" s="191" t="b">
        <v>1</v>
      </c>
      <c r="R56" s="342" t="s">
        <v>3684</v>
      </c>
      <c r="S56" s="49"/>
      <c r="T56" s="57" t="b">
        <v>1</v>
      </c>
      <c r="U56" s="310" t="s">
        <v>5753</v>
      </c>
      <c r="V56" s="307"/>
      <c r="W56" s="54"/>
    </row>
    <row r="57" spans="1:23" ht="15" customHeight="1">
      <c r="A57" s="162"/>
      <c r="B57" s="71" t="s">
        <v>5754</v>
      </c>
      <c r="C57" s="151" t="s">
        <v>5755</v>
      </c>
      <c r="D57" s="151" t="s">
        <v>418</v>
      </c>
      <c r="E57" s="151" t="s">
        <v>5756</v>
      </c>
      <c r="F57" s="151" t="s">
        <v>5757</v>
      </c>
      <c r="G57" s="66" t="s">
        <v>49</v>
      </c>
      <c r="H57" s="53" t="s">
        <v>30</v>
      </c>
      <c r="I57" s="151">
        <v>10</v>
      </c>
      <c r="J57" s="75">
        <v>795</v>
      </c>
      <c r="K57" s="54">
        <f t="shared" si="2"/>
        <v>7950</v>
      </c>
      <c r="L57" s="55" t="b">
        <v>1</v>
      </c>
      <c r="M57" s="56">
        <v>91020250740</v>
      </c>
      <c r="N57" s="57" t="b">
        <v>1</v>
      </c>
      <c r="O57" s="58"/>
      <c r="P57" s="226">
        <v>45939</v>
      </c>
      <c r="Q57" s="191" t="b">
        <v>1</v>
      </c>
      <c r="R57" s="342" t="s">
        <v>3684</v>
      </c>
      <c r="S57" s="49"/>
      <c r="T57" s="57" t="b">
        <v>1</v>
      </c>
      <c r="U57" s="310" t="s">
        <v>5758</v>
      </c>
      <c r="V57" s="307"/>
      <c r="W57" s="54"/>
    </row>
    <row r="58" spans="1:23" ht="15" customHeight="1">
      <c r="A58" s="162"/>
      <c r="B58" s="71" t="s">
        <v>5754</v>
      </c>
      <c r="C58" s="151" t="s">
        <v>3663</v>
      </c>
      <c r="D58" s="151" t="s">
        <v>2152</v>
      </c>
      <c r="E58" s="151" t="s">
        <v>137</v>
      </c>
      <c r="F58" s="151" t="s">
        <v>5759</v>
      </c>
      <c r="G58" s="75" t="s">
        <v>5760</v>
      </c>
      <c r="H58" s="53" t="s">
        <v>30</v>
      </c>
      <c r="I58" s="151">
        <v>10</v>
      </c>
      <c r="J58" s="75">
        <v>145</v>
      </c>
      <c r="K58" s="54">
        <f t="shared" si="2"/>
        <v>1450</v>
      </c>
      <c r="L58" s="55" t="b">
        <v>1</v>
      </c>
      <c r="M58" s="56">
        <v>91020250741</v>
      </c>
      <c r="N58" s="57" t="b">
        <v>1</v>
      </c>
      <c r="O58" s="58" t="s">
        <v>529</v>
      </c>
      <c r="P58" s="226"/>
      <c r="Q58" s="191" t="b">
        <v>1</v>
      </c>
      <c r="R58" s="342" t="s">
        <v>3684</v>
      </c>
      <c r="S58" s="173" t="s">
        <v>5761</v>
      </c>
      <c r="T58" s="57" t="b">
        <v>1</v>
      </c>
      <c r="U58" s="310" t="s">
        <v>5762</v>
      </c>
      <c r="V58" s="307"/>
      <c r="W58" s="54"/>
    </row>
    <row r="59" spans="1:23" ht="16">
      <c r="A59" s="162"/>
      <c r="B59" s="437" t="s">
        <v>5763</v>
      </c>
      <c r="C59" s="340" t="s">
        <v>3487</v>
      </c>
      <c r="D59" s="340" t="s">
        <v>51</v>
      </c>
      <c r="E59" s="340" t="s">
        <v>89</v>
      </c>
      <c r="F59" s="340" t="s">
        <v>1872</v>
      </c>
      <c r="G59" s="158" t="s">
        <v>1700</v>
      </c>
      <c r="H59" s="53" t="s">
        <v>30</v>
      </c>
      <c r="I59" s="340">
        <v>150</v>
      </c>
      <c r="J59" s="438">
        <v>17.5</v>
      </c>
      <c r="K59" s="336">
        <f t="shared" si="2"/>
        <v>2625</v>
      </c>
      <c r="L59" s="55" t="b">
        <v>1</v>
      </c>
      <c r="M59" s="56" t="s">
        <v>529</v>
      </c>
      <c r="N59" s="57" t="b">
        <v>1</v>
      </c>
      <c r="O59" s="58"/>
      <c r="P59" s="226"/>
      <c r="Q59" s="191" t="b">
        <v>1</v>
      </c>
      <c r="R59" s="342" t="s">
        <v>3684</v>
      </c>
      <c r="S59" s="173" t="s">
        <v>5764</v>
      </c>
      <c r="T59" s="57" t="b">
        <v>1</v>
      </c>
      <c r="U59" s="310" t="s">
        <v>5765</v>
      </c>
      <c r="V59" s="307"/>
      <c r="W59" s="54"/>
    </row>
    <row r="60" spans="1:23" ht="16">
      <c r="A60" s="162"/>
      <c r="B60" s="437" t="s">
        <v>5763</v>
      </c>
      <c r="C60" s="340" t="s">
        <v>3487</v>
      </c>
      <c r="D60" s="340" t="s">
        <v>51</v>
      </c>
      <c r="E60" s="340" t="s">
        <v>89</v>
      </c>
      <c r="F60" s="340" t="s">
        <v>1872</v>
      </c>
      <c r="G60" s="158" t="s">
        <v>5766</v>
      </c>
      <c r="H60" s="53" t="s">
        <v>30</v>
      </c>
      <c r="I60" s="340">
        <v>100</v>
      </c>
      <c r="J60" s="438">
        <v>130</v>
      </c>
      <c r="K60" s="336">
        <f t="shared" si="2"/>
        <v>13000</v>
      </c>
      <c r="L60" s="55" t="b">
        <v>1</v>
      </c>
      <c r="M60" s="56" t="s">
        <v>529</v>
      </c>
      <c r="N60" s="57" t="b">
        <v>0</v>
      </c>
      <c r="O60" s="58"/>
      <c r="P60" s="226"/>
      <c r="Q60" s="191" t="b">
        <v>0</v>
      </c>
      <c r="R60" s="439" t="s">
        <v>4315</v>
      </c>
      <c r="S60" s="173" t="s">
        <v>5764</v>
      </c>
      <c r="T60" s="57" t="b">
        <v>1</v>
      </c>
      <c r="U60" s="310" t="s">
        <v>5765</v>
      </c>
      <c r="V60" s="307"/>
      <c r="W60" s="54"/>
    </row>
    <row r="61" spans="1:23" ht="16">
      <c r="A61" s="162"/>
      <c r="B61" s="437" t="s">
        <v>5763</v>
      </c>
      <c r="C61" s="340" t="s">
        <v>3487</v>
      </c>
      <c r="D61" s="340" t="s">
        <v>51</v>
      </c>
      <c r="E61" s="340" t="s">
        <v>89</v>
      </c>
      <c r="F61" s="340" t="s">
        <v>1872</v>
      </c>
      <c r="G61" s="66" t="s">
        <v>4056</v>
      </c>
      <c r="H61" s="53" t="s">
        <v>30</v>
      </c>
      <c r="I61" s="151">
        <v>84</v>
      </c>
      <c r="J61" s="75">
        <v>38</v>
      </c>
      <c r="K61" s="54">
        <f t="shared" si="2"/>
        <v>3192</v>
      </c>
      <c r="L61" s="55" t="b">
        <v>1</v>
      </c>
      <c r="M61" s="56">
        <v>101020252129</v>
      </c>
      <c r="N61" s="57" t="b">
        <v>1</v>
      </c>
      <c r="O61" s="58"/>
      <c r="P61" s="226"/>
      <c r="Q61" s="191" t="b">
        <v>1</v>
      </c>
      <c r="R61" s="342" t="s">
        <v>3684</v>
      </c>
      <c r="S61" s="297" t="s">
        <v>5767</v>
      </c>
      <c r="T61" s="57" t="b">
        <v>1</v>
      </c>
      <c r="U61" s="310" t="s">
        <v>5768</v>
      </c>
      <c r="V61" s="307"/>
      <c r="W61" s="54"/>
    </row>
    <row r="62" spans="1:23" ht="16">
      <c r="A62" s="162"/>
      <c r="B62" s="71" t="s">
        <v>5763</v>
      </c>
      <c r="C62" s="151" t="s">
        <v>4099</v>
      </c>
      <c r="D62" s="151" t="s">
        <v>51</v>
      </c>
      <c r="E62" s="151" t="s">
        <v>594</v>
      </c>
      <c r="F62" s="151" t="s">
        <v>595</v>
      </c>
      <c r="G62" s="66" t="s">
        <v>300</v>
      </c>
      <c r="H62" s="53" t="s">
        <v>30</v>
      </c>
      <c r="I62" s="151">
        <v>25</v>
      </c>
      <c r="J62" s="75">
        <v>150</v>
      </c>
      <c r="K62" s="54">
        <f t="shared" si="2"/>
        <v>3750</v>
      </c>
      <c r="L62" s="55" t="b">
        <v>1</v>
      </c>
      <c r="M62" s="56">
        <v>101020252129</v>
      </c>
      <c r="N62" s="57" t="b">
        <v>1</v>
      </c>
      <c r="O62" s="58"/>
      <c r="P62" s="226"/>
      <c r="Q62" s="191" t="b">
        <v>1</v>
      </c>
      <c r="R62" s="342" t="s">
        <v>3684</v>
      </c>
      <c r="S62" s="173" t="s">
        <v>5769</v>
      </c>
      <c r="T62" s="57" t="b">
        <v>1</v>
      </c>
      <c r="U62" s="310" t="s">
        <v>5770</v>
      </c>
      <c r="V62" s="307"/>
      <c r="W62" s="54"/>
    </row>
    <row r="63" spans="1:23" ht="16">
      <c r="A63" s="162"/>
      <c r="B63" s="71" t="s">
        <v>5763</v>
      </c>
      <c r="C63" s="151" t="s">
        <v>4325</v>
      </c>
      <c r="D63" s="151" t="s">
        <v>3242</v>
      </c>
      <c r="E63" s="151" t="s">
        <v>2296</v>
      </c>
      <c r="F63" s="151" t="s">
        <v>2601</v>
      </c>
      <c r="G63" s="66" t="s">
        <v>4056</v>
      </c>
      <c r="H63" s="53" t="s">
        <v>30</v>
      </c>
      <c r="I63" s="151">
        <v>252</v>
      </c>
      <c r="J63" s="75">
        <v>38</v>
      </c>
      <c r="K63" s="54">
        <f t="shared" si="2"/>
        <v>9576</v>
      </c>
      <c r="L63" s="55" t="b">
        <v>1</v>
      </c>
      <c r="M63" s="56">
        <v>101020252129</v>
      </c>
      <c r="N63" s="57" t="b">
        <v>1</v>
      </c>
      <c r="O63" s="58"/>
      <c r="P63" s="226"/>
      <c r="Q63" s="191" t="b">
        <v>1</v>
      </c>
      <c r="R63" s="342" t="s">
        <v>3684</v>
      </c>
      <c r="S63" s="173" t="s">
        <v>5771</v>
      </c>
      <c r="T63" s="57" t="b">
        <v>1</v>
      </c>
      <c r="U63" s="310" t="s">
        <v>5772</v>
      </c>
      <c r="V63" s="307"/>
      <c r="W63" s="54"/>
    </row>
    <row r="64" spans="1:23" ht="16">
      <c r="A64" s="162"/>
      <c r="B64" s="71" t="s">
        <v>5763</v>
      </c>
      <c r="C64" s="151" t="s">
        <v>4325</v>
      </c>
      <c r="D64" s="151" t="s">
        <v>3242</v>
      </c>
      <c r="E64" s="151" t="s">
        <v>2296</v>
      </c>
      <c r="F64" s="151" t="s">
        <v>2601</v>
      </c>
      <c r="G64" s="66" t="s">
        <v>5773</v>
      </c>
      <c r="H64" s="53" t="s">
        <v>30</v>
      </c>
      <c r="I64" s="151">
        <v>1</v>
      </c>
      <c r="J64" s="75">
        <v>875</v>
      </c>
      <c r="K64" s="54">
        <f t="shared" si="2"/>
        <v>875</v>
      </c>
      <c r="L64" s="55" t="b">
        <v>1</v>
      </c>
      <c r="M64" s="56">
        <v>101020252129</v>
      </c>
      <c r="N64" s="57" t="b">
        <v>1</v>
      </c>
      <c r="O64" s="58"/>
      <c r="P64" s="226"/>
      <c r="Q64" s="191" t="b">
        <v>1</v>
      </c>
      <c r="R64" s="342" t="s">
        <v>3684</v>
      </c>
      <c r="S64" s="173" t="s">
        <v>5774</v>
      </c>
      <c r="T64" s="57" t="b">
        <v>1</v>
      </c>
      <c r="U64" s="310" t="s">
        <v>5775</v>
      </c>
      <c r="V64" s="307"/>
      <c r="W64" s="54"/>
    </row>
    <row r="65" spans="1:23" ht="13.5" customHeight="1">
      <c r="A65" s="162"/>
      <c r="B65" s="71" t="s">
        <v>5763</v>
      </c>
      <c r="C65" s="151" t="s">
        <v>4325</v>
      </c>
      <c r="D65" s="151" t="s">
        <v>3242</v>
      </c>
      <c r="E65" s="151" t="s">
        <v>2296</v>
      </c>
      <c r="F65" s="151" t="s">
        <v>2601</v>
      </c>
      <c r="G65" s="66" t="s">
        <v>5776</v>
      </c>
      <c r="H65" s="53" t="s">
        <v>30</v>
      </c>
      <c r="I65" s="151">
        <v>100</v>
      </c>
      <c r="J65" s="75">
        <v>22.5</v>
      </c>
      <c r="K65" s="54">
        <f t="shared" si="2"/>
        <v>2250</v>
      </c>
      <c r="L65" s="55" t="b">
        <v>1</v>
      </c>
      <c r="M65" s="56">
        <v>101020252134</v>
      </c>
      <c r="N65" s="57" t="b">
        <v>1</v>
      </c>
      <c r="O65" s="58"/>
      <c r="P65" s="226"/>
      <c r="Q65" s="191" t="b">
        <v>1</v>
      </c>
      <c r="R65" s="342" t="s">
        <v>3684</v>
      </c>
      <c r="S65" s="173" t="s">
        <v>5777</v>
      </c>
      <c r="T65" s="57" t="b">
        <v>1</v>
      </c>
      <c r="U65" s="310" t="s">
        <v>5778</v>
      </c>
      <c r="V65" s="307"/>
      <c r="W65" s="54"/>
    </row>
    <row r="66" spans="1:23" ht="13.5" customHeight="1">
      <c r="A66" s="162"/>
      <c r="B66" s="71" t="s">
        <v>5763</v>
      </c>
      <c r="C66" s="151" t="s">
        <v>4325</v>
      </c>
      <c r="D66" s="151" t="s">
        <v>3242</v>
      </c>
      <c r="E66" s="151" t="s">
        <v>2296</v>
      </c>
      <c r="F66" s="151" t="s">
        <v>2601</v>
      </c>
      <c r="G66" s="66" t="s">
        <v>5776</v>
      </c>
      <c r="H66" s="53" t="s">
        <v>30</v>
      </c>
      <c r="I66" s="151">
        <v>50</v>
      </c>
      <c r="J66" s="75">
        <v>22.5</v>
      </c>
      <c r="K66" s="54">
        <f t="shared" si="2"/>
        <v>1125</v>
      </c>
      <c r="L66" s="55" t="b">
        <v>1</v>
      </c>
      <c r="M66" s="56">
        <v>101020252134</v>
      </c>
      <c r="N66" s="57" t="b">
        <v>1</v>
      </c>
      <c r="O66" s="58"/>
      <c r="P66" s="226"/>
      <c r="Q66" s="191" t="b">
        <v>1</v>
      </c>
      <c r="R66" s="342" t="s">
        <v>3684</v>
      </c>
      <c r="S66" s="173" t="s">
        <v>5779</v>
      </c>
      <c r="T66" s="57" t="b">
        <v>1</v>
      </c>
      <c r="U66" s="310" t="s">
        <v>5778</v>
      </c>
      <c r="V66" s="307"/>
      <c r="W66" s="54"/>
    </row>
    <row r="67" spans="1:23" ht="16">
      <c r="A67" s="162"/>
      <c r="B67" s="71" t="s">
        <v>5763</v>
      </c>
      <c r="C67" s="53" t="s">
        <v>3568</v>
      </c>
      <c r="D67" s="53" t="s">
        <v>438</v>
      </c>
      <c r="E67" s="53" t="s">
        <v>439</v>
      </c>
      <c r="F67" s="53" t="s">
        <v>5712</v>
      </c>
      <c r="G67" s="66" t="s">
        <v>2719</v>
      </c>
      <c r="H67" s="53" t="s">
        <v>30</v>
      </c>
      <c r="I67" s="151">
        <v>50</v>
      </c>
      <c r="J67" s="75">
        <v>130</v>
      </c>
      <c r="K67" s="54">
        <f t="shared" si="2"/>
        <v>6500</v>
      </c>
      <c r="L67" s="55" t="b">
        <v>1</v>
      </c>
      <c r="M67" s="56">
        <v>101020252134</v>
      </c>
      <c r="N67" s="57" t="b">
        <v>1</v>
      </c>
      <c r="O67" s="58"/>
      <c r="P67" s="226"/>
      <c r="Q67" s="191" t="b">
        <v>1</v>
      </c>
      <c r="R67" s="342" t="s">
        <v>3684</v>
      </c>
      <c r="S67" s="173" t="s">
        <v>5780</v>
      </c>
      <c r="T67" s="57" t="b">
        <v>1</v>
      </c>
      <c r="U67" s="310" t="s">
        <v>5781</v>
      </c>
      <c r="V67" s="307"/>
      <c r="W67" s="54"/>
    </row>
    <row r="68" spans="1:23" ht="16">
      <c r="A68" s="162"/>
      <c r="B68" s="71" t="s">
        <v>5763</v>
      </c>
      <c r="C68" s="53" t="s">
        <v>3568</v>
      </c>
      <c r="D68" s="53" t="s">
        <v>438</v>
      </c>
      <c r="E68" s="53" t="s">
        <v>439</v>
      </c>
      <c r="F68" s="53" t="s">
        <v>5712</v>
      </c>
      <c r="G68" s="66" t="s">
        <v>5782</v>
      </c>
      <c r="H68" s="53" t="s">
        <v>30</v>
      </c>
      <c r="I68" s="151">
        <v>50</v>
      </c>
      <c r="J68" s="75">
        <v>150</v>
      </c>
      <c r="K68" s="54">
        <f t="shared" si="2"/>
        <v>7500</v>
      </c>
      <c r="L68" s="55" t="b">
        <v>1</v>
      </c>
      <c r="M68" s="56">
        <v>101020252137</v>
      </c>
      <c r="N68" s="57" t="b">
        <v>1</v>
      </c>
      <c r="O68" s="58"/>
      <c r="P68" s="226"/>
      <c r="Q68" s="191" t="b">
        <v>1</v>
      </c>
      <c r="R68" s="342" t="s">
        <v>3684</v>
      </c>
      <c r="S68" s="173" t="s">
        <v>5780</v>
      </c>
      <c r="T68" s="57" t="b">
        <v>1</v>
      </c>
      <c r="U68" s="310" t="s">
        <v>5781</v>
      </c>
      <c r="V68" s="307"/>
      <c r="W68" s="54"/>
    </row>
    <row r="69" spans="1:23" ht="16">
      <c r="A69" s="162"/>
      <c r="B69" s="71" t="s">
        <v>5763</v>
      </c>
      <c r="C69" s="151" t="s">
        <v>3589</v>
      </c>
      <c r="D69" s="151" t="s">
        <v>397</v>
      </c>
      <c r="E69" s="151" t="s">
        <v>213</v>
      </c>
      <c r="F69" s="151" t="s">
        <v>5783</v>
      </c>
      <c r="G69" s="66" t="s">
        <v>5784</v>
      </c>
      <c r="H69" s="53" t="s">
        <v>30</v>
      </c>
      <c r="I69" s="151">
        <v>2</v>
      </c>
      <c r="J69" s="75">
        <v>2150</v>
      </c>
      <c r="K69" s="54">
        <f t="shared" si="2"/>
        <v>4300</v>
      </c>
      <c r="L69" s="55" t="b">
        <v>1</v>
      </c>
      <c r="M69" s="56">
        <v>101020252141</v>
      </c>
      <c r="N69" s="57" t="b">
        <v>1</v>
      </c>
      <c r="O69" s="58"/>
      <c r="P69" s="226"/>
      <c r="Q69" s="191" t="b">
        <v>1</v>
      </c>
      <c r="R69" s="342" t="s">
        <v>3684</v>
      </c>
      <c r="S69" s="173" t="s">
        <v>5785</v>
      </c>
      <c r="T69" s="57" t="b">
        <v>1</v>
      </c>
      <c r="U69" s="310" t="s">
        <v>5786</v>
      </c>
      <c r="V69" s="307"/>
      <c r="W69" s="54"/>
    </row>
    <row r="70" spans="1:23" ht="16">
      <c r="A70" s="162"/>
      <c r="B70" s="71" t="s">
        <v>5763</v>
      </c>
      <c r="C70" s="151" t="s">
        <v>3458</v>
      </c>
      <c r="D70" s="151" t="s">
        <v>51</v>
      </c>
      <c r="E70" s="340" t="s">
        <v>201</v>
      </c>
      <c r="F70" s="340" t="s">
        <v>202</v>
      </c>
      <c r="G70" s="66" t="s">
        <v>308</v>
      </c>
      <c r="H70" s="53" t="s">
        <v>30</v>
      </c>
      <c r="I70" s="151">
        <v>18</v>
      </c>
      <c r="J70" s="75">
        <v>925</v>
      </c>
      <c r="K70" s="54">
        <f t="shared" si="2"/>
        <v>16650</v>
      </c>
      <c r="L70" s="55" t="b">
        <v>1</v>
      </c>
      <c r="M70" s="56">
        <v>101020252141</v>
      </c>
      <c r="N70" s="57" t="b">
        <v>1</v>
      </c>
      <c r="O70" s="58"/>
      <c r="P70" s="215"/>
      <c r="Q70" s="191" t="b">
        <v>1</v>
      </c>
      <c r="R70" s="342" t="s">
        <v>3684</v>
      </c>
      <c r="S70" s="173" t="s">
        <v>5787</v>
      </c>
      <c r="T70" s="57" t="b">
        <v>1</v>
      </c>
      <c r="U70" s="310" t="s">
        <v>5788</v>
      </c>
      <c r="V70" s="307"/>
      <c r="W70" s="54"/>
    </row>
    <row r="71" spans="1:23" ht="16">
      <c r="A71" s="162"/>
      <c r="B71" s="71" t="s">
        <v>5763</v>
      </c>
      <c r="C71" s="151" t="s">
        <v>3458</v>
      </c>
      <c r="D71" s="151" t="s">
        <v>51</v>
      </c>
      <c r="E71" s="340" t="s">
        <v>201</v>
      </c>
      <c r="F71" s="340" t="s">
        <v>202</v>
      </c>
      <c r="G71" s="66" t="s">
        <v>255</v>
      </c>
      <c r="H71" s="53" t="s">
        <v>30</v>
      </c>
      <c r="I71" s="151">
        <v>20</v>
      </c>
      <c r="J71" s="75">
        <v>120</v>
      </c>
      <c r="K71" s="54">
        <f t="shared" si="2"/>
        <v>2400</v>
      </c>
      <c r="L71" s="55" t="b">
        <v>1</v>
      </c>
      <c r="M71" s="56">
        <v>101020252141</v>
      </c>
      <c r="N71" s="57" t="b">
        <v>1</v>
      </c>
      <c r="O71" s="58"/>
      <c r="P71" s="215"/>
      <c r="Q71" s="191" t="b">
        <v>1</v>
      </c>
      <c r="R71" s="342" t="s">
        <v>3684</v>
      </c>
      <c r="S71" s="173" t="s">
        <v>5787</v>
      </c>
      <c r="T71" s="57" t="b">
        <v>1</v>
      </c>
      <c r="U71" s="310" t="s">
        <v>5788</v>
      </c>
      <c r="V71" s="307"/>
      <c r="W71" s="54"/>
    </row>
    <row r="72" spans="1:23" ht="16">
      <c r="A72" s="162"/>
      <c r="B72" s="71" t="s">
        <v>5789</v>
      </c>
      <c r="C72" s="151" t="s">
        <v>4266</v>
      </c>
      <c r="D72" s="151" t="s">
        <v>463</v>
      </c>
      <c r="E72" s="151" t="s">
        <v>463</v>
      </c>
      <c r="F72" s="151" t="s">
        <v>5790</v>
      </c>
      <c r="G72" s="66" t="s">
        <v>5784</v>
      </c>
      <c r="H72" s="53" t="s">
        <v>30</v>
      </c>
      <c r="I72" s="151">
        <v>2</v>
      </c>
      <c r="J72" s="75">
        <v>2150</v>
      </c>
      <c r="K72" s="54">
        <f t="shared" si="2"/>
        <v>4300</v>
      </c>
      <c r="L72" s="55" t="b">
        <v>1</v>
      </c>
      <c r="M72" s="56">
        <v>111020251419</v>
      </c>
      <c r="N72" s="57" t="b">
        <v>1</v>
      </c>
      <c r="O72" s="58"/>
      <c r="P72" s="226"/>
      <c r="Q72" s="191" t="b">
        <v>1</v>
      </c>
      <c r="R72" s="342" t="s">
        <v>3684</v>
      </c>
      <c r="S72" s="173" t="s">
        <v>5791</v>
      </c>
      <c r="T72" s="57" t="b">
        <v>1</v>
      </c>
      <c r="U72" s="310" t="s">
        <v>5792</v>
      </c>
      <c r="V72" s="307"/>
      <c r="W72" s="54"/>
    </row>
    <row r="73" spans="1:23" ht="14.25" customHeight="1">
      <c r="A73" s="162"/>
      <c r="B73" s="71" t="s">
        <v>5789</v>
      </c>
      <c r="C73" s="151" t="s">
        <v>4266</v>
      </c>
      <c r="D73" s="151" t="s">
        <v>463</v>
      </c>
      <c r="E73" s="151" t="s">
        <v>463</v>
      </c>
      <c r="F73" s="151" t="s">
        <v>5790</v>
      </c>
      <c r="G73" s="66" t="s">
        <v>49</v>
      </c>
      <c r="H73" s="53" t="s">
        <v>30</v>
      </c>
      <c r="I73" s="151">
        <v>10</v>
      </c>
      <c r="J73" s="75">
        <v>795</v>
      </c>
      <c r="K73" s="54">
        <f t="shared" si="2"/>
        <v>7950</v>
      </c>
      <c r="L73" s="55" t="b">
        <v>1</v>
      </c>
      <c r="M73" s="56">
        <v>111020251419</v>
      </c>
      <c r="N73" s="57" t="b">
        <v>1</v>
      </c>
      <c r="O73" s="58" t="s">
        <v>39</v>
      </c>
      <c r="P73" s="226">
        <v>45946</v>
      </c>
      <c r="Q73" s="191" t="b">
        <v>1</v>
      </c>
      <c r="R73" s="342" t="s">
        <v>3684</v>
      </c>
      <c r="S73" s="49"/>
      <c r="T73" s="57" t="b">
        <v>1</v>
      </c>
      <c r="U73" s="310" t="s">
        <v>5793</v>
      </c>
      <c r="V73" s="307"/>
      <c r="W73" s="54"/>
    </row>
    <row r="74" spans="1:23" ht="14.25" customHeight="1">
      <c r="A74" s="162"/>
      <c r="B74" s="71" t="s">
        <v>5794</v>
      </c>
      <c r="C74" s="151" t="s">
        <v>4138</v>
      </c>
      <c r="D74" s="151" t="s">
        <v>144</v>
      </c>
      <c r="E74" s="151" t="s">
        <v>980</v>
      </c>
      <c r="F74" s="151" t="s">
        <v>1542</v>
      </c>
      <c r="G74" s="66" t="s">
        <v>1509</v>
      </c>
      <c r="H74" s="53" t="s">
        <v>30</v>
      </c>
      <c r="I74" s="151">
        <v>12</v>
      </c>
      <c r="J74" s="75">
        <v>715</v>
      </c>
      <c r="K74" s="54">
        <f t="shared" si="2"/>
        <v>8580</v>
      </c>
      <c r="L74" s="55" t="b">
        <v>1</v>
      </c>
      <c r="M74" s="56">
        <v>131020252241</v>
      </c>
      <c r="N74" s="57" t="b">
        <v>1</v>
      </c>
      <c r="O74" s="58"/>
      <c r="P74" s="226"/>
      <c r="Q74" s="191" t="b">
        <v>1</v>
      </c>
      <c r="R74" s="342" t="s">
        <v>3684</v>
      </c>
      <c r="S74" s="49"/>
      <c r="T74" s="57" t="b">
        <v>1</v>
      </c>
      <c r="U74" s="310" t="s">
        <v>5795</v>
      </c>
      <c r="V74" s="307"/>
      <c r="W74" s="54"/>
    </row>
    <row r="75" spans="1:23" ht="16">
      <c r="A75" s="101"/>
      <c r="B75" s="71" t="s">
        <v>5794</v>
      </c>
      <c r="C75" s="151" t="s">
        <v>3601</v>
      </c>
      <c r="D75" s="151" t="s">
        <v>523</v>
      </c>
      <c r="E75" s="151" t="s">
        <v>524</v>
      </c>
      <c r="F75" s="151" t="s">
        <v>525</v>
      </c>
      <c r="G75" s="66" t="s">
        <v>236</v>
      </c>
      <c r="H75" s="53" t="s">
        <v>30</v>
      </c>
      <c r="I75" s="151">
        <v>12</v>
      </c>
      <c r="J75" s="75">
        <v>230</v>
      </c>
      <c r="K75" s="54">
        <f t="shared" si="2"/>
        <v>2760</v>
      </c>
      <c r="L75" s="55" t="b">
        <v>1</v>
      </c>
      <c r="M75" s="56">
        <v>131020252241</v>
      </c>
      <c r="N75" s="57" t="b">
        <v>1</v>
      </c>
      <c r="O75" s="58"/>
      <c r="P75" s="226"/>
      <c r="Q75" s="191" t="b">
        <v>1</v>
      </c>
      <c r="R75" s="342" t="s">
        <v>3684</v>
      </c>
      <c r="S75" s="173" t="s">
        <v>5796</v>
      </c>
      <c r="T75" s="57" t="b">
        <v>1</v>
      </c>
      <c r="U75" s="310" t="s">
        <v>5797</v>
      </c>
      <c r="V75" s="307"/>
      <c r="W75" s="54"/>
    </row>
    <row r="76" spans="1:23" ht="16">
      <c r="A76" s="162"/>
      <c r="B76" s="71" t="s">
        <v>5794</v>
      </c>
      <c r="C76" s="151" t="s">
        <v>3601</v>
      </c>
      <c r="D76" s="151" t="s">
        <v>523</v>
      </c>
      <c r="E76" s="151" t="s">
        <v>524</v>
      </c>
      <c r="F76" s="151" t="s">
        <v>525</v>
      </c>
      <c r="G76" s="66" t="s">
        <v>2719</v>
      </c>
      <c r="H76" s="53" t="s">
        <v>30</v>
      </c>
      <c r="I76" s="151">
        <v>50</v>
      </c>
      <c r="J76" s="75">
        <v>130</v>
      </c>
      <c r="K76" s="54">
        <f t="shared" si="2"/>
        <v>6500</v>
      </c>
      <c r="L76" s="55" t="b">
        <v>1</v>
      </c>
      <c r="M76" s="56">
        <v>131020252241</v>
      </c>
      <c r="N76" s="57" t="b">
        <v>1</v>
      </c>
      <c r="O76" s="58"/>
      <c r="P76" s="226"/>
      <c r="Q76" s="191" t="b">
        <v>1</v>
      </c>
      <c r="R76" s="342" t="s">
        <v>3684</v>
      </c>
      <c r="S76" s="173" t="s">
        <v>5798</v>
      </c>
      <c r="T76" s="57" t="b">
        <v>1</v>
      </c>
      <c r="U76" s="310" t="s">
        <v>5799</v>
      </c>
      <c r="V76" s="307"/>
      <c r="W76" s="54"/>
    </row>
    <row r="77" spans="1:23" ht="16">
      <c r="A77" s="162"/>
      <c r="B77" s="71" t="s">
        <v>5794</v>
      </c>
      <c r="C77" s="151" t="s">
        <v>3595</v>
      </c>
      <c r="D77" s="151" t="s">
        <v>55</v>
      </c>
      <c r="E77" s="151" t="s">
        <v>56</v>
      </c>
      <c r="F77" s="151" t="s">
        <v>57</v>
      </c>
      <c r="G77" s="66" t="s">
        <v>436</v>
      </c>
      <c r="H77" s="53" t="s">
        <v>30</v>
      </c>
      <c r="I77" s="151">
        <v>30</v>
      </c>
      <c r="J77" s="75">
        <v>270</v>
      </c>
      <c r="K77" s="54">
        <f t="shared" si="2"/>
        <v>8100</v>
      </c>
      <c r="L77" s="55" t="b">
        <v>1</v>
      </c>
      <c r="M77" s="56">
        <v>131020252241</v>
      </c>
      <c r="N77" s="57" t="b">
        <v>1</v>
      </c>
      <c r="O77" s="58"/>
      <c r="P77" s="226"/>
      <c r="Q77" s="191" t="b">
        <v>1</v>
      </c>
      <c r="R77" s="342" t="s">
        <v>3684</v>
      </c>
      <c r="S77" s="173" t="s">
        <v>5800</v>
      </c>
      <c r="T77" s="57" t="b">
        <v>1</v>
      </c>
      <c r="U77" s="310" t="s">
        <v>5801</v>
      </c>
      <c r="V77" s="307"/>
      <c r="W77" s="54"/>
    </row>
    <row r="78" spans="1:23" ht="16">
      <c r="A78" s="162"/>
      <c r="B78" s="71" t="s">
        <v>5794</v>
      </c>
      <c r="C78" s="151" t="s">
        <v>3595</v>
      </c>
      <c r="D78" s="151" t="s">
        <v>55</v>
      </c>
      <c r="E78" s="151" t="s">
        <v>56</v>
      </c>
      <c r="F78" s="151" t="s">
        <v>57</v>
      </c>
      <c r="G78" s="66" t="s">
        <v>72</v>
      </c>
      <c r="H78" s="53" t="s">
        <v>30</v>
      </c>
      <c r="I78" s="151">
        <v>1</v>
      </c>
      <c r="J78" s="75">
        <v>1250</v>
      </c>
      <c r="K78" s="54">
        <f t="shared" si="2"/>
        <v>1250</v>
      </c>
      <c r="L78" s="55" t="b">
        <v>1</v>
      </c>
      <c r="M78" s="56">
        <v>131020252241</v>
      </c>
      <c r="N78" s="57" t="b">
        <v>1</v>
      </c>
      <c r="O78" s="58"/>
      <c r="P78" s="226"/>
      <c r="Q78" s="191" t="b">
        <v>1</v>
      </c>
      <c r="R78" s="342" t="s">
        <v>3684</v>
      </c>
      <c r="S78" s="173"/>
      <c r="T78" s="57" t="b">
        <v>1</v>
      </c>
      <c r="U78" s="310" t="s">
        <v>5802</v>
      </c>
      <c r="V78" s="307"/>
      <c r="W78" s="54"/>
    </row>
    <row r="79" spans="1:23" ht="16">
      <c r="A79" s="162"/>
      <c r="B79" s="71" t="s">
        <v>5794</v>
      </c>
      <c r="C79" s="151" t="s">
        <v>3706</v>
      </c>
      <c r="D79" s="151" t="s">
        <v>418</v>
      </c>
      <c r="E79" s="151" t="s">
        <v>1549</v>
      </c>
      <c r="F79" s="151" t="s">
        <v>3406</v>
      </c>
      <c r="G79" s="66" t="s">
        <v>5803</v>
      </c>
      <c r="H79" s="53" t="s">
        <v>30</v>
      </c>
      <c r="I79" s="151">
        <v>7</v>
      </c>
      <c r="J79" s="75">
        <v>350</v>
      </c>
      <c r="K79" s="54">
        <f t="shared" si="2"/>
        <v>2450</v>
      </c>
      <c r="L79" s="55" t="b">
        <v>1</v>
      </c>
      <c r="M79" s="56">
        <v>131020252241</v>
      </c>
      <c r="N79" s="57" t="b">
        <v>1</v>
      </c>
      <c r="O79" s="58"/>
      <c r="P79" s="226"/>
      <c r="Q79" s="191" t="b">
        <v>1</v>
      </c>
      <c r="R79" s="342" t="s">
        <v>3684</v>
      </c>
      <c r="S79" s="173"/>
      <c r="T79" s="57" t="b">
        <v>1</v>
      </c>
      <c r="U79" s="310" t="s">
        <v>5804</v>
      </c>
      <c r="V79" s="307"/>
      <c r="W79" s="54"/>
    </row>
    <row r="80" spans="1:23" ht="16">
      <c r="A80" s="162"/>
      <c r="B80" s="71" t="s">
        <v>5794</v>
      </c>
      <c r="C80" s="151" t="s">
        <v>3706</v>
      </c>
      <c r="D80" s="151" t="s">
        <v>418</v>
      </c>
      <c r="E80" s="151" t="s">
        <v>1549</v>
      </c>
      <c r="F80" s="151" t="s">
        <v>3406</v>
      </c>
      <c r="G80" s="66" t="s">
        <v>5805</v>
      </c>
      <c r="H80" s="53" t="s">
        <v>30</v>
      </c>
      <c r="I80" s="151">
        <v>5</v>
      </c>
      <c r="J80" s="75">
        <v>400</v>
      </c>
      <c r="K80" s="54">
        <f t="shared" si="2"/>
        <v>2000</v>
      </c>
      <c r="L80" s="55" t="b">
        <v>1</v>
      </c>
      <c r="M80" s="56">
        <v>131020252241</v>
      </c>
      <c r="N80" s="57" t="b">
        <v>1</v>
      </c>
      <c r="O80" s="58"/>
      <c r="P80" s="226"/>
      <c r="Q80" s="191" t="b">
        <v>1</v>
      </c>
      <c r="R80" s="342" t="s">
        <v>3684</v>
      </c>
      <c r="S80" s="49"/>
      <c r="T80" s="57" t="b">
        <v>1</v>
      </c>
      <c r="U80" s="310" t="s">
        <v>5804</v>
      </c>
      <c r="V80" s="307"/>
      <c r="W80" s="54"/>
    </row>
    <row r="81" spans="1:23" ht="16">
      <c r="A81" s="162"/>
      <c r="B81" s="71" t="s">
        <v>5806</v>
      </c>
      <c r="C81" s="151" t="s">
        <v>3595</v>
      </c>
      <c r="D81" s="151" t="s">
        <v>5807</v>
      </c>
      <c r="E81" s="151" t="s">
        <v>56</v>
      </c>
      <c r="F81" s="151" t="s">
        <v>57</v>
      </c>
      <c r="G81" s="66" t="s">
        <v>86</v>
      </c>
      <c r="H81" s="53" t="s">
        <v>30</v>
      </c>
      <c r="I81" s="151">
        <v>20</v>
      </c>
      <c r="J81" s="75">
        <v>625</v>
      </c>
      <c r="K81" s="54">
        <f t="shared" si="2"/>
        <v>12500</v>
      </c>
      <c r="L81" s="55" t="b">
        <v>1</v>
      </c>
      <c r="M81" s="56">
        <v>131020252241</v>
      </c>
      <c r="N81" s="57" t="b">
        <v>1</v>
      </c>
      <c r="O81" s="58"/>
      <c r="P81" s="226"/>
      <c r="Q81" s="191" t="b">
        <v>1</v>
      </c>
      <c r="R81" s="342" t="s">
        <v>3684</v>
      </c>
      <c r="S81" s="173" t="s">
        <v>5808</v>
      </c>
      <c r="T81" s="57" t="b">
        <v>1</v>
      </c>
      <c r="U81" s="310" t="s">
        <v>5809</v>
      </c>
      <c r="V81" s="307"/>
      <c r="W81" s="54"/>
    </row>
    <row r="82" spans="1:23" ht="16">
      <c r="A82" s="162"/>
      <c r="B82" s="71" t="s">
        <v>5806</v>
      </c>
      <c r="C82" s="53" t="s">
        <v>3706</v>
      </c>
      <c r="D82" s="151" t="s">
        <v>418</v>
      </c>
      <c r="E82" s="151" t="s">
        <v>1549</v>
      </c>
      <c r="F82" s="151" t="s">
        <v>607</v>
      </c>
      <c r="G82" s="66" t="s">
        <v>5810</v>
      </c>
      <c r="H82" s="53" t="s">
        <v>30</v>
      </c>
      <c r="I82" s="151">
        <v>5</v>
      </c>
      <c r="J82" s="75">
        <v>875</v>
      </c>
      <c r="K82" s="54">
        <f t="shared" si="2"/>
        <v>4375</v>
      </c>
      <c r="L82" s="55" t="b">
        <v>1</v>
      </c>
      <c r="M82" s="56">
        <v>141020250948</v>
      </c>
      <c r="N82" s="57" t="b">
        <v>1</v>
      </c>
      <c r="O82" s="58"/>
      <c r="P82" s="226"/>
      <c r="Q82" s="191" t="b">
        <v>1</v>
      </c>
      <c r="R82" s="342" t="s">
        <v>3684</v>
      </c>
      <c r="S82" s="173" t="s">
        <v>5811</v>
      </c>
      <c r="T82" s="57" t="b">
        <v>1</v>
      </c>
      <c r="U82" s="310" t="s">
        <v>5812</v>
      </c>
      <c r="V82" s="307"/>
      <c r="W82" s="54"/>
    </row>
    <row r="83" spans="1:23" ht="16">
      <c r="A83" s="162" t="s">
        <v>3617</v>
      </c>
      <c r="B83" s="71" t="s">
        <v>5806</v>
      </c>
      <c r="C83" s="53" t="s">
        <v>3568</v>
      </c>
      <c r="D83" s="151" t="s">
        <v>5813</v>
      </c>
      <c r="E83" s="151" t="s">
        <v>5814</v>
      </c>
      <c r="F83" s="151" t="s">
        <v>5712</v>
      </c>
      <c r="G83" s="47" t="s">
        <v>5815</v>
      </c>
      <c r="H83" s="150" t="s">
        <v>30</v>
      </c>
      <c r="I83" s="369">
        <v>1</v>
      </c>
      <c r="J83" s="440">
        <v>27250</v>
      </c>
      <c r="K83" s="441">
        <f t="shared" si="2"/>
        <v>27250</v>
      </c>
      <c r="L83" s="55" t="b">
        <v>1</v>
      </c>
      <c r="M83" s="80" t="s">
        <v>529</v>
      </c>
      <c r="N83" s="57" t="b">
        <v>1</v>
      </c>
      <c r="O83" s="58"/>
      <c r="P83" s="226"/>
      <c r="Q83" s="191" t="b">
        <v>1</v>
      </c>
      <c r="R83" s="342" t="s">
        <v>3684</v>
      </c>
      <c r="S83" s="49"/>
      <c r="T83" s="57" t="b">
        <v>1</v>
      </c>
      <c r="U83" s="310" t="s">
        <v>5816</v>
      </c>
      <c r="W83" s="54"/>
    </row>
    <row r="84" spans="1:23" ht="16">
      <c r="A84" s="162"/>
      <c r="B84" s="71" t="s">
        <v>5806</v>
      </c>
      <c r="C84" s="53" t="s">
        <v>3568</v>
      </c>
      <c r="D84" s="151" t="s">
        <v>5813</v>
      </c>
      <c r="E84" s="151" t="s">
        <v>5814</v>
      </c>
      <c r="F84" s="151" t="s">
        <v>5712</v>
      </c>
      <c r="G84" s="158" t="s">
        <v>83</v>
      </c>
      <c r="H84" s="53" t="s">
        <v>30</v>
      </c>
      <c r="I84" s="151">
        <v>2</v>
      </c>
      <c r="J84" s="75">
        <v>2100</v>
      </c>
      <c r="K84" s="336">
        <f t="shared" si="2"/>
        <v>4200</v>
      </c>
      <c r="L84" s="55" t="b">
        <v>1</v>
      </c>
      <c r="M84" s="56">
        <v>141020251000</v>
      </c>
      <c r="N84" s="57" t="b">
        <v>1</v>
      </c>
      <c r="O84" s="58"/>
      <c r="P84" s="226"/>
      <c r="Q84" s="191" t="b">
        <v>1</v>
      </c>
      <c r="R84" s="342" t="s">
        <v>3684</v>
      </c>
      <c r="S84" s="173" t="s">
        <v>5817</v>
      </c>
      <c r="T84" s="57" t="b">
        <v>1</v>
      </c>
      <c r="U84" s="310" t="s">
        <v>5818</v>
      </c>
      <c r="W84" s="54"/>
    </row>
    <row r="85" spans="1:23" ht="16">
      <c r="A85" s="162"/>
      <c r="B85" s="71" t="s">
        <v>5806</v>
      </c>
      <c r="C85" s="151" t="s">
        <v>3476</v>
      </c>
      <c r="D85" s="151" t="s">
        <v>1886</v>
      </c>
      <c r="E85" s="151" t="s">
        <v>434</v>
      </c>
      <c r="F85" s="151" t="s">
        <v>1754</v>
      </c>
      <c r="G85" s="158" t="s">
        <v>49</v>
      </c>
      <c r="H85" s="53" t="s">
        <v>30</v>
      </c>
      <c r="I85" s="151">
        <v>10</v>
      </c>
      <c r="J85" s="75">
        <v>795</v>
      </c>
      <c r="K85" s="54">
        <f t="shared" si="2"/>
        <v>7950</v>
      </c>
      <c r="L85" s="55" t="b">
        <v>1</v>
      </c>
      <c r="M85" s="56">
        <v>141020251000</v>
      </c>
      <c r="N85" s="57" t="b">
        <v>1</v>
      </c>
      <c r="O85" s="58" t="s">
        <v>39</v>
      </c>
      <c r="P85" s="226"/>
      <c r="Q85" s="191" t="b">
        <v>1</v>
      </c>
      <c r="R85" s="342" t="s">
        <v>3684</v>
      </c>
      <c r="S85" s="173" t="s">
        <v>5819</v>
      </c>
      <c r="T85" s="57" t="b">
        <v>1</v>
      </c>
      <c r="U85" s="310" t="s">
        <v>5820</v>
      </c>
      <c r="W85" s="54"/>
    </row>
    <row r="86" spans="1:23" ht="16">
      <c r="A86" s="162"/>
      <c r="B86" s="71" t="s">
        <v>5821</v>
      </c>
      <c r="C86" s="151" t="s">
        <v>5822</v>
      </c>
      <c r="D86" s="151" t="s">
        <v>5823</v>
      </c>
      <c r="E86" s="151" t="s">
        <v>5823</v>
      </c>
      <c r="F86" s="151" t="s">
        <v>5824</v>
      </c>
      <c r="G86" s="66" t="s">
        <v>5825</v>
      </c>
      <c r="H86" s="53" t="s">
        <v>30</v>
      </c>
      <c r="I86" s="53">
        <v>5</v>
      </c>
      <c r="J86" s="75">
        <v>825</v>
      </c>
      <c r="K86" s="54">
        <f t="shared" si="2"/>
        <v>4125</v>
      </c>
      <c r="L86" s="55" t="b">
        <v>1</v>
      </c>
      <c r="M86" s="56">
        <v>151020251147</v>
      </c>
      <c r="N86" s="57" t="b">
        <v>1</v>
      </c>
      <c r="O86" s="58"/>
      <c r="P86" s="226"/>
      <c r="Q86" s="191" t="b">
        <v>1</v>
      </c>
      <c r="R86" s="342" t="s">
        <v>3684</v>
      </c>
      <c r="S86" s="173" t="s">
        <v>5826</v>
      </c>
      <c r="T86" s="57" t="b">
        <v>1</v>
      </c>
      <c r="U86" s="310" t="s">
        <v>5827</v>
      </c>
      <c r="V86" s="307"/>
      <c r="W86" s="54"/>
    </row>
    <row r="87" spans="1:23" ht="16">
      <c r="A87" s="162"/>
      <c r="B87" s="71" t="s">
        <v>5821</v>
      </c>
      <c r="C87" s="151" t="s">
        <v>5822</v>
      </c>
      <c r="D87" s="151" t="s">
        <v>5823</v>
      </c>
      <c r="E87" s="151" t="s">
        <v>5823</v>
      </c>
      <c r="F87" s="151" t="s">
        <v>5824</v>
      </c>
      <c r="G87" s="66" t="s">
        <v>5828</v>
      </c>
      <c r="H87" s="53" t="s">
        <v>30</v>
      </c>
      <c r="I87" s="151">
        <v>5</v>
      </c>
      <c r="J87" s="75">
        <v>825</v>
      </c>
      <c r="K87" s="54">
        <f t="shared" si="2"/>
        <v>4125</v>
      </c>
      <c r="L87" s="55" t="b">
        <v>1</v>
      </c>
      <c r="M87" s="56">
        <v>151020251147</v>
      </c>
      <c r="N87" s="57" t="b">
        <v>1</v>
      </c>
      <c r="O87" s="58"/>
      <c r="P87" s="226"/>
      <c r="Q87" s="191" t="b">
        <v>1</v>
      </c>
      <c r="R87" s="342" t="s">
        <v>3684</v>
      </c>
      <c r="S87" s="173" t="s">
        <v>5826</v>
      </c>
      <c r="T87" s="57" t="b">
        <v>1</v>
      </c>
      <c r="U87" s="310" t="s">
        <v>5827</v>
      </c>
      <c r="V87" s="307"/>
      <c r="W87" s="54"/>
    </row>
    <row r="88" spans="1:23" ht="16">
      <c r="A88" s="162"/>
      <c r="B88" s="71" t="s">
        <v>5821</v>
      </c>
      <c r="C88" s="151" t="s">
        <v>4292</v>
      </c>
      <c r="D88" s="151" t="s">
        <v>98</v>
      </c>
      <c r="E88" s="53" t="s">
        <v>99</v>
      </c>
      <c r="F88" s="53" t="s">
        <v>2768</v>
      </c>
      <c r="G88" s="66" t="s">
        <v>5063</v>
      </c>
      <c r="H88" s="53" t="s">
        <v>30</v>
      </c>
      <c r="I88" s="151">
        <v>25</v>
      </c>
      <c r="J88" s="75">
        <v>125</v>
      </c>
      <c r="K88" s="54">
        <f t="shared" si="2"/>
        <v>3125</v>
      </c>
      <c r="L88" s="55" t="b">
        <v>1</v>
      </c>
      <c r="M88" s="56">
        <v>151020251147</v>
      </c>
      <c r="N88" s="57" t="b">
        <v>1</v>
      </c>
      <c r="O88" s="58"/>
      <c r="P88" s="226"/>
      <c r="Q88" s="191" t="b">
        <v>1</v>
      </c>
      <c r="R88" s="342" t="s">
        <v>3684</v>
      </c>
      <c r="S88" s="173" t="s">
        <v>5829</v>
      </c>
      <c r="T88" s="57" t="b">
        <v>1</v>
      </c>
      <c r="U88" s="310" t="s">
        <v>5830</v>
      </c>
      <c r="V88" s="307"/>
      <c r="W88" s="54"/>
    </row>
    <row r="89" spans="1:23" ht="16">
      <c r="A89" s="162"/>
      <c r="B89" s="71" t="s">
        <v>5821</v>
      </c>
      <c r="C89" s="151" t="s">
        <v>4292</v>
      </c>
      <c r="D89" s="151" t="s">
        <v>98</v>
      </c>
      <c r="E89" s="53" t="s">
        <v>99</v>
      </c>
      <c r="F89" s="53" t="s">
        <v>2768</v>
      </c>
      <c r="G89" s="158" t="s">
        <v>5066</v>
      </c>
      <c r="H89" s="53" t="s">
        <v>30</v>
      </c>
      <c r="I89" s="151">
        <v>25</v>
      </c>
      <c r="J89" s="75">
        <v>135</v>
      </c>
      <c r="K89" s="54">
        <f t="shared" si="2"/>
        <v>3375</v>
      </c>
      <c r="L89" s="55" t="b">
        <v>1</v>
      </c>
      <c r="M89" s="56">
        <v>151020251147</v>
      </c>
      <c r="N89" s="57" t="b">
        <v>1</v>
      </c>
      <c r="O89" s="58"/>
      <c r="P89" s="226"/>
      <c r="Q89" s="191" t="b">
        <v>1</v>
      </c>
      <c r="R89" s="342" t="s">
        <v>3684</v>
      </c>
      <c r="S89" s="173" t="s">
        <v>5829</v>
      </c>
      <c r="T89" s="57" t="b">
        <v>1</v>
      </c>
      <c r="U89" s="310" t="s">
        <v>5830</v>
      </c>
      <c r="V89" s="307"/>
      <c r="W89" s="54"/>
    </row>
    <row r="90" spans="1:23" ht="16">
      <c r="A90" s="162"/>
      <c r="B90" s="132" t="s">
        <v>5821</v>
      </c>
      <c r="C90" s="151" t="s">
        <v>3480</v>
      </c>
      <c r="D90" s="151" t="s">
        <v>418</v>
      </c>
      <c r="E90" s="151" t="s">
        <v>565</v>
      </c>
      <c r="F90" s="151" t="s">
        <v>5831</v>
      </c>
      <c r="G90" s="66" t="s">
        <v>2722</v>
      </c>
      <c r="H90" s="53" t="s">
        <v>30</v>
      </c>
      <c r="I90" s="151">
        <v>6</v>
      </c>
      <c r="J90" s="75">
        <v>485</v>
      </c>
      <c r="K90" s="54">
        <f t="shared" si="2"/>
        <v>2910</v>
      </c>
      <c r="L90" s="55" t="b">
        <v>1</v>
      </c>
      <c r="M90" s="56">
        <v>151020251147</v>
      </c>
      <c r="N90" s="57" t="b">
        <v>1</v>
      </c>
      <c r="O90" s="58"/>
      <c r="P90" s="226"/>
      <c r="Q90" s="191" t="b">
        <v>1</v>
      </c>
      <c r="R90" s="342" t="s">
        <v>3684</v>
      </c>
      <c r="S90" s="173" t="s">
        <v>5832</v>
      </c>
      <c r="T90" s="57" t="b">
        <v>1</v>
      </c>
      <c r="U90" s="310" t="s">
        <v>5833</v>
      </c>
      <c r="V90" s="307"/>
      <c r="W90" s="54"/>
    </row>
    <row r="91" spans="1:23" ht="16">
      <c r="A91" s="162"/>
      <c r="B91" s="132" t="s">
        <v>5821</v>
      </c>
      <c r="C91" s="151" t="s">
        <v>3480</v>
      </c>
      <c r="D91" s="151" t="s">
        <v>418</v>
      </c>
      <c r="E91" s="151" t="s">
        <v>565</v>
      </c>
      <c r="F91" s="151" t="s">
        <v>5831</v>
      </c>
      <c r="G91" s="158" t="s">
        <v>58</v>
      </c>
      <c r="H91" s="53" t="s">
        <v>30</v>
      </c>
      <c r="I91" s="151">
        <v>84</v>
      </c>
      <c r="J91" s="75">
        <v>42.5</v>
      </c>
      <c r="K91" s="54">
        <f t="shared" si="2"/>
        <v>3570</v>
      </c>
      <c r="L91" s="55" t="b">
        <v>1</v>
      </c>
      <c r="M91" s="56">
        <v>151020251147</v>
      </c>
      <c r="N91" s="57" t="b">
        <v>1</v>
      </c>
      <c r="O91" s="58"/>
      <c r="P91" s="226"/>
      <c r="Q91" s="191" t="b">
        <v>1</v>
      </c>
      <c r="R91" s="442" t="s">
        <v>3684</v>
      </c>
      <c r="S91" s="173" t="s">
        <v>5834</v>
      </c>
      <c r="T91" s="57" t="b">
        <v>1</v>
      </c>
      <c r="U91" s="310" t="s">
        <v>5835</v>
      </c>
      <c r="V91" s="307"/>
      <c r="W91" s="54"/>
    </row>
    <row r="92" spans="1:23" ht="16">
      <c r="A92" s="162"/>
      <c r="B92" s="132" t="s">
        <v>5821</v>
      </c>
      <c r="C92" s="151" t="s">
        <v>3480</v>
      </c>
      <c r="D92" s="151" t="s">
        <v>418</v>
      </c>
      <c r="E92" s="151" t="s">
        <v>565</v>
      </c>
      <c r="F92" s="151" t="s">
        <v>5831</v>
      </c>
      <c r="G92" s="66" t="s">
        <v>245</v>
      </c>
      <c r="H92" s="53" t="s">
        <v>30</v>
      </c>
      <c r="I92" s="151">
        <v>3</v>
      </c>
      <c r="J92" s="75">
        <v>295</v>
      </c>
      <c r="K92" s="54">
        <f t="shared" si="2"/>
        <v>885</v>
      </c>
      <c r="L92" s="55" t="b">
        <v>1</v>
      </c>
      <c r="M92" s="56">
        <v>151020251147</v>
      </c>
      <c r="N92" s="57" t="b">
        <v>1</v>
      </c>
      <c r="O92" s="58"/>
      <c r="P92" s="226"/>
      <c r="Q92" s="191" t="b">
        <v>1</v>
      </c>
      <c r="R92" s="442" t="s">
        <v>3684</v>
      </c>
      <c r="S92" s="173" t="s">
        <v>5834</v>
      </c>
      <c r="T92" s="57" t="b">
        <v>1</v>
      </c>
      <c r="U92" s="310" t="s">
        <v>5835</v>
      </c>
      <c r="V92" s="307"/>
      <c r="W92" s="54"/>
    </row>
    <row r="93" spans="1:23" ht="16">
      <c r="A93" s="162"/>
      <c r="B93" s="132" t="s">
        <v>5821</v>
      </c>
      <c r="C93" s="151" t="s">
        <v>3480</v>
      </c>
      <c r="D93" s="151" t="s">
        <v>418</v>
      </c>
      <c r="E93" s="151" t="s">
        <v>565</v>
      </c>
      <c r="F93" s="151" t="s">
        <v>5831</v>
      </c>
      <c r="G93" s="66" t="s">
        <v>5836</v>
      </c>
      <c r="H93" s="53" t="s">
        <v>30</v>
      </c>
      <c r="I93" s="151">
        <v>5</v>
      </c>
      <c r="J93" s="75">
        <v>925</v>
      </c>
      <c r="K93" s="54">
        <f t="shared" si="2"/>
        <v>4625</v>
      </c>
      <c r="L93" s="55" t="b">
        <v>1</v>
      </c>
      <c r="M93" s="56">
        <v>151020251147</v>
      </c>
      <c r="N93" s="57" t="b">
        <v>1</v>
      </c>
      <c r="O93" s="58"/>
      <c r="P93" s="226"/>
      <c r="Q93" s="191" t="b">
        <v>1</v>
      </c>
      <c r="R93" s="442" t="s">
        <v>3684</v>
      </c>
      <c r="S93" s="173" t="s">
        <v>5834</v>
      </c>
      <c r="T93" s="57" t="b">
        <v>1</v>
      </c>
      <c r="U93" s="310" t="s">
        <v>5835</v>
      </c>
      <c r="V93" s="307"/>
      <c r="W93" s="54"/>
    </row>
    <row r="94" spans="1:23" ht="16">
      <c r="A94" s="372"/>
      <c r="B94" s="132" t="s">
        <v>5821</v>
      </c>
      <c r="C94" s="151" t="s">
        <v>3480</v>
      </c>
      <c r="D94" s="151" t="s">
        <v>418</v>
      </c>
      <c r="E94" s="151" t="s">
        <v>565</v>
      </c>
      <c r="F94" s="151" t="s">
        <v>5831</v>
      </c>
      <c r="G94" s="66" t="s">
        <v>300</v>
      </c>
      <c r="H94" s="53" t="s">
        <v>30</v>
      </c>
      <c r="I94" s="151">
        <v>30</v>
      </c>
      <c r="J94" s="75">
        <v>150</v>
      </c>
      <c r="K94" s="54">
        <f t="shared" si="2"/>
        <v>4500</v>
      </c>
      <c r="L94" s="55" t="b">
        <v>1</v>
      </c>
      <c r="M94" s="56">
        <v>151020251147</v>
      </c>
      <c r="N94" s="57" t="b">
        <v>1</v>
      </c>
      <c r="O94" s="58"/>
      <c r="P94" s="226"/>
      <c r="Q94" s="191" t="b">
        <v>1</v>
      </c>
      <c r="R94" s="442" t="s">
        <v>3684</v>
      </c>
      <c r="S94" s="173"/>
      <c r="T94" s="57" t="b">
        <v>1</v>
      </c>
      <c r="U94" s="310" t="s">
        <v>5837</v>
      </c>
      <c r="V94" s="307"/>
      <c r="W94" s="54"/>
    </row>
    <row r="95" spans="1:23" ht="16">
      <c r="A95" s="372">
        <v>45919</v>
      </c>
      <c r="B95" s="132" t="s">
        <v>5821</v>
      </c>
      <c r="C95" s="151" t="s">
        <v>3480</v>
      </c>
      <c r="D95" s="151" t="s">
        <v>418</v>
      </c>
      <c r="E95" s="151" t="s">
        <v>565</v>
      </c>
      <c r="F95" s="151" t="s">
        <v>5831</v>
      </c>
      <c r="G95" s="66" t="s">
        <v>5838</v>
      </c>
      <c r="H95" s="53" t="s">
        <v>30</v>
      </c>
      <c r="I95" s="151">
        <v>1</v>
      </c>
      <c r="J95" s="75">
        <v>825</v>
      </c>
      <c r="K95" s="54">
        <f t="shared" si="2"/>
        <v>825</v>
      </c>
      <c r="L95" s="55" t="b">
        <v>1</v>
      </c>
      <c r="M95" s="56">
        <v>151020251147</v>
      </c>
      <c r="N95" s="57" t="b">
        <v>1</v>
      </c>
      <c r="O95" s="58"/>
      <c r="P95" s="226"/>
      <c r="Q95" s="191" t="b">
        <v>1</v>
      </c>
      <c r="R95" s="442" t="s">
        <v>3684</v>
      </c>
      <c r="S95" s="173" t="s">
        <v>5834</v>
      </c>
      <c r="T95" s="57" t="b">
        <v>1</v>
      </c>
      <c r="U95" s="310" t="s">
        <v>5835</v>
      </c>
      <c r="V95" s="307"/>
      <c r="W95" s="54"/>
    </row>
    <row r="96" spans="1:23" ht="16">
      <c r="A96" s="162"/>
      <c r="B96" s="132" t="s">
        <v>5821</v>
      </c>
      <c r="C96" s="151" t="s">
        <v>3480</v>
      </c>
      <c r="D96" s="151" t="s">
        <v>418</v>
      </c>
      <c r="E96" s="151" t="s">
        <v>565</v>
      </c>
      <c r="F96" s="151" t="s">
        <v>5831</v>
      </c>
      <c r="G96" s="66" t="s">
        <v>2095</v>
      </c>
      <c r="H96" s="53" t="s">
        <v>30</v>
      </c>
      <c r="I96" s="151">
        <v>40</v>
      </c>
      <c r="J96" s="75">
        <v>150</v>
      </c>
      <c r="K96" s="54">
        <f t="shared" si="2"/>
        <v>6000</v>
      </c>
      <c r="L96" s="55" t="b">
        <v>1</v>
      </c>
      <c r="M96" s="56">
        <v>151020251147</v>
      </c>
      <c r="N96" s="57" t="b">
        <v>1</v>
      </c>
      <c r="O96" s="58"/>
      <c r="P96" s="226"/>
      <c r="Q96" s="191" t="b">
        <v>1</v>
      </c>
      <c r="R96" s="442" t="s">
        <v>3684</v>
      </c>
      <c r="S96" s="173" t="s">
        <v>5834</v>
      </c>
      <c r="T96" s="57" t="b">
        <v>1</v>
      </c>
      <c r="U96" s="310" t="s">
        <v>5835</v>
      </c>
      <c r="V96" s="307"/>
      <c r="W96" s="54"/>
    </row>
    <row r="97" spans="1:23" ht="16">
      <c r="A97" s="162"/>
      <c r="B97" s="132" t="s">
        <v>5821</v>
      </c>
      <c r="C97" s="151" t="s">
        <v>3480</v>
      </c>
      <c r="D97" s="151" t="s">
        <v>418</v>
      </c>
      <c r="E97" s="151" t="s">
        <v>565</v>
      </c>
      <c r="F97" s="151" t="s">
        <v>5831</v>
      </c>
      <c r="G97" s="66" t="s">
        <v>5839</v>
      </c>
      <c r="H97" s="53" t="s">
        <v>30</v>
      </c>
      <c r="I97" s="151">
        <v>20</v>
      </c>
      <c r="J97" s="75">
        <v>130</v>
      </c>
      <c r="K97" s="54">
        <f t="shared" si="2"/>
        <v>2600</v>
      </c>
      <c r="L97" s="55" t="b">
        <v>1</v>
      </c>
      <c r="M97" s="56">
        <v>151020251147</v>
      </c>
      <c r="N97" s="57" t="b">
        <v>1</v>
      </c>
      <c r="O97" s="58"/>
      <c r="P97" s="226"/>
      <c r="Q97" s="191" t="b">
        <v>1</v>
      </c>
      <c r="R97" s="442" t="s">
        <v>3684</v>
      </c>
      <c r="S97" s="173" t="s">
        <v>5834</v>
      </c>
      <c r="T97" s="57" t="b">
        <v>1</v>
      </c>
      <c r="U97" s="310" t="s">
        <v>5835</v>
      </c>
      <c r="V97" s="307"/>
      <c r="W97" s="54"/>
    </row>
    <row r="98" spans="1:23" ht="16">
      <c r="A98" s="162"/>
      <c r="B98" s="132" t="s">
        <v>5821</v>
      </c>
      <c r="C98" s="151" t="s">
        <v>4229</v>
      </c>
      <c r="D98" s="151" t="s">
        <v>104</v>
      </c>
      <c r="E98" s="151" t="s">
        <v>42</v>
      </c>
      <c r="F98" s="151" t="s">
        <v>5840</v>
      </c>
      <c r="G98" s="66" t="s">
        <v>68</v>
      </c>
      <c r="H98" s="53" t="s">
        <v>30</v>
      </c>
      <c r="I98" s="151">
        <v>1</v>
      </c>
      <c r="J98" s="75">
        <v>2350</v>
      </c>
      <c r="K98" s="54">
        <v>2350</v>
      </c>
      <c r="L98" s="55" t="b">
        <v>1</v>
      </c>
      <c r="M98" s="56">
        <v>151020251611</v>
      </c>
      <c r="N98" s="57" t="b">
        <v>1</v>
      </c>
      <c r="O98" s="58"/>
      <c r="P98" s="226"/>
      <c r="Q98" s="191" t="b">
        <v>1</v>
      </c>
      <c r="R98" s="442" t="s">
        <v>3684</v>
      </c>
      <c r="S98" s="173" t="s">
        <v>5841</v>
      </c>
      <c r="T98" s="57" t="b">
        <v>1</v>
      </c>
      <c r="U98" s="310" t="s">
        <v>5842</v>
      </c>
      <c r="V98" s="307"/>
      <c r="W98" s="54"/>
    </row>
    <row r="99" spans="1:23" ht="16">
      <c r="A99" s="162"/>
      <c r="B99" s="71" t="s">
        <v>5821</v>
      </c>
      <c r="C99" s="53" t="s">
        <v>4229</v>
      </c>
      <c r="D99" s="53" t="s">
        <v>3160</v>
      </c>
      <c r="E99" s="53" t="s">
        <v>5843</v>
      </c>
      <c r="F99" s="53" t="s">
        <v>5840</v>
      </c>
      <c r="G99" s="66" t="s">
        <v>1084</v>
      </c>
      <c r="H99" s="53" t="s">
        <v>30</v>
      </c>
      <c r="I99" s="53">
        <v>100</v>
      </c>
      <c r="J99" s="54">
        <v>30</v>
      </c>
      <c r="K99" s="54">
        <f t="shared" ref="K99:K104" si="3">(J99*I99)</f>
        <v>3000</v>
      </c>
      <c r="L99" s="55" t="b">
        <v>1</v>
      </c>
      <c r="M99" s="56">
        <v>151020251611</v>
      </c>
      <c r="N99" s="57" t="b">
        <v>1</v>
      </c>
      <c r="O99" s="58"/>
      <c r="P99" s="226"/>
      <c r="Q99" s="191" t="b">
        <v>1</v>
      </c>
      <c r="R99" s="442" t="s">
        <v>3684</v>
      </c>
      <c r="S99" s="173" t="s">
        <v>5841</v>
      </c>
      <c r="T99" s="57" t="b">
        <v>1</v>
      </c>
      <c r="U99" s="310" t="s">
        <v>5842</v>
      </c>
      <c r="V99" s="307"/>
      <c r="W99" s="54"/>
    </row>
    <row r="100" spans="1:23" ht="16">
      <c r="A100" s="162"/>
      <c r="B100" s="132" t="s">
        <v>5821</v>
      </c>
      <c r="C100" s="151" t="s">
        <v>4229</v>
      </c>
      <c r="D100" s="151" t="s">
        <v>3160</v>
      </c>
      <c r="E100" s="151" t="s">
        <v>42</v>
      </c>
      <c r="F100" s="151" t="s">
        <v>5840</v>
      </c>
      <c r="G100" s="66" t="s">
        <v>5844</v>
      </c>
      <c r="H100" s="53" t="s">
        <v>30</v>
      </c>
      <c r="I100" s="151">
        <v>10</v>
      </c>
      <c r="J100" s="75">
        <v>875</v>
      </c>
      <c r="K100" s="54">
        <f t="shared" si="3"/>
        <v>8750</v>
      </c>
      <c r="L100" s="55" t="b">
        <v>1</v>
      </c>
      <c r="M100" s="56">
        <v>151020251611</v>
      </c>
      <c r="N100" s="57" t="b">
        <v>1</v>
      </c>
      <c r="O100" s="58"/>
      <c r="P100" s="226"/>
      <c r="Q100" s="191" t="b">
        <v>1</v>
      </c>
      <c r="R100" s="442" t="s">
        <v>3684</v>
      </c>
      <c r="S100" s="173" t="s">
        <v>5841</v>
      </c>
      <c r="T100" s="57" t="b">
        <v>1</v>
      </c>
      <c r="U100" s="310" t="s">
        <v>5842</v>
      </c>
      <c r="V100" s="307"/>
      <c r="W100" s="54"/>
    </row>
    <row r="101" spans="1:23" ht="16">
      <c r="A101" s="162"/>
      <c r="B101" s="132" t="s">
        <v>5821</v>
      </c>
      <c r="C101" s="151" t="s">
        <v>4229</v>
      </c>
      <c r="D101" s="151" t="s">
        <v>104</v>
      </c>
      <c r="E101" s="151" t="s">
        <v>42</v>
      </c>
      <c r="F101" s="151" t="s">
        <v>5840</v>
      </c>
      <c r="G101" s="66" t="s">
        <v>1952</v>
      </c>
      <c r="H101" s="53" t="s">
        <v>5845</v>
      </c>
      <c r="I101" s="340">
        <v>10</v>
      </c>
      <c r="J101" s="75">
        <v>795</v>
      </c>
      <c r="K101" s="54">
        <f t="shared" si="3"/>
        <v>7950</v>
      </c>
      <c r="L101" s="55" t="b">
        <v>1</v>
      </c>
      <c r="M101" s="56">
        <v>151020251611</v>
      </c>
      <c r="N101" s="57" t="b">
        <v>1</v>
      </c>
      <c r="O101" s="58" t="s">
        <v>39</v>
      </c>
      <c r="P101" s="226">
        <v>45946</v>
      </c>
      <c r="Q101" s="191" t="b">
        <v>1</v>
      </c>
      <c r="R101" s="342" t="s">
        <v>3684</v>
      </c>
      <c r="S101" s="173"/>
      <c r="T101" s="57" t="b">
        <v>1</v>
      </c>
      <c r="U101" s="310" t="s">
        <v>5846</v>
      </c>
      <c r="V101" s="307"/>
      <c r="W101" s="54"/>
    </row>
    <row r="102" spans="1:23" ht="16">
      <c r="A102" s="162"/>
      <c r="B102" s="132" t="s">
        <v>5821</v>
      </c>
      <c r="C102" s="151" t="s">
        <v>4229</v>
      </c>
      <c r="D102" s="151" t="s">
        <v>3160</v>
      </c>
      <c r="E102" s="151" t="s">
        <v>42</v>
      </c>
      <c r="F102" s="151" t="s">
        <v>5840</v>
      </c>
      <c r="G102" s="66" t="s">
        <v>5847</v>
      </c>
      <c r="H102" s="53" t="s">
        <v>5845</v>
      </c>
      <c r="I102" s="151">
        <v>30</v>
      </c>
      <c r="J102" s="75">
        <v>150</v>
      </c>
      <c r="K102" s="54">
        <f t="shared" si="3"/>
        <v>4500</v>
      </c>
      <c r="L102" s="55" t="b">
        <v>1</v>
      </c>
      <c r="M102" s="56">
        <v>151020251611</v>
      </c>
      <c r="N102" s="57" t="b">
        <v>1</v>
      </c>
      <c r="O102" s="58"/>
      <c r="P102" s="226"/>
      <c r="Q102" s="191" t="b">
        <v>1</v>
      </c>
      <c r="R102" s="342" t="s">
        <v>3684</v>
      </c>
      <c r="S102" s="173" t="s">
        <v>5841</v>
      </c>
      <c r="T102" s="57" t="b">
        <v>1</v>
      </c>
      <c r="U102" s="310" t="s">
        <v>5842</v>
      </c>
      <c r="V102" s="307"/>
      <c r="W102" s="54"/>
    </row>
    <row r="103" spans="1:23" ht="16">
      <c r="A103" s="162"/>
      <c r="B103" s="132" t="s">
        <v>5821</v>
      </c>
      <c r="C103" s="151" t="s">
        <v>4229</v>
      </c>
      <c r="D103" s="151" t="s">
        <v>104</v>
      </c>
      <c r="E103" s="151" t="s">
        <v>42</v>
      </c>
      <c r="F103" s="151" t="s">
        <v>5840</v>
      </c>
      <c r="G103" s="66" t="s">
        <v>5848</v>
      </c>
      <c r="H103" s="53" t="s">
        <v>5845</v>
      </c>
      <c r="I103" s="151">
        <v>30</v>
      </c>
      <c r="J103" s="75">
        <v>135</v>
      </c>
      <c r="K103" s="54">
        <f t="shared" si="3"/>
        <v>4050</v>
      </c>
      <c r="L103" s="55" t="b">
        <v>1</v>
      </c>
      <c r="M103" s="56">
        <v>151020251611</v>
      </c>
      <c r="N103" s="57" t="b">
        <v>1</v>
      </c>
      <c r="O103" s="58"/>
      <c r="P103" s="226"/>
      <c r="Q103" s="191" t="b">
        <v>1</v>
      </c>
      <c r="R103" s="342" t="s">
        <v>3684</v>
      </c>
      <c r="S103" s="173" t="s">
        <v>5841</v>
      </c>
      <c r="T103" s="57" t="b">
        <v>1</v>
      </c>
      <c r="U103" s="310" t="s">
        <v>5842</v>
      </c>
      <c r="V103" s="307"/>
      <c r="W103" s="54"/>
    </row>
    <row r="104" spans="1:23" ht="16">
      <c r="A104" s="162"/>
      <c r="B104" s="132" t="s">
        <v>5821</v>
      </c>
      <c r="C104" s="151" t="s">
        <v>4229</v>
      </c>
      <c r="D104" s="151" t="s">
        <v>3160</v>
      </c>
      <c r="E104" s="151" t="s">
        <v>5843</v>
      </c>
      <c r="F104" s="151" t="s">
        <v>5840</v>
      </c>
      <c r="G104" s="66" t="s">
        <v>5671</v>
      </c>
      <c r="H104" s="53" t="s">
        <v>5845</v>
      </c>
      <c r="I104" s="151">
        <v>100</v>
      </c>
      <c r="J104" s="75">
        <v>270</v>
      </c>
      <c r="K104" s="54">
        <f t="shared" si="3"/>
        <v>27000</v>
      </c>
      <c r="L104" s="55" t="b">
        <v>1</v>
      </c>
      <c r="M104" s="56">
        <v>151020251611</v>
      </c>
      <c r="N104" s="57" t="b">
        <v>1</v>
      </c>
      <c r="O104" s="58"/>
      <c r="P104" s="226"/>
      <c r="Q104" s="191" t="b">
        <v>1</v>
      </c>
      <c r="R104" s="342" t="s">
        <v>3684</v>
      </c>
      <c r="S104" s="173" t="s">
        <v>5841</v>
      </c>
      <c r="T104" s="57" t="b">
        <v>1</v>
      </c>
      <c r="U104" s="310" t="s">
        <v>5842</v>
      </c>
      <c r="V104" s="307"/>
      <c r="W104" s="54"/>
    </row>
    <row r="105" spans="1:23" ht="16">
      <c r="A105" s="162"/>
      <c r="B105" s="132" t="s">
        <v>5821</v>
      </c>
      <c r="C105" s="151" t="s">
        <v>4229</v>
      </c>
      <c r="D105" s="151" t="s">
        <v>3160</v>
      </c>
      <c r="E105" s="151" t="s">
        <v>5843</v>
      </c>
      <c r="F105" s="151" t="s">
        <v>5840</v>
      </c>
      <c r="G105" s="66" t="s">
        <v>5849</v>
      </c>
      <c r="H105" s="131" t="s">
        <v>30</v>
      </c>
      <c r="I105" s="151">
        <v>1</v>
      </c>
      <c r="J105" s="335">
        <v>1500</v>
      </c>
      <c r="K105" s="54">
        <f>I105*J105</f>
        <v>1500</v>
      </c>
      <c r="L105" s="55" t="b">
        <v>1</v>
      </c>
      <c r="M105" s="56">
        <v>151020251611</v>
      </c>
      <c r="N105" s="57" t="b">
        <v>1</v>
      </c>
      <c r="O105" s="58"/>
      <c r="P105" s="226"/>
      <c r="Q105" s="191" t="b">
        <v>1</v>
      </c>
      <c r="R105" s="442" t="s">
        <v>3684</v>
      </c>
      <c r="S105" s="173" t="s">
        <v>5841</v>
      </c>
      <c r="T105" s="57" t="b">
        <v>1</v>
      </c>
      <c r="U105" s="310" t="s">
        <v>5842</v>
      </c>
      <c r="V105" s="307"/>
      <c r="W105" s="54"/>
    </row>
    <row r="106" spans="1:23" ht="16">
      <c r="A106" s="162"/>
      <c r="B106" s="132" t="s">
        <v>5850</v>
      </c>
      <c r="C106" s="151" t="s">
        <v>4292</v>
      </c>
      <c r="D106" s="151" t="s">
        <v>3242</v>
      </c>
      <c r="E106" s="151" t="s">
        <v>99</v>
      </c>
      <c r="F106" s="151" t="s">
        <v>444</v>
      </c>
      <c r="G106" s="158" t="s">
        <v>236</v>
      </c>
      <c r="H106" s="53" t="s">
        <v>30</v>
      </c>
      <c r="I106" s="151">
        <v>24</v>
      </c>
      <c r="J106" s="75">
        <v>230</v>
      </c>
      <c r="K106" s="54">
        <f t="shared" ref="K106:K231" si="4">(J106*I106)</f>
        <v>5520</v>
      </c>
      <c r="L106" s="55" t="b">
        <v>1</v>
      </c>
      <c r="M106" s="56">
        <v>161020251902</v>
      </c>
      <c r="N106" s="57" t="b">
        <v>1</v>
      </c>
      <c r="O106" s="58"/>
      <c r="P106" s="226"/>
      <c r="Q106" s="191" t="b">
        <v>1</v>
      </c>
      <c r="R106" s="342" t="s">
        <v>3684</v>
      </c>
      <c r="S106" s="173" t="s">
        <v>5851</v>
      </c>
      <c r="T106" s="57" t="b">
        <v>1</v>
      </c>
      <c r="U106" s="310" t="s">
        <v>5852</v>
      </c>
      <c r="V106" s="307"/>
      <c r="W106" s="54"/>
    </row>
    <row r="107" spans="1:23" ht="16">
      <c r="A107" s="162"/>
      <c r="B107" s="132" t="s">
        <v>5850</v>
      </c>
      <c r="C107" s="151" t="s">
        <v>5853</v>
      </c>
      <c r="D107" s="151" t="s">
        <v>1747</v>
      </c>
      <c r="E107" s="151" t="s">
        <v>137</v>
      </c>
      <c r="F107" s="151" t="s">
        <v>3008</v>
      </c>
      <c r="G107" s="158" t="s">
        <v>1700</v>
      </c>
      <c r="H107" s="53" t="s">
        <v>30</v>
      </c>
      <c r="I107" s="151">
        <v>250</v>
      </c>
      <c r="J107" s="75">
        <v>17.5</v>
      </c>
      <c r="K107" s="54">
        <f t="shared" si="4"/>
        <v>4375</v>
      </c>
      <c r="L107" s="55" t="b">
        <v>1</v>
      </c>
      <c r="M107" s="56">
        <v>161020251902</v>
      </c>
      <c r="N107" s="57" t="b">
        <v>1</v>
      </c>
      <c r="O107" s="58"/>
      <c r="P107" s="226"/>
      <c r="Q107" s="191" t="b">
        <v>1</v>
      </c>
      <c r="R107" s="442" t="s">
        <v>3684</v>
      </c>
      <c r="S107" s="173" t="s">
        <v>5854</v>
      </c>
      <c r="T107" s="57" t="b">
        <v>1</v>
      </c>
      <c r="U107" s="310" t="s">
        <v>5855</v>
      </c>
      <c r="V107" s="307"/>
      <c r="W107" s="54"/>
    </row>
    <row r="108" spans="1:23" ht="16">
      <c r="A108" s="162"/>
      <c r="B108" s="132" t="s">
        <v>5850</v>
      </c>
      <c r="C108" s="151" t="s">
        <v>4120</v>
      </c>
      <c r="D108" s="151" t="s">
        <v>1959</v>
      </c>
      <c r="E108" s="151" t="s">
        <v>1959</v>
      </c>
      <c r="F108" s="151" t="s">
        <v>1235</v>
      </c>
      <c r="G108" s="66" t="s">
        <v>68</v>
      </c>
      <c r="H108" s="53" t="s">
        <v>30</v>
      </c>
      <c r="I108" s="151">
        <v>2</v>
      </c>
      <c r="J108" s="75">
        <v>2350</v>
      </c>
      <c r="K108" s="54">
        <f t="shared" si="4"/>
        <v>4700</v>
      </c>
      <c r="L108" s="55" t="b">
        <v>1</v>
      </c>
      <c r="M108" s="56">
        <v>161020251902</v>
      </c>
      <c r="N108" s="57" t="b">
        <v>1</v>
      </c>
      <c r="O108" s="58"/>
      <c r="P108" s="226"/>
      <c r="Q108" s="191" t="b">
        <v>1</v>
      </c>
      <c r="R108" s="442" t="s">
        <v>3684</v>
      </c>
      <c r="S108" s="173" t="s">
        <v>5856</v>
      </c>
      <c r="T108" s="57" t="b">
        <v>1</v>
      </c>
      <c r="U108" s="310" t="s">
        <v>5857</v>
      </c>
      <c r="V108" s="307"/>
      <c r="W108" s="54"/>
    </row>
    <row r="109" spans="1:23" ht="13.5" customHeight="1">
      <c r="A109" s="162"/>
      <c r="B109" s="132" t="s">
        <v>5850</v>
      </c>
      <c r="C109" s="151" t="s">
        <v>4330</v>
      </c>
      <c r="D109" s="151" t="s">
        <v>212</v>
      </c>
      <c r="E109" s="151" t="s">
        <v>213</v>
      </c>
      <c r="F109" s="151" t="s">
        <v>4331</v>
      </c>
      <c r="G109" s="66" t="s">
        <v>5858</v>
      </c>
      <c r="H109" s="53" t="s">
        <v>30</v>
      </c>
      <c r="I109" s="151">
        <v>10</v>
      </c>
      <c r="J109" s="75">
        <v>190</v>
      </c>
      <c r="K109" s="54">
        <f t="shared" si="4"/>
        <v>1900</v>
      </c>
      <c r="L109" s="55" t="b">
        <v>1</v>
      </c>
      <c r="M109" s="56">
        <v>161020251902</v>
      </c>
      <c r="N109" s="57" t="b">
        <v>1</v>
      </c>
      <c r="O109" s="58"/>
      <c r="P109" s="226"/>
      <c r="Q109" s="191" t="b">
        <v>1</v>
      </c>
      <c r="R109" s="342" t="s">
        <v>3684</v>
      </c>
      <c r="S109" s="173" t="s">
        <v>5859</v>
      </c>
      <c r="T109" s="57" t="b">
        <v>1</v>
      </c>
      <c r="U109" s="310" t="s">
        <v>5860</v>
      </c>
      <c r="V109" s="307"/>
      <c r="W109" s="54"/>
    </row>
    <row r="110" spans="1:23" ht="16">
      <c r="A110" s="162"/>
      <c r="B110" s="132" t="s">
        <v>5850</v>
      </c>
      <c r="C110" s="151" t="s">
        <v>4330</v>
      </c>
      <c r="D110" s="151" t="s">
        <v>212</v>
      </c>
      <c r="E110" s="151" t="s">
        <v>213</v>
      </c>
      <c r="F110" s="151" t="s">
        <v>4331</v>
      </c>
      <c r="G110" s="66" t="s">
        <v>2719</v>
      </c>
      <c r="H110" s="53" t="s">
        <v>30</v>
      </c>
      <c r="I110" s="151">
        <v>30</v>
      </c>
      <c r="J110" s="75">
        <v>135</v>
      </c>
      <c r="K110" s="54">
        <f t="shared" si="4"/>
        <v>4050</v>
      </c>
      <c r="L110" s="55" t="b">
        <v>1</v>
      </c>
      <c r="M110" s="56">
        <v>161020251902</v>
      </c>
      <c r="N110" s="57" t="b">
        <v>1</v>
      </c>
      <c r="O110" s="58"/>
      <c r="P110" s="226"/>
      <c r="Q110" s="191" t="b">
        <v>1</v>
      </c>
      <c r="R110" s="342" t="s">
        <v>3684</v>
      </c>
      <c r="S110" s="173" t="s">
        <v>5861</v>
      </c>
      <c r="T110" s="57" t="b">
        <v>1</v>
      </c>
      <c r="U110" s="310" t="s">
        <v>5862</v>
      </c>
      <c r="V110" s="307"/>
      <c r="W110" s="54"/>
    </row>
    <row r="111" spans="1:23" ht="16">
      <c r="A111" s="162"/>
      <c r="B111" s="71" t="s">
        <v>5863</v>
      </c>
      <c r="C111" s="151" t="s">
        <v>3451</v>
      </c>
      <c r="D111" s="151" t="s">
        <v>397</v>
      </c>
      <c r="E111" s="151" t="s">
        <v>3452</v>
      </c>
      <c r="F111" s="151" t="s">
        <v>2260</v>
      </c>
      <c r="G111" s="66" t="s">
        <v>5864</v>
      </c>
      <c r="H111" s="53" t="s">
        <v>30</v>
      </c>
      <c r="I111" s="151">
        <v>20</v>
      </c>
      <c r="J111" s="75">
        <v>150</v>
      </c>
      <c r="K111" s="54">
        <f t="shared" si="4"/>
        <v>3000</v>
      </c>
      <c r="L111" s="55" t="b">
        <v>1</v>
      </c>
      <c r="M111" s="56">
        <v>171020251116</v>
      </c>
      <c r="N111" s="57" t="b">
        <v>1</v>
      </c>
      <c r="O111" s="58"/>
      <c r="P111" s="226"/>
      <c r="Q111" s="191" t="b">
        <v>1</v>
      </c>
      <c r="R111" s="342" t="s">
        <v>3684</v>
      </c>
      <c r="S111" s="173" t="s">
        <v>5865</v>
      </c>
      <c r="T111" s="57" t="b">
        <v>1</v>
      </c>
      <c r="U111" s="310" t="s">
        <v>5866</v>
      </c>
      <c r="V111" s="307"/>
      <c r="W111" s="54"/>
    </row>
    <row r="112" spans="1:23" ht="16">
      <c r="A112" s="162"/>
      <c r="B112" s="71" t="s">
        <v>5863</v>
      </c>
      <c r="C112" s="151" t="s">
        <v>3451</v>
      </c>
      <c r="D112" s="151" t="s">
        <v>397</v>
      </c>
      <c r="E112" s="151" t="s">
        <v>3452</v>
      </c>
      <c r="F112" s="151" t="s">
        <v>2260</v>
      </c>
      <c r="G112" s="66" t="s">
        <v>2719</v>
      </c>
      <c r="H112" s="53" t="s">
        <v>30</v>
      </c>
      <c r="I112" s="151">
        <v>20</v>
      </c>
      <c r="J112" s="75">
        <v>135</v>
      </c>
      <c r="K112" s="54">
        <f t="shared" si="4"/>
        <v>2700</v>
      </c>
      <c r="L112" s="55" t="b">
        <v>1</v>
      </c>
      <c r="M112" s="56">
        <v>171020251116</v>
      </c>
      <c r="N112" s="57" t="b">
        <v>1</v>
      </c>
      <c r="O112" s="58"/>
      <c r="P112" s="226"/>
      <c r="Q112" s="191" t="b">
        <v>1</v>
      </c>
      <c r="R112" s="342" t="s">
        <v>3684</v>
      </c>
      <c r="S112" s="173" t="s">
        <v>5865</v>
      </c>
      <c r="T112" s="57" t="b">
        <v>1</v>
      </c>
      <c r="U112" s="310" t="s">
        <v>5866</v>
      </c>
      <c r="V112" s="307"/>
      <c r="W112" s="54"/>
    </row>
    <row r="113" spans="1:23" ht="16">
      <c r="A113" s="162"/>
      <c r="B113" s="443" t="s">
        <v>5863</v>
      </c>
      <c r="C113" s="444" t="s">
        <v>5174</v>
      </c>
      <c r="D113" s="444" t="s">
        <v>832</v>
      </c>
      <c r="E113" s="444" t="s">
        <v>137</v>
      </c>
      <c r="F113" s="444" t="s">
        <v>834</v>
      </c>
      <c r="G113" s="158" t="s">
        <v>5867</v>
      </c>
      <c r="H113" s="444" t="s">
        <v>30</v>
      </c>
      <c r="I113" s="444">
        <v>1</v>
      </c>
      <c r="J113" s="445">
        <v>7750</v>
      </c>
      <c r="K113" s="445">
        <f t="shared" si="4"/>
        <v>7750</v>
      </c>
      <c r="L113" s="55" t="b">
        <v>1</v>
      </c>
      <c r="M113" s="436" t="s">
        <v>529</v>
      </c>
      <c r="N113" s="57" t="b">
        <v>1</v>
      </c>
      <c r="O113" s="58"/>
      <c r="P113" s="226"/>
      <c r="Q113" s="191" t="b">
        <v>1</v>
      </c>
      <c r="R113" s="342" t="s">
        <v>3684</v>
      </c>
      <c r="S113" s="49"/>
      <c r="T113" s="57" t="b">
        <v>1</v>
      </c>
      <c r="U113" s="310" t="s">
        <v>5868</v>
      </c>
      <c r="V113" s="307"/>
      <c r="W113" s="54"/>
    </row>
    <row r="114" spans="1:23" ht="16">
      <c r="A114" s="162"/>
      <c r="B114" s="443" t="s">
        <v>5863</v>
      </c>
      <c r="C114" s="444" t="s">
        <v>5174</v>
      </c>
      <c r="D114" s="444" t="s">
        <v>832</v>
      </c>
      <c r="E114" s="444" t="s">
        <v>137</v>
      </c>
      <c r="F114" s="444" t="s">
        <v>834</v>
      </c>
      <c r="G114" s="66" t="s">
        <v>72</v>
      </c>
      <c r="H114" s="444" t="s">
        <v>30</v>
      </c>
      <c r="I114" s="444">
        <v>1</v>
      </c>
      <c r="J114" s="445">
        <v>2500</v>
      </c>
      <c r="K114" s="445">
        <f t="shared" si="4"/>
        <v>2500</v>
      </c>
      <c r="L114" s="55" t="b">
        <v>1</v>
      </c>
      <c r="M114" s="436" t="s">
        <v>529</v>
      </c>
      <c r="N114" s="57" t="b">
        <v>1</v>
      </c>
      <c r="O114" s="58"/>
      <c r="P114" s="226"/>
      <c r="Q114" s="191" t="b">
        <v>1</v>
      </c>
      <c r="R114" s="342" t="s">
        <v>3684</v>
      </c>
      <c r="S114" s="49"/>
      <c r="T114" s="57" t="b">
        <v>1</v>
      </c>
      <c r="U114" s="310" t="s">
        <v>5869</v>
      </c>
      <c r="V114" s="307"/>
      <c r="W114" s="54"/>
    </row>
    <row r="115" spans="1:23" ht="16">
      <c r="A115" s="162"/>
      <c r="B115" s="443" t="s">
        <v>5863</v>
      </c>
      <c r="C115" s="444" t="s">
        <v>3650</v>
      </c>
      <c r="D115" s="444" t="s">
        <v>171</v>
      </c>
      <c r="E115" s="444" t="s">
        <v>137</v>
      </c>
      <c r="F115" s="444" t="s">
        <v>4317</v>
      </c>
      <c r="G115" s="66" t="s">
        <v>5870</v>
      </c>
      <c r="H115" s="444" t="s">
        <v>30</v>
      </c>
      <c r="I115" s="444">
        <v>225</v>
      </c>
      <c r="J115" s="445">
        <v>28</v>
      </c>
      <c r="K115" s="445">
        <f t="shared" si="4"/>
        <v>6300</v>
      </c>
      <c r="L115" s="55" t="b">
        <v>1</v>
      </c>
      <c r="M115" s="436" t="s">
        <v>529</v>
      </c>
      <c r="N115" s="57" t="b">
        <v>1</v>
      </c>
      <c r="O115" s="58"/>
      <c r="P115" s="226"/>
      <c r="Q115" s="191" t="b">
        <v>1</v>
      </c>
      <c r="R115" s="342" t="s">
        <v>3684</v>
      </c>
      <c r="S115" s="173" t="s">
        <v>5871</v>
      </c>
      <c r="T115" s="57" t="b">
        <v>1</v>
      </c>
      <c r="U115" s="310" t="s">
        <v>5872</v>
      </c>
      <c r="V115" s="307"/>
      <c r="W115" s="54"/>
    </row>
    <row r="116" spans="1:23" ht="16.5" customHeight="1">
      <c r="A116" s="162"/>
      <c r="B116" s="443" t="s">
        <v>5863</v>
      </c>
      <c r="C116" s="444" t="s">
        <v>3534</v>
      </c>
      <c r="D116" s="444" t="s">
        <v>51</v>
      </c>
      <c r="E116" s="444" t="s">
        <v>61</v>
      </c>
      <c r="F116" s="444" t="s">
        <v>476</v>
      </c>
      <c r="G116" s="66" t="s">
        <v>3448</v>
      </c>
      <c r="H116" s="444" t="s">
        <v>30</v>
      </c>
      <c r="I116" s="444">
        <v>15</v>
      </c>
      <c r="J116" s="445">
        <v>795</v>
      </c>
      <c r="K116" s="445">
        <f t="shared" si="4"/>
        <v>11925</v>
      </c>
      <c r="L116" s="55" t="b">
        <v>1</v>
      </c>
      <c r="M116" s="436" t="s">
        <v>529</v>
      </c>
      <c r="N116" s="57" t="b">
        <v>1</v>
      </c>
      <c r="O116" s="58"/>
      <c r="P116" s="226"/>
      <c r="Q116" s="191" t="b">
        <v>1</v>
      </c>
      <c r="R116" s="342" t="s">
        <v>3684</v>
      </c>
      <c r="S116" s="49"/>
      <c r="T116" s="57" t="b">
        <v>1</v>
      </c>
      <c r="U116" s="310" t="s">
        <v>5873</v>
      </c>
      <c r="V116" s="307"/>
      <c r="W116" s="54"/>
    </row>
    <row r="117" spans="1:23" ht="16">
      <c r="A117" s="162"/>
      <c r="B117" s="71" t="s">
        <v>5863</v>
      </c>
      <c r="C117" s="151" t="s">
        <v>4229</v>
      </c>
      <c r="D117" s="151" t="s">
        <v>3160</v>
      </c>
      <c r="E117" s="151" t="s">
        <v>5843</v>
      </c>
      <c r="F117" s="53" t="s">
        <v>5840</v>
      </c>
      <c r="G117" s="66" t="s">
        <v>5874</v>
      </c>
      <c r="H117" s="53" t="s">
        <v>30</v>
      </c>
      <c r="I117" s="151">
        <v>1</v>
      </c>
      <c r="J117" s="75">
        <v>1500</v>
      </c>
      <c r="K117" s="54">
        <f t="shared" si="4"/>
        <v>1500</v>
      </c>
      <c r="L117" s="55" t="b">
        <v>1</v>
      </c>
      <c r="M117" s="56">
        <v>171020252157</v>
      </c>
      <c r="N117" s="57" t="b">
        <v>1</v>
      </c>
      <c r="O117" s="58"/>
      <c r="P117" s="226"/>
      <c r="Q117" s="191" t="b">
        <v>1</v>
      </c>
      <c r="R117" s="342" t="s">
        <v>3684</v>
      </c>
      <c r="S117" s="173" t="s">
        <v>5875</v>
      </c>
      <c r="T117" s="57" t="b">
        <v>1</v>
      </c>
      <c r="U117" s="310" t="s">
        <v>5876</v>
      </c>
      <c r="V117" s="307"/>
      <c r="W117" s="54"/>
    </row>
    <row r="118" spans="1:23" ht="16">
      <c r="A118" s="162"/>
      <c r="B118" s="443" t="s">
        <v>5863</v>
      </c>
      <c r="C118" s="444" t="s">
        <v>3534</v>
      </c>
      <c r="D118" s="444" t="s">
        <v>51</v>
      </c>
      <c r="E118" s="444" t="s">
        <v>61</v>
      </c>
      <c r="F118" s="444" t="s">
        <v>476</v>
      </c>
      <c r="G118" s="66" t="s">
        <v>5877</v>
      </c>
      <c r="H118" s="53" t="s">
        <v>30</v>
      </c>
      <c r="I118" s="151">
        <v>1</v>
      </c>
      <c r="J118" s="75">
        <v>1750</v>
      </c>
      <c r="K118" s="54">
        <f t="shared" si="4"/>
        <v>1750</v>
      </c>
      <c r="L118" s="55" t="b">
        <v>1</v>
      </c>
      <c r="M118" s="436" t="s">
        <v>529</v>
      </c>
      <c r="N118" s="57" t="b">
        <v>1</v>
      </c>
      <c r="O118" s="58"/>
      <c r="P118" s="226"/>
      <c r="Q118" s="191" t="b">
        <v>1</v>
      </c>
      <c r="R118" s="342" t="s">
        <v>3684</v>
      </c>
      <c r="S118" s="49"/>
      <c r="T118" s="57" t="b">
        <v>1</v>
      </c>
      <c r="U118" s="310" t="s">
        <v>5878</v>
      </c>
      <c r="V118" s="307"/>
      <c r="W118" s="54"/>
    </row>
    <row r="119" spans="1:23" ht="16">
      <c r="A119" s="162"/>
      <c r="B119" s="443" t="s">
        <v>5863</v>
      </c>
      <c r="C119" s="53" t="s">
        <v>3458</v>
      </c>
      <c r="D119" s="151" t="s">
        <v>51</v>
      </c>
      <c r="E119" s="151" t="s">
        <v>201</v>
      </c>
      <c r="F119" s="151" t="s">
        <v>202</v>
      </c>
      <c r="G119" s="66" t="s">
        <v>5879</v>
      </c>
      <c r="H119" s="53" t="s">
        <v>30</v>
      </c>
      <c r="I119" s="151">
        <v>2</v>
      </c>
      <c r="J119" s="75">
        <v>1175</v>
      </c>
      <c r="K119" s="54">
        <f t="shared" si="4"/>
        <v>2350</v>
      </c>
      <c r="L119" s="55" t="b">
        <v>1</v>
      </c>
      <c r="M119" s="436" t="s">
        <v>529</v>
      </c>
      <c r="N119" s="57" t="b">
        <v>1</v>
      </c>
      <c r="O119" s="58"/>
      <c r="P119" s="226"/>
      <c r="Q119" s="191" t="b">
        <v>1</v>
      </c>
      <c r="R119" s="342" t="s">
        <v>3684</v>
      </c>
      <c r="S119" s="173" t="s">
        <v>5880</v>
      </c>
      <c r="T119" s="57" t="b">
        <v>1</v>
      </c>
      <c r="U119" s="310" t="s">
        <v>5881</v>
      </c>
      <c r="V119" s="307"/>
      <c r="W119" s="54"/>
    </row>
    <row r="120" spans="1:23" ht="15" customHeight="1">
      <c r="A120" s="162"/>
      <c r="B120" s="443" t="s">
        <v>5863</v>
      </c>
      <c r="C120" s="151" t="s">
        <v>3706</v>
      </c>
      <c r="D120" s="151" t="s">
        <v>418</v>
      </c>
      <c r="E120" s="151" t="s">
        <v>1549</v>
      </c>
      <c r="F120" s="151" t="s">
        <v>607</v>
      </c>
      <c r="G120" s="66" t="s">
        <v>5882</v>
      </c>
      <c r="H120" s="53" t="s">
        <v>30</v>
      </c>
      <c r="I120" s="151">
        <v>2000</v>
      </c>
      <c r="J120" s="75">
        <v>7.6</v>
      </c>
      <c r="K120" s="54">
        <f t="shared" si="4"/>
        <v>15200</v>
      </c>
      <c r="L120" s="55" t="b">
        <v>1</v>
      </c>
      <c r="M120" s="436" t="s">
        <v>529</v>
      </c>
      <c r="N120" s="57" t="b">
        <v>1</v>
      </c>
      <c r="O120" s="58" t="s">
        <v>529</v>
      </c>
      <c r="P120" s="226"/>
      <c r="Q120" s="191" t="b">
        <v>1</v>
      </c>
      <c r="R120" s="342" t="s">
        <v>3684</v>
      </c>
      <c r="S120" s="173" t="s">
        <v>5883</v>
      </c>
      <c r="T120" s="57" t="b">
        <v>1</v>
      </c>
      <c r="U120" s="310" t="s">
        <v>5884</v>
      </c>
      <c r="V120" s="307"/>
      <c r="W120" s="54"/>
    </row>
    <row r="121" spans="1:23" ht="16">
      <c r="A121" s="162"/>
      <c r="B121" s="71" t="s">
        <v>5885</v>
      </c>
      <c r="C121" s="151" t="s">
        <v>3650</v>
      </c>
      <c r="D121" s="151" t="s">
        <v>171</v>
      </c>
      <c r="E121" s="151" t="s">
        <v>137</v>
      </c>
      <c r="F121" s="151" t="s">
        <v>3651</v>
      </c>
      <c r="G121" s="158" t="s">
        <v>1181</v>
      </c>
      <c r="H121" s="53" t="s">
        <v>30</v>
      </c>
      <c r="I121" s="151">
        <v>30</v>
      </c>
      <c r="J121" s="75">
        <v>150</v>
      </c>
      <c r="K121" s="54">
        <f t="shared" si="4"/>
        <v>4500</v>
      </c>
      <c r="L121" s="55" t="b">
        <v>1</v>
      </c>
      <c r="M121" s="56">
        <v>191920252215</v>
      </c>
      <c r="N121" s="57" t="b">
        <v>1</v>
      </c>
      <c r="O121" s="58"/>
      <c r="P121" s="226"/>
      <c r="Q121" s="191" t="b">
        <v>1</v>
      </c>
      <c r="R121" s="342" t="s">
        <v>3684</v>
      </c>
      <c r="S121" s="173" t="s">
        <v>5886</v>
      </c>
      <c r="T121" s="57" t="b">
        <v>1</v>
      </c>
      <c r="U121" s="310" t="s">
        <v>5887</v>
      </c>
      <c r="V121" s="307"/>
      <c r="W121" s="54"/>
    </row>
    <row r="122" spans="1:23" ht="16">
      <c r="A122" s="162"/>
      <c r="B122" s="71" t="s">
        <v>5885</v>
      </c>
      <c r="C122" s="151" t="s">
        <v>3650</v>
      </c>
      <c r="D122" s="151" t="s">
        <v>171</v>
      </c>
      <c r="E122" s="151" t="s">
        <v>137</v>
      </c>
      <c r="F122" s="151" t="s">
        <v>3651</v>
      </c>
      <c r="G122" s="158" t="s">
        <v>80</v>
      </c>
      <c r="H122" s="53" t="s">
        <v>30</v>
      </c>
      <c r="I122" s="151">
        <v>20</v>
      </c>
      <c r="J122" s="75">
        <v>300</v>
      </c>
      <c r="K122" s="54">
        <f t="shared" si="4"/>
        <v>6000</v>
      </c>
      <c r="L122" s="55" t="b">
        <v>1</v>
      </c>
      <c r="M122" s="56">
        <v>191920252215</v>
      </c>
      <c r="N122" s="57" t="b">
        <v>1</v>
      </c>
      <c r="O122" s="58"/>
      <c r="P122" s="226"/>
      <c r="Q122" s="191" t="b">
        <v>1</v>
      </c>
      <c r="R122" s="342" t="s">
        <v>3684</v>
      </c>
      <c r="S122" s="173" t="s">
        <v>5886</v>
      </c>
      <c r="T122" s="57" t="b">
        <v>1</v>
      </c>
      <c r="U122" s="310" t="s">
        <v>5887</v>
      </c>
      <c r="V122" s="307"/>
      <c r="W122" s="54"/>
    </row>
    <row r="123" spans="1:23" ht="16">
      <c r="A123" s="162"/>
      <c r="B123" s="71" t="s">
        <v>5885</v>
      </c>
      <c r="C123" s="151" t="s">
        <v>3487</v>
      </c>
      <c r="D123" s="151" t="s">
        <v>51</v>
      </c>
      <c r="E123" s="151" t="s">
        <v>89</v>
      </c>
      <c r="F123" s="151" t="s">
        <v>2090</v>
      </c>
      <c r="G123" s="66" t="s">
        <v>1625</v>
      </c>
      <c r="H123" s="53" t="s">
        <v>30</v>
      </c>
      <c r="I123" s="151">
        <v>30</v>
      </c>
      <c r="J123" s="75">
        <v>150</v>
      </c>
      <c r="K123" s="54">
        <f t="shared" si="4"/>
        <v>4500</v>
      </c>
      <c r="L123" s="55" t="b">
        <v>1</v>
      </c>
      <c r="M123" s="56">
        <v>191920252215</v>
      </c>
      <c r="N123" s="57" t="b">
        <v>1</v>
      </c>
      <c r="O123" s="58"/>
      <c r="P123" s="226"/>
      <c r="Q123" s="191" t="b">
        <v>1</v>
      </c>
      <c r="R123" s="342" t="s">
        <v>3684</v>
      </c>
      <c r="S123" s="173" t="s">
        <v>5888</v>
      </c>
      <c r="T123" s="57" t="b">
        <v>1</v>
      </c>
      <c r="U123" s="310" t="s">
        <v>5889</v>
      </c>
      <c r="V123" s="307"/>
      <c r="W123" s="54"/>
    </row>
    <row r="124" spans="1:23" ht="16">
      <c r="A124" s="162"/>
      <c r="B124" s="71" t="s">
        <v>5890</v>
      </c>
      <c r="C124" s="151" t="s">
        <v>4153</v>
      </c>
      <c r="D124" s="151" t="s">
        <v>262</v>
      </c>
      <c r="E124" s="151" t="s">
        <v>263</v>
      </c>
      <c r="F124" s="151" t="s">
        <v>2855</v>
      </c>
      <c r="G124" s="66" t="s">
        <v>2434</v>
      </c>
      <c r="H124" s="53" t="s">
        <v>30</v>
      </c>
      <c r="I124" s="151">
        <v>100</v>
      </c>
      <c r="J124" s="75">
        <v>4.5</v>
      </c>
      <c r="K124" s="54">
        <f t="shared" si="4"/>
        <v>450</v>
      </c>
      <c r="L124" s="55" t="b">
        <v>1</v>
      </c>
      <c r="M124" s="56">
        <v>201020250944</v>
      </c>
      <c r="N124" s="57" t="b">
        <v>1</v>
      </c>
      <c r="O124" s="58"/>
      <c r="P124" s="226"/>
      <c r="Q124" s="191" t="b">
        <v>1</v>
      </c>
      <c r="R124" s="342" t="s">
        <v>3684</v>
      </c>
      <c r="S124" s="173" t="s">
        <v>5891</v>
      </c>
      <c r="T124" s="57" t="b">
        <v>1</v>
      </c>
      <c r="U124" s="310" t="s">
        <v>5892</v>
      </c>
      <c r="V124" s="307"/>
      <c r="W124" s="54"/>
    </row>
    <row r="125" spans="1:23" ht="16">
      <c r="A125" s="162"/>
      <c r="B125" s="71" t="s">
        <v>5890</v>
      </c>
      <c r="C125" s="151" t="s">
        <v>4153</v>
      </c>
      <c r="D125" s="151" t="s">
        <v>262</v>
      </c>
      <c r="E125" s="151" t="s">
        <v>263</v>
      </c>
      <c r="F125" s="151" t="s">
        <v>2855</v>
      </c>
      <c r="G125" s="66" t="s">
        <v>5893</v>
      </c>
      <c r="H125" s="53" t="s">
        <v>30</v>
      </c>
      <c r="I125" s="151">
        <v>100</v>
      </c>
      <c r="J125" s="75">
        <v>11.5</v>
      </c>
      <c r="K125" s="54">
        <f t="shared" si="4"/>
        <v>1150</v>
      </c>
      <c r="L125" s="55" t="b">
        <v>1</v>
      </c>
      <c r="M125" s="56">
        <v>201020250944</v>
      </c>
      <c r="N125" s="57" t="b">
        <v>1</v>
      </c>
      <c r="O125" s="58"/>
      <c r="P125" s="446"/>
      <c r="Q125" s="191" t="b">
        <v>1</v>
      </c>
      <c r="R125" s="342" t="s">
        <v>3684</v>
      </c>
      <c r="S125" s="173" t="s">
        <v>5891</v>
      </c>
      <c r="T125" s="57" t="b">
        <v>1</v>
      </c>
      <c r="U125" s="310" t="s">
        <v>5892</v>
      </c>
      <c r="V125" s="307"/>
      <c r="W125" s="54"/>
    </row>
    <row r="126" spans="1:23" ht="16">
      <c r="A126" s="162"/>
      <c r="B126" s="71" t="s">
        <v>5890</v>
      </c>
      <c r="C126" s="151" t="s">
        <v>4153</v>
      </c>
      <c r="D126" s="151" t="s">
        <v>262</v>
      </c>
      <c r="E126" s="151" t="s">
        <v>263</v>
      </c>
      <c r="F126" s="151" t="s">
        <v>2855</v>
      </c>
      <c r="G126" s="66" t="s">
        <v>5839</v>
      </c>
      <c r="H126" s="53" t="s">
        <v>30</v>
      </c>
      <c r="I126" s="151">
        <v>50</v>
      </c>
      <c r="J126" s="75">
        <v>135</v>
      </c>
      <c r="K126" s="54">
        <f t="shared" si="4"/>
        <v>6750</v>
      </c>
      <c r="L126" s="55" t="b">
        <v>1</v>
      </c>
      <c r="M126" s="56">
        <v>201020250944</v>
      </c>
      <c r="N126" s="57" t="b">
        <v>1</v>
      </c>
      <c r="O126" s="58"/>
      <c r="P126" s="226"/>
      <c r="Q126" s="191" t="b">
        <v>1</v>
      </c>
      <c r="R126" s="342" t="s">
        <v>3684</v>
      </c>
      <c r="S126" s="173" t="s">
        <v>5894</v>
      </c>
      <c r="T126" s="57" t="b">
        <v>1</v>
      </c>
      <c r="U126" s="310" t="s">
        <v>5895</v>
      </c>
      <c r="V126" s="307"/>
      <c r="W126" s="54"/>
    </row>
    <row r="127" spans="1:23" ht="16">
      <c r="A127" s="162"/>
      <c r="B127" s="71" t="s">
        <v>5890</v>
      </c>
      <c r="C127" s="53" t="s">
        <v>3641</v>
      </c>
      <c r="D127" s="151" t="s">
        <v>51</v>
      </c>
      <c r="E127" s="151" t="s">
        <v>335</v>
      </c>
      <c r="F127" s="151" t="s">
        <v>457</v>
      </c>
      <c r="G127" s="66" t="s">
        <v>5773</v>
      </c>
      <c r="H127" s="53" t="s">
        <v>30</v>
      </c>
      <c r="I127" s="151">
        <v>2</v>
      </c>
      <c r="J127" s="75">
        <v>900</v>
      </c>
      <c r="K127" s="54">
        <f t="shared" si="4"/>
        <v>1800</v>
      </c>
      <c r="L127" s="55" t="b">
        <v>1</v>
      </c>
      <c r="M127" s="56">
        <v>201020250944</v>
      </c>
      <c r="N127" s="57" t="b">
        <v>1</v>
      </c>
      <c r="O127" s="58"/>
      <c r="P127" s="226"/>
      <c r="Q127" s="191" t="b">
        <v>1</v>
      </c>
      <c r="R127" s="342" t="s">
        <v>3684</v>
      </c>
      <c r="S127" s="173" t="s">
        <v>5896</v>
      </c>
      <c r="T127" s="57" t="b">
        <v>1</v>
      </c>
      <c r="U127" s="310" t="s">
        <v>5897</v>
      </c>
      <c r="V127" s="307"/>
      <c r="W127" s="54"/>
    </row>
    <row r="128" spans="1:23" ht="16">
      <c r="A128" s="162"/>
      <c r="B128" s="71" t="s">
        <v>5890</v>
      </c>
      <c r="C128" s="53" t="s">
        <v>3641</v>
      </c>
      <c r="D128" s="151" t="s">
        <v>51</v>
      </c>
      <c r="E128" s="151" t="s">
        <v>335</v>
      </c>
      <c r="F128" s="151" t="s">
        <v>457</v>
      </c>
      <c r="G128" s="66" t="s">
        <v>5773</v>
      </c>
      <c r="H128" s="53" t="s">
        <v>30</v>
      </c>
      <c r="I128" s="151">
        <v>2</v>
      </c>
      <c r="J128" s="75">
        <v>900</v>
      </c>
      <c r="K128" s="54">
        <f t="shared" si="4"/>
        <v>1800</v>
      </c>
      <c r="L128" s="55" t="b">
        <v>1</v>
      </c>
      <c r="M128" s="56">
        <v>201020250944</v>
      </c>
      <c r="N128" s="57" t="b">
        <v>1</v>
      </c>
      <c r="O128" s="58"/>
      <c r="P128" s="226"/>
      <c r="Q128" s="191" t="b">
        <v>1</v>
      </c>
      <c r="R128" s="342" t="s">
        <v>3684</v>
      </c>
      <c r="S128" s="173" t="s">
        <v>5898</v>
      </c>
      <c r="T128" s="57" t="b">
        <v>1</v>
      </c>
      <c r="U128" s="310" t="s">
        <v>5899</v>
      </c>
      <c r="V128" s="307"/>
      <c r="W128" s="54"/>
    </row>
    <row r="129" spans="1:26" ht="16">
      <c r="A129" s="162"/>
      <c r="B129" s="71" t="s">
        <v>5890</v>
      </c>
      <c r="C129" s="53" t="s">
        <v>3641</v>
      </c>
      <c r="D129" s="151" t="s">
        <v>51</v>
      </c>
      <c r="E129" s="151" t="s">
        <v>335</v>
      </c>
      <c r="F129" s="151" t="s">
        <v>457</v>
      </c>
      <c r="G129" s="66" t="s">
        <v>5773</v>
      </c>
      <c r="H129" s="53" t="s">
        <v>30</v>
      </c>
      <c r="I129" s="151">
        <v>4</v>
      </c>
      <c r="J129" s="75">
        <v>900</v>
      </c>
      <c r="K129" s="54">
        <f t="shared" si="4"/>
        <v>3600</v>
      </c>
      <c r="L129" s="55" t="b">
        <v>1</v>
      </c>
      <c r="M129" s="56">
        <v>201020250944</v>
      </c>
      <c r="N129" s="57" t="b">
        <v>1</v>
      </c>
      <c r="O129" s="58"/>
      <c r="P129" s="226"/>
      <c r="Q129" s="191" t="b">
        <v>1</v>
      </c>
      <c r="R129" s="342" t="s">
        <v>3684</v>
      </c>
      <c r="S129" s="173" t="s">
        <v>5900</v>
      </c>
      <c r="T129" s="57" t="b">
        <v>1</v>
      </c>
      <c r="U129" s="310" t="s">
        <v>5901</v>
      </c>
      <c r="V129" s="307"/>
      <c r="W129" s="54"/>
    </row>
    <row r="130" spans="1:26" ht="16">
      <c r="A130" s="162"/>
      <c r="B130" s="71" t="s">
        <v>5890</v>
      </c>
      <c r="C130" s="151" t="s">
        <v>3663</v>
      </c>
      <c r="D130" s="151" t="s">
        <v>5902</v>
      </c>
      <c r="E130" s="151" t="s">
        <v>137</v>
      </c>
      <c r="F130" s="151" t="s">
        <v>3077</v>
      </c>
      <c r="G130" s="66" t="s">
        <v>68</v>
      </c>
      <c r="H130" s="53" t="s">
        <v>30</v>
      </c>
      <c r="I130" s="151">
        <v>3</v>
      </c>
      <c r="J130" s="75">
        <v>2350</v>
      </c>
      <c r="K130" s="54">
        <f t="shared" si="4"/>
        <v>7050</v>
      </c>
      <c r="L130" s="55" t="b">
        <v>1</v>
      </c>
      <c r="M130" s="56">
        <v>201020251334</v>
      </c>
      <c r="N130" s="57" t="b">
        <v>1</v>
      </c>
      <c r="O130" s="58"/>
      <c r="P130" s="226"/>
      <c r="Q130" s="191" t="b">
        <v>1</v>
      </c>
      <c r="R130" s="342" t="s">
        <v>3684</v>
      </c>
      <c r="S130" s="173" t="s">
        <v>5903</v>
      </c>
      <c r="T130" s="57" t="b">
        <v>1</v>
      </c>
      <c r="U130" s="310" t="s">
        <v>5904</v>
      </c>
      <c r="V130" s="307"/>
      <c r="W130" s="54"/>
    </row>
    <row r="131" spans="1:26" ht="16">
      <c r="A131" s="162"/>
      <c r="B131" s="71" t="s">
        <v>5890</v>
      </c>
      <c r="C131" s="151" t="s">
        <v>3663</v>
      </c>
      <c r="D131" s="151" t="s">
        <v>5902</v>
      </c>
      <c r="E131" s="151" t="s">
        <v>137</v>
      </c>
      <c r="F131" s="151" t="s">
        <v>3077</v>
      </c>
      <c r="G131" s="66" t="s">
        <v>5697</v>
      </c>
      <c r="H131" s="53" t="s">
        <v>30</v>
      </c>
      <c r="I131" s="151">
        <v>5</v>
      </c>
      <c r="J131" s="75">
        <v>750</v>
      </c>
      <c r="K131" s="54">
        <f t="shared" si="4"/>
        <v>3750</v>
      </c>
      <c r="L131" s="55" t="b">
        <v>1</v>
      </c>
      <c r="M131" s="56">
        <v>201020251337</v>
      </c>
      <c r="N131" s="57" t="b">
        <v>1</v>
      </c>
      <c r="O131" s="58"/>
      <c r="P131" s="226"/>
      <c r="Q131" s="191" t="b">
        <v>1</v>
      </c>
      <c r="R131" s="342" t="s">
        <v>3684</v>
      </c>
      <c r="S131" s="173" t="s">
        <v>5903</v>
      </c>
      <c r="T131" s="57" t="b">
        <v>1</v>
      </c>
      <c r="U131" s="310" t="s">
        <v>5904</v>
      </c>
      <c r="V131" s="307"/>
      <c r="W131" s="54"/>
    </row>
    <row r="132" spans="1:26" ht="16">
      <c r="A132" s="162"/>
      <c r="B132" s="71" t="s">
        <v>5890</v>
      </c>
      <c r="C132" s="151" t="s">
        <v>3713</v>
      </c>
      <c r="D132" s="151" t="s">
        <v>26</v>
      </c>
      <c r="E132" s="151" t="s">
        <v>220</v>
      </c>
      <c r="F132" s="151" t="s">
        <v>2244</v>
      </c>
      <c r="G132" s="66" t="s">
        <v>3448</v>
      </c>
      <c r="H132" s="53" t="s">
        <v>30</v>
      </c>
      <c r="I132" s="151">
        <v>10</v>
      </c>
      <c r="J132" s="75">
        <v>795</v>
      </c>
      <c r="K132" s="54">
        <f t="shared" si="4"/>
        <v>7950</v>
      </c>
      <c r="L132" s="55" t="b">
        <v>1</v>
      </c>
      <c r="M132" s="56">
        <v>201020251449</v>
      </c>
      <c r="N132" s="57" t="b">
        <v>1</v>
      </c>
      <c r="O132" s="58"/>
      <c r="P132" s="226"/>
      <c r="Q132" s="191" t="b">
        <v>1</v>
      </c>
      <c r="R132" s="342" t="s">
        <v>3684</v>
      </c>
      <c r="S132" s="49"/>
      <c r="T132" s="57" t="b">
        <v>1</v>
      </c>
      <c r="U132" s="310" t="s">
        <v>5905</v>
      </c>
      <c r="V132" s="307"/>
      <c r="W132" s="54"/>
    </row>
    <row r="133" spans="1:26" ht="16">
      <c r="A133" s="162"/>
      <c r="B133" s="71" t="s">
        <v>5890</v>
      </c>
      <c r="C133" s="151" t="s">
        <v>4761</v>
      </c>
      <c r="D133" s="151" t="s">
        <v>26</v>
      </c>
      <c r="E133" s="151" t="s">
        <v>386</v>
      </c>
      <c r="F133" s="151" t="s">
        <v>2935</v>
      </c>
      <c r="G133" s="158" t="s">
        <v>5906</v>
      </c>
      <c r="H133" s="53" t="s">
        <v>30</v>
      </c>
      <c r="I133" s="151">
        <v>4</v>
      </c>
      <c r="J133" s="75">
        <v>775</v>
      </c>
      <c r="K133" s="54">
        <f t="shared" si="4"/>
        <v>3100</v>
      </c>
      <c r="L133" s="55" t="b">
        <v>1</v>
      </c>
      <c r="M133" s="56">
        <v>201020251449</v>
      </c>
      <c r="N133" s="57" t="b">
        <v>1</v>
      </c>
      <c r="O133" s="58"/>
      <c r="P133" s="226"/>
      <c r="Q133" s="191" t="b">
        <v>1</v>
      </c>
      <c r="R133" s="342" t="s">
        <v>3684</v>
      </c>
      <c r="S133" s="173" t="s">
        <v>5907</v>
      </c>
      <c r="T133" s="57" t="b">
        <v>1</v>
      </c>
      <c r="U133" s="310" t="s">
        <v>5908</v>
      </c>
      <c r="V133" s="307"/>
      <c r="W133" s="54"/>
    </row>
    <row r="134" spans="1:26" ht="16">
      <c r="A134" s="162"/>
      <c r="B134" s="71" t="s">
        <v>5890</v>
      </c>
      <c r="C134" s="151" t="s">
        <v>4761</v>
      </c>
      <c r="D134" s="151" t="s">
        <v>26</v>
      </c>
      <c r="E134" s="151" t="s">
        <v>386</v>
      </c>
      <c r="F134" s="151" t="s">
        <v>2935</v>
      </c>
      <c r="G134" s="158" t="s">
        <v>5909</v>
      </c>
      <c r="H134" s="53" t="s">
        <v>30</v>
      </c>
      <c r="I134" s="151">
        <v>2</v>
      </c>
      <c r="J134" s="75">
        <v>800</v>
      </c>
      <c r="K134" s="54">
        <f t="shared" si="4"/>
        <v>1600</v>
      </c>
      <c r="L134" s="55" t="b">
        <v>1</v>
      </c>
      <c r="M134" s="56">
        <v>201020251449</v>
      </c>
      <c r="N134" s="57" t="b">
        <v>1</v>
      </c>
      <c r="O134" s="58"/>
      <c r="P134" s="226"/>
      <c r="Q134" s="191" t="b">
        <v>1</v>
      </c>
      <c r="R134" s="342" t="s">
        <v>3684</v>
      </c>
      <c r="S134" s="173" t="s">
        <v>5910</v>
      </c>
      <c r="T134" s="57" t="b">
        <v>1</v>
      </c>
      <c r="U134" s="310" t="s">
        <v>5911</v>
      </c>
      <c r="V134" s="307"/>
      <c r="W134" s="54"/>
    </row>
    <row r="135" spans="1:26" ht="16">
      <c r="A135" s="162"/>
      <c r="B135" s="71" t="s">
        <v>5890</v>
      </c>
      <c r="C135" s="151" t="s">
        <v>4761</v>
      </c>
      <c r="D135" s="151" t="s">
        <v>26</v>
      </c>
      <c r="E135" s="151" t="s">
        <v>386</v>
      </c>
      <c r="F135" s="151" t="s">
        <v>2935</v>
      </c>
      <c r="G135" s="158" t="s">
        <v>5909</v>
      </c>
      <c r="H135" s="53" t="s">
        <v>30</v>
      </c>
      <c r="I135" s="151">
        <v>2</v>
      </c>
      <c r="J135" s="75">
        <v>800</v>
      </c>
      <c r="K135" s="54">
        <f t="shared" si="4"/>
        <v>1600</v>
      </c>
      <c r="L135" s="55" t="b">
        <v>1</v>
      </c>
      <c r="M135" s="56">
        <v>201020251449</v>
      </c>
      <c r="N135" s="57" t="b">
        <v>1</v>
      </c>
      <c r="O135" s="58"/>
      <c r="P135" s="226"/>
      <c r="Q135" s="191" t="b">
        <v>1</v>
      </c>
      <c r="R135" s="342" t="s">
        <v>3684</v>
      </c>
      <c r="S135" s="173" t="s">
        <v>5907</v>
      </c>
      <c r="T135" s="57" t="b">
        <v>1</v>
      </c>
      <c r="U135" s="310" t="s">
        <v>5908</v>
      </c>
      <c r="V135" s="307"/>
      <c r="W135" s="54"/>
    </row>
    <row r="136" spans="1:26" ht="16">
      <c r="A136" s="162"/>
      <c r="B136" s="71" t="s">
        <v>5890</v>
      </c>
      <c r="C136" s="151" t="s">
        <v>3592</v>
      </c>
      <c r="D136" s="151" t="s">
        <v>3160</v>
      </c>
      <c r="E136" s="151" t="s">
        <v>5912</v>
      </c>
      <c r="F136" s="151" t="s">
        <v>674</v>
      </c>
      <c r="G136" s="66" t="s">
        <v>2060</v>
      </c>
      <c r="H136" s="53" t="s">
        <v>30</v>
      </c>
      <c r="I136" s="151">
        <v>15</v>
      </c>
      <c r="J136" s="75">
        <v>145</v>
      </c>
      <c r="K136" s="54">
        <f t="shared" si="4"/>
        <v>2175</v>
      </c>
      <c r="L136" s="55" t="b">
        <v>1</v>
      </c>
      <c r="M136" s="56">
        <v>201020251748</v>
      </c>
      <c r="N136" s="57" t="b">
        <v>1</v>
      </c>
      <c r="O136" s="58"/>
      <c r="P136" s="226"/>
      <c r="Q136" s="191" t="b">
        <v>1</v>
      </c>
      <c r="R136" s="432" t="s">
        <v>4528</v>
      </c>
      <c r="S136" s="173" t="s">
        <v>5913</v>
      </c>
      <c r="T136" s="57" t="b">
        <v>1</v>
      </c>
      <c r="U136" s="310" t="s">
        <v>5914</v>
      </c>
      <c r="V136" s="307"/>
      <c r="W136" s="54"/>
    </row>
    <row r="137" spans="1:26" ht="16">
      <c r="A137" s="447"/>
      <c r="B137" s="437" t="s">
        <v>5890</v>
      </c>
      <c r="C137" s="340" t="s">
        <v>3592</v>
      </c>
      <c r="D137" s="340" t="s">
        <v>3160</v>
      </c>
      <c r="E137" s="340" t="s">
        <v>5912</v>
      </c>
      <c r="F137" s="340" t="s">
        <v>674</v>
      </c>
      <c r="G137" s="448" t="s">
        <v>5915</v>
      </c>
      <c r="H137" s="80" t="s">
        <v>30</v>
      </c>
      <c r="I137" s="340">
        <v>15</v>
      </c>
      <c r="J137" s="438">
        <v>420</v>
      </c>
      <c r="K137" s="336">
        <f t="shared" si="4"/>
        <v>6300</v>
      </c>
      <c r="L137" s="55" t="b">
        <v>1</v>
      </c>
      <c r="M137" s="56">
        <v>201020251751</v>
      </c>
      <c r="N137" s="57" t="b">
        <v>1</v>
      </c>
      <c r="O137" s="449"/>
      <c r="P137" s="450"/>
      <c r="Q137" s="191" t="b">
        <v>1</v>
      </c>
      <c r="R137" s="432" t="s">
        <v>4528</v>
      </c>
      <c r="S137" s="297" t="s">
        <v>5916</v>
      </c>
      <c r="T137" s="57" t="b">
        <v>1</v>
      </c>
      <c r="U137" s="310" t="s">
        <v>5917</v>
      </c>
      <c r="V137" s="451"/>
      <c r="W137" s="452"/>
      <c r="X137" s="453"/>
      <c r="Y137" s="453"/>
      <c r="Z137" s="453"/>
    </row>
    <row r="138" spans="1:26" ht="16">
      <c r="A138" s="162"/>
      <c r="B138" s="71" t="s">
        <v>5890</v>
      </c>
      <c r="C138" s="151" t="s">
        <v>3592</v>
      </c>
      <c r="D138" s="151" t="s">
        <v>3160</v>
      </c>
      <c r="E138" s="151" t="s">
        <v>5912</v>
      </c>
      <c r="F138" s="151" t="s">
        <v>674</v>
      </c>
      <c r="G138" s="66" t="s">
        <v>5918</v>
      </c>
      <c r="H138" s="53" t="s">
        <v>30</v>
      </c>
      <c r="I138" s="151">
        <v>3</v>
      </c>
      <c r="J138" s="75">
        <v>975</v>
      </c>
      <c r="K138" s="54">
        <f t="shared" si="4"/>
        <v>2925</v>
      </c>
      <c r="L138" s="55" t="b">
        <v>1</v>
      </c>
      <c r="M138" s="56">
        <v>201020251757</v>
      </c>
      <c r="N138" s="57" t="b">
        <v>1</v>
      </c>
      <c r="O138" s="58"/>
      <c r="P138" s="226"/>
      <c r="Q138" s="191" t="b">
        <v>1</v>
      </c>
      <c r="R138" s="342" t="s">
        <v>3684</v>
      </c>
      <c r="S138" s="173" t="s">
        <v>5919</v>
      </c>
      <c r="T138" s="57" t="b">
        <v>1</v>
      </c>
      <c r="U138" s="310" t="s">
        <v>5920</v>
      </c>
      <c r="V138" s="307"/>
      <c r="W138" s="54"/>
    </row>
    <row r="139" spans="1:26" ht="16">
      <c r="A139" s="162"/>
      <c r="B139" s="71" t="s">
        <v>5890</v>
      </c>
      <c r="C139" s="151" t="s">
        <v>3592</v>
      </c>
      <c r="D139" s="151" t="s">
        <v>3160</v>
      </c>
      <c r="E139" s="151" t="s">
        <v>5912</v>
      </c>
      <c r="F139" s="151" t="s">
        <v>674</v>
      </c>
      <c r="G139" s="158" t="s">
        <v>5921</v>
      </c>
      <c r="H139" s="53" t="s">
        <v>30</v>
      </c>
      <c r="I139" s="151">
        <v>84</v>
      </c>
      <c r="J139" s="75">
        <v>43</v>
      </c>
      <c r="K139" s="54">
        <f t="shared" si="4"/>
        <v>3612</v>
      </c>
      <c r="L139" s="55" t="b">
        <v>1</v>
      </c>
      <c r="M139" s="56">
        <v>201020251813</v>
      </c>
      <c r="N139" s="57" t="b">
        <v>1</v>
      </c>
      <c r="O139" s="58"/>
      <c r="P139" s="226"/>
      <c r="Q139" s="191" t="b">
        <v>1</v>
      </c>
      <c r="R139" s="342" t="s">
        <v>3684</v>
      </c>
      <c r="S139" s="173" t="s">
        <v>5919</v>
      </c>
      <c r="T139" s="57" t="b">
        <v>1</v>
      </c>
      <c r="U139" s="310" t="s">
        <v>5920</v>
      </c>
      <c r="V139" s="307"/>
      <c r="W139" s="54"/>
    </row>
    <row r="140" spans="1:26" ht="16">
      <c r="A140" s="162"/>
      <c r="B140" s="71" t="s">
        <v>5890</v>
      </c>
      <c r="C140" s="151" t="s">
        <v>3458</v>
      </c>
      <c r="D140" s="151" t="s">
        <v>51</v>
      </c>
      <c r="E140" s="151" t="s">
        <v>201</v>
      </c>
      <c r="F140" s="151" t="s">
        <v>202</v>
      </c>
      <c r="G140" s="158" t="s">
        <v>278</v>
      </c>
      <c r="H140" s="53" t="s">
        <v>30</v>
      </c>
      <c r="I140" s="151">
        <v>5</v>
      </c>
      <c r="J140" s="75">
        <v>165</v>
      </c>
      <c r="K140" s="54">
        <f t="shared" si="4"/>
        <v>825</v>
      </c>
      <c r="L140" s="55" t="b">
        <v>1</v>
      </c>
      <c r="M140" s="56">
        <v>201020251903</v>
      </c>
      <c r="N140" s="57" t="b">
        <v>1</v>
      </c>
      <c r="O140" s="58"/>
      <c r="P140" s="226"/>
      <c r="Q140" s="191" t="b">
        <v>1</v>
      </c>
      <c r="R140" s="342" t="s">
        <v>3684</v>
      </c>
      <c r="S140" s="173" t="s">
        <v>5922</v>
      </c>
      <c r="T140" s="57" t="b">
        <v>1</v>
      </c>
      <c r="U140" s="310" t="s">
        <v>5923</v>
      </c>
      <c r="V140" s="307"/>
      <c r="W140" s="54"/>
    </row>
    <row r="141" spans="1:26" ht="16">
      <c r="A141" s="162"/>
      <c r="B141" s="71" t="s">
        <v>5890</v>
      </c>
      <c r="C141" s="151" t="s">
        <v>3458</v>
      </c>
      <c r="D141" s="151" t="s">
        <v>51</v>
      </c>
      <c r="E141" s="151" t="s">
        <v>201</v>
      </c>
      <c r="F141" s="151" t="s">
        <v>202</v>
      </c>
      <c r="G141" s="66" t="s">
        <v>5924</v>
      </c>
      <c r="H141" s="53" t="s">
        <v>30</v>
      </c>
      <c r="I141" s="151">
        <v>7</v>
      </c>
      <c r="J141" s="75">
        <v>250</v>
      </c>
      <c r="K141" s="54">
        <f t="shared" si="4"/>
        <v>1750</v>
      </c>
      <c r="L141" s="55" t="b">
        <v>1</v>
      </c>
      <c r="M141" s="56">
        <v>201020251903</v>
      </c>
      <c r="N141" s="57" t="b">
        <v>1</v>
      </c>
      <c r="O141" s="58"/>
      <c r="P141" s="226"/>
      <c r="Q141" s="191" t="b">
        <v>1</v>
      </c>
      <c r="R141" s="342" t="s">
        <v>3684</v>
      </c>
      <c r="S141" s="173" t="s">
        <v>5925</v>
      </c>
      <c r="T141" s="57" t="b">
        <v>1</v>
      </c>
      <c r="U141" s="310" t="s">
        <v>5926</v>
      </c>
      <c r="V141" s="307"/>
      <c r="W141" s="54"/>
    </row>
    <row r="142" spans="1:26" ht="16">
      <c r="A142" s="162"/>
      <c r="B142" s="71" t="s">
        <v>5890</v>
      </c>
      <c r="C142" s="151" t="s">
        <v>3650</v>
      </c>
      <c r="D142" s="151" t="s">
        <v>171</v>
      </c>
      <c r="E142" s="151" t="s">
        <v>137</v>
      </c>
      <c r="F142" s="151" t="s">
        <v>3651</v>
      </c>
      <c r="G142" s="66" t="s">
        <v>5927</v>
      </c>
      <c r="H142" s="53" t="s">
        <v>30</v>
      </c>
      <c r="I142" s="151">
        <v>1</v>
      </c>
      <c r="J142" s="75">
        <v>1</v>
      </c>
      <c r="K142" s="54">
        <f t="shared" si="4"/>
        <v>1</v>
      </c>
      <c r="L142" s="55" t="b">
        <v>1</v>
      </c>
      <c r="M142" s="56">
        <v>201020251903</v>
      </c>
      <c r="N142" s="57" t="b">
        <v>0</v>
      </c>
      <c r="O142" s="58"/>
      <c r="P142" s="226"/>
      <c r="Q142" s="191" t="b">
        <v>1</v>
      </c>
      <c r="R142" s="342" t="s">
        <v>3684</v>
      </c>
      <c r="S142" s="173" t="s">
        <v>5928</v>
      </c>
      <c r="T142" s="57" t="b">
        <v>0</v>
      </c>
      <c r="U142" s="434"/>
      <c r="V142" s="307"/>
      <c r="W142" s="54"/>
    </row>
    <row r="143" spans="1:26" ht="16">
      <c r="A143" s="162"/>
      <c r="B143" s="71" t="s">
        <v>5929</v>
      </c>
      <c r="C143" s="151" t="s">
        <v>3592</v>
      </c>
      <c r="D143" s="151" t="s">
        <v>3160</v>
      </c>
      <c r="E143" s="151" t="s">
        <v>5912</v>
      </c>
      <c r="F143" s="151" t="s">
        <v>674</v>
      </c>
      <c r="G143" s="66" t="s">
        <v>5930</v>
      </c>
      <c r="H143" s="53" t="s">
        <v>30</v>
      </c>
      <c r="I143" s="151">
        <v>24</v>
      </c>
      <c r="J143" s="75">
        <v>60</v>
      </c>
      <c r="K143" s="54">
        <f t="shared" si="4"/>
        <v>1440</v>
      </c>
      <c r="L143" s="55" t="b">
        <v>1</v>
      </c>
      <c r="M143" s="56">
        <v>211020251252</v>
      </c>
      <c r="N143" s="57" t="b">
        <v>1</v>
      </c>
      <c r="O143" s="54"/>
      <c r="P143" s="75"/>
      <c r="Q143" s="191" t="b">
        <v>1</v>
      </c>
      <c r="R143" s="342" t="s">
        <v>3684</v>
      </c>
      <c r="S143" s="454" t="s">
        <v>5931</v>
      </c>
      <c r="T143" s="57" t="b">
        <v>1</v>
      </c>
      <c r="U143" s="310" t="s">
        <v>5932</v>
      </c>
      <c r="V143" s="307"/>
      <c r="W143" s="54"/>
    </row>
    <row r="144" spans="1:26" ht="16">
      <c r="A144" s="162"/>
      <c r="B144" s="71" t="s">
        <v>5929</v>
      </c>
      <c r="C144" s="151" t="s">
        <v>3592</v>
      </c>
      <c r="D144" s="151" t="s">
        <v>3160</v>
      </c>
      <c r="E144" s="151" t="s">
        <v>5912</v>
      </c>
      <c r="F144" s="151" t="s">
        <v>674</v>
      </c>
      <c r="G144" s="66" t="s">
        <v>5933</v>
      </c>
      <c r="H144" s="53" t="s">
        <v>30</v>
      </c>
      <c r="I144" s="151">
        <v>300</v>
      </c>
      <c r="J144" s="75">
        <v>8.25</v>
      </c>
      <c r="K144" s="54">
        <f t="shared" si="4"/>
        <v>2475</v>
      </c>
      <c r="L144" s="55" t="b">
        <v>1</v>
      </c>
      <c r="M144" s="56">
        <v>211020251311</v>
      </c>
      <c r="N144" s="57" t="b">
        <v>1</v>
      </c>
      <c r="O144" s="54"/>
      <c r="P144" s="75"/>
      <c r="Q144" s="191" t="b">
        <v>1</v>
      </c>
      <c r="R144" s="342" t="s">
        <v>3684</v>
      </c>
      <c r="S144" s="454" t="s">
        <v>5934</v>
      </c>
      <c r="T144" s="57" t="b">
        <v>1</v>
      </c>
      <c r="U144" s="310" t="s">
        <v>5935</v>
      </c>
      <c r="V144" s="307"/>
      <c r="W144" s="54"/>
    </row>
    <row r="145" spans="1:26" ht="16">
      <c r="A145" s="162"/>
      <c r="B145" s="71" t="s">
        <v>5929</v>
      </c>
      <c r="C145" s="151" t="s">
        <v>3458</v>
      </c>
      <c r="D145" s="151" t="s">
        <v>51</v>
      </c>
      <c r="E145" s="151" t="s">
        <v>201</v>
      </c>
      <c r="F145" s="151" t="s">
        <v>202</v>
      </c>
      <c r="G145" s="66" t="s">
        <v>5936</v>
      </c>
      <c r="H145" s="53" t="s">
        <v>30</v>
      </c>
      <c r="I145" s="151">
        <v>1</v>
      </c>
      <c r="J145" s="75">
        <v>1950</v>
      </c>
      <c r="K145" s="54">
        <f t="shared" si="4"/>
        <v>1950</v>
      </c>
      <c r="L145" s="55" t="b">
        <v>1</v>
      </c>
      <c r="M145" s="56">
        <v>211020251312</v>
      </c>
      <c r="N145" s="57" t="b">
        <v>1</v>
      </c>
      <c r="O145" s="54"/>
      <c r="P145" s="75"/>
      <c r="Q145" s="191" t="b">
        <v>1</v>
      </c>
      <c r="R145" s="342" t="s">
        <v>3684</v>
      </c>
      <c r="S145" s="54"/>
      <c r="T145" s="57" t="b">
        <v>1</v>
      </c>
      <c r="U145" s="310" t="s">
        <v>5937</v>
      </c>
      <c r="V145" s="307"/>
      <c r="W145" s="54"/>
    </row>
    <row r="146" spans="1:26" ht="16">
      <c r="A146" s="162"/>
      <c r="B146" s="71" t="s">
        <v>5929</v>
      </c>
      <c r="C146" s="151" t="s">
        <v>5174</v>
      </c>
      <c r="D146" s="151" t="s">
        <v>832</v>
      </c>
      <c r="E146" s="151" t="s">
        <v>137</v>
      </c>
      <c r="F146" s="151" t="s">
        <v>834</v>
      </c>
      <c r="G146" s="66" t="s">
        <v>5938</v>
      </c>
      <c r="H146" s="53" t="s">
        <v>30</v>
      </c>
      <c r="I146" s="151">
        <v>6</v>
      </c>
      <c r="J146" s="75">
        <v>0.01</v>
      </c>
      <c r="K146" s="54">
        <f t="shared" si="4"/>
        <v>0.06</v>
      </c>
      <c r="L146" s="55" t="b">
        <v>1</v>
      </c>
      <c r="M146" s="56">
        <v>211020251314</v>
      </c>
      <c r="N146" s="57" t="b">
        <v>0</v>
      </c>
      <c r="O146" s="54"/>
      <c r="P146" s="75"/>
      <c r="Q146" s="191" t="b">
        <v>1</v>
      </c>
      <c r="R146" s="342" t="s">
        <v>3684</v>
      </c>
      <c r="S146" s="454" t="s">
        <v>5939</v>
      </c>
      <c r="T146" s="57" t="b">
        <v>0</v>
      </c>
      <c r="U146" s="54"/>
      <c r="V146" s="307"/>
      <c r="W146" s="54"/>
    </row>
    <row r="147" spans="1:26" ht="16">
      <c r="A147" s="162"/>
      <c r="B147" s="71" t="s">
        <v>5929</v>
      </c>
      <c r="C147" s="151" t="s">
        <v>3506</v>
      </c>
      <c r="D147" s="151" t="s">
        <v>55</v>
      </c>
      <c r="E147" s="151" t="s">
        <v>1987</v>
      </c>
      <c r="F147" s="151" t="s">
        <v>1552</v>
      </c>
      <c r="G147" s="66" t="s">
        <v>236</v>
      </c>
      <c r="H147" s="53" t="s">
        <v>30</v>
      </c>
      <c r="I147" s="151">
        <v>6</v>
      </c>
      <c r="J147" s="75">
        <v>230</v>
      </c>
      <c r="K147" s="54">
        <f t="shared" si="4"/>
        <v>1380</v>
      </c>
      <c r="L147" s="55" t="b">
        <v>1</v>
      </c>
      <c r="M147" s="56">
        <v>211020251407</v>
      </c>
      <c r="N147" s="57" t="b">
        <v>1</v>
      </c>
      <c r="O147" s="54"/>
      <c r="P147" s="75"/>
      <c r="Q147" s="191" t="b">
        <v>1</v>
      </c>
      <c r="R147" s="342" t="s">
        <v>3684</v>
      </c>
      <c r="S147" s="454" t="s">
        <v>5940</v>
      </c>
      <c r="T147" s="57" t="b">
        <v>1</v>
      </c>
      <c r="U147" s="310" t="s">
        <v>5941</v>
      </c>
      <c r="V147" s="307"/>
      <c r="W147" s="54"/>
    </row>
    <row r="148" spans="1:26" ht="16">
      <c r="A148" s="162"/>
      <c r="B148" s="132" t="s">
        <v>5929</v>
      </c>
      <c r="C148" s="151" t="s">
        <v>3458</v>
      </c>
      <c r="D148" s="151" t="s">
        <v>51</v>
      </c>
      <c r="E148" s="151" t="s">
        <v>201</v>
      </c>
      <c r="F148" s="151" t="s">
        <v>202</v>
      </c>
      <c r="G148" s="158" t="s">
        <v>3555</v>
      </c>
      <c r="H148" s="53" t="s">
        <v>30</v>
      </c>
      <c r="I148" s="151">
        <v>100</v>
      </c>
      <c r="J148" s="75">
        <v>95</v>
      </c>
      <c r="K148" s="54">
        <f t="shared" si="4"/>
        <v>9500</v>
      </c>
      <c r="L148" s="55" t="b">
        <v>1</v>
      </c>
      <c r="M148" s="56">
        <v>211020251630</v>
      </c>
      <c r="N148" s="57" t="b">
        <v>1</v>
      </c>
      <c r="O148" s="54"/>
      <c r="P148" s="75"/>
      <c r="Q148" s="191" t="b">
        <v>1</v>
      </c>
      <c r="R148" s="342" t="s">
        <v>3684</v>
      </c>
      <c r="S148" s="454" t="s">
        <v>5942</v>
      </c>
      <c r="T148" s="57" t="b">
        <v>1</v>
      </c>
      <c r="U148" s="310" t="s">
        <v>5943</v>
      </c>
      <c r="V148" s="307"/>
      <c r="W148" s="54"/>
    </row>
    <row r="149" spans="1:26" ht="16">
      <c r="A149" s="162"/>
      <c r="B149" s="132" t="s">
        <v>5929</v>
      </c>
      <c r="C149" s="151" t="s">
        <v>3552</v>
      </c>
      <c r="D149" s="151" t="s">
        <v>51</v>
      </c>
      <c r="E149" s="151" t="s">
        <v>66</v>
      </c>
      <c r="F149" s="151" t="s">
        <v>67</v>
      </c>
      <c r="G149" s="66" t="s">
        <v>68</v>
      </c>
      <c r="H149" s="53" t="s">
        <v>30</v>
      </c>
      <c r="I149" s="151">
        <v>3</v>
      </c>
      <c r="J149" s="75">
        <v>2350</v>
      </c>
      <c r="K149" s="54">
        <f t="shared" si="4"/>
        <v>7050</v>
      </c>
      <c r="L149" s="55" t="b">
        <v>1</v>
      </c>
      <c r="M149" s="56">
        <v>211020251911</v>
      </c>
      <c r="N149" s="57" t="b">
        <v>1</v>
      </c>
      <c r="O149" s="54"/>
      <c r="P149" s="75"/>
      <c r="Q149" s="191" t="b">
        <v>1</v>
      </c>
      <c r="R149" s="342" t="s">
        <v>3684</v>
      </c>
      <c r="S149" s="454" t="s">
        <v>5944</v>
      </c>
      <c r="T149" s="57" t="b">
        <v>1</v>
      </c>
      <c r="U149" s="310" t="s">
        <v>5945</v>
      </c>
      <c r="V149" s="307"/>
      <c r="W149" s="54"/>
    </row>
    <row r="150" spans="1:26" ht="16">
      <c r="A150" s="162"/>
      <c r="B150" s="132" t="s">
        <v>2405</v>
      </c>
      <c r="C150" s="151" t="s">
        <v>3458</v>
      </c>
      <c r="D150" s="151" t="s">
        <v>51</v>
      </c>
      <c r="E150" s="151" t="s">
        <v>201</v>
      </c>
      <c r="F150" s="151" t="s">
        <v>202</v>
      </c>
      <c r="G150" s="66" t="s">
        <v>3459</v>
      </c>
      <c r="H150" s="53" t="s">
        <v>30</v>
      </c>
      <c r="I150" s="151">
        <v>10</v>
      </c>
      <c r="J150" s="75">
        <v>850</v>
      </c>
      <c r="K150" s="54">
        <f t="shared" si="4"/>
        <v>8500</v>
      </c>
      <c r="L150" s="55" t="b">
        <v>1</v>
      </c>
      <c r="M150" s="56">
        <v>221020251137</v>
      </c>
      <c r="N150" s="57" t="b">
        <v>1</v>
      </c>
      <c r="O150" s="54"/>
      <c r="P150" s="75"/>
      <c r="Q150" s="191" t="b">
        <v>1</v>
      </c>
      <c r="R150" s="342" t="s">
        <v>3684</v>
      </c>
      <c r="S150" s="454" t="s">
        <v>5946</v>
      </c>
      <c r="T150" s="57" t="b">
        <v>1</v>
      </c>
      <c r="U150" s="310" t="s">
        <v>5947</v>
      </c>
      <c r="V150" s="307"/>
      <c r="W150" s="54"/>
    </row>
    <row r="151" spans="1:26" ht="16">
      <c r="A151" s="162"/>
      <c r="B151" s="132" t="s">
        <v>2405</v>
      </c>
      <c r="C151" s="151" t="s">
        <v>3483</v>
      </c>
      <c r="D151" s="151" t="s">
        <v>26</v>
      </c>
      <c r="E151" s="151" t="s">
        <v>1976</v>
      </c>
      <c r="F151" s="151" t="s">
        <v>2124</v>
      </c>
      <c r="G151" s="66" t="s">
        <v>68</v>
      </c>
      <c r="H151" s="53" t="s">
        <v>30</v>
      </c>
      <c r="I151" s="151">
        <v>1</v>
      </c>
      <c r="J151" s="75">
        <v>2350</v>
      </c>
      <c r="K151" s="54">
        <f t="shared" si="4"/>
        <v>2350</v>
      </c>
      <c r="L151" s="55" t="b">
        <v>1</v>
      </c>
      <c r="M151" s="56">
        <v>221020251137</v>
      </c>
      <c r="N151" s="57" t="b">
        <v>1</v>
      </c>
      <c r="O151" s="54"/>
      <c r="P151" s="75"/>
      <c r="Q151" s="191" t="b">
        <v>1</v>
      </c>
      <c r="R151" s="342" t="s">
        <v>3684</v>
      </c>
      <c r="S151" s="454" t="s">
        <v>5948</v>
      </c>
      <c r="T151" s="57" t="b">
        <v>1</v>
      </c>
      <c r="U151" s="310" t="s">
        <v>5949</v>
      </c>
      <c r="V151" s="307"/>
      <c r="W151" s="54"/>
    </row>
    <row r="152" spans="1:26" ht="16">
      <c r="A152" s="162"/>
      <c r="B152" s="71" t="s">
        <v>2405</v>
      </c>
      <c r="C152" s="151" t="s">
        <v>4135</v>
      </c>
      <c r="D152" s="151" t="s">
        <v>26</v>
      </c>
      <c r="E152" s="151" t="s">
        <v>27</v>
      </c>
      <c r="F152" s="151" t="s">
        <v>28</v>
      </c>
      <c r="G152" s="66" t="s">
        <v>300</v>
      </c>
      <c r="H152" s="53" t="s">
        <v>30</v>
      </c>
      <c r="I152" s="151">
        <v>25</v>
      </c>
      <c r="J152" s="75">
        <v>165</v>
      </c>
      <c r="K152" s="54">
        <f t="shared" si="4"/>
        <v>4125</v>
      </c>
      <c r="L152" s="55" t="b">
        <v>1</v>
      </c>
      <c r="M152" s="56">
        <v>221020251137</v>
      </c>
      <c r="N152" s="57" t="b">
        <v>1</v>
      </c>
      <c r="O152" s="54"/>
      <c r="P152" s="75"/>
      <c r="Q152" s="191" t="b">
        <v>1</v>
      </c>
      <c r="R152" s="432" t="s">
        <v>4528</v>
      </c>
      <c r="S152" s="454" t="s">
        <v>5950</v>
      </c>
      <c r="T152" s="57" t="b">
        <v>1</v>
      </c>
      <c r="U152" s="310" t="s">
        <v>5951</v>
      </c>
      <c r="V152" s="307"/>
      <c r="W152" s="54"/>
    </row>
    <row r="153" spans="1:26" ht="16">
      <c r="A153" s="162"/>
      <c r="B153" s="71" t="s">
        <v>5952</v>
      </c>
      <c r="C153" s="151" t="s">
        <v>4268</v>
      </c>
      <c r="D153" s="151" t="s">
        <v>345</v>
      </c>
      <c r="E153" s="151" t="s">
        <v>1756</v>
      </c>
      <c r="F153" s="151" t="s">
        <v>5953</v>
      </c>
      <c r="G153" s="66" t="s">
        <v>300</v>
      </c>
      <c r="H153" s="53" t="s">
        <v>30</v>
      </c>
      <c r="I153" s="151">
        <v>25</v>
      </c>
      <c r="J153" s="75">
        <v>165</v>
      </c>
      <c r="K153" s="54">
        <f t="shared" si="4"/>
        <v>4125</v>
      </c>
      <c r="L153" s="55" t="b">
        <v>1</v>
      </c>
      <c r="M153" s="56">
        <v>221020251137</v>
      </c>
      <c r="N153" s="57" t="b">
        <v>1</v>
      </c>
      <c r="O153" s="54"/>
      <c r="P153" s="75"/>
      <c r="Q153" s="191" t="b">
        <v>1</v>
      </c>
      <c r="R153" s="432" t="s">
        <v>4528</v>
      </c>
      <c r="S153" s="454" t="s">
        <v>5954</v>
      </c>
      <c r="T153" s="57" t="b">
        <v>1</v>
      </c>
      <c r="U153" s="310" t="s">
        <v>5955</v>
      </c>
      <c r="V153" s="307"/>
      <c r="W153" s="54"/>
    </row>
    <row r="154" spans="1:26" ht="16">
      <c r="A154" s="162"/>
      <c r="B154" s="71" t="s">
        <v>5952</v>
      </c>
      <c r="C154" s="151" t="s">
        <v>3601</v>
      </c>
      <c r="D154" s="151" t="s">
        <v>523</v>
      </c>
      <c r="E154" s="151" t="s">
        <v>524</v>
      </c>
      <c r="F154" s="151" t="s">
        <v>525</v>
      </c>
      <c r="G154" s="66" t="s">
        <v>5956</v>
      </c>
      <c r="H154" s="53" t="s">
        <v>30</v>
      </c>
      <c r="I154" s="151">
        <v>200</v>
      </c>
      <c r="J154" s="75">
        <v>16</v>
      </c>
      <c r="K154" s="54">
        <f t="shared" si="4"/>
        <v>3200</v>
      </c>
      <c r="L154" s="55" t="b">
        <v>1</v>
      </c>
      <c r="M154" s="56">
        <v>221020251137</v>
      </c>
      <c r="N154" s="57" t="b">
        <v>1</v>
      </c>
      <c r="O154" s="54"/>
      <c r="P154" s="75"/>
      <c r="Q154" s="191" t="b">
        <v>1</v>
      </c>
      <c r="R154" s="342" t="s">
        <v>3684</v>
      </c>
      <c r="S154" s="454" t="s">
        <v>5957</v>
      </c>
      <c r="T154" s="57" t="b">
        <v>1</v>
      </c>
      <c r="U154" s="310" t="s">
        <v>5958</v>
      </c>
      <c r="V154" s="307"/>
      <c r="W154" s="54"/>
    </row>
    <row r="155" spans="1:26" ht="16">
      <c r="A155" s="162"/>
      <c r="B155" s="71" t="s">
        <v>5952</v>
      </c>
      <c r="C155" s="151" t="s">
        <v>3663</v>
      </c>
      <c r="D155" s="151" t="s">
        <v>2152</v>
      </c>
      <c r="E155" s="151" t="s">
        <v>137</v>
      </c>
      <c r="F155" s="151" t="s">
        <v>3077</v>
      </c>
      <c r="G155" s="66" t="s">
        <v>5959</v>
      </c>
      <c r="H155" s="53" t="s">
        <v>30</v>
      </c>
      <c r="I155" s="151">
        <v>100</v>
      </c>
      <c r="J155" s="75">
        <v>17.5</v>
      </c>
      <c r="K155" s="54">
        <f t="shared" si="4"/>
        <v>1750</v>
      </c>
      <c r="L155" s="55" t="b">
        <v>1</v>
      </c>
      <c r="M155" s="56">
        <v>231020251142</v>
      </c>
      <c r="N155" s="57" t="b">
        <v>1</v>
      </c>
      <c r="O155" s="54"/>
      <c r="P155" s="75"/>
      <c r="Q155" s="191" t="b">
        <v>1</v>
      </c>
      <c r="R155" s="342" t="s">
        <v>3684</v>
      </c>
      <c r="S155" s="454" t="s">
        <v>5960</v>
      </c>
      <c r="T155" s="57" t="b">
        <v>1</v>
      </c>
      <c r="U155" s="310" t="s">
        <v>5961</v>
      </c>
      <c r="V155" s="307"/>
      <c r="W155" s="54"/>
    </row>
    <row r="156" spans="1:26" ht="16">
      <c r="A156" s="162"/>
      <c r="B156" s="71" t="s">
        <v>5952</v>
      </c>
      <c r="C156" s="151" t="s">
        <v>3532</v>
      </c>
      <c r="D156" s="151" t="s">
        <v>51</v>
      </c>
      <c r="E156" s="151" t="s">
        <v>52</v>
      </c>
      <c r="F156" s="151" t="s">
        <v>1710</v>
      </c>
      <c r="G156" s="66" t="s">
        <v>5697</v>
      </c>
      <c r="H156" s="53" t="s">
        <v>30</v>
      </c>
      <c r="I156" s="151">
        <v>1</v>
      </c>
      <c r="J156" s="75">
        <v>775</v>
      </c>
      <c r="K156" s="54">
        <f t="shared" si="4"/>
        <v>775</v>
      </c>
      <c r="L156" s="55" t="b">
        <v>1</v>
      </c>
      <c r="M156" s="56" t="s">
        <v>5962</v>
      </c>
      <c r="N156" s="57" t="b">
        <v>1</v>
      </c>
      <c r="O156" s="54"/>
      <c r="P156" s="75"/>
      <c r="Q156" s="191" t="b">
        <v>1</v>
      </c>
      <c r="R156" s="342" t="s">
        <v>3684</v>
      </c>
      <c r="S156" s="454" t="s">
        <v>5963</v>
      </c>
      <c r="T156" s="57" t="b">
        <v>1</v>
      </c>
      <c r="U156" s="310" t="s">
        <v>5964</v>
      </c>
      <c r="V156" s="307"/>
      <c r="W156" s="54"/>
    </row>
    <row r="157" spans="1:26" ht="16">
      <c r="A157" s="455"/>
      <c r="B157" s="456" t="s">
        <v>5952</v>
      </c>
      <c r="C157" s="158" t="s">
        <v>3690</v>
      </c>
      <c r="D157" s="158" t="s">
        <v>3160</v>
      </c>
      <c r="E157" s="158" t="s">
        <v>5965</v>
      </c>
      <c r="F157" s="158" t="s">
        <v>5966</v>
      </c>
      <c r="G157" s="158" t="s">
        <v>5967</v>
      </c>
      <c r="H157" s="158" t="s">
        <v>30</v>
      </c>
      <c r="I157" s="158">
        <v>10</v>
      </c>
      <c r="J157" s="438">
        <v>295</v>
      </c>
      <c r="K157" s="438">
        <f t="shared" si="4"/>
        <v>2950</v>
      </c>
      <c r="L157" s="55" t="b">
        <v>1</v>
      </c>
      <c r="M157" s="457">
        <v>231020251603</v>
      </c>
      <c r="N157" s="57" t="b">
        <v>1</v>
      </c>
      <c r="O157" s="438"/>
      <c r="P157" s="438"/>
      <c r="Q157" s="191" t="b">
        <v>1</v>
      </c>
      <c r="R157" s="342" t="s">
        <v>3684</v>
      </c>
      <c r="S157" s="458" t="s">
        <v>5968</v>
      </c>
      <c r="T157" s="57" t="b">
        <v>1</v>
      </c>
      <c r="U157" s="310" t="s">
        <v>5969</v>
      </c>
      <c r="V157" s="459"/>
      <c r="W157" s="438"/>
      <c r="X157" s="460"/>
      <c r="Y157" s="460"/>
      <c r="Z157" s="460"/>
    </row>
    <row r="158" spans="1:26" ht="16">
      <c r="A158" s="162"/>
      <c r="B158" s="71" t="s">
        <v>5952</v>
      </c>
      <c r="C158" s="151" t="s">
        <v>3650</v>
      </c>
      <c r="D158" s="151" t="s">
        <v>171</v>
      </c>
      <c r="E158" s="151" t="s">
        <v>137</v>
      </c>
      <c r="F158" s="151" t="s">
        <v>5970</v>
      </c>
      <c r="G158" s="66" t="s">
        <v>1181</v>
      </c>
      <c r="H158" s="53" t="s">
        <v>30</v>
      </c>
      <c r="I158" s="151">
        <v>150</v>
      </c>
      <c r="J158" s="75">
        <v>120</v>
      </c>
      <c r="K158" s="54">
        <f t="shared" si="4"/>
        <v>18000</v>
      </c>
      <c r="L158" s="55" t="b">
        <v>1</v>
      </c>
      <c r="M158" s="56">
        <v>231020251542</v>
      </c>
      <c r="N158" s="57" t="b">
        <v>1</v>
      </c>
      <c r="O158" s="54"/>
      <c r="P158" s="75"/>
      <c r="Q158" s="191" t="b">
        <v>1</v>
      </c>
      <c r="R158" s="342" t="s">
        <v>3684</v>
      </c>
      <c r="S158" s="454" t="s">
        <v>5971</v>
      </c>
      <c r="T158" s="57" t="b">
        <v>1</v>
      </c>
      <c r="U158" s="310" t="s">
        <v>5972</v>
      </c>
      <c r="V158" s="307"/>
      <c r="W158" s="54"/>
    </row>
    <row r="159" spans="1:26" ht="16">
      <c r="A159" s="162"/>
      <c r="B159" s="71" t="s">
        <v>5952</v>
      </c>
      <c r="C159" s="151" t="s">
        <v>3650</v>
      </c>
      <c r="D159" s="151" t="s">
        <v>171</v>
      </c>
      <c r="E159" s="151" t="s">
        <v>137</v>
      </c>
      <c r="F159" s="151" t="s">
        <v>5970</v>
      </c>
      <c r="G159" s="66" t="s">
        <v>4219</v>
      </c>
      <c r="H159" s="53" t="s">
        <v>30</v>
      </c>
      <c r="I159" s="151">
        <v>50</v>
      </c>
      <c r="J159" s="75">
        <v>280</v>
      </c>
      <c r="K159" s="54">
        <f t="shared" si="4"/>
        <v>14000</v>
      </c>
      <c r="L159" s="55" t="b">
        <v>1</v>
      </c>
      <c r="M159" s="56">
        <v>231020251542</v>
      </c>
      <c r="N159" s="57" t="b">
        <v>1</v>
      </c>
      <c r="O159" s="54"/>
      <c r="P159" s="75"/>
      <c r="Q159" s="191" t="b">
        <v>1</v>
      </c>
      <c r="R159" s="342" t="s">
        <v>3684</v>
      </c>
      <c r="S159" s="454" t="s">
        <v>5971</v>
      </c>
      <c r="T159" s="57" t="b">
        <v>1</v>
      </c>
      <c r="U159" s="310" t="s">
        <v>5972</v>
      </c>
      <c r="V159" s="307"/>
      <c r="W159" s="54"/>
    </row>
    <row r="160" spans="1:26" ht="16">
      <c r="A160" s="162"/>
      <c r="B160" s="71" t="s">
        <v>5952</v>
      </c>
      <c r="C160" s="151" t="s">
        <v>3650</v>
      </c>
      <c r="D160" s="151" t="s">
        <v>171</v>
      </c>
      <c r="E160" s="151" t="s">
        <v>137</v>
      </c>
      <c r="F160" s="151" t="s">
        <v>5970</v>
      </c>
      <c r="G160" s="66" t="s">
        <v>3448</v>
      </c>
      <c r="H160" s="53" t="s">
        <v>30</v>
      </c>
      <c r="I160" s="151">
        <v>20</v>
      </c>
      <c r="J160" s="75">
        <v>795</v>
      </c>
      <c r="K160" s="54">
        <f t="shared" si="4"/>
        <v>15900</v>
      </c>
      <c r="L160" s="55" t="b">
        <v>1</v>
      </c>
      <c r="M160" s="56">
        <v>231020231943</v>
      </c>
      <c r="N160" s="57" t="b">
        <v>1</v>
      </c>
      <c r="O160" s="54"/>
      <c r="P160" s="75"/>
      <c r="Q160" s="191" t="b">
        <v>1</v>
      </c>
      <c r="R160" s="342" t="s">
        <v>3684</v>
      </c>
      <c r="S160" s="454" t="s">
        <v>5973</v>
      </c>
      <c r="T160" s="57" t="b">
        <v>1</v>
      </c>
      <c r="U160" s="310" t="s">
        <v>5974</v>
      </c>
      <c r="V160" s="307"/>
      <c r="W160" s="54"/>
    </row>
    <row r="161" spans="1:26" ht="16">
      <c r="A161" s="162"/>
      <c r="B161" s="71" t="s">
        <v>5952</v>
      </c>
      <c r="C161" s="53" t="s">
        <v>4972</v>
      </c>
      <c r="D161" s="53" t="s">
        <v>247</v>
      </c>
      <c r="E161" s="53" t="s">
        <v>248</v>
      </c>
      <c r="F161" s="53" t="s">
        <v>4573</v>
      </c>
      <c r="G161" s="66" t="s">
        <v>300</v>
      </c>
      <c r="H161" s="53" t="s">
        <v>30</v>
      </c>
      <c r="I161" s="151">
        <v>25</v>
      </c>
      <c r="J161" s="75">
        <v>175</v>
      </c>
      <c r="K161" s="54">
        <f t="shared" si="4"/>
        <v>4375</v>
      </c>
      <c r="L161" s="55" t="b">
        <v>1</v>
      </c>
      <c r="M161" s="56">
        <v>231020231943</v>
      </c>
      <c r="N161" s="57" t="b">
        <v>1</v>
      </c>
      <c r="O161" s="54"/>
      <c r="P161" s="75"/>
      <c r="Q161" s="191" t="b">
        <v>1</v>
      </c>
      <c r="R161" s="432" t="s">
        <v>4528</v>
      </c>
      <c r="S161" s="454" t="s">
        <v>5975</v>
      </c>
      <c r="T161" s="57" t="b">
        <v>1</v>
      </c>
      <c r="U161" s="310" t="s">
        <v>5976</v>
      </c>
      <c r="V161" s="307"/>
      <c r="W161" s="54"/>
    </row>
    <row r="162" spans="1:26" ht="16">
      <c r="A162" s="162"/>
      <c r="B162" s="71" t="s">
        <v>5977</v>
      </c>
      <c r="C162" s="53" t="s">
        <v>4969</v>
      </c>
      <c r="D162" s="53" t="s">
        <v>104</v>
      </c>
      <c r="E162" s="53" t="s">
        <v>4503</v>
      </c>
      <c r="F162" s="53" t="s">
        <v>123</v>
      </c>
      <c r="G162" s="66" t="s">
        <v>229</v>
      </c>
      <c r="H162" s="53" t="s">
        <v>30</v>
      </c>
      <c r="I162" s="151">
        <v>3</v>
      </c>
      <c r="J162" s="75">
        <v>875</v>
      </c>
      <c r="K162" s="54">
        <f t="shared" si="4"/>
        <v>2625</v>
      </c>
      <c r="L162" s="55" t="b">
        <v>1</v>
      </c>
      <c r="M162" s="56">
        <v>241020252043</v>
      </c>
      <c r="N162" s="57" t="b">
        <v>1</v>
      </c>
      <c r="O162" s="54"/>
      <c r="P162" s="75"/>
      <c r="Q162" s="191" t="b">
        <v>1</v>
      </c>
      <c r="R162" s="342" t="s">
        <v>3684</v>
      </c>
      <c r="S162" s="454" t="s">
        <v>5978</v>
      </c>
      <c r="T162" s="57" t="b">
        <v>1</v>
      </c>
      <c r="U162" s="310" t="s">
        <v>5979</v>
      </c>
      <c r="V162" s="307"/>
      <c r="W162" s="54"/>
    </row>
    <row r="163" spans="1:26" ht="16">
      <c r="A163" s="162"/>
      <c r="B163" s="71" t="s">
        <v>5977</v>
      </c>
      <c r="C163" s="53" t="s">
        <v>4969</v>
      </c>
      <c r="D163" s="53" t="s">
        <v>104</v>
      </c>
      <c r="E163" s="53" t="s">
        <v>4503</v>
      </c>
      <c r="F163" s="53" t="s">
        <v>123</v>
      </c>
      <c r="G163" s="66" t="s">
        <v>124</v>
      </c>
      <c r="H163" s="53" t="s">
        <v>30</v>
      </c>
      <c r="I163" s="151">
        <v>1</v>
      </c>
      <c r="J163" s="75">
        <v>895</v>
      </c>
      <c r="K163" s="54">
        <f t="shared" si="4"/>
        <v>895</v>
      </c>
      <c r="L163" s="55" t="b">
        <v>1</v>
      </c>
      <c r="M163" s="56">
        <v>241020252043</v>
      </c>
      <c r="N163" s="57" t="b">
        <v>1</v>
      </c>
      <c r="O163" s="54"/>
      <c r="P163" s="75"/>
      <c r="Q163" s="191" t="b">
        <v>1</v>
      </c>
      <c r="R163" s="342" t="s">
        <v>3684</v>
      </c>
      <c r="S163" s="454" t="s">
        <v>5978</v>
      </c>
      <c r="T163" s="57" t="b">
        <v>1</v>
      </c>
      <c r="U163" s="310" t="s">
        <v>5979</v>
      </c>
      <c r="V163" s="307"/>
      <c r="W163" s="54"/>
    </row>
    <row r="164" spans="1:26" ht="16">
      <c r="A164" s="162"/>
      <c r="B164" s="71" t="s">
        <v>5980</v>
      </c>
      <c r="C164" s="53" t="s">
        <v>3458</v>
      </c>
      <c r="D164" s="53" t="s">
        <v>51</v>
      </c>
      <c r="E164" s="53" t="s">
        <v>201</v>
      </c>
      <c r="F164" s="53" t="s">
        <v>202</v>
      </c>
      <c r="G164" s="66" t="s">
        <v>1700</v>
      </c>
      <c r="H164" s="53" t="s">
        <v>30</v>
      </c>
      <c r="I164" s="151">
        <v>200</v>
      </c>
      <c r="J164" s="75">
        <v>17.5</v>
      </c>
      <c r="K164" s="54">
        <f t="shared" si="4"/>
        <v>3500</v>
      </c>
      <c r="L164" s="55" t="b">
        <v>1</v>
      </c>
      <c r="M164" s="56">
        <v>251020251219</v>
      </c>
      <c r="N164" s="57" t="b">
        <v>1</v>
      </c>
      <c r="O164" s="54"/>
      <c r="P164" s="75"/>
      <c r="Q164" s="191" t="b">
        <v>1</v>
      </c>
      <c r="R164" s="342" t="s">
        <v>3684</v>
      </c>
      <c r="S164" s="54"/>
      <c r="T164" s="57" t="b">
        <v>1</v>
      </c>
      <c r="U164" s="310" t="s">
        <v>5981</v>
      </c>
      <c r="V164" s="307"/>
      <c r="W164" s="54"/>
    </row>
    <row r="165" spans="1:26" ht="16">
      <c r="A165" s="162"/>
      <c r="B165" s="71" t="s">
        <v>5980</v>
      </c>
      <c r="C165" s="53" t="s">
        <v>3517</v>
      </c>
      <c r="D165" s="53" t="s">
        <v>51</v>
      </c>
      <c r="E165" s="53" t="s">
        <v>61</v>
      </c>
      <c r="F165" s="53" t="s">
        <v>548</v>
      </c>
      <c r="G165" s="66" t="s">
        <v>5982</v>
      </c>
      <c r="H165" s="53" t="s">
        <v>30</v>
      </c>
      <c r="I165" s="151">
        <v>1</v>
      </c>
      <c r="J165" s="75">
        <v>4250</v>
      </c>
      <c r="K165" s="54">
        <f t="shared" si="4"/>
        <v>4250</v>
      </c>
      <c r="L165" s="55" t="b">
        <v>1</v>
      </c>
      <c r="M165" s="56">
        <v>251020251219</v>
      </c>
      <c r="N165" s="57" t="b">
        <v>1</v>
      </c>
      <c r="O165" s="54" t="s">
        <v>2968</v>
      </c>
      <c r="P165" s="75"/>
      <c r="Q165" s="191" t="b">
        <v>1</v>
      </c>
      <c r="R165" s="432" t="s">
        <v>4528</v>
      </c>
      <c r="S165" s="454" t="s">
        <v>5983</v>
      </c>
      <c r="T165" s="57" t="b">
        <v>1</v>
      </c>
      <c r="U165" s="310" t="s">
        <v>5984</v>
      </c>
      <c r="V165" s="307"/>
      <c r="W165" s="54"/>
    </row>
    <row r="166" spans="1:26" ht="16">
      <c r="A166" s="162"/>
      <c r="B166" s="71" t="s">
        <v>5980</v>
      </c>
      <c r="C166" s="151" t="s">
        <v>3663</v>
      </c>
      <c r="D166" s="151" t="s">
        <v>2152</v>
      </c>
      <c r="E166" s="151" t="s">
        <v>137</v>
      </c>
      <c r="F166" s="151" t="s">
        <v>3077</v>
      </c>
      <c r="G166" s="66" t="s">
        <v>5985</v>
      </c>
      <c r="H166" s="53" t="s">
        <v>30</v>
      </c>
      <c r="I166" s="151">
        <v>5</v>
      </c>
      <c r="J166" s="75">
        <v>165</v>
      </c>
      <c r="K166" s="54">
        <f t="shared" si="4"/>
        <v>825</v>
      </c>
      <c r="L166" s="55" t="b">
        <v>1</v>
      </c>
      <c r="M166" s="56">
        <v>251020251655</v>
      </c>
      <c r="N166" s="57" t="b">
        <v>1</v>
      </c>
      <c r="O166" s="54"/>
      <c r="P166" s="75"/>
      <c r="Q166" s="191" t="b">
        <v>1</v>
      </c>
      <c r="R166" s="342" t="s">
        <v>3684</v>
      </c>
      <c r="S166" s="454" t="s">
        <v>5986</v>
      </c>
      <c r="T166" s="57" t="b">
        <v>1</v>
      </c>
      <c r="U166" s="310" t="s">
        <v>5987</v>
      </c>
      <c r="V166" s="307"/>
      <c r="W166" s="54"/>
    </row>
    <row r="167" spans="1:26" ht="16">
      <c r="A167" s="162"/>
      <c r="B167" s="71" t="s">
        <v>5980</v>
      </c>
      <c r="C167" s="151" t="s">
        <v>3663</v>
      </c>
      <c r="D167" s="151" t="s">
        <v>2152</v>
      </c>
      <c r="E167" s="151" t="s">
        <v>137</v>
      </c>
      <c r="F167" s="151" t="s">
        <v>3077</v>
      </c>
      <c r="G167" s="66" t="s">
        <v>278</v>
      </c>
      <c r="H167" s="53" t="s">
        <v>30</v>
      </c>
      <c r="I167" s="151">
        <v>5</v>
      </c>
      <c r="J167" s="75">
        <v>175</v>
      </c>
      <c r="K167" s="54">
        <f t="shared" si="4"/>
        <v>875</v>
      </c>
      <c r="L167" s="55" t="b">
        <v>1</v>
      </c>
      <c r="M167" s="56">
        <v>251020251655</v>
      </c>
      <c r="N167" s="57" t="b">
        <v>1</v>
      </c>
      <c r="O167" s="54"/>
      <c r="P167" s="75"/>
      <c r="Q167" s="191" t="b">
        <v>1</v>
      </c>
      <c r="R167" s="342" t="s">
        <v>3684</v>
      </c>
      <c r="S167" s="454" t="s">
        <v>5986</v>
      </c>
      <c r="T167" s="57" t="b">
        <v>1</v>
      </c>
      <c r="U167" s="310" t="s">
        <v>5987</v>
      </c>
      <c r="V167" s="307"/>
      <c r="W167" s="54"/>
    </row>
    <row r="168" spans="1:26" ht="16">
      <c r="A168" s="162"/>
      <c r="B168" s="71" t="s">
        <v>5980</v>
      </c>
      <c r="C168" s="151" t="s">
        <v>3552</v>
      </c>
      <c r="D168" s="151" t="s">
        <v>51</v>
      </c>
      <c r="E168" s="151" t="s">
        <v>66</v>
      </c>
      <c r="F168" s="151" t="s">
        <v>67</v>
      </c>
      <c r="G168" s="66" t="s">
        <v>101</v>
      </c>
      <c r="H168" s="53" t="s">
        <v>30</v>
      </c>
      <c r="I168" s="151">
        <v>10</v>
      </c>
      <c r="J168" s="75">
        <v>975</v>
      </c>
      <c r="K168" s="54">
        <f t="shared" si="4"/>
        <v>9750</v>
      </c>
      <c r="L168" s="55" t="b">
        <v>1</v>
      </c>
      <c r="M168" s="56">
        <v>251020251655</v>
      </c>
      <c r="N168" s="57" t="b">
        <v>1</v>
      </c>
      <c r="O168" s="54"/>
      <c r="P168" s="75"/>
      <c r="Q168" s="191" t="b">
        <v>1</v>
      </c>
      <c r="R168" s="342" t="s">
        <v>3684</v>
      </c>
      <c r="S168" s="454" t="s">
        <v>5988</v>
      </c>
      <c r="T168" s="57" t="b">
        <v>1</v>
      </c>
      <c r="U168" s="310" t="s">
        <v>5989</v>
      </c>
      <c r="V168" s="307"/>
      <c r="W168" s="54"/>
    </row>
    <row r="169" spans="1:26" ht="16">
      <c r="A169" s="162"/>
      <c r="B169" s="71" t="s">
        <v>5990</v>
      </c>
      <c r="C169" s="151" t="s">
        <v>3552</v>
      </c>
      <c r="D169" s="151" t="s">
        <v>51</v>
      </c>
      <c r="E169" s="151" t="s">
        <v>66</v>
      </c>
      <c r="F169" s="151" t="s">
        <v>67</v>
      </c>
      <c r="G169" s="66" t="s">
        <v>3448</v>
      </c>
      <c r="H169" s="53" t="s">
        <v>30</v>
      </c>
      <c r="I169" s="151">
        <v>10</v>
      </c>
      <c r="J169" s="75">
        <v>795</v>
      </c>
      <c r="K169" s="54">
        <f t="shared" si="4"/>
        <v>7950</v>
      </c>
      <c r="L169" s="55" t="b">
        <v>1</v>
      </c>
      <c r="M169" s="56">
        <v>251020251655</v>
      </c>
      <c r="N169" s="57" t="b">
        <v>1</v>
      </c>
      <c r="O169" s="54" t="s">
        <v>5991</v>
      </c>
      <c r="P169" s="75"/>
      <c r="Q169" s="191" t="b">
        <v>1</v>
      </c>
      <c r="R169" s="342" t="s">
        <v>3684</v>
      </c>
      <c r="S169" s="454" t="s">
        <v>5992</v>
      </c>
      <c r="T169" s="57" t="b">
        <v>1</v>
      </c>
      <c r="U169" s="310" t="s">
        <v>5993</v>
      </c>
      <c r="V169" s="307"/>
      <c r="W169" s="54"/>
    </row>
    <row r="170" spans="1:26" ht="16">
      <c r="A170" s="162"/>
      <c r="B170" s="71" t="s">
        <v>5994</v>
      </c>
      <c r="C170" s="151" t="s">
        <v>3487</v>
      </c>
      <c r="D170" s="151" t="s">
        <v>51</v>
      </c>
      <c r="E170" s="151" t="s">
        <v>89</v>
      </c>
      <c r="F170" s="151" t="s">
        <v>2090</v>
      </c>
      <c r="G170" s="66" t="s">
        <v>1181</v>
      </c>
      <c r="H170" s="53" t="s">
        <v>30</v>
      </c>
      <c r="I170" s="151">
        <v>50</v>
      </c>
      <c r="J170" s="75">
        <v>150</v>
      </c>
      <c r="K170" s="54">
        <f t="shared" si="4"/>
        <v>7500</v>
      </c>
      <c r="L170" s="55" t="b">
        <v>1</v>
      </c>
      <c r="M170" s="56">
        <v>271020250923</v>
      </c>
      <c r="N170" s="57" t="b">
        <v>1</v>
      </c>
      <c r="O170" s="54"/>
      <c r="P170" s="75"/>
      <c r="Q170" s="191" t="b">
        <v>1</v>
      </c>
      <c r="R170" s="342" t="s">
        <v>3684</v>
      </c>
      <c r="S170" s="454" t="s">
        <v>5995</v>
      </c>
      <c r="T170" s="57" t="b">
        <v>1</v>
      </c>
      <c r="U170" s="310" t="s">
        <v>5996</v>
      </c>
      <c r="V170" s="307"/>
      <c r="W170" s="54"/>
    </row>
    <row r="171" spans="1:26" ht="16">
      <c r="A171" s="455"/>
      <c r="B171" s="437" t="s">
        <v>5994</v>
      </c>
      <c r="C171" s="80" t="s">
        <v>3632</v>
      </c>
      <c r="D171" s="80" t="s">
        <v>104</v>
      </c>
      <c r="E171" s="80" t="s">
        <v>206</v>
      </c>
      <c r="F171" s="80" t="s">
        <v>4258</v>
      </c>
      <c r="G171" s="158" t="s">
        <v>68</v>
      </c>
      <c r="H171" s="80" t="s">
        <v>30</v>
      </c>
      <c r="I171" s="340">
        <v>2</v>
      </c>
      <c r="J171" s="438">
        <v>2350</v>
      </c>
      <c r="K171" s="336">
        <f t="shared" si="4"/>
        <v>4700</v>
      </c>
      <c r="L171" s="55" t="b">
        <v>1</v>
      </c>
      <c r="M171" s="461">
        <v>271020250923</v>
      </c>
      <c r="N171" s="57" t="b">
        <v>1</v>
      </c>
      <c r="O171" s="336"/>
      <c r="P171" s="438"/>
      <c r="Q171" s="191" t="b">
        <v>1</v>
      </c>
      <c r="R171" s="342" t="s">
        <v>3684</v>
      </c>
      <c r="S171" s="454" t="s">
        <v>5997</v>
      </c>
      <c r="T171" s="57" t="b">
        <v>1</v>
      </c>
      <c r="U171" s="310" t="s">
        <v>5998</v>
      </c>
      <c r="V171" s="459"/>
      <c r="W171" s="336"/>
      <c r="X171" s="462"/>
      <c r="Y171" s="462"/>
      <c r="Z171" s="462"/>
    </row>
    <row r="172" spans="1:26" ht="14.25" customHeight="1">
      <c r="A172" s="162"/>
      <c r="B172" s="71" t="s">
        <v>5994</v>
      </c>
      <c r="C172" s="151" t="s">
        <v>3487</v>
      </c>
      <c r="D172" s="151" t="s">
        <v>51</v>
      </c>
      <c r="E172" s="151" t="s">
        <v>89</v>
      </c>
      <c r="F172" s="151" t="s">
        <v>2090</v>
      </c>
      <c r="G172" s="66" t="s">
        <v>3448</v>
      </c>
      <c r="H172" s="53" t="s">
        <v>30</v>
      </c>
      <c r="I172" s="151">
        <v>10</v>
      </c>
      <c r="J172" s="75">
        <v>795</v>
      </c>
      <c r="K172" s="54">
        <f t="shared" si="4"/>
        <v>7950</v>
      </c>
      <c r="L172" s="55" t="b">
        <v>1</v>
      </c>
      <c r="M172" s="56">
        <v>271020251049</v>
      </c>
      <c r="N172" s="57" t="b">
        <v>1</v>
      </c>
      <c r="O172" s="54" t="s">
        <v>5991</v>
      </c>
      <c r="P172" s="75"/>
      <c r="Q172" s="191" t="b">
        <v>1</v>
      </c>
      <c r="R172" s="342" t="s">
        <v>3684</v>
      </c>
      <c r="S172" s="454" t="s">
        <v>5999</v>
      </c>
      <c r="T172" s="57" t="b">
        <v>1</v>
      </c>
      <c r="U172" s="310" t="s">
        <v>6000</v>
      </c>
      <c r="V172" s="307"/>
      <c r="W172" s="54"/>
    </row>
    <row r="173" spans="1:26" ht="16">
      <c r="A173" s="162"/>
      <c r="B173" s="71" t="s">
        <v>5994</v>
      </c>
      <c r="C173" s="151" t="s">
        <v>3487</v>
      </c>
      <c r="D173" s="151" t="s">
        <v>51</v>
      </c>
      <c r="E173" s="151" t="s">
        <v>89</v>
      </c>
      <c r="F173" s="151" t="s">
        <v>2090</v>
      </c>
      <c r="G173" s="66" t="s">
        <v>5810</v>
      </c>
      <c r="H173" s="53" t="s">
        <v>30</v>
      </c>
      <c r="I173" s="151">
        <v>5</v>
      </c>
      <c r="J173" s="75">
        <v>900</v>
      </c>
      <c r="K173" s="54">
        <f t="shared" si="4"/>
        <v>4500</v>
      </c>
      <c r="L173" s="55" t="b">
        <v>1</v>
      </c>
      <c r="M173" s="56">
        <v>271020251050</v>
      </c>
      <c r="N173" s="57" t="b">
        <v>1</v>
      </c>
      <c r="O173" s="54"/>
      <c r="P173" s="75"/>
      <c r="Q173" s="191" t="b">
        <v>1</v>
      </c>
      <c r="R173" s="342" t="s">
        <v>3684</v>
      </c>
      <c r="S173" s="454" t="s">
        <v>6001</v>
      </c>
      <c r="T173" s="57" t="b">
        <v>1</v>
      </c>
      <c r="U173" s="310" t="s">
        <v>6002</v>
      </c>
      <c r="V173" s="307"/>
      <c r="W173" s="54"/>
    </row>
    <row r="174" spans="1:26" ht="16">
      <c r="A174" s="162"/>
      <c r="B174" s="71" t="s">
        <v>5994</v>
      </c>
      <c r="C174" s="53" t="s">
        <v>3541</v>
      </c>
      <c r="D174" s="53" t="s">
        <v>51</v>
      </c>
      <c r="E174" s="53" t="s">
        <v>372</v>
      </c>
      <c r="F174" s="53" t="s">
        <v>373</v>
      </c>
      <c r="G174" s="158" t="s">
        <v>5918</v>
      </c>
      <c r="H174" s="53" t="s">
        <v>30</v>
      </c>
      <c r="I174" s="151">
        <v>1</v>
      </c>
      <c r="J174" s="75">
        <v>2200</v>
      </c>
      <c r="K174" s="54">
        <f t="shared" si="4"/>
        <v>2200</v>
      </c>
      <c r="L174" s="55" t="b">
        <v>1</v>
      </c>
      <c r="M174" s="56">
        <v>271020251050</v>
      </c>
      <c r="N174" s="57" t="b">
        <v>1</v>
      </c>
      <c r="O174" s="54"/>
      <c r="P174" s="75"/>
      <c r="Q174" s="191" t="b">
        <v>1</v>
      </c>
      <c r="R174" s="342" t="s">
        <v>3684</v>
      </c>
      <c r="S174" s="454" t="s">
        <v>6003</v>
      </c>
      <c r="T174" s="57" t="b">
        <v>1</v>
      </c>
      <c r="U174" s="310" t="s">
        <v>6004</v>
      </c>
      <c r="V174" s="307"/>
      <c r="W174" s="54"/>
    </row>
    <row r="175" spans="1:26" ht="16">
      <c r="A175" s="455"/>
      <c r="B175" s="437" t="s">
        <v>5994</v>
      </c>
      <c r="C175" s="340" t="s">
        <v>3480</v>
      </c>
      <c r="D175" s="340" t="s">
        <v>418</v>
      </c>
      <c r="E175" s="340" t="s">
        <v>565</v>
      </c>
      <c r="F175" s="340" t="s">
        <v>5831</v>
      </c>
      <c r="G175" s="158" t="s">
        <v>68</v>
      </c>
      <c r="H175" s="80" t="s">
        <v>30</v>
      </c>
      <c r="I175" s="340">
        <v>1</v>
      </c>
      <c r="J175" s="438">
        <v>2350</v>
      </c>
      <c r="K175" s="336">
        <f t="shared" si="4"/>
        <v>2350</v>
      </c>
      <c r="L175" s="55" t="b">
        <v>1</v>
      </c>
      <c r="M175" s="80">
        <v>271020252024</v>
      </c>
      <c r="N175" s="57" t="b">
        <v>1</v>
      </c>
      <c r="O175" s="336"/>
      <c r="P175" s="438"/>
      <c r="Q175" s="191" t="b">
        <v>1</v>
      </c>
      <c r="R175" s="342" t="s">
        <v>3684</v>
      </c>
      <c r="S175" s="336"/>
      <c r="T175" s="57" t="b">
        <v>1</v>
      </c>
      <c r="U175" s="310" t="s">
        <v>6005</v>
      </c>
      <c r="V175" s="459"/>
      <c r="W175" s="336"/>
      <c r="X175" s="462"/>
      <c r="Y175" s="462"/>
      <c r="Z175" s="462"/>
    </row>
    <row r="176" spans="1:26" ht="16">
      <c r="A176" s="162"/>
      <c r="B176" s="71" t="s">
        <v>5994</v>
      </c>
      <c r="C176" s="151" t="s">
        <v>3480</v>
      </c>
      <c r="D176" s="151" t="s">
        <v>418</v>
      </c>
      <c r="E176" s="151" t="s">
        <v>565</v>
      </c>
      <c r="F176" s="151" t="s">
        <v>5831</v>
      </c>
      <c r="G176" s="66" t="s">
        <v>3448</v>
      </c>
      <c r="H176" s="53" t="s">
        <v>30</v>
      </c>
      <c r="I176" s="151">
        <v>10</v>
      </c>
      <c r="J176" s="75">
        <v>795</v>
      </c>
      <c r="K176" s="54">
        <f t="shared" si="4"/>
        <v>7950</v>
      </c>
      <c r="L176" s="55" t="b">
        <v>1</v>
      </c>
      <c r="M176" s="56">
        <v>271020252024</v>
      </c>
      <c r="N176" s="57" t="b">
        <v>1</v>
      </c>
      <c r="O176" s="54" t="s">
        <v>5991</v>
      </c>
      <c r="P176" s="75"/>
      <c r="Q176" s="191" t="b">
        <v>1</v>
      </c>
      <c r="R176" s="342" t="s">
        <v>3684</v>
      </c>
      <c r="S176" s="454" t="s">
        <v>6006</v>
      </c>
      <c r="T176" s="57" t="b">
        <v>1</v>
      </c>
      <c r="U176" s="310" t="s">
        <v>6007</v>
      </c>
      <c r="V176" s="307"/>
      <c r="W176" s="54"/>
    </row>
    <row r="177" spans="1:26" ht="16">
      <c r="A177" s="162"/>
      <c r="B177" s="71" t="s">
        <v>5994</v>
      </c>
      <c r="C177" s="151" t="s">
        <v>3480</v>
      </c>
      <c r="D177" s="151" t="s">
        <v>418</v>
      </c>
      <c r="E177" s="151" t="s">
        <v>565</v>
      </c>
      <c r="F177" s="151" t="s">
        <v>5831</v>
      </c>
      <c r="G177" s="158" t="s">
        <v>5918</v>
      </c>
      <c r="H177" s="53" t="s">
        <v>30</v>
      </c>
      <c r="I177" s="151">
        <v>1</v>
      </c>
      <c r="J177" s="75">
        <v>2200</v>
      </c>
      <c r="K177" s="54">
        <f t="shared" si="4"/>
        <v>2200</v>
      </c>
      <c r="L177" s="55" t="b">
        <v>1</v>
      </c>
      <c r="M177" s="56">
        <v>271020252024</v>
      </c>
      <c r="N177" s="57" t="b">
        <v>1</v>
      </c>
      <c r="O177" s="54"/>
      <c r="P177" s="75"/>
      <c r="Q177" s="191" t="b">
        <v>1</v>
      </c>
      <c r="R177" s="342" t="s">
        <v>3684</v>
      </c>
      <c r="S177" s="454" t="s">
        <v>6008</v>
      </c>
      <c r="T177" s="57" t="b">
        <v>1</v>
      </c>
      <c r="U177" s="310" t="s">
        <v>6009</v>
      </c>
      <c r="V177" s="307"/>
      <c r="W177" s="54"/>
    </row>
    <row r="178" spans="1:26" ht="16">
      <c r="A178" s="162"/>
      <c r="B178" s="71" t="s">
        <v>5994</v>
      </c>
      <c r="C178" s="53" t="s">
        <v>3577</v>
      </c>
      <c r="D178" s="53" t="s">
        <v>1165</v>
      </c>
      <c r="E178" s="53" t="s">
        <v>47</v>
      </c>
      <c r="F178" s="53" t="s">
        <v>48</v>
      </c>
      <c r="G178" s="66" t="s">
        <v>6010</v>
      </c>
      <c r="H178" s="53" t="s">
        <v>30</v>
      </c>
      <c r="I178" s="151">
        <v>10</v>
      </c>
      <c r="J178" s="75">
        <v>795</v>
      </c>
      <c r="K178" s="54">
        <f t="shared" si="4"/>
        <v>7950</v>
      </c>
      <c r="L178" s="55" t="b">
        <v>1</v>
      </c>
      <c r="M178" s="56">
        <v>271020252024</v>
      </c>
      <c r="N178" s="57" t="b">
        <v>1</v>
      </c>
      <c r="O178" s="54" t="s">
        <v>5991</v>
      </c>
      <c r="P178" s="75"/>
      <c r="Q178" s="191" t="b">
        <v>1</v>
      </c>
      <c r="R178" s="342" t="s">
        <v>3684</v>
      </c>
      <c r="S178" s="454" t="s">
        <v>6011</v>
      </c>
      <c r="T178" s="57" t="b">
        <v>1</v>
      </c>
      <c r="U178" s="310" t="s">
        <v>6012</v>
      </c>
      <c r="V178" s="307"/>
      <c r="W178" s="54"/>
    </row>
    <row r="179" spans="1:26" ht="16">
      <c r="A179" s="162"/>
      <c r="B179" s="71" t="s">
        <v>5994</v>
      </c>
      <c r="C179" s="53" t="s">
        <v>4135</v>
      </c>
      <c r="D179" s="53" t="s">
        <v>26</v>
      </c>
      <c r="E179" s="53" t="s">
        <v>27</v>
      </c>
      <c r="F179" s="53" t="s">
        <v>28</v>
      </c>
      <c r="G179" s="66" t="s">
        <v>3448</v>
      </c>
      <c r="H179" s="53" t="s">
        <v>30</v>
      </c>
      <c r="I179" s="151">
        <v>20</v>
      </c>
      <c r="J179" s="75">
        <v>795</v>
      </c>
      <c r="K179" s="54">
        <f t="shared" si="4"/>
        <v>15900</v>
      </c>
      <c r="L179" s="55" t="b">
        <v>1</v>
      </c>
      <c r="M179" s="56">
        <v>271020252024</v>
      </c>
      <c r="N179" s="57" t="b">
        <v>1</v>
      </c>
      <c r="O179" s="54" t="s">
        <v>5991</v>
      </c>
      <c r="P179" s="75"/>
      <c r="Q179" s="191" t="b">
        <v>1</v>
      </c>
      <c r="R179" s="342" t="s">
        <v>3684</v>
      </c>
      <c r="S179" s="454" t="s">
        <v>6013</v>
      </c>
      <c r="T179" s="57" t="b">
        <v>1</v>
      </c>
      <c r="U179" s="310" t="s">
        <v>6014</v>
      </c>
      <c r="V179" s="307"/>
      <c r="W179" s="54"/>
    </row>
    <row r="180" spans="1:26" ht="16">
      <c r="A180" s="162"/>
      <c r="B180" s="71" t="s">
        <v>5994</v>
      </c>
      <c r="C180" s="53" t="s">
        <v>3589</v>
      </c>
      <c r="D180" s="53" t="s">
        <v>397</v>
      </c>
      <c r="E180" s="53" t="s">
        <v>213</v>
      </c>
      <c r="F180" s="53" t="s">
        <v>859</v>
      </c>
      <c r="G180" s="66" t="s">
        <v>6015</v>
      </c>
      <c r="H180" s="53" t="s">
        <v>30</v>
      </c>
      <c r="I180" s="151">
        <v>10</v>
      </c>
      <c r="J180" s="75">
        <v>795</v>
      </c>
      <c r="K180" s="54">
        <f t="shared" si="4"/>
        <v>7950</v>
      </c>
      <c r="L180" s="55" t="b">
        <v>1</v>
      </c>
      <c r="M180" s="56">
        <v>271020252024</v>
      </c>
      <c r="N180" s="57" t="b">
        <v>1</v>
      </c>
      <c r="O180" s="54" t="s">
        <v>6016</v>
      </c>
      <c r="P180" s="75"/>
      <c r="Q180" s="191" t="b">
        <v>1</v>
      </c>
      <c r="R180" s="342" t="s">
        <v>3684</v>
      </c>
      <c r="S180" s="454" t="s">
        <v>6017</v>
      </c>
      <c r="T180" s="57" t="b">
        <v>1</v>
      </c>
      <c r="U180" s="310" t="s">
        <v>6018</v>
      </c>
      <c r="V180" s="307"/>
      <c r="W180" s="54"/>
    </row>
    <row r="181" spans="1:26" ht="16">
      <c r="A181" s="455"/>
      <c r="B181" s="437" t="s">
        <v>5994</v>
      </c>
      <c r="C181" s="80" t="s">
        <v>3589</v>
      </c>
      <c r="D181" s="80" t="s">
        <v>397</v>
      </c>
      <c r="E181" s="80" t="s">
        <v>213</v>
      </c>
      <c r="F181" s="80" t="s">
        <v>859</v>
      </c>
      <c r="G181" s="158" t="s">
        <v>1700</v>
      </c>
      <c r="H181" s="80" t="s">
        <v>30</v>
      </c>
      <c r="I181" s="340">
        <v>100</v>
      </c>
      <c r="J181" s="438">
        <v>18</v>
      </c>
      <c r="K181" s="336">
        <f t="shared" si="4"/>
        <v>1800</v>
      </c>
      <c r="L181" s="55" t="b">
        <v>1</v>
      </c>
      <c r="M181" s="56">
        <v>271020252024</v>
      </c>
      <c r="N181" s="57" t="b">
        <v>1</v>
      </c>
      <c r="O181" s="336"/>
      <c r="P181" s="438"/>
      <c r="Q181" s="191" t="b">
        <v>1</v>
      </c>
      <c r="R181" s="342" t="s">
        <v>3684</v>
      </c>
      <c r="S181" s="463" t="s">
        <v>6019</v>
      </c>
      <c r="T181" s="57" t="b">
        <v>1</v>
      </c>
      <c r="U181" s="310" t="s">
        <v>6020</v>
      </c>
      <c r="V181" s="459"/>
      <c r="W181" s="336"/>
      <c r="X181" s="462"/>
      <c r="Y181" s="462"/>
      <c r="Z181" s="462"/>
    </row>
    <row r="182" spans="1:26" ht="16">
      <c r="A182" s="162"/>
      <c r="B182" s="71" t="s">
        <v>5994</v>
      </c>
      <c r="C182" s="151" t="s">
        <v>3487</v>
      </c>
      <c r="D182" s="151" t="s">
        <v>51</v>
      </c>
      <c r="E182" s="151" t="s">
        <v>89</v>
      </c>
      <c r="F182" s="53" t="s">
        <v>1872</v>
      </c>
      <c r="G182" s="66" t="s">
        <v>6021</v>
      </c>
      <c r="H182" s="53" t="s">
        <v>30</v>
      </c>
      <c r="I182" s="151">
        <v>3</v>
      </c>
      <c r="J182" s="75">
        <v>550</v>
      </c>
      <c r="K182" s="54">
        <f t="shared" si="4"/>
        <v>1650</v>
      </c>
      <c r="L182" s="55" t="b">
        <v>1</v>
      </c>
      <c r="M182" s="56">
        <v>271020252024</v>
      </c>
      <c r="N182" s="57" t="b">
        <v>1</v>
      </c>
      <c r="O182" s="54"/>
      <c r="P182" s="75"/>
      <c r="Q182" s="191" t="b">
        <v>1</v>
      </c>
      <c r="R182" s="342" t="s">
        <v>3684</v>
      </c>
      <c r="S182" s="54" t="s">
        <v>6022</v>
      </c>
      <c r="T182" s="57" t="b">
        <v>1</v>
      </c>
      <c r="U182" s="310" t="s">
        <v>6023</v>
      </c>
      <c r="V182" s="307"/>
      <c r="W182" s="54"/>
    </row>
    <row r="183" spans="1:26" ht="16">
      <c r="A183" s="162"/>
      <c r="B183" s="71" t="s">
        <v>6024</v>
      </c>
      <c r="C183" s="53" t="s">
        <v>3650</v>
      </c>
      <c r="D183" s="53" t="s">
        <v>171</v>
      </c>
      <c r="E183" s="53" t="s">
        <v>137</v>
      </c>
      <c r="F183" s="53" t="s">
        <v>3651</v>
      </c>
      <c r="G183" s="66" t="s">
        <v>101</v>
      </c>
      <c r="H183" s="53" t="s">
        <v>30</v>
      </c>
      <c r="I183" s="151">
        <v>15</v>
      </c>
      <c r="J183" s="75">
        <v>950</v>
      </c>
      <c r="K183" s="54">
        <f t="shared" si="4"/>
        <v>14250</v>
      </c>
      <c r="L183" s="55" t="b">
        <v>1</v>
      </c>
      <c r="M183" s="56">
        <v>291020251030</v>
      </c>
      <c r="N183" s="57" t="b">
        <v>1</v>
      </c>
      <c r="O183" s="54"/>
      <c r="P183" s="75"/>
      <c r="Q183" s="191" t="b">
        <v>1</v>
      </c>
      <c r="R183" s="342" t="s">
        <v>3684</v>
      </c>
      <c r="S183" s="454" t="s">
        <v>6025</v>
      </c>
      <c r="T183" s="57" t="b">
        <v>1</v>
      </c>
      <c r="U183" s="310" t="s">
        <v>6026</v>
      </c>
      <c r="V183" s="307"/>
      <c r="W183" s="54"/>
    </row>
    <row r="184" spans="1:26" ht="16">
      <c r="A184" s="162"/>
      <c r="B184" s="71" t="s">
        <v>6024</v>
      </c>
      <c r="C184" s="53" t="s">
        <v>3650</v>
      </c>
      <c r="D184" s="53" t="s">
        <v>171</v>
      </c>
      <c r="E184" s="53" t="s">
        <v>137</v>
      </c>
      <c r="F184" s="53" t="s">
        <v>3651</v>
      </c>
      <c r="G184" s="66" t="s">
        <v>72</v>
      </c>
      <c r="H184" s="53" t="s">
        <v>30</v>
      </c>
      <c r="I184" s="151">
        <v>1</v>
      </c>
      <c r="J184" s="75">
        <v>1500</v>
      </c>
      <c r="K184" s="54">
        <f t="shared" si="4"/>
        <v>1500</v>
      </c>
      <c r="L184" s="55" t="b">
        <v>1</v>
      </c>
      <c r="M184" s="56">
        <v>291020251030</v>
      </c>
      <c r="N184" s="57" t="b">
        <v>1</v>
      </c>
      <c r="O184" s="54"/>
      <c r="P184" s="75"/>
      <c r="Q184" s="191" t="b">
        <v>1</v>
      </c>
      <c r="R184" s="342" t="s">
        <v>3684</v>
      </c>
      <c r="S184" s="454"/>
      <c r="T184" s="57" t="b">
        <v>1</v>
      </c>
      <c r="U184" s="310" t="s">
        <v>6027</v>
      </c>
      <c r="V184" s="307"/>
      <c r="W184" s="54"/>
    </row>
    <row r="185" spans="1:26" ht="16">
      <c r="A185" s="162"/>
      <c r="B185" s="71" t="s">
        <v>6024</v>
      </c>
      <c r="C185" s="53" t="s">
        <v>3650</v>
      </c>
      <c r="D185" s="53" t="s">
        <v>171</v>
      </c>
      <c r="E185" s="53" t="s">
        <v>137</v>
      </c>
      <c r="F185" s="53" t="s">
        <v>3651</v>
      </c>
      <c r="G185" s="66" t="s">
        <v>6028</v>
      </c>
      <c r="H185" s="53" t="s">
        <v>30</v>
      </c>
      <c r="I185" s="151">
        <v>3</v>
      </c>
      <c r="J185" s="75">
        <v>8500</v>
      </c>
      <c r="K185" s="54">
        <f t="shared" si="4"/>
        <v>25500</v>
      </c>
      <c r="L185" s="55" t="b">
        <v>1</v>
      </c>
      <c r="M185" s="56">
        <v>291020251030</v>
      </c>
      <c r="N185" s="57" t="b">
        <v>1</v>
      </c>
      <c r="O185" s="54"/>
      <c r="P185" s="75"/>
      <c r="Q185" s="191" t="b">
        <v>1</v>
      </c>
      <c r="R185" s="342" t="s">
        <v>3684</v>
      </c>
      <c r="S185" s="54"/>
      <c r="T185" s="57" t="b">
        <v>1</v>
      </c>
      <c r="U185" s="310" t="s">
        <v>6029</v>
      </c>
      <c r="V185" s="307"/>
      <c r="W185" s="54"/>
    </row>
    <row r="186" spans="1:26" ht="16">
      <c r="A186" s="162"/>
      <c r="B186" s="71" t="s">
        <v>6024</v>
      </c>
      <c r="C186" s="53" t="s">
        <v>3650</v>
      </c>
      <c r="D186" s="53" t="s">
        <v>171</v>
      </c>
      <c r="E186" s="53" t="s">
        <v>137</v>
      </c>
      <c r="F186" s="53" t="s">
        <v>3651</v>
      </c>
      <c r="G186" s="66" t="s">
        <v>72</v>
      </c>
      <c r="H186" s="53" t="s">
        <v>30</v>
      </c>
      <c r="I186" s="151">
        <v>1</v>
      </c>
      <c r="J186" s="75">
        <v>2000</v>
      </c>
      <c r="K186" s="54">
        <f t="shared" si="4"/>
        <v>2000</v>
      </c>
      <c r="L186" s="55" t="b">
        <v>1</v>
      </c>
      <c r="M186" s="56">
        <v>291020251030</v>
      </c>
      <c r="N186" s="57" t="b">
        <v>1</v>
      </c>
      <c r="O186" s="54"/>
      <c r="P186" s="75"/>
      <c r="Q186" s="191" t="b">
        <v>1</v>
      </c>
      <c r="R186" s="342" t="s">
        <v>3684</v>
      </c>
      <c r="S186" s="54"/>
      <c r="T186" s="57" t="b">
        <v>1</v>
      </c>
      <c r="U186" s="310" t="s">
        <v>6029</v>
      </c>
      <c r="V186" s="307"/>
      <c r="W186" s="54"/>
    </row>
    <row r="187" spans="1:26" ht="16">
      <c r="A187" s="162" t="s">
        <v>6030</v>
      </c>
      <c r="B187" s="71" t="s">
        <v>6024</v>
      </c>
      <c r="C187" s="53" t="s">
        <v>3650</v>
      </c>
      <c r="D187" s="53" t="s">
        <v>171</v>
      </c>
      <c r="E187" s="53" t="s">
        <v>137</v>
      </c>
      <c r="F187" s="53" t="s">
        <v>3651</v>
      </c>
      <c r="G187" s="66" t="s">
        <v>255</v>
      </c>
      <c r="H187" s="53" t="s">
        <v>30</v>
      </c>
      <c r="I187" s="151">
        <v>30</v>
      </c>
      <c r="J187" s="75">
        <v>140</v>
      </c>
      <c r="K187" s="54">
        <f t="shared" si="4"/>
        <v>4200</v>
      </c>
      <c r="L187" s="55" t="b">
        <v>1</v>
      </c>
      <c r="M187" s="56">
        <v>291020251030</v>
      </c>
      <c r="N187" s="57" t="b">
        <v>1</v>
      </c>
      <c r="O187" s="54"/>
      <c r="P187" s="75"/>
      <c r="Q187" s="191" t="b">
        <v>1</v>
      </c>
      <c r="R187" s="342" t="s">
        <v>3684</v>
      </c>
      <c r="S187" s="454" t="s">
        <v>6031</v>
      </c>
      <c r="T187" s="57" t="b">
        <v>1</v>
      </c>
      <c r="U187" s="310" t="s">
        <v>6032</v>
      </c>
      <c r="V187" s="307"/>
      <c r="W187" s="54"/>
    </row>
    <row r="188" spans="1:26" ht="16">
      <c r="A188" s="162"/>
      <c r="B188" s="71" t="s">
        <v>6024</v>
      </c>
      <c r="C188" s="53" t="s">
        <v>4149</v>
      </c>
      <c r="D188" s="53" t="s">
        <v>144</v>
      </c>
      <c r="E188" s="53" t="s">
        <v>4503</v>
      </c>
      <c r="F188" s="53" t="s">
        <v>582</v>
      </c>
      <c r="G188" s="66" t="s">
        <v>6015</v>
      </c>
      <c r="H188" s="53" t="s">
        <v>30</v>
      </c>
      <c r="I188" s="151">
        <v>10</v>
      </c>
      <c r="J188" s="75">
        <v>795</v>
      </c>
      <c r="K188" s="54">
        <f t="shared" si="4"/>
        <v>7950</v>
      </c>
      <c r="L188" s="55" t="b">
        <v>1</v>
      </c>
      <c r="M188" s="56">
        <v>291020251037</v>
      </c>
      <c r="N188" s="57" t="b">
        <v>1</v>
      </c>
      <c r="O188" s="54" t="s">
        <v>5991</v>
      </c>
      <c r="P188" s="75"/>
      <c r="Q188" s="191" t="b">
        <v>1</v>
      </c>
      <c r="R188" s="342" t="s">
        <v>3684</v>
      </c>
      <c r="S188" s="454" t="s">
        <v>6033</v>
      </c>
      <c r="T188" s="57" t="b">
        <v>1</v>
      </c>
      <c r="U188" s="310" t="s">
        <v>6034</v>
      </c>
      <c r="V188" s="307"/>
      <c r="W188" s="54"/>
    </row>
    <row r="189" spans="1:26" ht="16">
      <c r="A189" s="162"/>
      <c r="B189" s="132" t="s">
        <v>6024</v>
      </c>
      <c r="C189" s="53" t="s">
        <v>4095</v>
      </c>
      <c r="D189" s="53" t="s">
        <v>345</v>
      </c>
      <c r="E189" s="53" t="s">
        <v>342</v>
      </c>
      <c r="F189" s="53" t="s">
        <v>927</v>
      </c>
      <c r="G189" s="66" t="s">
        <v>6035</v>
      </c>
      <c r="H189" s="53" t="s">
        <v>30</v>
      </c>
      <c r="I189" s="151">
        <v>2</v>
      </c>
      <c r="J189" s="75">
        <v>350</v>
      </c>
      <c r="K189" s="54">
        <f t="shared" si="4"/>
        <v>700</v>
      </c>
      <c r="L189" s="55" t="b">
        <v>1</v>
      </c>
      <c r="M189" s="56">
        <v>291020251040</v>
      </c>
      <c r="N189" s="57" t="b">
        <v>1</v>
      </c>
      <c r="O189" s="54" t="s">
        <v>2968</v>
      </c>
      <c r="P189" s="75"/>
      <c r="Q189" s="191" t="b">
        <v>1</v>
      </c>
      <c r="R189" s="342" t="s">
        <v>3684</v>
      </c>
      <c r="S189" s="454" t="s">
        <v>6036</v>
      </c>
      <c r="T189" s="57" t="b">
        <v>1</v>
      </c>
      <c r="U189" s="310" t="s">
        <v>6037</v>
      </c>
      <c r="V189" s="307"/>
      <c r="W189" s="54"/>
    </row>
    <row r="190" spans="1:26" ht="16">
      <c r="A190" s="162"/>
      <c r="B190" s="132" t="s">
        <v>6024</v>
      </c>
      <c r="C190" s="53" t="s">
        <v>4095</v>
      </c>
      <c r="D190" s="53" t="s">
        <v>345</v>
      </c>
      <c r="E190" s="53" t="s">
        <v>342</v>
      </c>
      <c r="F190" s="53" t="s">
        <v>927</v>
      </c>
      <c r="G190" s="66" t="s">
        <v>6038</v>
      </c>
      <c r="H190" s="53" t="s">
        <v>30</v>
      </c>
      <c r="I190" s="151">
        <v>10</v>
      </c>
      <c r="J190" s="75">
        <v>175</v>
      </c>
      <c r="K190" s="54">
        <f t="shared" si="4"/>
        <v>1750</v>
      </c>
      <c r="L190" s="55" t="b">
        <v>1</v>
      </c>
      <c r="M190" s="56">
        <v>291020251040</v>
      </c>
      <c r="N190" s="57" t="b">
        <v>1</v>
      </c>
      <c r="O190" s="54"/>
      <c r="P190" s="75"/>
      <c r="Q190" s="191" t="b">
        <v>1</v>
      </c>
      <c r="R190" s="342" t="s">
        <v>3684</v>
      </c>
      <c r="S190" s="454" t="s">
        <v>6036</v>
      </c>
      <c r="T190" s="57" t="b">
        <v>1</v>
      </c>
      <c r="U190" s="310" t="s">
        <v>6037</v>
      </c>
      <c r="V190" s="307"/>
      <c r="W190" s="54"/>
    </row>
    <row r="191" spans="1:26" ht="16">
      <c r="A191" s="162"/>
      <c r="B191" s="132" t="s">
        <v>6024</v>
      </c>
      <c r="C191" s="151" t="s">
        <v>3641</v>
      </c>
      <c r="D191" s="151" t="s">
        <v>51</v>
      </c>
      <c r="E191" s="151" t="s">
        <v>335</v>
      </c>
      <c r="F191" s="151" t="s">
        <v>339</v>
      </c>
      <c r="G191" s="66" t="s">
        <v>6039</v>
      </c>
      <c r="H191" s="53" t="s">
        <v>30</v>
      </c>
      <c r="I191" s="151">
        <v>1</v>
      </c>
      <c r="J191" s="75">
        <v>8400</v>
      </c>
      <c r="K191" s="54">
        <f t="shared" si="4"/>
        <v>8400</v>
      </c>
      <c r="L191" s="55" t="b">
        <v>1</v>
      </c>
      <c r="M191" s="150" t="s">
        <v>529</v>
      </c>
      <c r="N191" s="57" t="b">
        <v>1</v>
      </c>
      <c r="O191" s="54"/>
      <c r="P191" s="75"/>
      <c r="Q191" s="191" t="b">
        <v>1</v>
      </c>
      <c r="R191" s="342" t="s">
        <v>3684</v>
      </c>
      <c r="S191" s="54"/>
      <c r="T191" s="57" t="b">
        <v>1</v>
      </c>
      <c r="U191" s="310" t="s">
        <v>6040</v>
      </c>
      <c r="V191" s="307"/>
      <c r="W191" s="54"/>
    </row>
    <row r="192" spans="1:26" ht="16">
      <c r="A192" s="162"/>
      <c r="B192" s="132" t="s">
        <v>6041</v>
      </c>
      <c r="C192" s="53" t="s">
        <v>3706</v>
      </c>
      <c r="D192" s="53" t="s">
        <v>418</v>
      </c>
      <c r="E192" s="53" t="s">
        <v>1549</v>
      </c>
      <c r="F192" s="53" t="s">
        <v>3406</v>
      </c>
      <c r="G192" s="66" t="s">
        <v>6042</v>
      </c>
      <c r="H192" s="53" t="s">
        <v>30</v>
      </c>
      <c r="I192" s="151">
        <v>3</v>
      </c>
      <c r="J192" s="75">
        <v>350</v>
      </c>
      <c r="K192" s="54">
        <f t="shared" si="4"/>
        <v>1050</v>
      </c>
      <c r="L192" s="55" t="b">
        <v>1</v>
      </c>
      <c r="M192" s="56">
        <v>301020250928</v>
      </c>
      <c r="N192" s="57" t="b">
        <v>1</v>
      </c>
      <c r="O192" s="54" t="s">
        <v>2968</v>
      </c>
      <c r="P192" s="75"/>
      <c r="Q192" s="191" t="b">
        <v>1</v>
      </c>
      <c r="R192" s="342" t="s">
        <v>3684</v>
      </c>
      <c r="S192" s="54"/>
      <c r="T192" s="57" t="b">
        <v>1</v>
      </c>
      <c r="U192" s="310" t="s">
        <v>6043</v>
      </c>
      <c r="V192" s="307"/>
      <c r="W192" s="54"/>
    </row>
    <row r="193" spans="1:23" ht="16">
      <c r="A193" s="162"/>
      <c r="B193" s="132" t="s">
        <v>6041</v>
      </c>
      <c r="C193" s="80" t="s">
        <v>3632</v>
      </c>
      <c r="D193" s="80" t="s">
        <v>104</v>
      </c>
      <c r="E193" s="80" t="s">
        <v>206</v>
      </c>
      <c r="F193" s="53" t="s">
        <v>241</v>
      </c>
      <c r="G193" s="66" t="s">
        <v>6044</v>
      </c>
      <c r="H193" s="53" t="s">
        <v>30</v>
      </c>
      <c r="I193" s="151">
        <v>20</v>
      </c>
      <c r="J193" s="75">
        <v>350</v>
      </c>
      <c r="K193" s="54">
        <f t="shared" si="4"/>
        <v>7000</v>
      </c>
      <c r="L193" s="55" t="b">
        <v>1</v>
      </c>
      <c r="M193" s="56">
        <v>301020251404</v>
      </c>
      <c r="N193" s="57" t="b">
        <v>1</v>
      </c>
      <c r="O193" s="54" t="s">
        <v>529</v>
      </c>
      <c r="P193" s="75"/>
      <c r="Q193" s="191" t="b">
        <v>1</v>
      </c>
      <c r="R193" s="432" t="s">
        <v>4528</v>
      </c>
      <c r="S193" s="454" t="s">
        <v>6045</v>
      </c>
      <c r="T193" s="57" t="b">
        <v>1</v>
      </c>
      <c r="U193" s="310" t="s">
        <v>6046</v>
      </c>
      <c r="V193" s="307"/>
      <c r="W193" s="54"/>
    </row>
    <row r="194" spans="1:23" ht="16">
      <c r="A194" s="162"/>
      <c r="B194" s="132" t="s">
        <v>6041</v>
      </c>
      <c r="C194" s="53" t="s">
        <v>3541</v>
      </c>
      <c r="D194" s="53" t="s">
        <v>51</v>
      </c>
      <c r="E194" s="53" t="s">
        <v>372</v>
      </c>
      <c r="F194" s="53" t="s">
        <v>373</v>
      </c>
      <c r="G194" s="66" t="s">
        <v>3327</v>
      </c>
      <c r="H194" s="53" t="s">
        <v>30</v>
      </c>
      <c r="I194" s="151">
        <v>1</v>
      </c>
      <c r="J194" s="75">
        <v>7500</v>
      </c>
      <c r="K194" s="54">
        <f t="shared" si="4"/>
        <v>7500</v>
      </c>
      <c r="L194" s="55" t="b">
        <v>1</v>
      </c>
      <c r="M194" s="56">
        <v>301020251537</v>
      </c>
      <c r="N194" s="57" t="b">
        <v>1</v>
      </c>
      <c r="O194" s="54" t="s">
        <v>39</v>
      </c>
      <c r="P194" s="75"/>
      <c r="Q194" s="191" t="b">
        <v>1</v>
      </c>
      <c r="R194" s="432" t="s">
        <v>4528</v>
      </c>
      <c r="S194" s="54"/>
      <c r="T194" s="57" t="b">
        <v>1</v>
      </c>
      <c r="U194" s="310" t="s">
        <v>6047</v>
      </c>
      <c r="V194" s="307"/>
      <c r="W194" s="54"/>
    </row>
    <row r="195" spans="1:23" ht="16">
      <c r="A195" s="162"/>
      <c r="B195" s="132" t="s">
        <v>6041</v>
      </c>
      <c r="C195" s="53" t="s">
        <v>3541</v>
      </c>
      <c r="D195" s="53" t="s">
        <v>51</v>
      </c>
      <c r="E195" s="53" t="s">
        <v>372</v>
      </c>
      <c r="F195" s="53" t="s">
        <v>373</v>
      </c>
      <c r="G195" s="66" t="s">
        <v>6048</v>
      </c>
      <c r="H195" s="53" t="s">
        <v>30</v>
      </c>
      <c r="I195" s="151">
        <v>40</v>
      </c>
      <c r="J195" s="75">
        <v>60</v>
      </c>
      <c r="K195" s="54">
        <f t="shared" si="4"/>
        <v>2400</v>
      </c>
      <c r="L195" s="55" t="b">
        <v>1</v>
      </c>
      <c r="M195" s="56">
        <v>301020251537</v>
      </c>
      <c r="N195" s="57" t="b">
        <v>1</v>
      </c>
      <c r="O195" s="54" t="s">
        <v>39</v>
      </c>
      <c r="P195" s="75"/>
      <c r="Q195" s="191" t="b">
        <v>1</v>
      </c>
      <c r="R195" s="342" t="s">
        <v>3684</v>
      </c>
      <c r="S195" s="54"/>
      <c r="T195" s="57" t="b">
        <v>1</v>
      </c>
      <c r="U195" s="310" t="s">
        <v>6049</v>
      </c>
      <c r="V195" s="307"/>
      <c r="W195" s="54"/>
    </row>
    <row r="196" spans="1:23" ht="16">
      <c r="A196" s="162"/>
      <c r="B196" s="132" t="s">
        <v>6041</v>
      </c>
      <c r="C196" s="53" t="s">
        <v>4831</v>
      </c>
      <c r="D196" s="53" t="s">
        <v>1733</v>
      </c>
      <c r="E196" s="53" t="s">
        <v>1733</v>
      </c>
      <c r="F196" s="53" t="s">
        <v>6050</v>
      </c>
      <c r="G196" s="66" t="s">
        <v>6051</v>
      </c>
      <c r="H196" s="53" t="s">
        <v>30</v>
      </c>
      <c r="I196" s="151">
        <v>2</v>
      </c>
      <c r="J196" s="75">
        <v>850</v>
      </c>
      <c r="K196" s="54">
        <f t="shared" si="4"/>
        <v>1700</v>
      </c>
      <c r="L196" s="55" t="b">
        <v>1</v>
      </c>
      <c r="M196" s="56">
        <v>301020251547</v>
      </c>
      <c r="N196" s="57" t="b">
        <v>1</v>
      </c>
      <c r="O196" s="54"/>
      <c r="P196" s="75"/>
      <c r="Q196" s="191" t="b">
        <v>1</v>
      </c>
      <c r="R196" s="432" t="s">
        <v>4528</v>
      </c>
      <c r="S196" s="54"/>
      <c r="T196" s="57" t="b">
        <v>1</v>
      </c>
      <c r="U196" s="310" t="s">
        <v>6052</v>
      </c>
      <c r="V196" s="307"/>
      <c r="W196" s="54"/>
    </row>
    <row r="197" spans="1:23" ht="16">
      <c r="A197" s="162"/>
      <c r="B197" s="132" t="s">
        <v>6053</v>
      </c>
      <c r="C197" s="53" t="s">
        <v>3706</v>
      </c>
      <c r="D197" s="53" t="s">
        <v>418</v>
      </c>
      <c r="E197" s="53" t="s">
        <v>1549</v>
      </c>
      <c r="F197" s="53" t="s">
        <v>3406</v>
      </c>
      <c r="G197" s="66" t="s">
        <v>6054</v>
      </c>
      <c r="H197" s="53" t="s">
        <v>30</v>
      </c>
      <c r="I197" s="151">
        <v>10</v>
      </c>
      <c r="J197" s="75">
        <v>350</v>
      </c>
      <c r="K197" s="54">
        <f t="shared" si="4"/>
        <v>3500</v>
      </c>
      <c r="L197" s="55" t="b">
        <v>1</v>
      </c>
      <c r="M197" s="56">
        <v>311020251059</v>
      </c>
      <c r="N197" s="57" t="b">
        <v>1</v>
      </c>
      <c r="O197" s="54" t="s">
        <v>2968</v>
      </c>
      <c r="P197" s="75"/>
      <c r="Q197" s="191" t="b">
        <v>1</v>
      </c>
      <c r="R197" s="432" t="s">
        <v>4528</v>
      </c>
      <c r="S197" s="454" t="s">
        <v>6055</v>
      </c>
      <c r="T197" s="57" t="b">
        <v>1</v>
      </c>
      <c r="U197" s="310" t="s">
        <v>6056</v>
      </c>
      <c r="V197" s="307"/>
      <c r="W197" s="54"/>
    </row>
    <row r="198" spans="1:23" ht="16">
      <c r="A198" s="162"/>
      <c r="B198" s="132" t="s">
        <v>6053</v>
      </c>
      <c r="C198" s="53" t="s">
        <v>3458</v>
      </c>
      <c r="D198" s="53" t="s">
        <v>51</v>
      </c>
      <c r="E198" s="53" t="s">
        <v>201</v>
      </c>
      <c r="F198" s="53" t="s">
        <v>202</v>
      </c>
      <c r="G198" s="66" t="s">
        <v>6048</v>
      </c>
      <c r="H198" s="53" t="s">
        <v>30</v>
      </c>
      <c r="I198" s="151">
        <v>130</v>
      </c>
      <c r="J198" s="75">
        <v>60</v>
      </c>
      <c r="K198" s="54">
        <f t="shared" si="4"/>
        <v>7800</v>
      </c>
      <c r="L198" s="55" t="b">
        <v>1</v>
      </c>
      <c r="M198" s="56">
        <v>311020251107</v>
      </c>
      <c r="N198" s="57" t="b">
        <v>1</v>
      </c>
      <c r="O198" s="54" t="s">
        <v>39</v>
      </c>
      <c r="P198" s="75"/>
      <c r="Q198" s="191" t="b">
        <v>1</v>
      </c>
      <c r="R198" s="432" t="s">
        <v>4528</v>
      </c>
      <c r="S198" s="54"/>
      <c r="T198" s="57" t="b">
        <v>1</v>
      </c>
      <c r="U198" s="310" t="s">
        <v>6057</v>
      </c>
      <c r="V198" s="411" t="s">
        <v>6058</v>
      </c>
      <c r="W198" s="54" t="s">
        <v>6059</v>
      </c>
    </row>
    <row r="199" spans="1:23" ht="16">
      <c r="A199" s="162"/>
      <c r="B199" s="132" t="s">
        <v>6053</v>
      </c>
      <c r="C199" s="53" t="s">
        <v>6060</v>
      </c>
      <c r="D199" s="53" t="s">
        <v>104</v>
      </c>
      <c r="E199" s="53" t="s">
        <v>736</v>
      </c>
      <c r="F199" s="53" t="s">
        <v>573</v>
      </c>
      <c r="G199" s="66" t="s">
        <v>4352</v>
      </c>
      <c r="H199" s="53" t="s">
        <v>30</v>
      </c>
      <c r="I199" s="151">
        <v>10</v>
      </c>
      <c r="J199" s="75">
        <v>750</v>
      </c>
      <c r="K199" s="54">
        <f t="shared" si="4"/>
        <v>7500</v>
      </c>
      <c r="L199" s="55" t="b">
        <v>1</v>
      </c>
      <c r="M199" s="56">
        <v>311020251856</v>
      </c>
      <c r="N199" s="57" t="b">
        <v>1</v>
      </c>
      <c r="O199" s="54"/>
      <c r="P199" s="75"/>
      <c r="Q199" s="191" t="b">
        <v>1</v>
      </c>
      <c r="R199" s="432" t="s">
        <v>4528</v>
      </c>
      <c r="S199" s="454" t="s">
        <v>6061</v>
      </c>
      <c r="T199" s="57" t="b">
        <v>1</v>
      </c>
      <c r="U199" s="310" t="s">
        <v>6062</v>
      </c>
      <c r="V199" s="464"/>
      <c r="W199" s="54"/>
    </row>
    <row r="200" spans="1:23" ht="16">
      <c r="A200" s="162"/>
      <c r="B200" s="132" t="s">
        <v>6053</v>
      </c>
      <c r="C200" s="53" t="s">
        <v>6060</v>
      </c>
      <c r="D200" s="53" t="s">
        <v>104</v>
      </c>
      <c r="E200" s="53" t="s">
        <v>736</v>
      </c>
      <c r="F200" s="53" t="s">
        <v>573</v>
      </c>
      <c r="G200" s="66" t="s">
        <v>6063</v>
      </c>
      <c r="H200" s="53" t="s">
        <v>30</v>
      </c>
      <c r="I200" s="151">
        <v>5</v>
      </c>
      <c r="J200" s="75">
        <v>750</v>
      </c>
      <c r="K200" s="54">
        <f t="shared" si="4"/>
        <v>3750</v>
      </c>
      <c r="L200" s="55" t="b">
        <v>1</v>
      </c>
      <c r="M200" s="56">
        <v>311020251856</v>
      </c>
      <c r="N200" s="57" t="b">
        <v>1</v>
      </c>
      <c r="O200" s="54"/>
      <c r="P200" s="75"/>
      <c r="Q200" s="191" t="b">
        <v>1</v>
      </c>
      <c r="R200" s="432" t="s">
        <v>4528</v>
      </c>
      <c r="S200" s="454" t="s">
        <v>6061</v>
      </c>
      <c r="T200" s="57" t="b">
        <v>1</v>
      </c>
      <c r="U200" s="310" t="s">
        <v>6062</v>
      </c>
      <c r="V200" s="307"/>
      <c r="W200" s="54"/>
    </row>
    <row r="201" spans="1:23" ht="16">
      <c r="A201" s="162"/>
      <c r="B201" s="132" t="s">
        <v>6053</v>
      </c>
      <c r="C201" s="53" t="s">
        <v>6060</v>
      </c>
      <c r="D201" s="53" t="s">
        <v>104</v>
      </c>
      <c r="E201" s="53" t="s">
        <v>736</v>
      </c>
      <c r="F201" s="53" t="s">
        <v>573</v>
      </c>
      <c r="G201" s="66" t="s">
        <v>2627</v>
      </c>
      <c r="H201" s="53" t="s">
        <v>30</v>
      </c>
      <c r="I201" s="151">
        <v>5</v>
      </c>
      <c r="J201" s="75">
        <v>875</v>
      </c>
      <c r="K201" s="54">
        <f t="shared" si="4"/>
        <v>4375</v>
      </c>
      <c r="L201" s="55" t="b">
        <v>1</v>
      </c>
      <c r="M201" s="56">
        <v>311020251856</v>
      </c>
      <c r="N201" s="57" t="b">
        <v>1</v>
      </c>
      <c r="O201" s="54"/>
      <c r="P201" s="75"/>
      <c r="Q201" s="191" t="b">
        <v>1</v>
      </c>
      <c r="R201" s="432" t="s">
        <v>4528</v>
      </c>
      <c r="S201" s="454" t="s">
        <v>6061</v>
      </c>
      <c r="T201" s="57" t="b">
        <v>1</v>
      </c>
      <c r="U201" s="310" t="s">
        <v>6062</v>
      </c>
      <c r="V201" s="307"/>
      <c r="W201" s="54"/>
    </row>
    <row r="202" spans="1:23" ht="16">
      <c r="A202" s="162"/>
      <c r="B202" s="132" t="s">
        <v>6053</v>
      </c>
      <c r="C202" s="53" t="s">
        <v>6064</v>
      </c>
      <c r="D202" s="53" t="s">
        <v>51</v>
      </c>
      <c r="E202" s="53" t="s">
        <v>61</v>
      </c>
      <c r="F202" s="53" t="s">
        <v>476</v>
      </c>
      <c r="G202" s="66" t="s">
        <v>3327</v>
      </c>
      <c r="H202" s="53" t="s">
        <v>30</v>
      </c>
      <c r="I202" s="151">
        <v>1</v>
      </c>
      <c r="J202" s="75">
        <v>7500</v>
      </c>
      <c r="K202" s="54">
        <f t="shared" si="4"/>
        <v>7500</v>
      </c>
      <c r="L202" s="55" t="b">
        <v>1</v>
      </c>
      <c r="M202" s="56">
        <v>311020251856</v>
      </c>
      <c r="N202" s="57" t="b">
        <v>1</v>
      </c>
      <c r="O202" s="54" t="s">
        <v>39</v>
      </c>
      <c r="P202" s="75"/>
      <c r="Q202" s="191" t="b">
        <v>1</v>
      </c>
      <c r="R202" s="432" t="s">
        <v>4528</v>
      </c>
      <c r="S202" s="54"/>
      <c r="T202" s="57" t="b">
        <v>1</v>
      </c>
      <c r="U202" s="310" t="s">
        <v>6065</v>
      </c>
      <c r="V202" s="307"/>
      <c r="W202" s="54"/>
    </row>
    <row r="203" spans="1:23" ht="16">
      <c r="A203" s="162"/>
      <c r="B203" s="132" t="s">
        <v>6053</v>
      </c>
      <c r="C203" s="53" t="s">
        <v>6064</v>
      </c>
      <c r="D203" s="53" t="s">
        <v>51</v>
      </c>
      <c r="E203" s="53" t="s">
        <v>61</v>
      </c>
      <c r="F203" s="53" t="s">
        <v>476</v>
      </c>
      <c r="G203" s="66" t="s">
        <v>6048</v>
      </c>
      <c r="H203" s="53" t="s">
        <v>30</v>
      </c>
      <c r="I203" s="151">
        <v>75</v>
      </c>
      <c r="J203" s="75">
        <v>60</v>
      </c>
      <c r="K203" s="54">
        <f t="shared" si="4"/>
        <v>4500</v>
      </c>
      <c r="L203" s="55" t="b">
        <v>1</v>
      </c>
      <c r="M203" s="56">
        <v>311020251856</v>
      </c>
      <c r="N203" s="57" t="b">
        <v>1</v>
      </c>
      <c r="O203" s="54" t="s">
        <v>39</v>
      </c>
      <c r="P203" s="75"/>
      <c r="Q203" s="191" t="b">
        <v>1</v>
      </c>
      <c r="R203" s="432" t="s">
        <v>4528</v>
      </c>
      <c r="S203" s="54"/>
      <c r="T203" s="57" t="b">
        <v>1</v>
      </c>
      <c r="U203" s="310" t="s">
        <v>6065</v>
      </c>
      <c r="V203" s="307"/>
      <c r="W203" s="54"/>
    </row>
    <row r="204" spans="1:23" ht="16">
      <c r="A204" s="162"/>
      <c r="B204" s="132" t="s">
        <v>6053</v>
      </c>
      <c r="C204" s="53" t="s">
        <v>6064</v>
      </c>
      <c r="D204" s="53" t="s">
        <v>51</v>
      </c>
      <c r="E204" s="53" t="s">
        <v>89</v>
      </c>
      <c r="F204" s="53" t="s">
        <v>1872</v>
      </c>
      <c r="G204" s="66" t="s">
        <v>3327</v>
      </c>
      <c r="H204" s="53" t="s">
        <v>30</v>
      </c>
      <c r="I204" s="151">
        <v>2</v>
      </c>
      <c r="J204" s="75">
        <v>7500</v>
      </c>
      <c r="K204" s="54">
        <f t="shared" si="4"/>
        <v>15000</v>
      </c>
      <c r="L204" s="55" t="b">
        <v>1</v>
      </c>
      <c r="M204" s="56">
        <v>311020251856</v>
      </c>
      <c r="N204" s="57" t="b">
        <v>1</v>
      </c>
      <c r="O204" s="54" t="s">
        <v>39</v>
      </c>
      <c r="P204" s="75"/>
      <c r="Q204" s="191" t="b">
        <v>1</v>
      </c>
      <c r="R204" s="432" t="s">
        <v>4528</v>
      </c>
      <c r="S204" s="54"/>
      <c r="T204" s="57" t="b">
        <v>1</v>
      </c>
      <c r="U204" s="310" t="s">
        <v>6066</v>
      </c>
      <c r="V204" s="345"/>
      <c r="W204" s="54"/>
    </row>
    <row r="205" spans="1:23" ht="16">
      <c r="A205" s="162"/>
      <c r="B205" s="132" t="s">
        <v>6053</v>
      </c>
      <c r="C205" s="53" t="s">
        <v>6064</v>
      </c>
      <c r="D205" s="53" t="s">
        <v>51</v>
      </c>
      <c r="E205" s="53" t="s">
        <v>89</v>
      </c>
      <c r="F205" s="53" t="s">
        <v>1872</v>
      </c>
      <c r="G205" s="66" t="s">
        <v>6048</v>
      </c>
      <c r="H205" s="53" t="s">
        <v>30</v>
      </c>
      <c r="I205" s="151">
        <v>70</v>
      </c>
      <c r="J205" s="75">
        <v>60</v>
      </c>
      <c r="K205" s="54">
        <f t="shared" si="4"/>
        <v>4200</v>
      </c>
      <c r="L205" s="55" t="b">
        <v>1</v>
      </c>
      <c r="M205" s="56">
        <v>311020251856</v>
      </c>
      <c r="N205" s="57" t="b">
        <v>1</v>
      </c>
      <c r="O205" s="54" t="s">
        <v>39</v>
      </c>
      <c r="P205" s="75"/>
      <c r="Q205" s="191" t="b">
        <v>1</v>
      </c>
      <c r="R205" s="432" t="s">
        <v>4528</v>
      </c>
      <c r="S205" s="54"/>
      <c r="T205" s="57" t="b">
        <v>1</v>
      </c>
      <c r="U205" s="310" t="s">
        <v>6066</v>
      </c>
      <c r="V205" s="345"/>
      <c r="W205" s="54"/>
    </row>
    <row r="206" spans="1:23" ht="16">
      <c r="A206" s="162"/>
      <c r="B206" s="132" t="s">
        <v>6053</v>
      </c>
      <c r="C206" s="151" t="s">
        <v>4229</v>
      </c>
      <c r="D206" s="151" t="s">
        <v>3160</v>
      </c>
      <c r="E206" s="151" t="s">
        <v>42</v>
      </c>
      <c r="F206" s="151" t="s">
        <v>5840</v>
      </c>
      <c r="G206" s="66" t="s">
        <v>6067</v>
      </c>
      <c r="H206" s="53" t="s">
        <v>30</v>
      </c>
      <c r="I206" s="151">
        <v>5</v>
      </c>
      <c r="J206" s="75">
        <v>350</v>
      </c>
      <c r="K206" s="54">
        <f t="shared" si="4"/>
        <v>1750</v>
      </c>
      <c r="L206" s="55" t="b">
        <v>1</v>
      </c>
      <c r="M206" s="56">
        <v>311020251856</v>
      </c>
      <c r="N206" s="57" t="b">
        <v>1</v>
      </c>
      <c r="O206" s="54"/>
      <c r="P206" s="75"/>
      <c r="Q206" s="191" t="b">
        <v>1</v>
      </c>
      <c r="R206" s="432" t="s">
        <v>4528</v>
      </c>
      <c r="S206" s="454" t="s">
        <v>6068</v>
      </c>
      <c r="T206" s="57" t="b">
        <v>1</v>
      </c>
      <c r="U206" s="310" t="s">
        <v>6069</v>
      </c>
      <c r="V206" s="345"/>
      <c r="W206" s="54"/>
    </row>
    <row r="207" spans="1:23" ht="16">
      <c r="A207" s="162"/>
      <c r="B207" s="132" t="s">
        <v>6053</v>
      </c>
      <c r="C207" s="151" t="s">
        <v>4229</v>
      </c>
      <c r="D207" s="151" t="s">
        <v>3160</v>
      </c>
      <c r="E207" s="151" t="s">
        <v>42</v>
      </c>
      <c r="F207" s="151" t="s">
        <v>5840</v>
      </c>
      <c r="G207" s="66" t="s">
        <v>746</v>
      </c>
      <c r="H207" s="53" t="s">
        <v>30</v>
      </c>
      <c r="I207" s="151">
        <v>10</v>
      </c>
      <c r="J207" s="75">
        <v>1250</v>
      </c>
      <c r="K207" s="54">
        <f t="shared" si="4"/>
        <v>12500</v>
      </c>
      <c r="L207" s="55" t="b">
        <v>1</v>
      </c>
      <c r="M207" s="56">
        <v>311020251856</v>
      </c>
      <c r="N207" s="57" t="b">
        <v>1</v>
      </c>
      <c r="O207" s="54"/>
      <c r="P207" s="75"/>
      <c r="Q207" s="191" t="b">
        <v>1</v>
      </c>
      <c r="R207" s="432" t="s">
        <v>4528</v>
      </c>
      <c r="S207" s="454" t="s">
        <v>6070</v>
      </c>
      <c r="T207" s="57" t="b">
        <v>1</v>
      </c>
      <c r="U207" s="310" t="s">
        <v>6071</v>
      </c>
      <c r="V207" s="345"/>
      <c r="W207" s="54"/>
    </row>
    <row r="208" spans="1:23" ht="16">
      <c r="A208" s="162"/>
      <c r="B208" s="132" t="s">
        <v>6053</v>
      </c>
      <c r="C208" s="151" t="s">
        <v>4229</v>
      </c>
      <c r="D208" s="151" t="s">
        <v>3160</v>
      </c>
      <c r="E208" s="151" t="s">
        <v>42</v>
      </c>
      <c r="F208" s="151" t="s">
        <v>5840</v>
      </c>
      <c r="G208" s="66" t="s">
        <v>229</v>
      </c>
      <c r="H208" s="53" t="s">
        <v>30</v>
      </c>
      <c r="I208" s="151">
        <v>5</v>
      </c>
      <c r="J208" s="75">
        <v>850</v>
      </c>
      <c r="K208" s="54">
        <f t="shared" si="4"/>
        <v>4250</v>
      </c>
      <c r="L208" s="55" t="b">
        <v>1</v>
      </c>
      <c r="M208" s="56">
        <v>311020251856</v>
      </c>
      <c r="N208" s="57" t="b">
        <v>1</v>
      </c>
      <c r="O208" s="54"/>
      <c r="P208" s="75"/>
      <c r="Q208" s="191" t="b">
        <v>1</v>
      </c>
      <c r="R208" s="432" t="s">
        <v>4528</v>
      </c>
      <c r="S208" s="454" t="s">
        <v>6072</v>
      </c>
      <c r="T208" s="57" t="b">
        <v>1</v>
      </c>
      <c r="U208" s="310" t="s">
        <v>6073</v>
      </c>
      <c r="V208" s="345"/>
      <c r="W208" s="54"/>
    </row>
    <row r="209" spans="1:23" ht="16">
      <c r="A209" s="162"/>
      <c r="B209" s="132" t="s">
        <v>6053</v>
      </c>
      <c r="C209" s="53" t="s">
        <v>5089</v>
      </c>
      <c r="D209" s="53" t="s">
        <v>104</v>
      </c>
      <c r="E209" s="53" t="s">
        <v>6074</v>
      </c>
      <c r="F209" s="53" t="s">
        <v>114</v>
      </c>
      <c r="G209" s="66" t="s">
        <v>436</v>
      </c>
      <c r="H209" s="53" t="s">
        <v>30</v>
      </c>
      <c r="I209" s="151">
        <v>40</v>
      </c>
      <c r="J209" s="75">
        <v>270</v>
      </c>
      <c r="K209" s="54">
        <f t="shared" si="4"/>
        <v>10800</v>
      </c>
      <c r="L209" s="55" t="b">
        <v>1</v>
      </c>
      <c r="M209" s="56">
        <v>311020251856</v>
      </c>
      <c r="N209" s="57" t="b">
        <v>1</v>
      </c>
      <c r="O209" s="54"/>
      <c r="P209" s="75"/>
      <c r="Q209" s="191" t="b">
        <v>1</v>
      </c>
      <c r="R209" s="432" t="s">
        <v>4528</v>
      </c>
      <c r="S209" s="454" t="s">
        <v>6075</v>
      </c>
      <c r="T209" s="57" t="b">
        <v>1</v>
      </c>
      <c r="U209" s="310" t="s">
        <v>6076</v>
      </c>
      <c r="V209" s="345"/>
      <c r="W209" s="54"/>
    </row>
    <row r="210" spans="1:23" ht="16">
      <c r="A210" s="162"/>
      <c r="B210" s="132" t="s">
        <v>6053</v>
      </c>
      <c r="C210" s="53" t="s">
        <v>5089</v>
      </c>
      <c r="D210" s="53" t="s">
        <v>104</v>
      </c>
      <c r="E210" s="53" t="s">
        <v>6074</v>
      </c>
      <c r="F210" s="53" t="s">
        <v>114</v>
      </c>
      <c r="G210" s="66" t="s">
        <v>72</v>
      </c>
      <c r="H210" s="53" t="s">
        <v>30</v>
      </c>
      <c r="I210" s="151">
        <v>1</v>
      </c>
      <c r="J210" s="75">
        <v>1750</v>
      </c>
      <c r="K210" s="54">
        <f t="shared" si="4"/>
        <v>1750</v>
      </c>
      <c r="L210" s="55" t="b">
        <v>1</v>
      </c>
      <c r="M210" s="56">
        <v>311020251856</v>
      </c>
      <c r="N210" s="57" t="b">
        <v>1</v>
      </c>
      <c r="O210" s="54"/>
      <c r="P210" s="75"/>
      <c r="Q210" s="191" t="b">
        <v>1</v>
      </c>
      <c r="R210" s="432" t="s">
        <v>4528</v>
      </c>
      <c r="S210" s="54"/>
      <c r="T210" s="57" t="b">
        <v>1</v>
      </c>
      <c r="U210" s="310" t="s">
        <v>6077</v>
      </c>
      <c r="V210" s="345"/>
      <c r="W210" s="54"/>
    </row>
    <row r="211" spans="1:23" ht="16">
      <c r="A211" s="162"/>
      <c r="B211" s="132"/>
      <c r="C211" s="53"/>
      <c r="D211" s="53"/>
      <c r="E211" s="53"/>
      <c r="F211" s="53"/>
      <c r="G211" s="66"/>
      <c r="H211" s="53" t="s">
        <v>30</v>
      </c>
      <c r="I211" s="151"/>
      <c r="J211" s="75"/>
      <c r="K211" s="54">
        <f t="shared" si="4"/>
        <v>0</v>
      </c>
      <c r="L211" s="55" t="b">
        <v>0</v>
      </c>
      <c r="M211" s="56"/>
      <c r="N211" s="57" t="b">
        <v>0</v>
      </c>
      <c r="O211" s="54"/>
      <c r="P211" s="75"/>
      <c r="Q211" s="191" t="b">
        <v>0</v>
      </c>
      <c r="R211" s="75"/>
      <c r="S211" s="54"/>
      <c r="T211" s="57" t="b">
        <v>0</v>
      </c>
      <c r="U211" s="54"/>
      <c r="V211" s="345"/>
      <c r="W211" s="54"/>
    </row>
    <row r="212" spans="1:23" ht="16">
      <c r="A212" s="162"/>
      <c r="B212" s="132"/>
      <c r="C212" s="53"/>
      <c r="D212" s="53"/>
      <c r="E212" s="53"/>
      <c r="F212" s="53"/>
      <c r="G212" s="66"/>
      <c r="H212" s="53" t="s">
        <v>30</v>
      </c>
      <c r="I212" s="151"/>
      <c r="J212" s="75"/>
      <c r="K212" s="54">
        <f t="shared" si="4"/>
        <v>0</v>
      </c>
      <c r="L212" s="55" t="b">
        <v>0</v>
      </c>
      <c r="M212" s="56"/>
      <c r="N212" s="57" t="b">
        <v>0</v>
      </c>
      <c r="O212" s="54"/>
      <c r="P212" s="75"/>
      <c r="Q212" s="191" t="b">
        <v>0</v>
      </c>
      <c r="R212" s="75"/>
      <c r="S212" s="54"/>
      <c r="T212" s="57" t="b">
        <v>0</v>
      </c>
      <c r="U212" s="54"/>
      <c r="V212" s="345"/>
      <c r="W212" s="54"/>
    </row>
    <row r="213" spans="1:23" ht="16">
      <c r="A213" s="162"/>
      <c r="B213" s="132"/>
      <c r="C213" s="53"/>
      <c r="D213" s="53"/>
      <c r="E213" s="53"/>
      <c r="F213" s="53"/>
      <c r="G213" s="53"/>
      <c r="H213" s="53" t="s">
        <v>30</v>
      </c>
      <c r="I213" s="151"/>
      <c r="J213" s="75"/>
      <c r="K213" s="54">
        <f t="shared" si="4"/>
        <v>0</v>
      </c>
      <c r="L213" s="55" t="b">
        <v>0</v>
      </c>
      <c r="M213" s="56"/>
      <c r="N213" s="57" t="b">
        <v>0</v>
      </c>
      <c r="O213" s="54"/>
      <c r="P213" s="75"/>
      <c r="Q213" s="191" t="b">
        <v>0</v>
      </c>
      <c r="R213" s="75"/>
      <c r="S213" s="54"/>
      <c r="T213" s="57" t="b">
        <v>0</v>
      </c>
      <c r="U213" s="54"/>
      <c r="V213" s="345"/>
      <c r="W213" s="54"/>
    </row>
    <row r="214" spans="1:23" ht="16">
      <c r="A214" s="162"/>
      <c r="B214" s="132"/>
      <c r="C214" s="53"/>
      <c r="D214" s="53"/>
      <c r="E214" s="53"/>
      <c r="F214" s="53"/>
      <c r="G214" s="66"/>
      <c r="H214" s="53" t="s">
        <v>30</v>
      </c>
      <c r="I214" s="151"/>
      <c r="J214" s="75"/>
      <c r="K214" s="54">
        <f t="shared" si="4"/>
        <v>0</v>
      </c>
      <c r="L214" s="55" t="b">
        <v>0</v>
      </c>
      <c r="M214" s="56"/>
      <c r="N214" s="57" t="b">
        <v>0</v>
      </c>
      <c r="O214" s="54"/>
      <c r="P214" s="75"/>
      <c r="Q214" s="191" t="b">
        <v>0</v>
      </c>
      <c r="R214" s="75"/>
      <c r="S214" s="54"/>
      <c r="T214" s="57" t="b">
        <v>0</v>
      </c>
      <c r="U214" s="54"/>
      <c r="V214" s="345"/>
      <c r="W214" s="54"/>
    </row>
    <row r="215" spans="1:23" ht="16">
      <c r="A215" s="162"/>
      <c r="B215" s="132"/>
      <c r="C215" s="53"/>
      <c r="D215" s="53"/>
      <c r="E215" s="53"/>
      <c r="F215" s="53"/>
      <c r="G215" s="66"/>
      <c r="H215" s="53" t="s">
        <v>30</v>
      </c>
      <c r="I215" s="53"/>
      <c r="J215" s="75"/>
      <c r="K215" s="54">
        <f t="shared" si="4"/>
        <v>0</v>
      </c>
      <c r="L215" s="55" t="b">
        <v>0</v>
      </c>
      <c r="M215" s="56"/>
      <c r="N215" s="57" t="b">
        <v>0</v>
      </c>
      <c r="O215" s="54"/>
      <c r="P215" s="75"/>
      <c r="Q215" s="191" t="b">
        <v>0</v>
      </c>
      <c r="R215" s="75"/>
      <c r="S215" s="54"/>
      <c r="T215" s="57" t="b">
        <v>0</v>
      </c>
      <c r="U215" s="54"/>
      <c r="V215" s="345"/>
      <c r="W215" s="54"/>
    </row>
    <row r="216" spans="1:23" ht="16">
      <c r="A216" s="162"/>
      <c r="B216" s="132"/>
      <c r="C216" s="53"/>
      <c r="D216" s="53"/>
      <c r="E216" s="53"/>
      <c r="F216" s="53"/>
      <c r="G216" s="66"/>
      <c r="H216" s="53" t="s">
        <v>30</v>
      </c>
      <c r="I216" s="53"/>
      <c r="J216" s="75"/>
      <c r="K216" s="54">
        <f t="shared" si="4"/>
        <v>0</v>
      </c>
      <c r="L216" s="55" t="b">
        <v>0</v>
      </c>
      <c r="M216" s="56"/>
      <c r="N216" s="57" t="b">
        <v>0</v>
      </c>
      <c r="O216" s="54"/>
      <c r="P216" s="75"/>
      <c r="Q216" s="191" t="b">
        <v>0</v>
      </c>
      <c r="R216" s="75"/>
      <c r="S216" s="54"/>
      <c r="T216" s="75"/>
      <c r="U216" s="54"/>
      <c r="V216" s="345"/>
      <c r="W216" s="296"/>
    </row>
    <row r="217" spans="1:23" ht="16">
      <c r="A217" s="162"/>
      <c r="B217" s="132"/>
      <c r="C217" s="53"/>
      <c r="D217" s="53"/>
      <c r="E217" s="53"/>
      <c r="F217" s="53"/>
      <c r="G217" s="66"/>
      <c r="H217" s="53" t="s">
        <v>30</v>
      </c>
      <c r="I217" s="53"/>
      <c r="J217" s="75"/>
      <c r="K217" s="54">
        <f t="shared" si="4"/>
        <v>0</v>
      </c>
      <c r="L217" s="55" t="b">
        <v>0</v>
      </c>
      <c r="M217" s="56"/>
      <c r="N217" s="57" t="b">
        <v>0</v>
      </c>
      <c r="O217" s="54"/>
      <c r="P217" s="75"/>
      <c r="Q217" s="191" t="b">
        <v>0</v>
      </c>
      <c r="R217" s="75"/>
      <c r="S217" s="54"/>
      <c r="T217" s="75"/>
      <c r="U217" s="54"/>
      <c r="V217" s="345"/>
      <c r="W217" s="54"/>
    </row>
    <row r="218" spans="1:23" ht="16">
      <c r="A218" s="162"/>
      <c r="B218" s="132"/>
      <c r="C218" s="53"/>
      <c r="D218" s="53"/>
      <c r="E218" s="53"/>
      <c r="F218" s="53"/>
      <c r="G218" s="66"/>
      <c r="H218" s="53" t="s">
        <v>30</v>
      </c>
      <c r="I218" s="53"/>
      <c r="J218" s="75"/>
      <c r="K218" s="54">
        <f t="shared" si="4"/>
        <v>0</v>
      </c>
      <c r="L218" s="55" t="b">
        <v>0</v>
      </c>
      <c r="M218" s="56"/>
      <c r="N218" s="57" t="b">
        <v>0</v>
      </c>
      <c r="O218" s="54"/>
      <c r="P218" s="75"/>
      <c r="Q218" s="191" t="b">
        <v>0</v>
      </c>
      <c r="R218" s="75"/>
      <c r="S218" s="54"/>
      <c r="T218" s="75"/>
      <c r="U218" s="54"/>
      <c r="V218" s="345"/>
      <c r="W218" s="54"/>
    </row>
    <row r="219" spans="1:23" ht="16">
      <c r="A219" s="162"/>
      <c r="B219" s="132"/>
      <c r="C219" s="53"/>
      <c r="D219" s="53"/>
      <c r="E219" s="53"/>
      <c r="F219" s="53"/>
      <c r="G219" s="66"/>
      <c r="H219" s="53" t="s">
        <v>30</v>
      </c>
      <c r="I219" s="53"/>
      <c r="J219" s="75"/>
      <c r="K219" s="54">
        <f t="shared" si="4"/>
        <v>0</v>
      </c>
      <c r="L219" s="55" t="b">
        <v>0</v>
      </c>
      <c r="M219" s="56"/>
      <c r="N219" s="57" t="b">
        <v>0</v>
      </c>
      <c r="O219" s="54"/>
      <c r="P219" s="75"/>
      <c r="Q219" s="191" t="b">
        <v>0</v>
      </c>
      <c r="R219" s="75"/>
      <c r="S219" s="54"/>
      <c r="T219" s="75"/>
      <c r="U219" s="54"/>
      <c r="V219" s="345"/>
      <c r="W219" s="54"/>
    </row>
    <row r="220" spans="1:23" ht="16">
      <c r="A220" s="162"/>
      <c r="B220" s="132"/>
      <c r="C220" s="53"/>
      <c r="D220" s="53"/>
      <c r="E220" s="53"/>
      <c r="F220" s="53"/>
      <c r="G220" s="66"/>
      <c r="H220" s="53" t="s">
        <v>30</v>
      </c>
      <c r="I220" s="53"/>
      <c r="J220" s="75"/>
      <c r="K220" s="54">
        <f t="shared" si="4"/>
        <v>0</v>
      </c>
      <c r="L220" s="55" t="b">
        <v>0</v>
      </c>
      <c r="M220" s="56"/>
      <c r="N220" s="57" t="b">
        <v>0</v>
      </c>
      <c r="O220" s="54"/>
      <c r="P220" s="75"/>
      <c r="Q220" s="191" t="b">
        <v>0</v>
      </c>
      <c r="R220" s="75"/>
      <c r="S220" s="54"/>
      <c r="T220" s="75"/>
      <c r="U220" s="54"/>
      <c r="V220" s="345"/>
      <c r="W220" s="54"/>
    </row>
    <row r="221" spans="1:23" ht="16">
      <c r="A221" s="162"/>
      <c r="B221" s="132"/>
      <c r="C221" s="53"/>
      <c r="D221" s="53"/>
      <c r="E221" s="53"/>
      <c r="F221" s="53"/>
      <c r="G221" s="66"/>
      <c r="H221" s="53" t="s">
        <v>30</v>
      </c>
      <c r="I221" s="53"/>
      <c r="J221" s="75"/>
      <c r="K221" s="54">
        <f t="shared" si="4"/>
        <v>0</v>
      </c>
      <c r="L221" s="55" t="b">
        <v>0</v>
      </c>
      <c r="M221" s="56"/>
      <c r="N221" s="57" t="b">
        <v>0</v>
      </c>
      <c r="O221" s="54"/>
      <c r="P221" s="75"/>
      <c r="Q221" s="191" t="b">
        <v>0</v>
      </c>
      <c r="R221" s="75"/>
      <c r="S221" s="54"/>
      <c r="T221" s="75"/>
      <c r="U221" s="54"/>
      <c r="V221" s="345"/>
      <c r="W221" s="54"/>
    </row>
    <row r="222" spans="1:23" ht="16">
      <c r="A222" s="162"/>
      <c r="B222" s="132"/>
      <c r="C222" s="53"/>
      <c r="D222" s="53"/>
      <c r="E222" s="53"/>
      <c r="F222" s="53"/>
      <c r="G222" s="66"/>
      <c r="H222" s="53" t="s">
        <v>30</v>
      </c>
      <c r="I222" s="53"/>
      <c r="J222" s="75"/>
      <c r="K222" s="54">
        <f t="shared" si="4"/>
        <v>0</v>
      </c>
      <c r="L222" s="55" t="b">
        <v>0</v>
      </c>
      <c r="M222" s="56"/>
      <c r="N222" s="57" t="b">
        <v>0</v>
      </c>
      <c r="O222" s="54"/>
      <c r="P222" s="75"/>
      <c r="Q222" s="191" t="b">
        <v>0</v>
      </c>
      <c r="R222" s="75"/>
      <c r="S222" s="54"/>
      <c r="T222" s="75"/>
      <c r="U222" s="54"/>
      <c r="V222" s="345"/>
      <c r="W222" s="54"/>
    </row>
    <row r="223" spans="1:23" ht="16">
      <c r="A223" s="162"/>
      <c r="B223" s="132"/>
      <c r="C223" s="53"/>
      <c r="D223" s="53"/>
      <c r="E223" s="53"/>
      <c r="F223" s="53"/>
      <c r="G223" s="66"/>
      <c r="H223" s="53" t="s">
        <v>30</v>
      </c>
      <c r="I223" s="53"/>
      <c r="J223" s="75"/>
      <c r="K223" s="54">
        <f t="shared" si="4"/>
        <v>0</v>
      </c>
      <c r="L223" s="55" t="b">
        <v>0</v>
      </c>
      <c r="M223" s="56"/>
      <c r="N223" s="57" t="b">
        <v>0</v>
      </c>
      <c r="O223" s="54"/>
      <c r="P223" s="75"/>
      <c r="Q223" s="191" t="b">
        <v>0</v>
      </c>
      <c r="R223" s="75"/>
      <c r="S223" s="54"/>
      <c r="T223" s="75"/>
      <c r="U223" s="54"/>
      <c r="V223" s="345"/>
      <c r="W223" s="54"/>
    </row>
    <row r="224" spans="1:23" ht="16">
      <c r="A224" s="162"/>
      <c r="B224" s="132"/>
      <c r="C224" s="53"/>
      <c r="D224" s="53"/>
      <c r="E224" s="53"/>
      <c r="F224" s="53"/>
      <c r="G224" s="66"/>
      <c r="H224" s="53" t="s">
        <v>30</v>
      </c>
      <c r="I224" s="53"/>
      <c r="J224" s="75"/>
      <c r="K224" s="54">
        <f t="shared" si="4"/>
        <v>0</v>
      </c>
      <c r="L224" s="55" t="b">
        <v>0</v>
      </c>
      <c r="M224" s="56"/>
      <c r="N224" s="57" t="b">
        <v>0</v>
      </c>
      <c r="O224" s="54"/>
      <c r="P224" s="75"/>
      <c r="Q224" s="191" t="b">
        <v>0</v>
      </c>
      <c r="R224" s="75"/>
      <c r="S224" s="54"/>
      <c r="T224" s="75"/>
      <c r="U224" s="54"/>
      <c r="V224" s="345"/>
      <c r="W224" s="54"/>
    </row>
    <row r="225" spans="1:23" ht="16">
      <c r="A225" s="162"/>
      <c r="B225" s="132"/>
      <c r="C225" s="53"/>
      <c r="D225" s="53"/>
      <c r="E225" s="53"/>
      <c r="F225" s="53"/>
      <c r="G225" s="66"/>
      <c r="H225" s="53" t="s">
        <v>30</v>
      </c>
      <c r="I225" s="53"/>
      <c r="J225" s="75"/>
      <c r="K225" s="54">
        <f t="shared" si="4"/>
        <v>0</v>
      </c>
      <c r="L225" s="55" t="b">
        <v>0</v>
      </c>
      <c r="M225" s="56"/>
      <c r="N225" s="57" t="b">
        <v>0</v>
      </c>
      <c r="O225" s="54"/>
      <c r="P225" s="75"/>
      <c r="Q225" s="191" t="b">
        <v>0</v>
      </c>
      <c r="R225" s="75"/>
      <c r="S225" s="54"/>
      <c r="T225" s="75"/>
      <c r="U225" s="54"/>
      <c r="V225" s="345"/>
      <c r="W225" s="54"/>
    </row>
    <row r="226" spans="1:23" ht="16">
      <c r="A226" s="162"/>
      <c r="B226" s="132"/>
      <c r="C226" s="53"/>
      <c r="D226" s="53"/>
      <c r="E226" s="53"/>
      <c r="F226" s="53"/>
      <c r="G226" s="66"/>
      <c r="H226" s="53" t="s">
        <v>30</v>
      </c>
      <c r="I226" s="53"/>
      <c r="J226" s="75"/>
      <c r="K226" s="54">
        <f t="shared" si="4"/>
        <v>0</v>
      </c>
      <c r="L226" s="55" t="b">
        <v>0</v>
      </c>
      <c r="M226" s="56"/>
      <c r="N226" s="57" t="b">
        <v>0</v>
      </c>
      <c r="O226" s="54"/>
      <c r="P226" s="75"/>
      <c r="Q226" s="191" t="b">
        <v>0</v>
      </c>
      <c r="R226" s="75"/>
      <c r="S226" s="54"/>
      <c r="T226" s="75"/>
      <c r="U226" s="54"/>
      <c r="V226" s="345"/>
      <c r="W226" s="54"/>
    </row>
    <row r="227" spans="1:23" ht="16">
      <c r="A227" s="162"/>
      <c r="B227" s="132"/>
      <c r="C227" s="53"/>
      <c r="D227" s="53"/>
      <c r="E227" s="53"/>
      <c r="F227" s="53"/>
      <c r="G227" s="66"/>
      <c r="H227" s="53" t="s">
        <v>30</v>
      </c>
      <c r="I227" s="53"/>
      <c r="J227" s="75"/>
      <c r="K227" s="54">
        <f t="shared" si="4"/>
        <v>0</v>
      </c>
      <c r="L227" s="55" t="b">
        <v>0</v>
      </c>
      <c r="M227" s="56"/>
      <c r="N227" s="57" t="b">
        <v>0</v>
      </c>
      <c r="O227" s="54"/>
      <c r="P227" s="75"/>
      <c r="Q227" s="191" t="b">
        <v>0</v>
      </c>
      <c r="R227" s="75"/>
      <c r="S227" s="54"/>
      <c r="T227" s="75"/>
      <c r="U227" s="54"/>
      <c r="V227" s="345"/>
      <c r="W227" s="54"/>
    </row>
    <row r="228" spans="1:23" ht="16">
      <c r="A228" s="162"/>
      <c r="B228" s="132"/>
      <c r="C228" s="53"/>
      <c r="D228" s="53"/>
      <c r="E228" s="53"/>
      <c r="F228" s="53"/>
      <c r="G228" s="66"/>
      <c r="H228" s="53" t="s">
        <v>30</v>
      </c>
      <c r="I228" s="53"/>
      <c r="J228" s="75"/>
      <c r="K228" s="54">
        <f t="shared" si="4"/>
        <v>0</v>
      </c>
      <c r="L228" s="55" t="b">
        <v>0</v>
      </c>
      <c r="M228" s="56"/>
      <c r="N228" s="57" t="b">
        <v>0</v>
      </c>
      <c r="O228" s="54"/>
      <c r="P228" s="75"/>
      <c r="Q228" s="191" t="b">
        <v>0</v>
      </c>
      <c r="R228" s="75"/>
      <c r="S228" s="54"/>
      <c r="T228" s="75"/>
      <c r="U228" s="54"/>
      <c r="V228" s="345"/>
      <c r="W228" s="54"/>
    </row>
    <row r="229" spans="1:23" ht="16">
      <c r="A229" s="162"/>
      <c r="B229" s="132"/>
      <c r="C229" s="53"/>
      <c r="D229" s="53"/>
      <c r="E229" s="53"/>
      <c r="F229" s="53"/>
      <c r="G229" s="66"/>
      <c r="H229" s="53" t="s">
        <v>30</v>
      </c>
      <c r="I229" s="53"/>
      <c r="J229" s="75"/>
      <c r="K229" s="54">
        <f t="shared" si="4"/>
        <v>0</v>
      </c>
      <c r="L229" s="55" t="b">
        <v>0</v>
      </c>
      <c r="M229" s="56"/>
      <c r="N229" s="57" t="b">
        <v>0</v>
      </c>
      <c r="O229" s="54"/>
      <c r="P229" s="75"/>
      <c r="Q229" s="191" t="b">
        <v>0</v>
      </c>
      <c r="R229" s="75"/>
      <c r="S229" s="54"/>
      <c r="T229" s="75"/>
      <c r="U229" s="54"/>
      <c r="V229" s="345"/>
      <c r="W229" s="54"/>
    </row>
    <row r="230" spans="1:23" ht="16">
      <c r="A230" s="162"/>
      <c r="B230" s="132"/>
      <c r="C230" s="53"/>
      <c r="D230" s="53"/>
      <c r="E230" s="53"/>
      <c r="F230" s="53"/>
      <c r="G230" s="66"/>
      <c r="H230" s="53" t="s">
        <v>30</v>
      </c>
      <c r="I230" s="53"/>
      <c r="J230" s="75"/>
      <c r="K230" s="54">
        <f t="shared" si="4"/>
        <v>0</v>
      </c>
      <c r="L230" s="55" t="b">
        <v>0</v>
      </c>
      <c r="M230" s="56"/>
      <c r="N230" s="57" t="b">
        <v>0</v>
      </c>
      <c r="O230" s="54"/>
      <c r="P230" s="75"/>
      <c r="Q230" s="191" t="b">
        <v>0</v>
      </c>
      <c r="R230" s="75"/>
      <c r="S230" s="54"/>
      <c r="T230" s="75"/>
      <c r="U230" s="54"/>
      <c r="V230" s="345"/>
      <c r="W230" s="54"/>
    </row>
    <row r="231" spans="1:23" ht="16">
      <c r="A231" s="162"/>
      <c r="B231" s="132"/>
      <c r="C231" s="53"/>
      <c r="D231" s="53"/>
      <c r="E231" s="53"/>
      <c r="F231" s="53"/>
      <c r="G231" s="66"/>
      <c r="H231" s="53" t="s">
        <v>30</v>
      </c>
      <c r="I231" s="53"/>
      <c r="J231" s="75"/>
      <c r="K231" s="54">
        <f t="shared" si="4"/>
        <v>0</v>
      </c>
      <c r="L231" s="55" t="b">
        <v>0</v>
      </c>
      <c r="M231" s="56"/>
      <c r="N231" s="57" t="b">
        <v>0</v>
      </c>
      <c r="O231" s="54"/>
      <c r="P231" s="75"/>
      <c r="Q231" s="191" t="b">
        <v>0</v>
      </c>
      <c r="R231" s="75"/>
      <c r="S231" s="54"/>
      <c r="T231" s="75"/>
      <c r="U231" s="54"/>
      <c r="V231" s="345"/>
      <c r="W231" s="54"/>
    </row>
    <row r="232" spans="1:23" ht="16">
      <c r="A232" s="162"/>
      <c r="B232" s="132"/>
      <c r="C232" s="53"/>
      <c r="D232" s="53"/>
      <c r="E232" s="53"/>
      <c r="F232" s="53"/>
      <c r="G232" s="66"/>
      <c r="H232" s="53" t="s">
        <v>30</v>
      </c>
      <c r="I232" s="53"/>
      <c r="J232" s="75"/>
      <c r="K232" s="54"/>
      <c r="L232" s="75"/>
      <c r="M232" s="54"/>
      <c r="N232" s="75"/>
      <c r="O232" s="54"/>
      <c r="P232" s="75"/>
      <c r="Q232" s="191" t="b">
        <v>0</v>
      </c>
      <c r="R232" s="75"/>
      <c r="S232" s="54"/>
      <c r="T232" s="75"/>
      <c r="U232" s="54"/>
      <c r="V232" s="345"/>
      <c r="W232" s="54"/>
    </row>
    <row r="233" spans="1:23" ht="16">
      <c r="A233" s="162"/>
      <c r="B233" s="132"/>
      <c r="C233" s="53"/>
      <c r="D233" s="53"/>
      <c r="E233" s="53"/>
      <c r="F233" s="53"/>
      <c r="G233" s="66"/>
      <c r="H233" s="53" t="s">
        <v>30</v>
      </c>
      <c r="I233" s="53"/>
      <c r="J233" s="75"/>
      <c r="K233" s="54"/>
      <c r="L233" s="75"/>
      <c r="M233" s="54"/>
      <c r="N233" s="75"/>
      <c r="O233" s="54"/>
      <c r="P233" s="75"/>
      <c r="Q233" s="191" t="b">
        <v>0</v>
      </c>
      <c r="R233" s="75"/>
      <c r="S233" s="54"/>
      <c r="T233" s="75"/>
      <c r="U233" s="54"/>
      <c r="V233" s="345"/>
      <c r="W233" s="54"/>
    </row>
    <row r="234" spans="1:23" ht="16">
      <c r="A234" s="162"/>
      <c r="B234" s="132"/>
      <c r="C234" s="53"/>
      <c r="D234" s="53"/>
      <c r="E234" s="53"/>
      <c r="F234" s="53"/>
      <c r="G234" s="66"/>
      <c r="H234" s="53" t="s">
        <v>30</v>
      </c>
      <c r="I234" s="53"/>
      <c r="J234" s="75"/>
      <c r="K234" s="54"/>
      <c r="L234" s="75"/>
      <c r="M234" s="54"/>
      <c r="N234" s="75"/>
      <c r="O234" s="54"/>
      <c r="P234" s="75"/>
      <c r="Q234" s="191" t="b">
        <v>0</v>
      </c>
      <c r="R234" s="75"/>
      <c r="S234" s="54"/>
      <c r="T234" s="75"/>
      <c r="U234" s="54"/>
      <c r="V234" s="345"/>
      <c r="W234" s="54"/>
    </row>
    <row r="235" spans="1:23" ht="16">
      <c r="A235" s="162"/>
      <c r="B235" s="132"/>
      <c r="C235" s="53"/>
      <c r="D235" s="53"/>
      <c r="E235" s="53"/>
      <c r="F235" s="53"/>
      <c r="G235" s="66"/>
      <c r="H235" s="53" t="s">
        <v>30</v>
      </c>
      <c r="I235" s="53"/>
      <c r="J235" s="75"/>
      <c r="K235" s="54"/>
      <c r="L235" s="75"/>
      <c r="M235" s="54"/>
      <c r="N235" s="75"/>
      <c r="O235" s="54"/>
      <c r="P235" s="75"/>
      <c r="Q235" s="191" t="b">
        <v>0</v>
      </c>
      <c r="R235" s="75"/>
      <c r="S235" s="54"/>
      <c r="T235" s="75"/>
      <c r="U235" s="54"/>
      <c r="V235" s="345"/>
      <c r="W235" s="54"/>
    </row>
    <row r="236" spans="1:23" ht="16">
      <c r="A236" s="162"/>
      <c r="B236" s="132"/>
      <c r="C236" s="53"/>
      <c r="D236" s="53"/>
      <c r="E236" s="53"/>
      <c r="F236" s="53"/>
      <c r="G236" s="66"/>
      <c r="H236" s="53" t="s">
        <v>30</v>
      </c>
      <c r="I236" s="53"/>
      <c r="J236" s="75"/>
      <c r="K236" s="54"/>
      <c r="L236" s="75"/>
      <c r="M236" s="54"/>
      <c r="N236" s="75"/>
      <c r="O236" s="54"/>
      <c r="P236" s="75"/>
      <c r="Q236" s="191" t="b">
        <v>0</v>
      </c>
      <c r="R236" s="75"/>
      <c r="S236" s="54"/>
      <c r="T236" s="75"/>
      <c r="U236" s="54"/>
      <c r="V236" s="345"/>
      <c r="W236" s="54"/>
    </row>
    <row r="237" spans="1:23" ht="16">
      <c r="A237" s="162"/>
      <c r="B237" s="132"/>
      <c r="C237" s="53"/>
      <c r="D237" s="53"/>
      <c r="E237" s="53"/>
      <c r="F237" s="53"/>
      <c r="G237" s="66"/>
      <c r="H237" s="53" t="s">
        <v>30</v>
      </c>
      <c r="I237" s="53"/>
      <c r="J237" s="75"/>
      <c r="K237" s="54"/>
      <c r="L237" s="75"/>
      <c r="M237" s="54"/>
      <c r="N237" s="75"/>
      <c r="O237" s="54"/>
      <c r="P237" s="75"/>
      <c r="Q237" s="191" t="b">
        <v>0</v>
      </c>
      <c r="R237" s="75"/>
      <c r="S237" s="54"/>
      <c r="T237" s="75"/>
      <c r="U237" s="54"/>
      <c r="V237" s="345"/>
      <c r="W237" s="54"/>
    </row>
    <row r="238" spans="1:23" ht="16">
      <c r="A238" s="162"/>
      <c r="B238" s="132"/>
      <c r="C238" s="53"/>
      <c r="D238" s="53"/>
      <c r="E238" s="53"/>
      <c r="F238" s="53"/>
      <c r="G238" s="66"/>
      <c r="H238" s="53" t="s">
        <v>30</v>
      </c>
      <c r="I238" s="53"/>
      <c r="J238" s="75"/>
      <c r="K238" s="54"/>
      <c r="L238" s="75"/>
      <c r="M238" s="54"/>
      <c r="N238" s="75"/>
      <c r="O238" s="54"/>
      <c r="P238" s="75"/>
      <c r="Q238" s="191" t="b">
        <v>0</v>
      </c>
      <c r="R238" s="75"/>
      <c r="S238" s="54"/>
      <c r="T238" s="75"/>
      <c r="U238" s="54"/>
      <c r="V238" s="345"/>
      <c r="W238" s="54"/>
    </row>
    <row r="239" spans="1:23" ht="16">
      <c r="A239" s="162"/>
      <c r="B239" s="132"/>
      <c r="C239" s="53"/>
      <c r="D239" s="53"/>
      <c r="E239" s="53"/>
      <c r="F239" s="53"/>
      <c r="G239" s="66"/>
      <c r="H239" s="53" t="s">
        <v>30</v>
      </c>
      <c r="I239" s="53"/>
      <c r="J239" s="75"/>
      <c r="K239" s="54"/>
      <c r="L239" s="75"/>
      <c r="M239" s="54"/>
      <c r="N239" s="75"/>
      <c r="O239" s="54"/>
      <c r="P239" s="75"/>
      <c r="Q239" s="191" t="b">
        <v>0</v>
      </c>
      <c r="R239" s="75"/>
      <c r="S239" s="54"/>
      <c r="T239" s="75"/>
      <c r="U239" s="54"/>
      <c r="V239" s="345"/>
      <c r="W239" s="54"/>
    </row>
    <row r="240" spans="1:23" ht="16">
      <c r="A240" s="162"/>
      <c r="B240" s="132"/>
      <c r="C240" s="53"/>
      <c r="D240" s="53"/>
      <c r="E240" s="53"/>
      <c r="F240" s="53"/>
      <c r="G240" s="66"/>
      <c r="H240" s="53" t="s">
        <v>30</v>
      </c>
      <c r="I240" s="53"/>
      <c r="J240" s="75"/>
      <c r="K240" s="54"/>
      <c r="L240" s="75"/>
      <c r="M240" s="54"/>
      <c r="N240" s="75"/>
      <c r="O240" s="54"/>
      <c r="P240" s="75"/>
      <c r="Q240" s="191" t="b">
        <v>0</v>
      </c>
      <c r="R240" s="75"/>
      <c r="S240" s="54"/>
      <c r="T240" s="75"/>
      <c r="U240" s="54"/>
      <c r="V240" s="345"/>
      <c r="W240" s="54"/>
    </row>
    <row r="241" spans="1:23" ht="16">
      <c r="A241" s="162"/>
      <c r="B241" s="132"/>
      <c r="C241" s="53"/>
      <c r="D241" s="53"/>
      <c r="E241" s="53"/>
      <c r="F241" s="53"/>
      <c r="G241" s="66"/>
      <c r="H241" s="53" t="s">
        <v>30</v>
      </c>
      <c r="I241" s="53"/>
      <c r="J241" s="75"/>
      <c r="K241" s="54"/>
      <c r="L241" s="75"/>
      <c r="M241" s="54"/>
      <c r="N241" s="75"/>
      <c r="O241" s="54"/>
      <c r="P241" s="75"/>
      <c r="Q241" s="191" t="b">
        <v>0</v>
      </c>
      <c r="R241" s="75"/>
      <c r="S241" s="54"/>
      <c r="T241" s="75"/>
      <c r="U241" s="54"/>
      <c r="V241" s="345"/>
      <c r="W241" s="54"/>
    </row>
    <row r="242" spans="1:23" ht="16">
      <c r="A242" s="162"/>
      <c r="B242" s="132"/>
      <c r="C242" s="53"/>
      <c r="D242" s="53"/>
      <c r="E242" s="53"/>
      <c r="F242" s="53"/>
      <c r="G242" s="66"/>
      <c r="H242" s="53" t="s">
        <v>30</v>
      </c>
      <c r="I242" s="53"/>
      <c r="J242" s="75"/>
      <c r="K242" s="54"/>
      <c r="L242" s="75"/>
      <c r="M242" s="54"/>
      <c r="N242" s="75"/>
      <c r="O242" s="54"/>
      <c r="P242" s="75"/>
      <c r="Q242" s="191" t="b">
        <v>0</v>
      </c>
      <c r="R242" s="75"/>
      <c r="S242" s="54"/>
      <c r="T242" s="75"/>
      <c r="U242" s="54"/>
      <c r="V242" s="345"/>
      <c r="W242" s="54"/>
    </row>
    <row r="243" spans="1:23" ht="16">
      <c r="A243" s="162"/>
      <c r="B243" s="132"/>
      <c r="C243" s="53"/>
      <c r="D243" s="53"/>
      <c r="E243" s="53"/>
      <c r="F243" s="53"/>
      <c r="G243" s="66"/>
      <c r="H243" s="53" t="s">
        <v>30</v>
      </c>
      <c r="I243" s="53"/>
      <c r="J243" s="75"/>
      <c r="K243" s="54"/>
      <c r="L243" s="75"/>
      <c r="M243" s="54"/>
      <c r="N243" s="75"/>
      <c r="O243" s="54"/>
      <c r="P243" s="75"/>
      <c r="Q243" s="191" t="b">
        <v>0</v>
      </c>
      <c r="R243" s="75"/>
      <c r="S243" s="54"/>
      <c r="T243" s="75"/>
      <c r="U243" s="54"/>
      <c r="V243" s="345"/>
      <c r="W243" s="54"/>
    </row>
    <row r="244" spans="1:23" ht="16">
      <c r="A244" s="162"/>
      <c r="B244" s="132"/>
      <c r="C244" s="53"/>
      <c r="D244" s="53"/>
      <c r="E244" s="53"/>
      <c r="F244" s="53"/>
      <c r="G244" s="66"/>
      <c r="H244" s="53" t="s">
        <v>30</v>
      </c>
      <c r="I244" s="53"/>
      <c r="J244" s="75"/>
      <c r="K244" s="54"/>
      <c r="L244" s="75"/>
      <c r="M244" s="54"/>
      <c r="N244" s="75"/>
      <c r="O244" s="54"/>
      <c r="P244" s="75"/>
      <c r="Q244" s="191" t="b">
        <v>0</v>
      </c>
      <c r="R244" s="75"/>
      <c r="S244" s="54"/>
      <c r="T244" s="75"/>
      <c r="U244" s="54"/>
      <c r="V244" s="345"/>
      <c r="W244" s="54"/>
    </row>
    <row r="245" spans="1:23" ht="16">
      <c r="A245" s="162"/>
      <c r="B245" s="132"/>
      <c r="C245" s="53"/>
      <c r="D245" s="53"/>
      <c r="E245" s="53"/>
      <c r="F245" s="53"/>
      <c r="G245" s="66"/>
      <c r="H245" s="53" t="s">
        <v>30</v>
      </c>
      <c r="I245" s="53"/>
      <c r="J245" s="75"/>
      <c r="K245" s="54"/>
      <c r="L245" s="75"/>
      <c r="M245" s="54"/>
      <c r="N245" s="75"/>
      <c r="O245" s="54"/>
      <c r="P245" s="75"/>
      <c r="Q245" s="191" t="b">
        <v>0</v>
      </c>
      <c r="R245" s="75"/>
      <c r="S245" s="54"/>
      <c r="T245" s="75"/>
      <c r="U245" s="54"/>
      <c r="V245" s="345"/>
      <c r="W245" s="54"/>
    </row>
    <row r="246" spans="1:23" ht="16">
      <c r="A246" s="162"/>
      <c r="B246" s="132"/>
      <c r="C246" s="53"/>
      <c r="D246" s="53"/>
      <c r="E246" s="53"/>
      <c r="F246" s="53"/>
      <c r="G246" s="66"/>
      <c r="H246" s="53" t="s">
        <v>30</v>
      </c>
      <c r="I246" s="53"/>
      <c r="J246" s="75"/>
      <c r="K246" s="54"/>
      <c r="L246" s="75"/>
      <c r="M246" s="54"/>
      <c r="N246" s="75"/>
      <c r="O246" s="54"/>
      <c r="P246" s="75"/>
      <c r="Q246" s="191" t="b">
        <v>0</v>
      </c>
      <c r="R246" s="75"/>
      <c r="S246" s="54"/>
      <c r="T246" s="75"/>
      <c r="U246" s="54"/>
      <c r="V246" s="345"/>
      <c r="W246" s="54"/>
    </row>
    <row r="247" spans="1:23" ht="16">
      <c r="A247" s="162"/>
      <c r="B247" s="132"/>
      <c r="C247" s="53"/>
      <c r="D247" s="53"/>
      <c r="E247" s="53"/>
      <c r="F247" s="53"/>
      <c r="G247" s="66"/>
      <c r="H247" s="53" t="s">
        <v>30</v>
      </c>
      <c r="I247" s="53"/>
      <c r="J247" s="75"/>
      <c r="K247" s="54"/>
      <c r="L247" s="75"/>
      <c r="M247" s="54"/>
      <c r="N247" s="75"/>
      <c r="O247" s="54"/>
      <c r="P247" s="75"/>
      <c r="Q247" s="191" t="b">
        <v>0</v>
      </c>
      <c r="R247" s="75"/>
      <c r="S247" s="54"/>
      <c r="T247" s="75"/>
      <c r="U247" s="54"/>
      <c r="V247" s="345"/>
      <c r="W247" s="54"/>
    </row>
    <row r="248" spans="1:23" ht="16">
      <c r="A248" s="162"/>
      <c r="B248" s="132"/>
      <c r="C248" s="53"/>
      <c r="D248" s="53"/>
      <c r="E248" s="53"/>
      <c r="F248" s="53"/>
      <c r="G248" s="66"/>
      <c r="H248" s="53" t="s">
        <v>30</v>
      </c>
      <c r="I248" s="53"/>
      <c r="J248" s="75"/>
      <c r="K248" s="54"/>
      <c r="L248" s="75"/>
      <c r="M248" s="54"/>
      <c r="N248" s="75"/>
      <c r="O248" s="54"/>
      <c r="P248" s="75"/>
      <c r="Q248" s="191" t="b">
        <v>0</v>
      </c>
      <c r="R248" s="75"/>
      <c r="S248" s="54"/>
      <c r="T248" s="75"/>
      <c r="U248" s="54"/>
      <c r="V248" s="345"/>
      <c r="W248" s="54"/>
    </row>
    <row r="249" spans="1:23" ht="16">
      <c r="A249" s="162"/>
      <c r="B249" s="132"/>
      <c r="C249" s="53"/>
      <c r="D249" s="53"/>
      <c r="E249" s="53"/>
      <c r="F249" s="53"/>
      <c r="G249" s="66"/>
      <c r="H249" s="53" t="s">
        <v>30</v>
      </c>
      <c r="I249" s="53"/>
      <c r="J249" s="75"/>
      <c r="K249" s="54"/>
      <c r="L249" s="75"/>
      <c r="M249" s="54"/>
      <c r="N249" s="75"/>
      <c r="O249" s="54"/>
      <c r="P249" s="75"/>
      <c r="Q249" s="191" t="b">
        <v>0</v>
      </c>
      <c r="R249" s="75"/>
      <c r="S249" s="54"/>
      <c r="T249" s="75"/>
      <c r="U249" s="54"/>
      <c r="V249" s="345"/>
      <c r="W249" s="54"/>
    </row>
    <row r="250" spans="1:23" ht="16">
      <c r="A250" s="162"/>
      <c r="B250" s="132"/>
      <c r="C250" s="53"/>
      <c r="D250" s="53"/>
      <c r="E250" s="53"/>
      <c r="F250" s="53"/>
      <c r="G250" s="66"/>
      <c r="H250" s="53" t="s">
        <v>30</v>
      </c>
      <c r="I250" s="53"/>
      <c r="J250" s="75"/>
      <c r="K250" s="54"/>
      <c r="L250" s="75"/>
      <c r="M250" s="54"/>
      <c r="N250" s="75"/>
      <c r="O250" s="54"/>
      <c r="P250" s="75"/>
      <c r="Q250" s="191" t="b">
        <v>0</v>
      </c>
      <c r="R250" s="75"/>
      <c r="S250" s="54"/>
      <c r="T250" s="75"/>
      <c r="U250" s="54"/>
      <c r="V250" s="345"/>
      <c r="W250" s="54"/>
    </row>
    <row r="251" spans="1:23" ht="16">
      <c r="A251" s="162"/>
      <c r="B251" s="132"/>
      <c r="C251" s="53"/>
      <c r="D251" s="53"/>
      <c r="E251" s="53"/>
      <c r="F251" s="53"/>
      <c r="G251" s="66"/>
      <c r="H251" s="53" t="s">
        <v>30</v>
      </c>
      <c r="I251" s="53"/>
      <c r="J251" s="75"/>
      <c r="K251" s="54"/>
      <c r="L251" s="75"/>
      <c r="M251" s="54"/>
      <c r="N251" s="75"/>
      <c r="O251" s="54"/>
      <c r="P251" s="75"/>
      <c r="Q251" s="191" t="b">
        <v>0</v>
      </c>
      <c r="R251" s="75"/>
      <c r="S251" s="54"/>
      <c r="T251" s="75"/>
      <c r="U251" s="54"/>
      <c r="V251" s="345"/>
      <c r="W251" s="54"/>
    </row>
    <row r="252" spans="1:23" ht="16">
      <c r="A252" s="162"/>
      <c r="B252" s="132"/>
      <c r="C252" s="53"/>
      <c r="D252" s="53"/>
      <c r="E252" s="53"/>
      <c r="F252" s="53"/>
      <c r="G252" s="66"/>
      <c r="H252" s="53" t="s">
        <v>30</v>
      </c>
      <c r="I252" s="53"/>
      <c r="J252" s="75"/>
      <c r="K252" s="54"/>
      <c r="L252" s="75"/>
      <c r="M252" s="54"/>
      <c r="N252" s="75"/>
      <c r="O252" s="54"/>
      <c r="P252" s="75"/>
      <c r="Q252" s="191" t="b">
        <v>0</v>
      </c>
      <c r="R252" s="75"/>
      <c r="S252" s="54"/>
      <c r="T252" s="75"/>
      <c r="U252" s="54"/>
      <c r="V252" s="345"/>
      <c r="W252" s="54"/>
    </row>
    <row r="253" spans="1:23" ht="16">
      <c r="G253" s="167"/>
      <c r="J253" s="314"/>
      <c r="M253" s="350"/>
      <c r="P253" s="225"/>
      <c r="Q253" s="191" t="b">
        <v>0</v>
      </c>
      <c r="U253" s="315"/>
      <c r="V253" s="315"/>
    </row>
    <row r="254" spans="1:23" ht="16">
      <c r="G254" s="167"/>
      <c r="J254" s="314"/>
      <c r="M254" s="350"/>
      <c r="P254" s="225"/>
      <c r="U254" s="315"/>
      <c r="V254" s="315"/>
    </row>
    <row r="255" spans="1:23" ht="16">
      <c r="G255" s="167"/>
      <c r="J255" s="314"/>
      <c r="M255" s="350"/>
      <c r="P255" s="225"/>
      <c r="U255" s="315"/>
      <c r="V255" s="315"/>
    </row>
    <row r="256" spans="1:23" ht="16">
      <c r="G256" s="167"/>
      <c r="J256" s="314"/>
      <c r="M256" s="350"/>
      <c r="P256" s="225"/>
      <c r="U256" s="315"/>
      <c r="V256" s="315"/>
    </row>
    <row r="257" spans="7:22" ht="16">
      <c r="G257" s="167"/>
      <c r="J257" s="314"/>
      <c r="M257" s="350"/>
      <c r="P257" s="225"/>
      <c r="U257" s="315"/>
      <c r="V257" s="315"/>
    </row>
    <row r="258" spans="7:22" ht="16">
      <c r="G258" s="167"/>
      <c r="J258" s="314"/>
      <c r="M258" s="350"/>
      <c r="P258" s="225"/>
      <c r="U258" s="315"/>
      <c r="V258" s="315"/>
    </row>
    <row r="259" spans="7:22" ht="16">
      <c r="G259" s="167"/>
      <c r="J259" s="314"/>
      <c r="M259" s="350"/>
      <c r="P259" s="225"/>
      <c r="U259" s="315"/>
      <c r="V259" s="315"/>
    </row>
    <row r="260" spans="7:22" ht="16">
      <c r="G260" s="167"/>
      <c r="J260" s="314"/>
      <c r="M260" s="350"/>
      <c r="P260" s="225"/>
      <c r="U260" s="315"/>
      <c r="V260" s="315"/>
    </row>
    <row r="261" spans="7:22" ht="16">
      <c r="G261" s="167"/>
      <c r="J261" s="314"/>
      <c r="M261" s="350"/>
      <c r="P261" s="225"/>
      <c r="U261" s="315"/>
      <c r="V261" s="315"/>
    </row>
    <row r="262" spans="7:22" ht="16">
      <c r="G262" s="167"/>
      <c r="J262" s="314"/>
      <c r="M262" s="350"/>
      <c r="P262" s="225"/>
      <c r="U262" s="315"/>
      <c r="V262" s="315"/>
    </row>
    <row r="263" spans="7:22" ht="16">
      <c r="G263" s="167"/>
      <c r="J263" s="314"/>
      <c r="M263" s="350"/>
      <c r="P263" s="225"/>
      <c r="U263" s="315"/>
      <c r="V263" s="315"/>
    </row>
    <row r="264" spans="7:22" ht="16">
      <c r="G264" s="167"/>
      <c r="J264" s="314"/>
      <c r="M264" s="350"/>
      <c r="P264" s="225"/>
      <c r="U264" s="315"/>
      <c r="V264" s="315"/>
    </row>
    <row r="265" spans="7:22" ht="16">
      <c r="G265" s="167"/>
      <c r="J265" s="314"/>
      <c r="M265" s="350"/>
      <c r="P265" s="225"/>
      <c r="U265" s="315"/>
      <c r="V265" s="315"/>
    </row>
    <row r="266" spans="7:22" ht="16">
      <c r="G266" s="167"/>
      <c r="J266" s="314"/>
      <c r="M266" s="350"/>
      <c r="P266" s="225"/>
      <c r="U266" s="315"/>
      <c r="V266" s="315"/>
    </row>
    <row r="267" spans="7:22" ht="16">
      <c r="G267" s="167"/>
      <c r="J267" s="314"/>
      <c r="M267" s="350"/>
      <c r="P267" s="225"/>
      <c r="U267" s="315"/>
      <c r="V267" s="315"/>
    </row>
    <row r="268" spans="7:22" ht="16">
      <c r="G268" s="167"/>
      <c r="J268" s="314"/>
      <c r="M268" s="350"/>
      <c r="P268" s="225"/>
      <c r="U268" s="315"/>
      <c r="V268" s="315"/>
    </row>
    <row r="269" spans="7:22" ht="16">
      <c r="G269" s="167"/>
      <c r="J269" s="314"/>
      <c r="M269" s="350"/>
      <c r="P269" s="225"/>
      <c r="U269" s="315"/>
      <c r="V269" s="315"/>
    </row>
    <row r="270" spans="7:22" ht="16">
      <c r="G270" s="167"/>
      <c r="J270" s="314"/>
      <c r="M270" s="350"/>
      <c r="P270" s="225"/>
      <c r="U270" s="315"/>
      <c r="V270" s="315"/>
    </row>
    <row r="271" spans="7:22" ht="16">
      <c r="G271" s="167"/>
      <c r="J271" s="314"/>
      <c r="M271" s="350"/>
      <c r="P271" s="225"/>
      <c r="U271" s="315"/>
      <c r="V271" s="315"/>
    </row>
    <row r="272" spans="7:22" ht="16">
      <c r="G272" s="167"/>
      <c r="J272" s="314"/>
      <c r="M272" s="350"/>
      <c r="P272" s="225"/>
      <c r="U272" s="315"/>
      <c r="V272" s="315"/>
    </row>
    <row r="273" spans="7:22" ht="16">
      <c r="G273" s="167"/>
      <c r="J273" s="314"/>
      <c r="M273" s="350"/>
      <c r="P273" s="225"/>
      <c r="U273" s="315"/>
      <c r="V273" s="315"/>
    </row>
    <row r="274" spans="7:22" ht="16">
      <c r="G274" s="167"/>
      <c r="J274" s="314"/>
      <c r="M274" s="350"/>
      <c r="P274" s="225"/>
      <c r="U274" s="315"/>
      <c r="V274" s="315"/>
    </row>
    <row r="275" spans="7:22" ht="16">
      <c r="G275" s="167"/>
      <c r="J275" s="314"/>
      <c r="M275" s="350"/>
      <c r="P275" s="225"/>
      <c r="U275" s="315"/>
      <c r="V275" s="315"/>
    </row>
    <row r="276" spans="7:22" ht="16">
      <c r="G276" s="167"/>
      <c r="J276" s="314"/>
      <c r="M276" s="350"/>
      <c r="P276" s="225"/>
      <c r="U276" s="315"/>
      <c r="V276" s="315"/>
    </row>
    <row r="277" spans="7:22" ht="16">
      <c r="G277" s="167"/>
      <c r="J277" s="314"/>
      <c r="M277" s="350"/>
      <c r="P277" s="225"/>
      <c r="U277" s="315"/>
      <c r="V277" s="315"/>
    </row>
    <row r="278" spans="7:22" ht="16">
      <c r="G278" s="167"/>
      <c r="J278" s="314"/>
      <c r="M278" s="350"/>
      <c r="P278" s="225"/>
      <c r="U278" s="315"/>
      <c r="V278" s="315"/>
    </row>
    <row r="279" spans="7:22" ht="16">
      <c r="G279" s="167"/>
      <c r="J279" s="314"/>
      <c r="M279" s="350"/>
      <c r="P279" s="225"/>
      <c r="U279" s="315"/>
      <c r="V279" s="315"/>
    </row>
    <row r="280" spans="7:22" ht="16">
      <c r="G280" s="167"/>
      <c r="J280" s="314"/>
      <c r="M280" s="350"/>
      <c r="P280" s="225"/>
      <c r="U280" s="315"/>
      <c r="V280" s="315"/>
    </row>
    <row r="281" spans="7:22" ht="16">
      <c r="G281" s="167"/>
      <c r="J281" s="314"/>
      <c r="M281" s="350"/>
      <c r="P281" s="225"/>
      <c r="U281" s="315"/>
      <c r="V281" s="315"/>
    </row>
    <row r="282" spans="7:22" ht="16">
      <c r="G282" s="167"/>
      <c r="J282" s="314"/>
      <c r="M282" s="350"/>
      <c r="P282" s="225"/>
      <c r="U282" s="315"/>
      <c r="V282" s="315"/>
    </row>
    <row r="283" spans="7:22" ht="16">
      <c r="G283" s="167"/>
      <c r="J283" s="314"/>
      <c r="M283" s="350"/>
      <c r="P283" s="225"/>
      <c r="U283" s="315"/>
      <c r="V283" s="315"/>
    </row>
    <row r="284" spans="7:22" ht="16">
      <c r="G284" s="167"/>
      <c r="J284" s="314"/>
      <c r="M284" s="350"/>
      <c r="P284" s="225"/>
      <c r="U284" s="315"/>
      <c r="V284" s="315"/>
    </row>
    <row r="285" spans="7:22" ht="16">
      <c r="G285" s="167"/>
      <c r="J285" s="314"/>
      <c r="M285" s="350"/>
      <c r="P285" s="225"/>
      <c r="U285" s="315"/>
      <c r="V285" s="315"/>
    </row>
    <row r="286" spans="7:22" ht="16">
      <c r="G286" s="167"/>
      <c r="J286" s="314"/>
      <c r="M286" s="350"/>
      <c r="P286" s="225"/>
      <c r="U286" s="315"/>
      <c r="V286" s="315"/>
    </row>
    <row r="287" spans="7:22" ht="16">
      <c r="G287" s="167"/>
      <c r="J287" s="314"/>
      <c r="M287" s="350"/>
      <c r="P287" s="225"/>
      <c r="U287" s="315"/>
      <c r="V287" s="315"/>
    </row>
    <row r="288" spans="7:22" ht="16">
      <c r="G288" s="167"/>
      <c r="J288" s="314"/>
      <c r="M288" s="350"/>
      <c r="P288" s="225"/>
      <c r="U288" s="315"/>
      <c r="V288" s="315"/>
    </row>
    <row r="289" spans="7:22" ht="16">
      <c r="G289" s="167"/>
      <c r="J289" s="314"/>
      <c r="M289" s="350"/>
      <c r="P289" s="225"/>
      <c r="U289" s="315"/>
      <c r="V289" s="315"/>
    </row>
    <row r="290" spans="7:22" ht="16">
      <c r="G290" s="167"/>
      <c r="J290" s="314"/>
      <c r="M290" s="350"/>
      <c r="P290" s="225"/>
      <c r="U290" s="315"/>
      <c r="V290" s="315"/>
    </row>
    <row r="291" spans="7:22" ht="16">
      <c r="G291" s="167"/>
      <c r="J291" s="314"/>
      <c r="M291" s="350"/>
      <c r="P291" s="225"/>
      <c r="U291" s="315"/>
      <c r="V291" s="315"/>
    </row>
    <row r="292" spans="7:22" ht="16">
      <c r="G292" s="167"/>
      <c r="J292" s="314"/>
      <c r="M292" s="350"/>
      <c r="P292" s="225"/>
      <c r="U292" s="315"/>
      <c r="V292" s="315"/>
    </row>
    <row r="293" spans="7:22" ht="16">
      <c r="G293" s="167"/>
      <c r="J293" s="314"/>
      <c r="M293" s="350"/>
      <c r="P293" s="225"/>
      <c r="U293" s="315"/>
      <c r="V293" s="315"/>
    </row>
    <row r="294" spans="7:22" ht="16">
      <c r="G294" s="167"/>
      <c r="J294" s="314"/>
      <c r="M294" s="350"/>
      <c r="P294" s="225"/>
      <c r="U294" s="315"/>
      <c r="V294" s="315"/>
    </row>
    <row r="295" spans="7:22" ht="16">
      <c r="G295" s="167"/>
      <c r="J295" s="314"/>
      <c r="M295" s="350"/>
      <c r="P295" s="225"/>
      <c r="U295" s="315"/>
      <c r="V295" s="315"/>
    </row>
    <row r="296" spans="7:22" ht="16">
      <c r="G296" s="167"/>
      <c r="J296" s="314"/>
      <c r="M296" s="350"/>
      <c r="P296" s="225"/>
      <c r="U296" s="315"/>
      <c r="V296" s="315"/>
    </row>
    <row r="297" spans="7:22" ht="16">
      <c r="G297" s="167"/>
      <c r="J297" s="314"/>
      <c r="M297" s="350"/>
      <c r="P297" s="225"/>
      <c r="U297" s="315"/>
      <c r="V297" s="315"/>
    </row>
    <row r="298" spans="7:22" ht="16">
      <c r="G298" s="167"/>
      <c r="J298" s="314"/>
      <c r="M298" s="350"/>
      <c r="P298" s="225"/>
      <c r="U298" s="315"/>
      <c r="V298" s="315"/>
    </row>
    <row r="299" spans="7:22" ht="16">
      <c r="G299" s="167"/>
      <c r="J299" s="314"/>
      <c r="M299" s="350"/>
      <c r="P299" s="225"/>
      <c r="U299" s="315"/>
      <c r="V299" s="315"/>
    </row>
    <row r="300" spans="7:22" ht="16">
      <c r="G300" s="167"/>
      <c r="J300" s="314"/>
      <c r="M300" s="350"/>
      <c r="P300" s="225"/>
      <c r="U300" s="315"/>
      <c r="V300" s="315"/>
    </row>
    <row r="301" spans="7:22" ht="16">
      <c r="G301" s="167"/>
      <c r="J301" s="314"/>
      <c r="M301" s="350"/>
      <c r="P301" s="225"/>
      <c r="U301" s="315"/>
      <c r="V301" s="315"/>
    </row>
    <row r="302" spans="7:22" ht="16">
      <c r="G302" s="167"/>
      <c r="J302" s="314"/>
      <c r="M302" s="350"/>
      <c r="P302" s="225"/>
      <c r="U302" s="315"/>
      <c r="V302" s="315"/>
    </row>
    <row r="303" spans="7:22" ht="16">
      <c r="G303" s="167"/>
      <c r="J303" s="314"/>
      <c r="M303" s="350"/>
      <c r="P303" s="225"/>
      <c r="U303" s="315"/>
      <c r="V303" s="315"/>
    </row>
    <row r="304" spans="7:22" ht="16">
      <c r="G304" s="167"/>
      <c r="J304" s="314"/>
      <c r="M304" s="350"/>
      <c r="P304" s="225"/>
      <c r="U304" s="315"/>
      <c r="V304" s="315"/>
    </row>
    <row r="305" spans="7:22" ht="16">
      <c r="G305" s="167"/>
      <c r="J305" s="314"/>
      <c r="M305" s="350"/>
      <c r="P305" s="225"/>
      <c r="U305" s="315"/>
      <c r="V305" s="315"/>
    </row>
    <row r="306" spans="7:22" ht="16">
      <c r="G306" s="167"/>
      <c r="J306" s="314"/>
      <c r="M306" s="350"/>
      <c r="P306" s="225"/>
      <c r="U306" s="315"/>
      <c r="V306" s="315"/>
    </row>
    <row r="307" spans="7:22" ht="16">
      <c r="G307" s="167"/>
      <c r="J307" s="314"/>
      <c r="M307" s="350"/>
      <c r="P307" s="225"/>
      <c r="U307" s="315"/>
      <c r="V307" s="315"/>
    </row>
    <row r="308" spans="7:22" ht="16">
      <c r="G308" s="167"/>
      <c r="J308" s="314"/>
      <c r="M308" s="350"/>
      <c r="P308" s="225"/>
      <c r="U308" s="315"/>
      <c r="V308" s="315"/>
    </row>
    <row r="309" spans="7:22" ht="16">
      <c r="G309" s="167"/>
      <c r="J309" s="314"/>
      <c r="M309" s="350"/>
      <c r="P309" s="225"/>
      <c r="U309" s="315"/>
      <c r="V309" s="315"/>
    </row>
    <row r="310" spans="7:22" ht="16">
      <c r="G310" s="167"/>
      <c r="J310" s="314"/>
      <c r="M310" s="350"/>
      <c r="P310" s="225"/>
      <c r="U310" s="315"/>
      <c r="V310" s="315"/>
    </row>
    <row r="311" spans="7:22" ht="16">
      <c r="G311" s="167"/>
      <c r="J311" s="314"/>
      <c r="M311" s="350"/>
      <c r="P311" s="225"/>
      <c r="U311" s="315"/>
      <c r="V311" s="315"/>
    </row>
    <row r="312" spans="7:22" ht="16">
      <c r="G312" s="167"/>
      <c r="J312" s="314"/>
      <c r="M312" s="350"/>
      <c r="P312" s="225"/>
      <c r="U312" s="315"/>
      <c r="V312" s="315"/>
    </row>
    <row r="313" spans="7:22" ht="16">
      <c r="G313" s="167"/>
      <c r="J313" s="314"/>
      <c r="M313" s="350"/>
      <c r="P313" s="225"/>
      <c r="U313" s="315"/>
      <c r="V313" s="315"/>
    </row>
    <row r="314" spans="7:22" ht="16">
      <c r="G314" s="167"/>
      <c r="J314" s="314"/>
      <c r="M314" s="350"/>
      <c r="P314" s="225"/>
      <c r="U314" s="315"/>
      <c r="V314" s="315"/>
    </row>
    <row r="315" spans="7:22" ht="16">
      <c r="G315" s="167"/>
      <c r="J315" s="314"/>
      <c r="M315" s="350"/>
      <c r="P315" s="225"/>
      <c r="U315" s="315"/>
      <c r="V315" s="315"/>
    </row>
    <row r="316" spans="7:22" ht="16">
      <c r="G316" s="167"/>
      <c r="J316" s="314"/>
      <c r="M316" s="350"/>
      <c r="P316" s="225"/>
      <c r="U316" s="315"/>
      <c r="V316" s="315"/>
    </row>
    <row r="317" spans="7:22" ht="16">
      <c r="G317" s="167"/>
      <c r="J317" s="314"/>
      <c r="M317" s="350"/>
      <c r="P317" s="225"/>
      <c r="U317" s="315"/>
      <c r="V317" s="315"/>
    </row>
    <row r="318" spans="7:22" ht="16">
      <c r="G318" s="167"/>
      <c r="J318" s="314"/>
      <c r="M318" s="350"/>
      <c r="P318" s="225"/>
      <c r="U318" s="315"/>
      <c r="V318" s="315"/>
    </row>
    <row r="319" spans="7:22" ht="16">
      <c r="G319" s="167"/>
      <c r="J319" s="314"/>
      <c r="M319" s="350"/>
      <c r="P319" s="225"/>
      <c r="U319" s="315"/>
      <c r="V319" s="315"/>
    </row>
    <row r="320" spans="7:22" ht="16">
      <c r="G320" s="167"/>
      <c r="J320" s="314"/>
      <c r="M320" s="350"/>
      <c r="P320" s="225"/>
      <c r="U320" s="315"/>
      <c r="V320" s="315"/>
    </row>
    <row r="321" spans="7:22" ht="16">
      <c r="G321" s="167"/>
      <c r="J321" s="314"/>
      <c r="M321" s="350"/>
      <c r="P321" s="225"/>
      <c r="U321" s="315"/>
      <c r="V321" s="315"/>
    </row>
    <row r="322" spans="7:22" ht="16">
      <c r="G322" s="167"/>
      <c r="J322" s="314"/>
      <c r="M322" s="350"/>
      <c r="P322" s="225"/>
      <c r="U322" s="315"/>
      <c r="V322" s="315"/>
    </row>
    <row r="323" spans="7:22" ht="16">
      <c r="G323" s="167"/>
      <c r="J323" s="314"/>
      <c r="M323" s="350"/>
      <c r="P323" s="225"/>
      <c r="U323" s="315"/>
      <c r="V323" s="315"/>
    </row>
    <row r="324" spans="7:22" ht="16">
      <c r="G324" s="167"/>
      <c r="J324" s="314"/>
      <c r="M324" s="350"/>
      <c r="P324" s="225"/>
      <c r="U324" s="315"/>
      <c r="V324" s="315"/>
    </row>
    <row r="325" spans="7:22" ht="16">
      <c r="G325" s="167"/>
      <c r="J325" s="314"/>
      <c r="M325" s="350"/>
      <c r="P325" s="225"/>
      <c r="U325" s="315"/>
      <c r="V325" s="315"/>
    </row>
    <row r="326" spans="7:22" ht="16">
      <c r="G326" s="167"/>
      <c r="J326" s="314"/>
      <c r="M326" s="350"/>
      <c r="P326" s="225"/>
      <c r="U326" s="315"/>
      <c r="V326" s="315"/>
    </row>
    <row r="327" spans="7:22" ht="16">
      <c r="G327" s="167"/>
      <c r="J327" s="314"/>
      <c r="M327" s="350"/>
      <c r="P327" s="225"/>
      <c r="U327" s="315"/>
      <c r="V327" s="315"/>
    </row>
    <row r="328" spans="7:22" ht="16">
      <c r="G328" s="167"/>
      <c r="J328" s="314"/>
      <c r="M328" s="350"/>
      <c r="P328" s="225"/>
      <c r="U328" s="315"/>
      <c r="V328" s="315"/>
    </row>
    <row r="329" spans="7:22" ht="16">
      <c r="G329" s="167"/>
      <c r="J329" s="314"/>
      <c r="M329" s="350"/>
      <c r="P329" s="225"/>
      <c r="U329" s="315"/>
      <c r="V329" s="315"/>
    </row>
    <row r="330" spans="7:22" ht="16">
      <c r="G330" s="167"/>
      <c r="J330" s="314"/>
      <c r="M330" s="350"/>
      <c r="P330" s="225"/>
      <c r="U330" s="315"/>
      <c r="V330" s="315"/>
    </row>
    <row r="331" spans="7:22" ht="16">
      <c r="G331" s="167"/>
      <c r="J331" s="314"/>
      <c r="M331" s="350"/>
      <c r="P331" s="225"/>
      <c r="U331" s="315"/>
      <c r="V331" s="315"/>
    </row>
    <row r="332" spans="7:22" ht="16">
      <c r="G332" s="167"/>
      <c r="J332" s="314"/>
      <c r="M332" s="350"/>
      <c r="P332" s="225"/>
      <c r="U332" s="315"/>
      <c r="V332" s="315"/>
    </row>
    <row r="333" spans="7:22" ht="16">
      <c r="G333" s="167"/>
      <c r="J333" s="314"/>
      <c r="M333" s="350"/>
      <c r="P333" s="225"/>
      <c r="U333" s="315"/>
      <c r="V333" s="315"/>
    </row>
    <row r="334" spans="7:22" ht="16">
      <c r="G334" s="167"/>
      <c r="J334" s="314"/>
      <c r="M334" s="350"/>
      <c r="P334" s="225"/>
      <c r="U334" s="315"/>
      <c r="V334" s="315"/>
    </row>
    <row r="335" spans="7:22" ht="16">
      <c r="G335" s="167"/>
      <c r="J335" s="314"/>
      <c r="M335" s="350"/>
      <c r="P335" s="225"/>
      <c r="U335" s="315"/>
      <c r="V335" s="315"/>
    </row>
    <row r="336" spans="7:22" ht="16">
      <c r="G336" s="167"/>
      <c r="J336" s="314"/>
      <c r="M336" s="350"/>
      <c r="P336" s="225"/>
      <c r="U336" s="315"/>
      <c r="V336" s="315"/>
    </row>
    <row r="337" spans="7:22" ht="16">
      <c r="G337" s="167"/>
      <c r="J337" s="314"/>
      <c r="M337" s="350"/>
      <c r="P337" s="225"/>
      <c r="U337" s="315"/>
      <c r="V337" s="315"/>
    </row>
    <row r="338" spans="7:22" ht="16">
      <c r="G338" s="167"/>
      <c r="J338" s="314"/>
      <c r="M338" s="350"/>
      <c r="P338" s="225"/>
      <c r="U338" s="315"/>
      <c r="V338" s="315"/>
    </row>
    <row r="339" spans="7:22" ht="16">
      <c r="G339" s="167"/>
      <c r="J339" s="314"/>
      <c r="M339" s="350"/>
      <c r="P339" s="225"/>
      <c r="U339" s="315"/>
      <c r="V339" s="315"/>
    </row>
    <row r="340" spans="7:22" ht="16">
      <c r="G340" s="167"/>
      <c r="J340" s="314"/>
      <c r="M340" s="350"/>
      <c r="P340" s="225"/>
      <c r="U340" s="315"/>
      <c r="V340" s="315"/>
    </row>
    <row r="341" spans="7:22" ht="16">
      <c r="G341" s="167"/>
      <c r="J341" s="314"/>
      <c r="M341" s="350"/>
      <c r="P341" s="225"/>
      <c r="U341" s="315"/>
      <c r="V341" s="315"/>
    </row>
    <row r="342" spans="7:22" ht="16">
      <c r="G342" s="167"/>
      <c r="J342" s="314"/>
      <c r="M342" s="350"/>
      <c r="P342" s="225"/>
      <c r="U342" s="315"/>
      <c r="V342" s="315"/>
    </row>
    <row r="343" spans="7:22" ht="16">
      <c r="G343" s="167"/>
      <c r="J343" s="314"/>
      <c r="M343" s="350"/>
      <c r="P343" s="225"/>
      <c r="U343" s="315"/>
      <c r="V343" s="315"/>
    </row>
    <row r="344" spans="7:22" ht="16">
      <c r="G344" s="167"/>
      <c r="J344" s="314"/>
      <c r="M344" s="350"/>
      <c r="P344" s="225"/>
      <c r="U344" s="315"/>
      <c r="V344" s="315"/>
    </row>
    <row r="345" spans="7:22" ht="16">
      <c r="G345" s="167"/>
      <c r="J345" s="314"/>
      <c r="M345" s="350"/>
      <c r="P345" s="225"/>
      <c r="U345" s="315"/>
      <c r="V345" s="315"/>
    </row>
    <row r="346" spans="7:22" ht="16">
      <c r="G346" s="167"/>
      <c r="J346" s="314"/>
      <c r="M346" s="350"/>
      <c r="P346" s="225"/>
      <c r="U346" s="315"/>
      <c r="V346" s="315"/>
    </row>
    <row r="347" spans="7:22" ht="16">
      <c r="G347" s="167"/>
      <c r="J347" s="314"/>
      <c r="M347" s="350"/>
      <c r="P347" s="225"/>
      <c r="U347" s="315"/>
      <c r="V347" s="315"/>
    </row>
    <row r="348" spans="7:22" ht="16">
      <c r="G348" s="167"/>
      <c r="J348" s="314"/>
      <c r="M348" s="350"/>
      <c r="P348" s="225"/>
      <c r="U348" s="315"/>
      <c r="V348" s="315"/>
    </row>
    <row r="349" spans="7:22" ht="16">
      <c r="G349" s="167"/>
      <c r="J349" s="314"/>
      <c r="M349" s="350"/>
      <c r="P349" s="225"/>
      <c r="U349" s="315"/>
      <c r="V349" s="315"/>
    </row>
    <row r="350" spans="7:22" ht="16">
      <c r="G350" s="167"/>
      <c r="J350" s="314"/>
      <c r="M350" s="350"/>
      <c r="P350" s="225"/>
      <c r="U350" s="315"/>
      <c r="V350" s="315"/>
    </row>
    <row r="351" spans="7:22" ht="16">
      <c r="G351" s="167"/>
      <c r="J351" s="314"/>
      <c r="M351" s="350"/>
      <c r="P351" s="225"/>
      <c r="U351" s="315"/>
      <c r="V351" s="315"/>
    </row>
    <row r="352" spans="7:22" ht="16">
      <c r="G352" s="167"/>
      <c r="J352" s="314"/>
      <c r="M352" s="350"/>
      <c r="P352" s="225"/>
      <c r="U352" s="315"/>
      <c r="V352" s="315"/>
    </row>
    <row r="353" spans="7:22" ht="16">
      <c r="G353" s="167"/>
      <c r="J353" s="314"/>
      <c r="M353" s="350"/>
      <c r="P353" s="225"/>
      <c r="U353" s="315"/>
      <c r="V353" s="315"/>
    </row>
    <row r="354" spans="7:22" ht="16">
      <c r="G354" s="167"/>
      <c r="J354" s="314"/>
      <c r="M354" s="350"/>
      <c r="P354" s="225"/>
      <c r="U354" s="315"/>
      <c r="V354" s="315"/>
    </row>
    <row r="355" spans="7:22" ht="16">
      <c r="G355" s="167"/>
      <c r="J355" s="314"/>
      <c r="M355" s="350"/>
      <c r="P355" s="225"/>
      <c r="U355" s="315"/>
      <c r="V355" s="315"/>
    </row>
    <row r="356" spans="7:22" ht="16">
      <c r="G356" s="167"/>
      <c r="J356" s="314"/>
      <c r="M356" s="350"/>
      <c r="P356" s="225"/>
      <c r="U356" s="315"/>
      <c r="V356" s="315"/>
    </row>
    <row r="357" spans="7:22" ht="16">
      <c r="G357" s="167"/>
      <c r="J357" s="314"/>
      <c r="M357" s="350"/>
      <c r="P357" s="225"/>
      <c r="U357" s="315"/>
      <c r="V357" s="315"/>
    </row>
    <row r="358" spans="7:22" ht="16">
      <c r="G358" s="167"/>
      <c r="J358" s="314"/>
      <c r="M358" s="350"/>
      <c r="P358" s="225"/>
      <c r="U358" s="315"/>
      <c r="V358" s="315"/>
    </row>
    <row r="359" spans="7:22" ht="16">
      <c r="G359" s="167"/>
      <c r="J359" s="314"/>
      <c r="M359" s="350"/>
      <c r="P359" s="225"/>
      <c r="U359" s="315"/>
      <c r="V359" s="315"/>
    </row>
    <row r="360" spans="7:22" ht="16">
      <c r="G360" s="167"/>
      <c r="J360" s="314"/>
      <c r="M360" s="350"/>
      <c r="P360" s="225"/>
      <c r="U360" s="315"/>
      <c r="V360" s="315"/>
    </row>
    <row r="361" spans="7:22" ht="16">
      <c r="G361" s="167"/>
      <c r="J361" s="314"/>
      <c r="M361" s="350"/>
      <c r="P361" s="225"/>
      <c r="U361" s="315"/>
      <c r="V361" s="315"/>
    </row>
    <row r="362" spans="7:22" ht="16">
      <c r="G362" s="167"/>
      <c r="J362" s="314"/>
      <c r="M362" s="350"/>
      <c r="P362" s="225"/>
      <c r="U362" s="315"/>
      <c r="V362" s="315"/>
    </row>
    <row r="363" spans="7:22" ht="16">
      <c r="G363" s="167"/>
      <c r="J363" s="314"/>
      <c r="M363" s="350"/>
      <c r="P363" s="225"/>
      <c r="U363" s="315"/>
      <c r="V363" s="315"/>
    </row>
    <row r="364" spans="7:22" ht="16">
      <c r="G364" s="167"/>
      <c r="J364" s="314"/>
      <c r="M364" s="350"/>
      <c r="P364" s="225"/>
      <c r="U364" s="315"/>
      <c r="V364" s="315"/>
    </row>
    <row r="365" spans="7:22" ht="16">
      <c r="G365" s="167"/>
      <c r="J365" s="314"/>
      <c r="M365" s="350"/>
      <c r="P365" s="225"/>
      <c r="U365" s="315"/>
      <c r="V365" s="315"/>
    </row>
    <row r="366" spans="7:22" ht="16">
      <c r="G366" s="167"/>
      <c r="J366" s="314"/>
      <c r="M366" s="350"/>
      <c r="P366" s="225"/>
      <c r="U366" s="315"/>
      <c r="V366" s="315"/>
    </row>
    <row r="367" spans="7:22" ht="16">
      <c r="G367" s="167"/>
      <c r="J367" s="314"/>
      <c r="M367" s="350"/>
      <c r="P367" s="225"/>
      <c r="U367" s="315"/>
      <c r="V367" s="315"/>
    </row>
    <row r="368" spans="7:22" ht="16">
      <c r="G368" s="167"/>
      <c r="J368" s="314"/>
      <c r="M368" s="350"/>
      <c r="P368" s="225"/>
      <c r="U368" s="315"/>
      <c r="V368" s="315"/>
    </row>
    <row r="369" spans="7:22" ht="16">
      <c r="G369" s="167"/>
      <c r="J369" s="314"/>
      <c r="M369" s="350"/>
      <c r="P369" s="225"/>
      <c r="U369" s="315"/>
      <c r="V369" s="315"/>
    </row>
    <row r="370" spans="7:22" ht="16">
      <c r="G370" s="167"/>
      <c r="J370" s="314"/>
      <c r="M370" s="350"/>
      <c r="P370" s="225"/>
      <c r="U370" s="315"/>
      <c r="V370" s="315"/>
    </row>
    <row r="371" spans="7:22" ht="16">
      <c r="G371" s="167"/>
      <c r="J371" s="314"/>
      <c r="M371" s="350"/>
      <c r="P371" s="225"/>
      <c r="U371" s="315"/>
      <c r="V371" s="315"/>
    </row>
    <row r="372" spans="7:22" ht="16">
      <c r="G372" s="167"/>
      <c r="J372" s="314"/>
      <c r="M372" s="350"/>
      <c r="P372" s="225"/>
      <c r="U372" s="315"/>
      <c r="V372" s="315"/>
    </row>
    <row r="373" spans="7:22" ht="16">
      <c r="G373" s="167"/>
      <c r="J373" s="314"/>
      <c r="M373" s="350"/>
      <c r="P373" s="225"/>
      <c r="U373" s="315"/>
      <c r="V373" s="315"/>
    </row>
    <row r="374" spans="7:22" ht="16">
      <c r="G374" s="167"/>
      <c r="J374" s="314"/>
      <c r="M374" s="350"/>
      <c r="P374" s="225"/>
      <c r="U374" s="315"/>
      <c r="V374" s="315"/>
    </row>
    <row r="375" spans="7:22" ht="16">
      <c r="G375" s="167"/>
      <c r="J375" s="314"/>
      <c r="M375" s="350"/>
      <c r="P375" s="225"/>
      <c r="U375" s="315"/>
      <c r="V375" s="315"/>
    </row>
    <row r="376" spans="7:22" ht="16">
      <c r="G376" s="167"/>
      <c r="J376" s="314"/>
      <c r="M376" s="350"/>
      <c r="P376" s="225"/>
      <c r="U376" s="315"/>
      <c r="V376" s="315"/>
    </row>
    <row r="377" spans="7:22" ht="16">
      <c r="G377" s="167"/>
      <c r="J377" s="314"/>
      <c r="M377" s="350"/>
      <c r="P377" s="225"/>
      <c r="U377" s="315"/>
      <c r="V377" s="315"/>
    </row>
    <row r="378" spans="7:22" ht="16">
      <c r="G378" s="167"/>
      <c r="J378" s="314"/>
      <c r="M378" s="350"/>
      <c r="P378" s="225"/>
      <c r="U378" s="315"/>
      <c r="V378" s="315"/>
    </row>
    <row r="379" spans="7:22" ht="16">
      <c r="G379" s="167"/>
      <c r="J379" s="314"/>
      <c r="M379" s="350"/>
      <c r="P379" s="225"/>
      <c r="U379" s="315"/>
      <c r="V379" s="315"/>
    </row>
    <row r="380" spans="7:22" ht="16">
      <c r="G380" s="167"/>
      <c r="J380" s="314"/>
      <c r="M380" s="350"/>
      <c r="P380" s="225"/>
      <c r="U380" s="315"/>
      <c r="V380" s="315"/>
    </row>
    <row r="381" spans="7:22" ht="16">
      <c r="G381" s="167"/>
      <c r="J381" s="314"/>
      <c r="M381" s="350"/>
      <c r="P381" s="225"/>
      <c r="U381" s="315"/>
      <c r="V381" s="315"/>
    </row>
    <row r="382" spans="7:22" ht="16">
      <c r="G382" s="167"/>
      <c r="J382" s="314"/>
      <c r="M382" s="350"/>
      <c r="P382" s="225"/>
      <c r="U382" s="315"/>
      <c r="V382" s="315"/>
    </row>
    <row r="383" spans="7:22" ht="16">
      <c r="G383" s="167"/>
      <c r="J383" s="314"/>
      <c r="M383" s="350"/>
      <c r="P383" s="225"/>
      <c r="U383" s="315"/>
      <c r="V383" s="315"/>
    </row>
    <row r="384" spans="7:22" ht="16">
      <c r="G384" s="167"/>
      <c r="J384" s="314"/>
      <c r="M384" s="350"/>
      <c r="P384" s="225"/>
      <c r="U384" s="315"/>
      <c r="V384" s="315"/>
    </row>
    <row r="385" spans="7:22" ht="16">
      <c r="G385" s="167"/>
      <c r="J385" s="314"/>
      <c r="M385" s="350"/>
      <c r="P385" s="225"/>
      <c r="U385" s="315"/>
      <c r="V385" s="315"/>
    </row>
    <row r="386" spans="7:22" ht="16">
      <c r="G386" s="167"/>
      <c r="J386" s="314"/>
      <c r="M386" s="350"/>
      <c r="P386" s="225"/>
      <c r="U386" s="315"/>
      <c r="V386" s="315"/>
    </row>
    <row r="387" spans="7:22" ht="16">
      <c r="G387" s="167"/>
      <c r="J387" s="314"/>
      <c r="M387" s="350"/>
      <c r="P387" s="225"/>
      <c r="U387" s="315"/>
      <c r="V387" s="315"/>
    </row>
    <row r="388" spans="7:22" ht="16">
      <c r="G388" s="167"/>
      <c r="J388" s="314"/>
      <c r="M388" s="350"/>
      <c r="P388" s="225"/>
      <c r="U388" s="315"/>
      <c r="V388" s="315"/>
    </row>
    <row r="389" spans="7:22" ht="16">
      <c r="G389" s="167"/>
      <c r="J389" s="314"/>
      <c r="M389" s="350"/>
      <c r="P389" s="225"/>
      <c r="U389" s="315"/>
      <c r="V389" s="315"/>
    </row>
    <row r="390" spans="7:22" ht="16">
      <c r="G390" s="167"/>
      <c r="J390" s="314"/>
      <c r="M390" s="350"/>
      <c r="P390" s="225"/>
      <c r="U390" s="315"/>
      <c r="V390" s="315"/>
    </row>
    <row r="391" spans="7:22" ht="16">
      <c r="G391" s="167"/>
      <c r="J391" s="314"/>
      <c r="M391" s="350"/>
      <c r="P391" s="225"/>
      <c r="U391" s="315"/>
      <c r="V391" s="315"/>
    </row>
    <row r="392" spans="7:22" ht="16">
      <c r="G392" s="167"/>
      <c r="J392" s="314"/>
      <c r="M392" s="350"/>
      <c r="P392" s="225"/>
      <c r="U392" s="315"/>
      <c r="V392" s="315"/>
    </row>
    <row r="393" spans="7:22" ht="16">
      <c r="G393" s="167"/>
      <c r="J393" s="314"/>
      <c r="M393" s="350"/>
      <c r="P393" s="225"/>
      <c r="U393" s="315"/>
      <c r="V393" s="315"/>
    </row>
    <row r="394" spans="7:22" ht="16">
      <c r="G394" s="167"/>
      <c r="J394" s="314"/>
      <c r="M394" s="350"/>
      <c r="P394" s="225"/>
      <c r="U394" s="315"/>
      <c r="V394" s="315"/>
    </row>
    <row r="395" spans="7:22" ht="16">
      <c r="G395" s="167"/>
      <c r="J395" s="314"/>
      <c r="M395" s="350"/>
      <c r="P395" s="225"/>
      <c r="U395" s="315"/>
      <c r="V395" s="315"/>
    </row>
    <row r="396" spans="7:22" ht="16">
      <c r="G396" s="167"/>
      <c r="J396" s="314"/>
      <c r="M396" s="350"/>
      <c r="P396" s="225"/>
      <c r="U396" s="315"/>
      <c r="V396" s="315"/>
    </row>
    <row r="397" spans="7:22" ht="16">
      <c r="G397" s="167"/>
      <c r="J397" s="314"/>
      <c r="M397" s="350"/>
      <c r="P397" s="225"/>
      <c r="U397" s="315"/>
      <c r="V397" s="315"/>
    </row>
    <row r="398" spans="7:22" ht="16">
      <c r="G398" s="167"/>
      <c r="J398" s="314"/>
      <c r="M398" s="350"/>
      <c r="P398" s="225"/>
      <c r="U398" s="315"/>
      <c r="V398" s="315"/>
    </row>
    <row r="399" spans="7:22" ht="16">
      <c r="G399" s="167"/>
      <c r="J399" s="314"/>
      <c r="M399" s="350"/>
      <c r="P399" s="225"/>
      <c r="U399" s="315"/>
      <c r="V399" s="315"/>
    </row>
    <row r="400" spans="7:22" ht="16">
      <c r="G400" s="167"/>
      <c r="J400" s="314"/>
      <c r="M400" s="350"/>
      <c r="P400" s="225"/>
      <c r="U400" s="315"/>
      <c r="V400" s="315"/>
    </row>
    <row r="401" spans="7:22" ht="16">
      <c r="G401" s="167"/>
      <c r="J401" s="314"/>
      <c r="M401" s="350"/>
      <c r="P401" s="225"/>
      <c r="U401" s="315"/>
      <c r="V401" s="315"/>
    </row>
    <row r="402" spans="7:22" ht="16">
      <c r="G402" s="167"/>
      <c r="J402" s="314"/>
      <c r="M402" s="350"/>
      <c r="P402" s="225"/>
      <c r="U402" s="315"/>
      <c r="V402" s="315"/>
    </row>
    <row r="403" spans="7:22" ht="16">
      <c r="G403" s="167"/>
      <c r="J403" s="314"/>
      <c r="M403" s="350"/>
      <c r="P403" s="225"/>
      <c r="U403" s="315"/>
      <c r="V403" s="315"/>
    </row>
    <row r="404" spans="7:22" ht="16">
      <c r="G404" s="167"/>
      <c r="J404" s="314"/>
      <c r="M404" s="350"/>
      <c r="P404" s="225"/>
      <c r="U404" s="315"/>
      <c r="V404" s="315"/>
    </row>
    <row r="405" spans="7:22" ht="16">
      <c r="G405" s="167"/>
      <c r="J405" s="314"/>
      <c r="M405" s="350"/>
      <c r="P405" s="225"/>
      <c r="U405" s="315"/>
      <c r="V405" s="315"/>
    </row>
    <row r="406" spans="7:22" ht="16">
      <c r="G406" s="167"/>
      <c r="J406" s="314"/>
      <c r="M406" s="350"/>
      <c r="P406" s="225"/>
      <c r="U406" s="315"/>
      <c r="V406" s="315"/>
    </row>
    <row r="407" spans="7:22" ht="16">
      <c r="G407" s="167"/>
      <c r="J407" s="314"/>
      <c r="M407" s="350"/>
      <c r="P407" s="225"/>
      <c r="U407" s="315"/>
      <c r="V407" s="315"/>
    </row>
    <row r="408" spans="7:22" ht="16">
      <c r="G408" s="167"/>
      <c r="J408" s="314"/>
      <c r="M408" s="350"/>
      <c r="P408" s="225"/>
      <c r="U408" s="315"/>
      <c r="V408" s="315"/>
    </row>
    <row r="409" spans="7:22" ht="16">
      <c r="G409" s="167"/>
      <c r="J409" s="314"/>
      <c r="M409" s="350"/>
      <c r="P409" s="225"/>
      <c r="U409" s="315"/>
      <c r="V409" s="315"/>
    </row>
    <row r="410" spans="7:22" ht="16">
      <c r="G410" s="167"/>
      <c r="J410" s="314"/>
      <c r="M410" s="350"/>
      <c r="P410" s="225"/>
      <c r="U410" s="315"/>
      <c r="V410" s="315"/>
    </row>
    <row r="411" spans="7:22" ht="16">
      <c r="G411" s="167"/>
      <c r="J411" s="314"/>
      <c r="M411" s="350"/>
      <c r="P411" s="225"/>
      <c r="U411" s="315"/>
      <c r="V411" s="315"/>
    </row>
    <row r="412" spans="7:22" ht="16">
      <c r="G412" s="167"/>
      <c r="J412" s="314"/>
      <c r="M412" s="350"/>
      <c r="P412" s="225"/>
      <c r="U412" s="315"/>
      <c r="V412" s="315"/>
    </row>
    <row r="413" spans="7:22" ht="16">
      <c r="G413" s="167"/>
      <c r="J413" s="314"/>
      <c r="M413" s="350"/>
      <c r="P413" s="225"/>
      <c r="U413" s="315"/>
      <c r="V413" s="315"/>
    </row>
    <row r="414" spans="7:22" ht="16">
      <c r="G414" s="167"/>
      <c r="J414" s="314"/>
      <c r="M414" s="350"/>
      <c r="P414" s="225"/>
      <c r="U414" s="315"/>
      <c r="V414" s="315"/>
    </row>
    <row r="415" spans="7:22" ht="16">
      <c r="G415" s="167"/>
      <c r="J415" s="314"/>
      <c r="M415" s="350"/>
      <c r="P415" s="225"/>
      <c r="U415" s="315"/>
      <c r="V415" s="315"/>
    </row>
    <row r="416" spans="7:22" ht="16">
      <c r="G416" s="167"/>
      <c r="J416" s="314"/>
      <c r="M416" s="350"/>
      <c r="P416" s="225"/>
      <c r="U416" s="315"/>
      <c r="V416" s="315"/>
    </row>
    <row r="417" spans="7:22" ht="16">
      <c r="G417" s="167"/>
      <c r="J417" s="314"/>
      <c r="M417" s="350"/>
      <c r="P417" s="225"/>
      <c r="U417" s="315"/>
      <c r="V417" s="315"/>
    </row>
    <row r="418" spans="7:22" ht="16">
      <c r="G418" s="167"/>
      <c r="J418" s="314"/>
      <c r="M418" s="350"/>
      <c r="P418" s="225"/>
      <c r="U418" s="315"/>
      <c r="V418" s="315"/>
    </row>
    <row r="419" spans="7:22" ht="16">
      <c r="G419" s="167"/>
      <c r="J419" s="314"/>
      <c r="M419" s="350"/>
      <c r="P419" s="225"/>
      <c r="U419" s="315"/>
      <c r="V419" s="315"/>
    </row>
    <row r="420" spans="7:22" ht="16">
      <c r="G420" s="167"/>
      <c r="J420" s="314"/>
      <c r="M420" s="350"/>
      <c r="P420" s="225"/>
      <c r="U420" s="315"/>
      <c r="V420" s="315"/>
    </row>
    <row r="421" spans="7:22" ht="16">
      <c r="G421" s="167"/>
      <c r="J421" s="314"/>
      <c r="M421" s="350"/>
      <c r="P421" s="225"/>
      <c r="U421" s="315"/>
      <c r="V421" s="315"/>
    </row>
    <row r="422" spans="7:22" ht="16">
      <c r="G422" s="167"/>
      <c r="J422" s="314"/>
      <c r="M422" s="350"/>
      <c r="P422" s="225"/>
      <c r="U422" s="315"/>
      <c r="V422" s="315"/>
    </row>
    <row r="423" spans="7:22" ht="16">
      <c r="G423" s="167"/>
      <c r="J423" s="314"/>
      <c r="M423" s="350"/>
      <c r="P423" s="225"/>
      <c r="U423" s="315"/>
      <c r="V423" s="315"/>
    </row>
    <row r="424" spans="7:22" ht="16">
      <c r="G424" s="167"/>
      <c r="J424" s="314"/>
      <c r="M424" s="350"/>
      <c r="P424" s="225"/>
      <c r="U424" s="315"/>
      <c r="V424" s="315"/>
    </row>
    <row r="425" spans="7:22" ht="16">
      <c r="G425" s="167"/>
      <c r="J425" s="314"/>
      <c r="M425" s="350"/>
      <c r="P425" s="225"/>
      <c r="U425" s="315"/>
      <c r="V425" s="315"/>
    </row>
    <row r="426" spans="7:22" ht="16">
      <c r="G426" s="167"/>
      <c r="J426" s="314"/>
      <c r="M426" s="350"/>
      <c r="P426" s="225"/>
      <c r="U426" s="315"/>
      <c r="V426" s="315"/>
    </row>
    <row r="427" spans="7:22" ht="16">
      <c r="G427" s="167"/>
      <c r="J427" s="314"/>
      <c r="M427" s="350"/>
      <c r="P427" s="225"/>
      <c r="U427" s="315"/>
      <c r="V427" s="315"/>
    </row>
    <row r="428" spans="7:22" ht="16">
      <c r="G428" s="167"/>
      <c r="J428" s="314"/>
      <c r="M428" s="350"/>
      <c r="P428" s="225"/>
      <c r="U428" s="315"/>
      <c r="V428" s="315"/>
    </row>
    <row r="429" spans="7:22" ht="16">
      <c r="G429" s="167"/>
      <c r="J429" s="314"/>
      <c r="M429" s="350"/>
      <c r="P429" s="225"/>
      <c r="U429" s="315"/>
      <c r="V429" s="315"/>
    </row>
    <row r="430" spans="7:22" ht="16">
      <c r="G430" s="167"/>
      <c r="J430" s="314"/>
      <c r="M430" s="350"/>
      <c r="P430" s="225"/>
      <c r="U430" s="315"/>
      <c r="V430" s="315"/>
    </row>
    <row r="431" spans="7:22" ht="16">
      <c r="G431" s="167"/>
      <c r="J431" s="314"/>
      <c r="M431" s="350"/>
      <c r="P431" s="225"/>
      <c r="U431" s="315"/>
      <c r="V431" s="315"/>
    </row>
    <row r="432" spans="7:22" ht="16">
      <c r="G432" s="167"/>
      <c r="J432" s="314"/>
      <c r="M432" s="350"/>
      <c r="P432" s="225"/>
      <c r="U432" s="315"/>
      <c r="V432" s="315"/>
    </row>
    <row r="433" spans="7:22" ht="16">
      <c r="G433" s="167"/>
      <c r="J433" s="314"/>
      <c r="M433" s="350"/>
      <c r="P433" s="225"/>
      <c r="U433" s="315"/>
      <c r="V433" s="315"/>
    </row>
    <row r="434" spans="7:22" ht="16">
      <c r="G434" s="167"/>
      <c r="J434" s="314"/>
      <c r="M434" s="350"/>
      <c r="P434" s="225"/>
      <c r="U434" s="315"/>
      <c r="V434" s="315"/>
    </row>
    <row r="435" spans="7:22" ht="16">
      <c r="G435" s="167"/>
      <c r="J435" s="314"/>
      <c r="M435" s="350"/>
      <c r="P435" s="225"/>
      <c r="U435" s="315"/>
      <c r="V435" s="315"/>
    </row>
    <row r="436" spans="7:22" ht="16">
      <c r="G436" s="167"/>
      <c r="J436" s="314"/>
      <c r="M436" s="350"/>
      <c r="P436" s="225"/>
      <c r="U436" s="315"/>
      <c r="V436" s="315"/>
    </row>
    <row r="437" spans="7:22" ht="16">
      <c r="G437" s="167"/>
      <c r="J437" s="314"/>
      <c r="M437" s="350"/>
      <c r="P437" s="225"/>
      <c r="U437" s="315"/>
      <c r="V437" s="315"/>
    </row>
    <row r="438" spans="7:22" ht="16">
      <c r="G438" s="167"/>
      <c r="J438" s="314"/>
      <c r="M438" s="350"/>
      <c r="P438" s="225"/>
      <c r="U438" s="315"/>
      <c r="V438" s="315"/>
    </row>
    <row r="439" spans="7:22" ht="16">
      <c r="G439" s="167"/>
      <c r="J439" s="314"/>
      <c r="M439" s="350"/>
      <c r="P439" s="225"/>
      <c r="U439" s="315"/>
      <c r="V439" s="315"/>
    </row>
    <row r="440" spans="7:22" ht="16">
      <c r="G440" s="167"/>
      <c r="J440" s="314"/>
      <c r="M440" s="350"/>
      <c r="P440" s="225"/>
      <c r="U440" s="315"/>
      <c r="V440" s="315"/>
    </row>
    <row r="441" spans="7:22" ht="16">
      <c r="G441" s="167"/>
      <c r="J441" s="314"/>
      <c r="M441" s="350"/>
      <c r="P441" s="225"/>
      <c r="U441" s="315"/>
      <c r="V441" s="315"/>
    </row>
    <row r="442" spans="7:22" ht="16">
      <c r="G442" s="167"/>
      <c r="J442" s="314"/>
      <c r="M442" s="350"/>
      <c r="P442" s="225"/>
      <c r="U442" s="315"/>
      <c r="V442" s="315"/>
    </row>
    <row r="443" spans="7:22" ht="16">
      <c r="G443" s="167"/>
      <c r="J443" s="314"/>
      <c r="M443" s="350"/>
      <c r="P443" s="225"/>
      <c r="U443" s="315"/>
      <c r="V443" s="315"/>
    </row>
    <row r="444" spans="7:22" ht="16">
      <c r="G444" s="167"/>
      <c r="J444" s="314"/>
      <c r="M444" s="350"/>
      <c r="P444" s="225"/>
      <c r="U444" s="315"/>
      <c r="V444" s="315"/>
    </row>
    <row r="445" spans="7:22" ht="16">
      <c r="G445" s="167"/>
      <c r="J445" s="314"/>
      <c r="M445" s="350"/>
      <c r="P445" s="225"/>
      <c r="U445" s="315"/>
      <c r="V445" s="315"/>
    </row>
    <row r="446" spans="7:22" ht="16">
      <c r="G446" s="167"/>
      <c r="J446" s="314"/>
      <c r="M446" s="350"/>
      <c r="P446" s="225"/>
      <c r="U446" s="315"/>
      <c r="V446" s="315"/>
    </row>
    <row r="447" spans="7:22" ht="16">
      <c r="G447" s="167"/>
      <c r="J447" s="314"/>
      <c r="M447" s="350"/>
      <c r="P447" s="225"/>
      <c r="U447" s="315"/>
      <c r="V447" s="315"/>
    </row>
    <row r="448" spans="7:22" ht="16">
      <c r="G448" s="167"/>
      <c r="J448" s="314"/>
      <c r="M448" s="350"/>
      <c r="P448" s="225"/>
      <c r="U448" s="315"/>
      <c r="V448" s="315"/>
    </row>
    <row r="449" spans="7:22" ht="16">
      <c r="G449" s="167"/>
      <c r="J449" s="314"/>
      <c r="M449" s="350"/>
      <c r="P449" s="225"/>
      <c r="U449" s="315"/>
      <c r="V449" s="315"/>
    </row>
    <row r="450" spans="7:22" ht="16">
      <c r="G450" s="167"/>
      <c r="J450" s="314"/>
      <c r="M450" s="350"/>
      <c r="P450" s="225"/>
      <c r="U450" s="315"/>
      <c r="V450" s="315"/>
    </row>
    <row r="451" spans="7:22" ht="16">
      <c r="G451" s="167"/>
      <c r="J451" s="314"/>
      <c r="M451" s="350"/>
      <c r="P451" s="225"/>
      <c r="U451" s="315"/>
      <c r="V451" s="315"/>
    </row>
    <row r="452" spans="7:22" ht="16">
      <c r="G452" s="167"/>
      <c r="J452" s="314"/>
      <c r="M452" s="350"/>
      <c r="P452" s="225"/>
      <c r="U452" s="315"/>
      <c r="V452" s="315"/>
    </row>
    <row r="453" spans="7:22" ht="16">
      <c r="G453" s="167"/>
      <c r="J453" s="314"/>
      <c r="M453" s="350"/>
      <c r="P453" s="225"/>
      <c r="U453" s="315"/>
      <c r="V453" s="315"/>
    </row>
    <row r="454" spans="7:22" ht="16">
      <c r="G454" s="167"/>
      <c r="J454" s="314"/>
      <c r="M454" s="350"/>
      <c r="P454" s="225"/>
      <c r="U454" s="315"/>
      <c r="V454" s="315"/>
    </row>
    <row r="455" spans="7:22" ht="16">
      <c r="G455" s="167"/>
      <c r="J455" s="314"/>
      <c r="M455" s="350"/>
      <c r="P455" s="225"/>
      <c r="U455" s="315"/>
      <c r="V455" s="315"/>
    </row>
    <row r="456" spans="7:22" ht="16">
      <c r="G456" s="167"/>
      <c r="J456" s="314"/>
      <c r="M456" s="350"/>
      <c r="P456" s="225"/>
      <c r="U456" s="315"/>
      <c r="V456" s="315"/>
    </row>
    <row r="457" spans="7:22" ht="16">
      <c r="G457" s="167"/>
      <c r="J457" s="314"/>
      <c r="M457" s="350"/>
      <c r="P457" s="225"/>
      <c r="U457" s="315"/>
      <c r="V457" s="315"/>
    </row>
    <row r="458" spans="7:22" ht="16">
      <c r="G458" s="167"/>
      <c r="J458" s="314"/>
      <c r="M458" s="350"/>
      <c r="P458" s="225"/>
      <c r="U458" s="315"/>
      <c r="V458" s="315"/>
    </row>
    <row r="459" spans="7:22" ht="16">
      <c r="G459" s="167"/>
      <c r="J459" s="314"/>
      <c r="M459" s="350"/>
      <c r="P459" s="225"/>
      <c r="U459" s="315"/>
      <c r="V459" s="315"/>
    </row>
    <row r="460" spans="7:22" ht="16">
      <c r="G460" s="167"/>
      <c r="J460" s="314"/>
      <c r="M460" s="350"/>
      <c r="P460" s="225"/>
      <c r="U460" s="315"/>
      <c r="V460" s="315"/>
    </row>
    <row r="461" spans="7:22" ht="16">
      <c r="G461" s="167"/>
      <c r="J461" s="314"/>
      <c r="M461" s="350"/>
      <c r="P461" s="225"/>
      <c r="U461" s="315"/>
      <c r="V461" s="315"/>
    </row>
    <row r="462" spans="7:22" ht="16">
      <c r="G462" s="167"/>
      <c r="J462" s="314"/>
      <c r="M462" s="350"/>
      <c r="P462" s="225"/>
      <c r="U462" s="315"/>
      <c r="V462" s="315"/>
    </row>
    <row r="463" spans="7:22" ht="16">
      <c r="G463" s="167"/>
      <c r="J463" s="314"/>
      <c r="M463" s="350"/>
      <c r="P463" s="225"/>
      <c r="U463" s="315"/>
      <c r="V463" s="315"/>
    </row>
    <row r="464" spans="7:22" ht="16">
      <c r="G464" s="167"/>
      <c r="J464" s="314"/>
      <c r="M464" s="350"/>
      <c r="P464" s="225"/>
      <c r="U464" s="315"/>
      <c r="V464" s="315"/>
    </row>
    <row r="465" spans="7:22" ht="16">
      <c r="G465" s="167"/>
      <c r="J465" s="314"/>
      <c r="M465" s="350"/>
      <c r="P465" s="225"/>
      <c r="U465" s="315"/>
      <c r="V465" s="315"/>
    </row>
    <row r="466" spans="7:22" ht="16">
      <c r="G466" s="167"/>
      <c r="J466" s="314"/>
      <c r="M466" s="350"/>
      <c r="P466" s="225"/>
      <c r="U466" s="315"/>
      <c r="V466" s="315"/>
    </row>
    <row r="467" spans="7:22" ht="16">
      <c r="G467" s="167"/>
      <c r="J467" s="314"/>
      <c r="M467" s="350"/>
      <c r="P467" s="225"/>
      <c r="U467" s="315"/>
      <c r="V467" s="315"/>
    </row>
    <row r="468" spans="7:22" ht="16">
      <c r="G468" s="167"/>
      <c r="J468" s="314"/>
      <c r="M468" s="350"/>
      <c r="P468" s="225"/>
      <c r="U468" s="315"/>
      <c r="V468" s="315"/>
    </row>
    <row r="469" spans="7:22" ht="16">
      <c r="G469" s="167"/>
      <c r="J469" s="314"/>
      <c r="M469" s="350"/>
      <c r="P469" s="225"/>
      <c r="U469" s="315"/>
      <c r="V469" s="315"/>
    </row>
    <row r="470" spans="7:22" ht="16">
      <c r="G470" s="167"/>
      <c r="J470" s="314"/>
      <c r="M470" s="350"/>
      <c r="P470" s="225"/>
      <c r="U470" s="315"/>
      <c r="V470" s="315"/>
    </row>
    <row r="471" spans="7:22" ht="16">
      <c r="G471" s="167"/>
      <c r="J471" s="314"/>
      <c r="M471" s="350"/>
      <c r="P471" s="225"/>
      <c r="U471" s="315"/>
      <c r="V471" s="315"/>
    </row>
    <row r="472" spans="7:22" ht="16">
      <c r="G472" s="167"/>
      <c r="J472" s="314"/>
      <c r="M472" s="350"/>
      <c r="P472" s="225"/>
      <c r="U472" s="315"/>
      <c r="V472" s="315"/>
    </row>
    <row r="473" spans="7:22" ht="16">
      <c r="G473" s="167"/>
      <c r="J473" s="314"/>
      <c r="M473" s="350"/>
      <c r="P473" s="225"/>
      <c r="U473" s="315"/>
      <c r="V473" s="315"/>
    </row>
    <row r="474" spans="7:22" ht="16">
      <c r="G474" s="167"/>
      <c r="J474" s="314"/>
      <c r="M474" s="350"/>
      <c r="P474" s="225"/>
      <c r="U474" s="315"/>
      <c r="V474" s="315"/>
    </row>
    <row r="475" spans="7:22" ht="16">
      <c r="G475" s="167"/>
      <c r="J475" s="314"/>
      <c r="M475" s="350"/>
      <c r="P475" s="225"/>
      <c r="U475" s="315"/>
      <c r="V475" s="315"/>
    </row>
    <row r="476" spans="7:22" ht="16">
      <c r="G476" s="167"/>
      <c r="J476" s="314"/>
      <c r="M476" s="350"/>
      <c r="P476" s="225"/>
      <c r="U476" s="315"/>
      <c r="V476" s="315"/>
    </row>
    <row r="477" spans="7:22" ht="16">
      <c r="G477" s="167"/>
      <c r="J477" s="314"/>
      <c r="M477" s="350"/>
      <c r="P477" s="225"/>
      <c r="U477" s="315"/>
      <c r="V477" s="315"/>
    </row>
    <row r="478" spans="7:22" ht="16">
      <c r="G478" s="167"/>
      <c r="J478" s="314"/>
      <c r="M478" s="350"/>
      <c r="P478" s="225"/>
      <c r="U478" s="315"/>
      <c r="V478" s="315"/>
    </row>
    <row r="479" spans="7:22" ht="16">
      <c r="G479" s="167"/>
      <c r="J479" s="314"/>
      <c r="M479" s="350"/>
      <c r="P479" s="225"/>
      <c r="U479" s="315"/>
      <c r="V479" s="315"/>
    </row>
    <row r="480" spans="7:22" ht="16">
      <c r="G480" s="167"/>
      <c r="J480" s="314"/>
      <c r="M480" s="350"/>
      <c r="P480" s="225"/>
      <c r="U480" s="315"/>
      <c r="V480" s="315"/>
    </row>
    <row r="481" spans="7:22" ht="16">
      <c r="G481" s="167"/>
      <c r="J481" s="314"/>
      <c r="M481" s="350"/>
      <c r="P481" s="225"/>
      <c r="U481" s="315"/>
      <c r="V481" s="315"/>
    </row>
    <row r="482" spans="7:22" ht="16">
      <c r="G482" s="167"/>
      <c r="J482" s="314"/>
      <c r="M482" s="350"/>
      <c r="P482" s="225"/>
      <c r="U482" s="315"/>
      <c r="V482" s="315"/>
    </row>
    <row r="483" spans="7:22" ht="16">
      <c r="G483" s="167"/>
      <c r="J483" s="314"/>
      <c r="M483" s="350"/>
      <c r="P483" s="225"/>
      <c r="U483" s="315"/>
      <c r="V483" s="315"/>
    </row>
    <row r="484" spans="7:22" ht="16">
      <c r="G484" s="167"/>
      <c r="J484" s="314"/>
      <c r="M484" s="350"/>
      <c r="P484" s="225"/>
      <c r="U484" s="315"/>
      <c r="V484" s="315"/>
    </row>
    <row r="485" spans="7:22" ht="16">
      <c r="G485" s="167"/>
      <c r="J485" s="314"/>
      <c r="M485" s="350"/>
      <c r="P485" s="225"/>
      <c r="U485" s="315"/>
      <c r="V485" s="315"/>
    </row>
    <row r="486" spans="7:22" ht="16">
      <c r="G486" s="167"/>
      <c r="J486" s="314"/>
      <c r="M486" s="350"/>
      <c r="P486" s="225"/>
      <c r="U486" s="315"/>
      <c r="V486" s="315"/>
    </row>
    <row r="487" spans="7:22" ht="16">
      <c r="G487" s="167"/>
      <c r="J487" s="314"/>
      <c r="M487" s="350"/>
      <c r="P487" s="225"/>
      <c r="U487" s="315"/>
      <c r="V487" s="315"/>
    </row>
    <row r="488" spans="7:22" ht="16">
      <c r="G488" s="167"/>
      <c r="J488" s="314"/>
      <c r="M488" s="350"/>
      <c r="P488" s="225"/>
      <c r="U488" s="315"/>
      <c r="V488" s="315"/>
    </row>
    <row r="489" spans="7:22" ht="16">
      <c r="G489" s="167"/>
      <c r="J489" s="314"/>
      <c r="M489" s="350"/>
      <c r="P489" s="225"/>
      <c r="U489" s="315"/>
      <c r="V489" s="315"/>
    </row>
    <row r="490" spans="7:22" ht="16">
      <c r="G490" s="167"/>
      <c r="J490" s="314"/>
      <c r="M490" s="350"/>
      <c r="P490" s="225"/>
      <c r="U490" s="315"/>
      <c r="V490" s="315"/>
    </row>
    <row r="491" spans="7:22" ht="16">
      <c r="G491" s="167"/>
      <c r="J491" s="314"/>
      <c r="M491" s="350"/>
      <c r="P491" s="225"/>
      <c r="U491" s="315"/>
      <c r="V491" s="315"/>
    </row>
    <row r="492" spans="7:22" ht="16">
      <c r="G492" s="167"/>
      <c r="J492" s="314"/>
      <c r="M492" s="350"/>
      <c r="P492" s="225"/>
      <c r="U492" s="315"/>
      <c r="V492" s="315"/>
    </row>
    <row r="493" spans="7:22" ht="16">
      <c r="G493" s="167"/>
      <c r="J493" s="314"/>
      <c r="M493" s="350"/>
      <c r="P493" s="225"/>
      <c r="U493" s="315"/>
      <c r="V493" s="315"/>
    </row>
    <row r="494" spans="7:22" ht="16">
      <c r="G494" s="167"/>
      <c r="J494" s="314"/>
      <c r="M494" s="350"/>
      <c r="P494" s="225"/>
      <c r="U494" s="315"/>
      <c r="V494" s="315"/>
    </row>
    <row r="495" spans="7:22" ht="16">
      <c r="G495" s="167"/>
      <c r="J495" s="314"/>
      <c r="M495" s="350"/>
      <c r="P495" s="225"/>
      <c r="U495" s="315"/>
      <c r="V495" s="315"/>
    </row>
    <row r="496" spans="7:22" ht="16">
      <c r="G496" s="167"/>
      <c r="J496" s="314"/>
      <c r="M496" s="350"/>
      <c r="P496" s="225"/>
      <c r="U496" s="315"/>
      <c r="V496" s="315"/>
    </row>
    <row r="497" spans="7:22" ht="16">
      <c r="G497" s="167"/>
      <c r="J497" s="314"/>
      <c r="M497" s="350"/>
      <c r="P497" s="225"/>
      <c r="U497" s="315"/>
      <c r="V497" s="315"/>
    </row>
    <row r="498" spans="7:22" ht="16">
      <c r="G498" s="167"/>
      <c r="J498" s="314"/>
      <c r="M498" s="350"/>
      <c r="P498" s="225"/>
      <c r="U498" s="315"/>
      <c r="V498" s="315"/>
    </row>
    <row r="499" spans="7:22" ht="16">
      <c r="G499" s="167"/>
      <c r="J499" s="314"/>
      <c r="M499" s="350"/>
      <c r="P499" s="225"/>
      <c r="U499" s="315"/>
      <c r="V499" s="315"/>
    </row>
    <row r="500" spans="7:22" ht="16">
      <c r="G500" s="167"/>
      <c r="J500" s="314"/>
      <c r="M500" s="350"/>
      <c r="P500" s="225"/>
      <c r="U500" s="315"/>
      <c r="V500" s="315"/>
    </row>
    <row r="501" spans="7:22" ht="16">
      <c r="G501" s="167"/>
      <c r="J501" s="314"/>
      <c r="M501" s="350"/>
      <c r="P501" s="225"/>
      <c r="U501" s="315"/>
      <c r="V501" s="315"/>
    </row>
    <row r="502" spans="7:22" ht="16">
      <c r="G502" s="167"/>
      <c r="J502" s="314"/>
      <c r="M502" s="350"/>
      <c r="P502" s="225"/>
      <c r="U502" s="315"/>
      <c r="V502" s="315"/>
    </row>
    <row r="503" spans="7:22" ht="16">
      <c r="G503" s="167"/>
      <c r="J503" s="314"/>
      <c r="M503" s="350"/>
      <c r="P503" s="225"/>
      <c r="U503" s="315"/>
      <c r="V503" s="315"/>
    </row>
    <row r="504" spans="7:22" ht="16">
      <c r="G504" s="167"/>
      <c r="J504" s="314"/>
      <c r="M504" s="350"/>
      <c r="P504" s="225"/>
      <c r="U504" s="315"/>
      <c r="V504" s="315"/>
    </row>
    <row r="505" spans="7:22" ht="16">
      <c r="G505" s="167"/>
      <c r="J505" s="314"/>
      <c r="M505" s="350"/>
      <c r="P505" s="225"/>
      <c r="U505" s="315"/>
      <c r="V505" s="315"/>
    </row>
    <row r="506" spans="7:22" ht="16">
      <c r="G506" s="167"/>
      <c r="J506" s="314"/>
      <c r="M506" s="350"/>
      <c r="P506" s="225"/>
      <c r="U506" s="315"/>
      <c r="V506" s="315"/>
    </row>
    <row r="507" spans="7:22" ht="16">
      <c r="G507" s="167"/>
      <c r="J507" s="314"/>
      <c r="M507" s="350"/>
      <c r="P507" s="225"/>
      <c r="U507" s="315"/>
      <c r="V507" s="315"/>
    </row>
    <row r="508" spans="7:22" ht="16">
      <c r="G508" s="167"/>
      <c r="J508" s="314"/>
      <c r="M508" s="350"/>
      <c r="P508" s="225"/>
      <c r="U508" s="315"/>
      <c r="V508" s="315"/>
    </row>
    <row r="509" spans="7:22" ht="16">
      <c r="G509" s="167"/>
      <c r="J509" s="314"/>
      <c r="M509" s="350"/>
      <c r="P509" s="225"/>
      <c r="U509" s="315"/>
      <c r="V509" s="315"/>
    </row>
    <row r="510" spans="7:22" ht="16">
      <c r="G510" s="167"/>
      <c r="J510" s="314"/>
      <c r="M510" s="350"/>
      <c r="P510" s="225"/>
      <c r="U510" s="315"/>
      <c r="V510" s="315"/>
    </row>
    <row r="511" spans="7:22" ht="16">
      <c r="G511" s="167"/>
      <c r="J511" s="314"/>
      <c r="M511" s="350"/>
      <c r="P511" s="225"/>
      <c r="U511" s="315"/>
      <c r="V511" s="315"/>
    </row>
    <row r="512" spans="7:22" ht="16">
      <c r="G512" s="167"/>
      <c r="J512" s="314"/>
      <c r="M512" s="350"/>
      <c r="P512" s="225"/>
      <c r="U512" s="315"/>
      <c r="V512" s="315"/>
    </row>
    <row r="513" spans="7:22" ht="16">
      <c r="G513" s="167"/>
      <c r="J513" s="314"/>
      <c r="M513" s="350"/>
      <c r="P513" s="225"/>
      <c r="U513" s="315"/>
      <c r="V513" s="315"/>
    </row>
    <row r="514" spans="7:22" ht="16">
      <c r="G514" s="167"/>
      <c r="J514" s="314"/>
      <c r="M514" s="350"/>
      <c r="P514" s="225"/>
      <c r="U514" s="315"/>
      <c r="V514" s="315"/>
    </row>
    <row r="515" spans="7:22" ht="16">
      <c r="G515" s="167"/>
      <c r="J515" s="314"/>
      <c r="M515" s="350"/>
      <c r="P515" s="225"/>
      <c r="U515" s="315"/>
      <c r="V515" s="315"/>
    </row>
    <row r="516" spans="7:22" ht="16">
      <c r="G516" s="167"/>
      <c r="J516" s="314"/>
      <c r="M516" s="350"/>
      <c r="P516" s="225"/>
      <c r="U516" s="315"/>
      <c r="V516" s="315"/>
    </row>
    <row r="517" spans="7:22" ht="16">
      <c r="G517" s="167"/>
      <c r="J517" s="314"/>
      <c r="M517" s="350"/>
      <c r="P517" s="225"/>
      <c r="U517" s="315"/>
      <c r="V517" s="315"/>
    </row>
    <row r="518" spans="7:22" ht="16">
      <c r="G518" s="167"/>
      <c r="J518" s="314"/>
      <c r="M518" s="350"/>
      <c r="P518" s="225"/>
      <c r="U518" s="315"/>
      <c r="V518" s="315"/>
    </row>
    <row r="519" spans="7:22" ht="16">
      <c r="G519" s="167"/>
      <c r="J519" s="314"/>
      <c r="M519" s="350"/>
      <c r="P519" s="225"/>
      <c r="U519" s="315"/>
      <c r="V519" s="315"/>
    </row>
    <row r="520" spans="7:22" ht="16">
      <c r="G520" s="167"/>
      <c r="J520" s="314"/>
      <c r="M520" s="350"/>
      <c r="P520" s="225"/>
      <c r="U520" s="315"/>
      <c r="V520" s="315"/>
    </row>
    <row r="521" spans="7:22" ht="16">
      <c r="G521" s="167"/>
      <c r="J521" s="314"/>
      <c r="M521" s="350"/>
      <c r="P521" s="225"/>
      <c r="U521" s="315"/>
      <c r="V521" s="315"/>
    </row>
    <row r="522" spans="7:22" ht="16">
      <c r="G522" s="167"/>
      <c r="J522" s="314"/>
      <c r="M522" s="350"/>
      <c r="P522" s="225"/>
      <c r="U522" s="315"/>
      <c r="V522" s="315"/>
    </row>
    <row r="523" spans="7:22" ht="16">
      <c r="G523" s="167"/>
      <c r="J523" s="314"/>
      <c r="M523" s="350"/>
      <c r="P523" s="225"/>
      <c r="U523" s="315"/>
      <c r="V523" s="315"/>
    </row>
    <row r="524" spans="7:22" ht="16">
      <c r="G524" s="167"/>
      <c r="J524" s="314"/>
      <c r="M524" s="350"/>
      <c r="P524" s="225"/>
      <c r="U524" s="315"/>
      <c r="V524" s="315"/>
    </row>
    <row r="525" spans="7:22" ht="16">
      <c r="G525" s="167"/>
      <c r="J525" s="314"/>
      <c r="M525" s="350"/>
      <c r="P525" s="225"/>
      <c r="U525" s="315"/>
      <c r="V525" s="315"/>
    </row>
    <row r="526" spans="7:22" ht="16">
      <c r="G526" s="167"/>
      <c r="J526" s="314"/>
      <c r="M526" s="350"/>
      <c r="P526" s="225"/>
      <c r="U526" s="315"/>
      <c r="V526" s="315"/>
    </row>
    <row r="527" spans="7:22" ht="16">
      <c r="G527" s="167"/>
      <c r="J527" s="314"/>
      <c r="M527" s="350"/>
      <c r="P527" s="225"/>
      <c r="U527" s="315"/>
      <c r="V527" s="315"/>
    </row>
    <row r="528" spans="7:22" ht="16">
      <c r="G528" s="167"/>
      <c r="J528" s="314"/>
      <c r="M528" s="350"/>
      <c r="P528" s="225"/>
      <c r="U528" s="315"/>
      <c r="V528" s="315"/>
    </row>
    <row r="529" spans="7:22" ht="16">
      <c r="G529" s="167"/>
      <c r="J529" s="314"/>
      <c r="M529" s="350"/>
      <c r="P529" s="225"/>
      <c r="U529" s="315"/>
      <c r="V529" s="315"/>
    </row>
    <row r="530" spans="7:22" ht="16">
      <c r="G530" s="167"/>
      <c r="J530" s="314"/>
      <c r="M530" s="350"/>
      <c r="P530" s="225"/>
      <c r="U530" s="315"/>
      <c r="V530" s="315"/>
    </row>
    <row r="531" spans="7:22" ht="16">
      <c r="G531" s="167"/>
      <c r="J531" s="314"/>
      <c r="M531" s="350"/>
      <c r="P531" s="225"/>
      <c r="U531" s="315"/>
      <c r="V531" s="315"/>
    </row>
    <row r="532" spans="7:22" ht="16">
      <c r="G532" s="167"/>
      <c r="J532" s="314"/>
      <c r="M532" s="350"/>
      <c r="P532" s="225"/>
      <c r="U532" s="315"/>
      <c r="V532" s="315"/>
    </row>
    <row r="533" spans="7:22" ht="16">
      <c r="G533" s="167"/>
      <c r="J533" s="314"/>
      <c r="M533" s="350"/>
      <c r="P533" s="225"/>
      <c r="U533" s="315"/>
      <c r="V533" s="315"/>
    </row>
    <row r="534" spans="7:22" ht="16">
      <c r="G534" s="167"/>
      <c r="J534" s="314"/>
      <c r="M534" s="350"/>
      <c r="P534" s="225"/>
      <c r="U534" s="315"/>
      <c r="V534" s="315"/>
    </row>
    <row r="535" spans="7:22" ht="16">
      <c r="G535" s="167"/>
      <c r="J535" s="314"/>
      <c r="M535" s="350"/>
      <c r="P535" s="225"/>
      <c r="U535" s="315"/>
      <c r="V535" s="315"/>
    </row>
    <row r="536" spans="7:22" ht="16">
      <c r="G536" s="167"/>
      <c r="J536" s="314"/>
      <c r="M536" s="350"/>
      <c r="P536" s="225"/>
      <c r="U536" s="315"/>
      <c r="V536" s="315"/>
    </row>
    <row r="537" spans="7:22" ht="16">
      <c r="G537" s="167"/>
      <c r="J537" s="314"/>
      <c r="M537" s="350"/>
      <c r="P537" s="225"/>
      <c r="U537" s="315"/>
      <c r="V537" s="315"/>
    </row>
    <row r="538" spans="7:22" ht="16">
      <c r="G538" s="167"/>
      <c r="J538" s="314"/>
      <c r="M538" s="350"/>
      <c r="P538" s="225"/>
      <c r="U538" s="315"/>
      <c r="V538" s="315"/>
    </row>
    <row r="539" spans="7:22" ht="16">
      <c r="G539" s="167"/>
      <c r="J539" s="314"/>
      <c r="M539" s="350"/>
      <c r="P539" s="225"/>
      <c r="U539" s="315"/>
      <c r="V539" s="315"/>
    </row>
    <row r="540" spans="7:22" ht="16">
      <c r="G540" s="167"/>
      <c r="J540" s="314"/>
      <c r="M540" s="350"/>
      <c r="P540" s="225"/>
      <c r="U540" s="315"/>
      <c r="V540" s="315"/>
    </row>
    <row r="541" spans="7:22" ht="16">
      <c r="G541" s="167"/>
      <c r="J541" s="314"/>
      <c r="M541" s="350"/>
      <c r="P541" s="225"/>
      <c r="U541" s="315"/>
      <c r="V541" s="315"/>
    </row>
    <row r="542" spans="7:22" ht="16">
      <c r="G542" s="167"/>
      <c r="J542" s="314"/>
      <c r="M542" s="350"/>
      <c r="P542" s="225"/>
      <c r="U542" s="315"/>
      <c r="V542" s="315"/>
    </row>
    <row r="543" spans="7:22" ht="16">
      <c r="G543" s="167"/>
      <c r="J543" s="314"/>
      <c r="M543" s="350"/>
      <c r="P543" s="225"/>
      <c r="U543" s="315"/>
      <c r="V543" s="315"/>
    </row>
    <row r="544" spans="7:22" ht="16">
      <c r="G544" s="167"/>
      <c r="J544" s="314"/>
      <c r="M544" s="350"/>
      <c r="P544" s="225"/>
      <c r="U544" s="315"/>
      <c r="V544" s="315"/>
    </row>
    <row r="545" spans="7:22" ht="16">
      <c r="G545" s="167"/>
      <c r="J545" s="314"/>
      <c r="M545" s="350"/>
      <c r="P545" s="225"/>
      <c r="U545" s="315"/>
      <c r="V545" s="315"/>
    </row>
    <row r="546" spans="7:22" ht="16">
      <c r="G546" s="167"/>
      <c r="J546" s="314"/>
      <c r="M546" s="350"/>
      <c r="P546" s="225"/>
      <c r="U546" s="315"/>
      <c r="V546" s="315"/>
    </row>
    <row r="547" spans="7:22" ht="16">
      <c r="G547" s="167"/>
      <c r="J547" s="314"/>
      <c r="M547" s="350"/>
      <c r="P547" s="225"/>
      <c r="U547" s="315"/>
      <c r="V547" s="315"/>
    </row>
    <row r="548" spans="7:22" ht="16">
      <c r="G548" s="167"/>
      <c r="J548" s="314"/>
      <c r="M548" s="350"/>
      <c r="P548" s="225"/>
      <c r="U548" s="315"/>
      <c r="V548" s="315"/>
    </row>
    <row r="549" spans="7:22" ht="16">
      <c r="G549" s="167"/>
      <c r="J549" s="314"/>
      <c r="M549" s="350"/>
      <c r="P549" s="225"/>
      <c r="U549" s="315"/>
      <c r="V549" s="315"/>
    </row>
    <row r="550" spans="7:22" ht="16">
      <c r="G550" s="167"/>
      <c r="J550" s="314"/>
      <c r="M550" s="350"/>
      <c r="P550" s="225"/>
      <c r="U550" s="315"/>
      <c r="V550" s="315"/>
    </row>
    <row r="551" spans="7:22" ht="16">
      <c r="G551" s="167"/>
      <c r="J551" s="314"/>
      <c r="M551" s="350"/>
      <c r="P551" s="225"/>
      <c r="U551" s="315"/>
      <c r="V551" s="315"/>
    </row>
    <row r="552" spans="7:22" ht="16">
      <c r="G552" s="167"/>
      <c r="J552" s="314"/>
      <c r="M552" s="350"/>
      <c r="P552" s="225"/>
      <c r="U552" s="315"/>
      <c r="V552" s="315"/>
    </row>
    <row r="553" spans="7:22" ht="16">
      <c r="G553" s="167"/>
      <c r="J553" s="314"/>
      <c r="M553" s="350"/>
      <c r="P553" s="225"/>
      <c r="U553" s="315"/>
      <c r="V553" s="315"/>
    </row>
    <row r="554" spans="7:22" ht="16">
      <c r="G554" s="167"/>
      <c r="J554" s="314"/>
      <c r="M554" s="350"/>
      <c r="P554" s="225"/>
      <c r="U554" s="315"/>
      <c r="V554" s="315"/>
    </row>
    <row r="555" spans="7:22" ht="16">
      <c r="G555" s="167"/>
      <c r="J555" s="314"/>
      <c r="M555" s="350"/>
      <c r="P555" s="225"/>
      <c r="U555" s="315"/>
      <c r="V555" s="315"/>
    </row>
    <row r="556" spans="7:22" ht="16">
      <c r="G556" s="167"/>
      <c r="J556" s="314"/>
      <c r="M556" s="350"/>
      <c r="P556" s="225"/>
      <c r="U556" s="315"/>
      <c r="V556" s="315"/>
    </row>
    <row r="557" spans="7:22" ht="16">
      <c r="G557" s="167"/>
      <c r="J557" s="314"/>
      <c r="M557" s="350"/>
      <c r="P557" s="225"/>
      <c r="U557" s="315"/>
      <c r="V557" s="315"/>
    </row>
    <row r="558" spans="7:22" ht="16">
      <c r="G558" s="167"/>
      <c r="J558" s="314"/>
      <c r="M558" s="350"/>
      <c r="P558" s="225"/>
      <c r="U558" s="315"/>
      <c r="V558" s="315"/>
    </row>
    <row r="559" spans="7:22" ht="16">
      <c r="G559" s="167"/>
      <c r="J559" s="314"/>
      <c r="M559" s="350"/>
      <c r="P559" s="225"/>
      <c r="U559" s="315"/>
      <c r="V559" s="315"/>
    </row>
    <row r="560" spans="7:22" ht="16">
      <c r="G560" s="167"/>
      <c r="J560" s="314"/>
      <c r="M560" s="350"/>
      <c r="P560" s="225"/>
      <c r="U560" s="315"/>
      <c r="V560" s="315"/>
    </row>
    <row r="561" spans="7:22" ht="16">
      <c r="G561" s="167"/>
      <c r="J561" s="314"/>
      <c r="M561" s="350"/>
      <c r="P561" s="225"/>
      <c r="U561" s="315"/>
      <c r="V561" s="315"/>
    </row>
    <row r="562" spans="7:22" ht="16">
      <c r="G562" s="167"/>
      <c r="J562" s="314"/>
      <c r="M562" s="350"/>
      <c r="P562" s="225"/>
      <c r="U562" s="315"/>
      <c r="V562" s="315"/>
    </row>
    <row r="563" spans="7:22" ht="16">
      <c r="G563" s="167"/>
      <c r="J563" s="314"/>
      <c r="M563" s="350"/>
      <c r="P563" s="225"/>
      <c r="U563" s="315"/>
      <c r="V563" s="315"/>
    </row>
    <row r="564" spans="7:22" ht="16">
      <c r="G564" s="167"/>
      <c r="J564" s="314"/>
      <c r="M564" s="350"/>
      <c r="P564" s="225"/>
      <c r="U564" s="315"/>
      <c r="V564" s="315"/>
    </row>
    <row r="565" spans="7:22" ht="16">
      <c r="G565" s="167"/>
      <c r="J565" s="314"/>
      <c r="M565" s="350"/>
      <c r="P565" s="225"/>
      <c r="U565" s="315"/>
      <c r="V565" s="315"/>
    </row>
    <row r="566" spans="7:22" ht="16">
      <c r="G566" s="167"/>
      <c r="J566" s="314"/>
      <c r="M566" s="350"/>
      <c r="P566" s="225"/>
      <c r="U566" s="315"/>
      <c r="V566" s="315"/>
    </row>
    <row r="567" spans="7:22" ht="16">
      <c r="G567" s="167"/>
      <c r="J567" s="314"/>
      <c r="M567" s="350"/>
      <c r="P567" s="225"/>
      <c r="U567" s="315"/>
      <c r="V567" s="315"/>
    </row>
    <row r="568" spans="7:22" ht="16">
      <c r="G568" s="167"/>
      <c r="J568" s="314"/>
      <c r="M568" s="350"/>
      <c r="P568" s="225"/>
      <c r="U568" s="315"/>
      <c r="V568" s="315"/>
    </row>
    <row r="569" spans="7:22" ht="16">
      <c r="G569" s="167"/>
      <c r="J569" s="314"/>
      <c r="M569" s="350"/>
      <c r="P569" s="225"/>
      <c r="U569" s="315"/>
      <c r="V569" s="315"/>
    </row>
    <row r="570" spans="7:22" ht="16">
      <c r="G570" s="167"/>
      <c r="J570" s="314"/>
      <c r="M570" s="350"/>
      <c r="P570" s="225"/>
      <c r="U570" s="315"/>
      <c r="V570" s="315"/>
    </row>
    <row r="571" spans="7:22" ht="16">
      <c r="G571" s="167"/>
      <c r="J571" s="314"/>
      <c r="M571" s="350"/>
      <c r="P571" s="225"/>
      <c r="U571" s="315"/>
      <c r="V571" s="315"/>
    </row>
    <row r="572" spans="7:22" ht="16">
      <c r="G572" s="167"/>
      <c r="J572" s="314"/>
      <c r="M572" s="350"/>
      <c r="P572" s="225"/>
      <c r="U572" s="315"/>
      <c r="V572" s="315"/>
    </row>
    <row r="573" spans="7:22" ht="16">
      <c r="G573" s="167"/>
      <c r="J573" s="314"/>
      <c r="M573" s="350"/>
      <c r="P573" s="225"/>
      <c r="U573" s="315"/>
      <c r="V573" s="315"/>
    </row>
    <row r="574" spans="7:22" ht="16">
      <c r="G574" s="167"/>
      <c r="J574" s="314"/>
      <c r="M574" s="350"/>
      <c r="P574" s="225"/>
      <c r="U574" s="315"/>
      <c r="V574" s="315"/>
    </row>
    <row r="575" spans="7:22" ht="16">
      <c r="G575" s="167"/>
      <c r="J575" s="314"/>
      <c r="M575" s="350"/>
      <c r="P575" s="225"/>
      <c r="U575" s="315"/>
      <c r="V575" s="315"/>
    </row>
    <row r="576" spans="7:22" ht="16">
      <c r="G576" s="167"/>
      <c r="J576" s="314"/>
      <c r="M576" s="350"/>
      <c r="P576" s="225"/>
      <c r="U576" s="315"/>
      <c r="V576" s="315"/>
    </row>
    <row r="577" spans="7:22" ht="16">
      <c r="G577" s="167"/>
      <c r="J577" s="314"/>
      <c r="M577" s="350"/>
      <c r="P577" s="225"/>
      <c r="U577" s="315"/>
      <c r="V577" s="315"/>
    </row>
    <row r="578" spans="7:22" ht="16">
      <c r="G578" s="167"/>
      <c r="J578" s="314"/>
      <c r="M578" s="350"/>
      <c r="P578" s="225"/>
      <c r="U578" s="315"/>
      <c r="V578" s="315"/>
    </row>
    <row r="579" spans="7:22" ht="16">
      <c r="G579" s="167"/>
      <c r="J579" s="314"/>
      <c r="M579" s="350"/>
      <c r="P579" s="225"/>
      <c r="U579" s="315"/>
      <c r="V579" s="315"/>
    </row>
    <row r="580" spans="7:22" ht="16">
      <c r="G580" s="167"/>
      <c r="J580" s="314"/>
      <c r="M580" s="350"/>
      <c r="P580" s="225"/>
      <c r="U580" s="315"/>
      <c r="V580" s="315"/>
    </row>
    <row r="581" spans="7:22" ht="16">
      <c r="G581" s="167"/>
      <c r="J581" s="314"/>
      <c r="M581" s="350"/>
      <c r="P581" s="225"/>
      <c r="U581" s="315"/>
      <c r="V581" s="315"/>
    </row>
    <row r="582" spans="7:22" ht="16">
      <c r="G582" s="167"/>
      <c r="J582" s="314"/>
      <c r="M582" s="350"/>
      <c r="P582" s="225"/>
      <c r="U582" s="315"/>
      <c r="V582" s="315"/>
    </row>
    <row r="583" spans="7:22" ht="16">
      <c r="G583" s="167"/>
      <c r="J583" s="314"/>
      <c r="M583" s="350"/>
      <c r="P583" s="225"/>
      <c r="U583" s="315"/>
      <c r="V583" s="315"/>
    </row>
    <row r="584" spans="7:22" ht="16">
      <c r="G584" s="167"/>
      <c r="J584" s="314"/>
      <c r="M584" s="350"/>
      <c r="P584" s="225"/>
      <c r="U584" s="315"/>
      <c r="V584" s="315"/>
    </row>
    <row r="585" spans="7:22" ht="16">
      <c r="G585" s="167"/>
      <c r="J585" s="314"/>
      <c r="M585" s="350"/>
      <c r="P585" s="225"/>
      <c r="U585" s="315"/>
      <c r="V585" s="315"/>
    </row>
    <row r="586" spans="7:22" ht="16">
      <c r="G586" s="167"/>
      <c r="J586" s="314"/>
      <c r="M586" s="350"/>
      <c r="P586" s="225"/>
      <c r="U586" s="315"/>
      <c r="V586" s="315"/>
    </row>
    <row r="587" spans="7:22" ht="16">
      <c r="G587" s="167"/>
      <c r="J587" s="314"/>
      <c r="M587" s="350"/>
      <c r="P587" s="225"/>
      <c r="U587" s="315"/>
      <c r="V587" s="315"/>
    </row>
    <row r="588" spans="7:22" ht="16">
      <c r="G588" s="167"/>
      <c r="J588" s="314"/>
      <c r="M588" s="350"/>
      <c r="P588" s="225"/>
      <c r="U588" s="315"/>
      <c r="V588" s="315"/>
    </row>
    <row r="589" spans="7:22" ht="16">
      <c r="G589" s="167"/>
      <c r="J589" s="314"/>
      <c r="M589" s="350"/>
      <c r="P589" s="225"/>
      <c r="U589" s="315"/>
      <c r="V589" s="315"/>
    </row>
    <row r="590" spans="7:22" ht="16">
      <c r="G590" s="167"/>
      <c r="J590" s="314"/>
      <c r="M590" s="350"/>
      <c r="P590" s="225"/>
      <c r="U590" s="315"/>
      <c r="V590" s="315"/>
    </row>
    <row r="591" spans="7:22" ht="16">
      <c r="G591" s="167"/>
      <c r="J591" s="314"/>
      <c r="M591" s="350"/>
      <c r="P591" s="225"/>
      <c r="U591" s="315"/>
      <c r="V591" s="315"/>
    </row>
    <row r="592" spans="7:22" ht="16">
      <c r="G592" s="167"/>
      <c r="J592" s="314"/>
      <c r="M592" s="350"/>
      <c r="P592" s="225"/>
      <c r="U592" s="315"/>
      <c r="V592" s="315"/>
    </row>
    <row r="593" spans="7:22" ht="16">
      <c r="G593" s="167"/>
      <c r="J593" s="314"/>
      <c r="M593" s="350"/>
      <c r="P593" s="225"/>
      <c r="U593" s="315"/>
      <c r="V593" s="315"/>
    </row>
    <row r="594" spans="7:22" ht="16">
      <c r="G594" s="167"/>
      <c r="J594" s="314"/>
      <c r="M594" s="350"/>
      <c r="P594" s="225"/>
      <c r="U594" s="315"/>
      <c r="V594" s="315"/>
    </row>
    <row r="595" spans="7:22" ht="16">
      <c r="G595" s="167"/>
      <c r="J595" s="314"/>
      <c r="M595" s="350"/>
      <c r="P595" s="225"/>
      <c r="U595" s="315"/>
      <c r="V595" s="315"/>
    </row>
    <row r="596" spans="7:22" ht="16">
      <c r="G596" s="167"/>
      <c r="J596" s="314"/>
      <c r="M596" s="350"/>
      <c r="P596" s="225"/>
      <c r="U596" s="315"/>
      <c r="V596" s="315"/>
    </row>
    <row r="597" spans="7:22" ht="16">
      <c r="G597" s="167"/>
      <c r="J597" s="314"/>
      <c r="M597" s="350"/>
      <c r="P597" s="225"/>
      <c r="U597" s="315"/>
      <c r="V597" s="315"/>
    </row>
    <row r="598" spans="7:22" ht="16">
      <c r="G598" s="167"/>
      <c r="J598" s="314"/>
      <c r="M598" s="350"/>
      <c r="P598" s="225"/>
      <c r="U598" s="315"/>
      <c r="V598" s="315"/>
    </row>
    <row r="599" spans="7:22" ht="16">
      <c r="G599" s="167"/>
      <c r="J599" s="314"/>
      <c r="M599" s="350"/>
      <c r="P599" s="225"/>
      <c r="U599" s="315"/>
      <c r="V599" s="315"/>
    </row>
    <row r="600" spans="7:22" ht="16">
      <c r="G600" s="167"/>
      <c r="J600" s="314"/>
      <c r="M600" s="350"/>
      <c r="P600" s="225"/>
      <c r="U600" s="315"/>
      <c r="V600" s="315"/>
    </row>
    <row r="601" spans="7:22" ht="16">
      <c r="G601" s="167"/>
      <c r="J601" s="314"/>
      <c r="M601" s="350"/>
      <c r="P601" s="225"/>
      <c r="U601" s="315"/>
      <c r="V601" s="315"/>
    </row>
    <row r="602" spans="7:22" ht="16">
      <c r="G602" s="167"/>
      <c r="J602" s="314"/>
      <c r="M602" s="350"/>
      <c r="P602" s="225"/>
      <c r="U602" s="315"/>
      <c r="V602" s="315"/>
    </row>
    <row r="603" spans="7:22" ht="16">
      <c r="G603" s="167"/>
      <c r="J603" s="314"/>
      <c r="M603" s="350"/>
      <c r="P603" s="225"/>
      <c r="U603" s="315"/>
      <c r="V603" s="315"/>
    </row>
    <row r="604" spans="7:22" ht="16">
      <c r="G604" s="167"/>
      <c r="J604" s="314"/>
      <c r="M604" s="350"/>
      <c r="P604" s="225"/>
      <c r="U604" s="315"/>
      <c r="V604" s="315"/>
    </row>
    <row r="605" spans="7:22" ht="16">
      <c r="G605" s="167"/>
      <c r="J605" s="314"/>
      <c r="M605" s="350"/>
      <c r="P605" s="225"/>
      <c r="U605" s="315"/>
      <c r="V605" s="315"/>
    </row>
    <row r="606" spans="7:22" ht="16">
      <c r="G606" s="167"/>
      <c r="J606" s="314"/>
      <c r="M606" s="350"/>
      <c r="P606" s="225"/>
      <c r="U606" s="315"/>
      <c r="V606" s="315"/>
    </row>
    <row r="607" spans="7:22" ht="16">
      <c r="G607" s="167"/>
      <c r="J607" s="314"/>
      <c r="M607" s="350"/>
      <c r="P607" s="225"/>
      <c r="U607" s="315"/>
      <c r="V607" s="315"/>
    </row>
    <row r="608" spans="7:22" ht="16">
      <c r="G608" s="167"/>
      <c r="J608" s="314"/>
      <c r="M608" s="350"/>
      <c r="P608" s="225"/>
      <c r="U608" s="315"/>
      <c r="V608" s="315"/>
    </row>
    <row r="609" spans="7:22" ht="16">
      <c r="G609" s="167"/>
      <c r="J609" s="314"/>
      <c r="M609" s="350"/>
      <c r="P609" s="225"/>
      <c r="U609" s="315"/>
      <c r="V609" s="315"/>
    </row>
    <row r="610" spans="7:22" ht="16">
      <c r="G610" s="167"/>
      <c r="J610" s="314"/>
      <c r="M610" s="350"/>
      <c r="P610" s="225"/>
      <c r="U610" s="315"/>
      <c r="V610" s="315"/>
    </row>
    <row r="611" spans="7:22" ht="16">
      <c r="G611" s="167"/>
      <c r="J611" s="314"/>
      <c r="M611" s="350"/>
      <c r="P611" s="225"/>
      <c r="U611" s="315"/>
      <c r="V611" s="315"/>
    </row>
    <row r="612" spans="7:22" ht="16">
      <c r="G612" s="167"/>
      <c r="J612" s="314"/>
      <c r="M612" s="350"/>
      <c r="P612" s="225"/>
      <c r="U612" s="315"/>
      <c r="V612" s="315"/>
    </row>
    <row r="613" spans="7:22" ht="16">
      <c r="G613" s="167"/>
      <c r="J613" s="314"/>
      <c r="M613" s="350"/>
      <c r="P613" s="225"/>
      <c r="U613" s="315"/>
      <c r="V613" s="315"/>
    </row>
    <row r="614" spans="7:22" ht="16">
      <c r="G614" s="167"/>
      <c r="J614" s="314"/>
      <c r="M614" s="350"/>
      <c r="P614" s="225"/>
      <c r="U614" s="315"/>
      <c r="V614" s="315"/>
    </row>
    <row r="615" spans="7:22" ht="16">
      <c r="G615" s="167"/>
      <c r="J615" s="314"/>
      <c r="M615" s="350"/>
      <c r="P615" s="225"/>
      <c r="U615" s="315"/>
      <c r="V615" s="315"/>
    </row>
    <row r="616" spans="7:22" ht="16">
      <c r="G616" s="167"/>
      <c r="J616" s="314"/>
      <c r="M616" s="350"/>
      <c r="P616" s="225"/>
      <c r="U616" s="315"/>
      <c r="V616" s="315"/>
    </row>
    <row r="617" spans="7:22" ht="16">
      <c r="G617" s="167"/>
      <c r="J617" s="314"/>
      <c r="M617" s="350"/>
      <c r="P617" s="225"/>
      <c r="U617" s="315"/>
      <c r="V617" s="315"/>
    </row>
    <row r="618" spans="7:22" ht="16">
      <c r="G618" s="167"/>
      <c r="J618" s="314"/>
      <c r="M618" s="350"/>
      <c r="P618" s="225"/>
      <c r="U618" s="315"/>
      <c r="V618" s="315"/>
    </row>
    <row r="619" spans="7:22" ht="16">
      <c r="G619" s="167"/>
      <c r="J619" s="314"/>
      <c r="M619" s="350"/>
      <c r="P619" s="225"/>
      <c r="U619" s="315"/>
      <c r="V619" s="315"/>
    </row>
    <row r="620" spans="7:22" ht="16">
      <c r="G620" s="167"/>
      <c r="J620" s="314"/>
      <c r="M620" s="350"/>
      <c r="P620" s="225"/>
      <c r="U620" s="315"/>
      <c r="V620" s="315"/>
    </row>
    <row r="621" spans="7:22" ht="16">
      <c r="G621" s="167"/>
      <c r="J621" s="314"/>
      <c r="M621" s="350"/>
      <c r="P621" s="225"/>
      <c r="U621" s="315"/>
      <c r="V621" s="315"/>
    </row>
    <row r="622" spans="7:22" ht="16">
      <c r="G622" s="167"/>
      <c r="J622" s="314"/>
      <c r="M622" s="350"/>
      <c r="P622" s="225"/>
      <c r="U622" s="315"/>
      <c r="V622" s="315"/>
    </row>
    <row r="623" spans="7:22" ht="16">
      <c r="G623" s="167"/>
      <c r="J623" s="314"/>
      <c r="M623" s="350"/>
      <c r="P623" s="225"/>
      <c r="U623" s="315"/>
      <c r="V623" s="315"/>
    </row>
    <row r="624" spans="7:22" ht="16">
      <c r="G624" s="167"/>
      <c r="J624" s="314"/>
      <c r="M624" s="350"/>
      <c r="P624" s="225"/>
      <c r="U624" s="315"/>
      <c r="V624" s="315"/>
    </row>
    <row r="625" spans="7:22" ht="16">
      <c r="G625" s="167"/>
      <c r="J625" s="314"/>
      <c r="M625" s="350"/>
      <c r="P625" s="225"/>
      <c r="U625" s="315"/>
      <c r="V625" s="315"/>
    </row>
    <row r="626" spans="7:22" ht="16">
      <c r="G626" s="167"/>
      <c r="J626" s="314"/>
      <c r="M626" s="350"/>
      <c r="P626" s="225"/>
      <c r="U626" s="315"/>
      <c r="V626" s="315"/>
    </row>
    <row r="627" spans="7:22" ht="16">
      <c r="G627" s="167"/>
      <c r="J627" s="314"/>
      <c r="M627" s="350"/>
      <c r="P627" s="225"/>
      <c r="U627" s="315"/>
      <c r="V627" s="315"/>
    </row>
    <row r="628" spans="7:22" ht="16">
      <c r="G628" s="167"/>
      <c r="J628" s="314"/>
      <c r="M628" s="350"/>
      <c r="P628" s="225"/>
      <c r="U628" s="315"/>
      <c r="V628" s="315"/>
    </row>
    <row r="629" spans="7:22" ht="16">
      <c r="G629" s="167"/>
      <c r="J629" s="314"/>
      <c r="M629" s="350"/>
      <c r="P629" s="225"/>
      <c r="U629" s="315"/>
      <c r="V629" s="315"/>
    </row>
    <row r="630" spans="7:22" ht="16">
      <c r="G630" s="167"/>
      <c r="J630" s="314"/>
      <c r="M630" s="350"/>
      <c r="P630" s="225"/>
      <c r="U630" s="315"/>
      <c r="V630" s="315"/>
    </row>
    <row r="631" spans="7:22" ht="16">
      <c r="G631" s="167"/>
      <c r="J631" s="314"/>
      <c r="M631" s="350"/>
      <c r="P631" s="225"/>
      <c r="U631" s="315"/>
      <c r="V631" s="315"/>
    </row>
    <row r="632" spans="7:22" ht="16">
      <c r="G632" s="167"/>
      <c r="J632" s="314"/>
      <c r="M632" s="350"/>
      <c r="P632" s="225"/>
      <c r="U632" s="315"/>
      <c r="V632" s="315"/>
    </row>
    <row r="633" spans="7:22" ht="16">
      <c r="G633" s="167"/>
      <c r="J633" s="314"/>
      <c r="M633" s="350"/>
      <c r="P633" s="225"/>
      <c r="U633" s="315"/>
      <c r="V633" s="315"/>
    </row>
    <row r="634" spans="7:22" ht="16">
      <c r="G634" s="167"/>
      <c r="J634" s="314"/>
      <c r="M634" s="350"/>
      <c r="P634" s="225"/>
      <c r="U634" s="315"/>
      <c r="V634" s="315"/>
    </row>
    <row r="635" spans="7:22" ht="16">
      <c r="G635" s="167"/>
      <c r="J635" s="314"/>
      <c r="M635" s="350"/>
      <c r="P635" s="225"/>
      <c r="U635" s="315"/>
      <c r="V635" s="315"/>
    </row>
    <row r="636" spans="7:22" ht="16">
      <c r="G636" s="167"/>
      <c r="J636" s="314"/>
      <c r="M636" s="350"/>
      <c r="P636" s="225"/>
      <c r="U636" s="315"/>
      <c r="V636" s="315"/>
    </row>
    <row r="637" spans="7:22" ht="16">
      <c r="G637" s="167"/>
      <c r="J637" s="314"/>
      <c r="M637" s="350"/>
      <c r="P637" s="225"/>
      <c r="U637" s="315"/>
      <c r="V637" s="315"/>
    </row>
    <row r="638" spans="7:22" ht="16">
      <c r="G638" s="167"/>
      <c r="J638" s="314"/>
      <c r="M638" s="350"/>
      <c r="P638" s="225"/>
      <c r="U638" s="315"/>
      <c r="V638" s="315"/>
    </row>
    <row r="639" spans="7:22" ht="16">
      <c r="G639" s="167"/>
      <c r="J639" s="314"/>
      <c r="M639" s="350"/>
      <c r="P639" s="225"/>
      <c r="U639" s="315"/>
      <c r="V639" s="315"/>
    </row>
    <row r="640" spans="7:22" ht="16">
      <c r="G640" s="167"/>
      <c r="J640" s="314"/>
      <c r="M640" s="350"/>
      <c r="P640" s="225"/>
      <c r="U640" s="315"/>
      <c r="V640" s="315"/>
    </row>
    <row r="641" spans="7:22" ht="16">
      <c r="G641" s="167"/>
      <c r="J641" s="314"/>
      <c r="M641" s="350"/>
      <c r="P641" s="225"/>
      <c r="U641" s="315"/>
      <c r="V641" s="315"/>
    </row>
    <row r="642" spans="7:22" ht="16">
      <c r="G642" s="167"/>
      <c r="J642" s="314"/>
      <c r="M642" s="350"/>
      <c r="P642" s="225"/>
      <c r="U642" s="315"/>
      <c r="V642" s="315"/>
    </row>
    <row r="643" spans="7:22" ht="16">
      <c r="G643" s="167"/>
      <c r="J643" s="314"/>
      <c r="M643" s="350"/>
      <c r="P643" s="225"/>
      <c r="U643" s="315"/>
      <c r="V643" s="315"/>
    </row>
    <row r="644" spans="7:22" ht="16">
      <c r="G644" s="167"/>
      <c r="J644" s="314"/>
      <c r="M644" s="350"/>
      <c r="P644" s="225"/>
      <c r="U644" s="315"/>
      <c r="V644" s="315"/>
    </row>
    <row r="645" spans="7:22" ht="16">
      <c r="G645" s="167"/>
      <c r="J645" s="314"/>
      <c r="M645" s="350"/>
      <c r="P645" s="225"/>
      <c r="U645" s="315"/>
      <c r="V645" s="315"/>
    </row>
    <row r="646" spans="7:22" ht="16">
      <c r="G646" s="167"/>
      <c r="J646" s="314"/>
      <c r="M646" s="350"/>
      <c r="P646" s="225"/>
      <c r="U646" s="315"/>
      <c r="V646" s="315"/>
    </row>
    <row r="647" spans="7:22" ht="16">
      <c r="G647" s="167"/>
      <c r="J647" s="314"/>
      <c r="M647" s="350"/>
      <c r="P647" s="225"/>
      <c r="U647" s="315"/>
      <c r="V647" s="315"/>
    </row>
    <row r="648" spans="7:22" ht="16">
      <c r="G648" s="167"/>
      <c r="J648" s="314"/>
      <c r="M648" s="350"/>
      <c r="P648" s="225"/>
      <c r="U648" s="315"/>
      <c r="V648" s="315"/>
    </row>
    <row r="649" spans="7:22" ht="16">
      <c r="G649" s="167"/>
      <c r="J649" s="314"/>
      <c r="M649" s="350"/>
      <c r="P649" s="225"/>
      <c r="U649" s="315"/>
      <c r="V649" s="315"/>
    </row>
    <row r="650" spans="7:22" ht="16">
      <c r="G650" s="167"/>
      <c r="J650" s="314"/>
      <c r="M650" s="350"/>
      <c r="P650" s="225"/>
      <c r="U650" s="315"/>
      <c r="V650" s="315"/>
    </row>
    <row r="651" spans="7:22" ht="16">
      <c r="G651" s="167"/>
      <c r="J651" s="314"/>
      <c r="M651" s="350"/>
      <c r="P651" s="225"/>
      <c r="U651" s="315"/>
      <c r="V651" s="315"/>
    </row>
    <row r="652" spans="7:22" ht="16">
      <c r="G652" s="167"/>
      <c r="J652" s="314"/>
      <c r="M652" s="350"/>
      <c r="P652" s="225"/>
      <c r="U652" s="315"/>
      <c r="V652" s="315"/>
    </row>
    <row r="653" spans="7:22" ht="16">
      <c r="G653" s="167"/>
      <c r="J653" s="314"/>
      <c r="M653" s="350"/>
      <c r="P653" s="225"/>
      <c r="U653" s="315"/>
      <c r="V653" s="315"/>
    </row>
    <row r="654" spans="7:22" ht="16">
      <c r="G654" s="167"/>
      <c r="J654" s="314"/>
      <c r="M654" s="350"/>
      <c r="P654" s="225"/>
      <c r="U654" s="315"/>
      <c r="V654" s="315"/>
    </row>
    <row r="655" spans="7:22" ht="16">
      <c r="G655" s="167"/>
      <c r="J655" s="314"/>
      <c r="M655" s="350"/>
      <c r="P655" s="225"/>
      <c r="U655" s="315"/>
      <c r="V655" s="315"/>
    </row>
    <row r="656" spans="7:22" ht="16">
      <c r="G656" s="167"/>
      <c r="J656" s="314"/>
      <c r="M656" s="350"/>
      <c r="P656" s="225"/>
      <c r="U656" s="315"/>
      <c r="V656" s="315"/>
    </row>
    <row r="657" spans="7:22" ht="16">
      <c r="G657" s="167"/>
      <c r="J657" s="314"/>
      <c r="M657" s="350"/>
      <c r="P657" s="225"/>
      <c r="U657" s="315"/>
      <c r="V657" s="315"/>
    </row>
    <row r="658" spans="7:22" ht="16">
      <c r="G658" s="167"/>
      <c r="J658" s="314"/>
      <c r="M658" s="350"/>
      <c r="P658" s="225"/>
      <c r="U658" s="315"/>
      <c r="V658" s="315"/>
    </row>
    <row r="659" spans="7:22" ht="16">
      <c r="G659" s="167"/>
      <c r="J659" s="314"/>
      <c r="M659" s="350"/>
      <c r="P659" s="225"/>
      <c r="U659" s="315"/>
      <c r="V659" s="315"/>
    </row>
    <row r="660" spans="7:22" ht="16">
      <c r="G660" s="167"/>
      <c r="J660" s="314"/>
      <c r="M660" s="350"/>
      <c r="P660" s="225"/>
      <c r="U660" s="315"/>
      <c r="V660" s="315"/>
    </row>
    <row r="661" spans="7:22" ht="16">
      <c r="G661" s="167"/>
      <c r="J661" s="314"/>
      <c r="M661" s="350"/>
      <c r="P661" s="225"/>
      <c r="U661" s="315"/>
      <c r="V661" s="315"/>
    </row>
    <row r="662" spans="7:22" ht="16">
      <c r="G662" s="167"/>
      <c r="J662" s="314"/>
      <c r="M662" s="350"/>
      <c r="P662" s="225"/>
      <c r="U662" s="315"/>
      <c r="V662" s="315"/>
    </row>
    <row r="663" spans="7:22" ht="16">
      <c r="G663" s="167"/>
      <c r="J663" s="314"/>
      <c r="M663" s="350"/>
      <c r="P663" s="225"/>
      <c r="U663" s="315"/>
      <c r="V663" s="315"/>
    </row>
    <row r="664" spans="7:22" ht="16">
      <c r="G664" s="167"/>
      <c r="J664" s="314"/>
      <c r="M664" s="350"/>
      <c r="P664" s="225"/>
      <c r="U664" s="315"/>
      <c r="V664" s="315"/>
    </row>
    <row r="665" spans="7:22" ht="16">
      <c r="G665" s="167"/>
      <c r="J665" s="314"/>
      <c r="M665" s="350"/>
      <c r="P665" s="225"/>
      <c r="U665" s="315"/>
      <c r="V665" s="315"/>
    </row>
    <row r="666" spans="7:22" ht="16">
      <c r="G666" s="167"/>
      <c r="J666" s="314"/>
      <c r="M666" s="350"/>
      <c r="P666" s="225"/>
      <c r="U666" s="315"/>
      <c r="V666" s="315"/>
    </row>
    <row r="667" spans="7:22" ht="16">
      <c r="G667" s="167"/>
      <c r="J667" s="314"/>
      <c r="M667" s="350"/>
      <c r="P667" s="225"/>
      <c r="U667" s="315"/>
      <c r="V667" s="315"/>
    </row>
    <row r="668" spans="7:22" ht="16">
      <c r="G668" s="167"/>
      <c r="J668" s="314"/>
      <c r="M668" s="350"/>
      <c r="P668" s="225"/>
      <c r="U668" s="315"/>
      <c r="V668" s="315"/>
    </row>
    <row r="669" spans="7:22" ht="16">
      <c r="G669" s="167"/>
      <c r="J669" s="314"/>
      <c r="M669" s="350"/>
      <c r="P669" s="225"/>
      <c r="U669" s="315"/>
      <c r="V669" s="315"/>
    </row>
    <row r="670" spans="7:22" ht="16">
      <c r="G670" s="167"/>
      <c r="J670" s="314"/>
      <c r="M670" s="350"/>
      <c r="P670" s="225"/>
      <c r="U670" s="315"/>
      <c r="V670" s="315"/>
    </row>
    <row r="671" spans="7:22" ht="16">
      <c r="G671" s="167"/>
      <c r="J671" s="314"/>
      <c r="M671" s="350"/>
      <c r="P671" s="225"/>
      <c r="U671" s="315"/>
      <c r="V671" s="315"/>
    </row>
    <row r="672" spans="7:22" ht="16">
      <c r="G672" s="167"/>
      <c r="J672" s="314"/>
      <c r="M672" s="350"/>
      <c r="P672" s="225"/>
      <c r="U672" s="315"/>
      <c r="V672" s="315"/>
    </row>
    <row r="673" spans="7:22" ht="16">
      <c r="G673" s="167"/>
      <c r="J673" s="314"/>
      <c r="M673" s="350"/>
      <c r="P673" s="225"/>
      <c r="U673" s="315"/>
      <c r="V673" s="315"/>
    </row>
    <row r="674" spans="7:22" ht="16">
      <c r="G674" s="167"/>
      <c r="J674" s="314"/>
      <c r="M674" s="350"/>
      <c r="P674" s="225"/>
      <c r="U674" s="315"/>
      <c r="V674" s="315"/>
    </row>
    <row r="675" spans="7:22" ht="16">
      <c r="G675" s="167"/>
      <c r="J675" s="314"/>
      <c r="M675" s="350"/>
      <c r="P675" s="225"/>
      <c r="U675" s="315"/>
      <c r="V675" s="315"/>
    </row>
    <row r="676" spans="7:22" ht="16">
      <c r="G676" s="167"/>
      <c r="J676" s="314"/>
      <c r="M676" s="350"/>
      <c r="P676" s="225"/>
      <c r="U676" s="315"/>
      <c r="V676" s="315"/>
    </row>
    <row r="677" spans="7:22" ht="16">
      <c r="G677" s="167"/>
      <c r="J677" s="314"/>
      <c r="M677" s="350"/>
      <c r="P677" s="225"/>
      <c r="U677" s="315"/>
      <c r="V677" s="315"/>
    </row>
    <row r="678" spans="7:22" ht="16">
      <c r="G678" s="167"/>
      <c r="J678" s="314"/>
      <c r="M678" s="350"/>
      <c r="P678" s="225"/>
      <c r="U678" s="315"/>
      <c r="V678" s="315"/>
    </row>
    <row r="679" spans="7:22" ht="16">
      <c r="G679" s="167"/>
      <c r="J679" s="314"/>
      <c r="M679" s="350"/>
      <c r="P679" s="225"/>
      <c r="U679" s="315"/>
      <c r="V679" s="315"/>
    </row>
    <row r="680" spans="7:22" ht="16">
      <c r="G680" s="167"/>
      <c r="J680" s="314"/>
      <c r="M680" s="350"/>
      <c r="P680" s="225"/>
      <c r="U680" s="315"/>
      <c r="V680" s="315"/>
    </row>
    <row r="681" spans="7:22" ht="16">
      <c r="G681" s="167"/>
      <c r="J681" s="314"/>
      <c r="M681" s="350"/>
      <c r="P681" s="225"/>
      <c r="U681" s="315"/>
      <c r="V681" s="315"/>
    </row>
    <row r="682" spans="7:22" ht="16">
      <c r="G682" s="167"/>
      <c r="J682" s="314"/>
      <c r="M682" s="350"/>
      <c r="P682" s="225"/>
      <c r="U682" s="315"/>
      <c r="V682" s="315"/>
    </row>
    <row r="683" spans="7:22" ht="16">
      <c r="G683" s="167"/>
      <c r="J683" s="314"/>
      <c r="M683" s="350"/>
      <c r="P683" s="225"/>
      <c r="U683" s="315"/>
      <c r="V683" s="315"/>
    </row>
    <row r="684" spans="7:22" ht="16">
      <c r="G684" s="167"/>
      <c r="J684" s="314"/>
      <c r="M684" s="350"/>
      <c r="P684" s="225"/>
      <c r="U684" s="315"/>
      <c r="V684" s="315"/>
    </row>
    <row r="685" spans="7:22" ht="16">
      <c r="G685" s="167"/>
      <c r="J685" s="314"/>
      <c r="M685" s="350"/>
      <c r="P685" s="225"/>
      <c r="U685" s="315"/>
      <c r="V685" s="315"/>
    </row>
    <row r="686" spans="7:22" ht="16">
      <c r="G686" s="167"/>
      <c r="J686" s="314"/>
      <c r="M686" s="350"/>
      <c r="P686" s="225"/>
      <c r="U686" s="315"/>
      <c r="V686" s="315"/>
    </row>
    <row r="687" spans="7:22" ht="16">
      <c r="G687" s="167"/>
      <c r="J687" s="314"/>
      <c r="M687" s="350"/>
      <c r="P687" s="225"/>
      <c r="U687" s="315"/>
      <c r="V687" s="315"/>
    </row>
    <row r="688" spans="7:22" ht="16">
      <c r="G688" s="167"/>
      <c r="J688" s="314"/>
      <c r="M688" s="350"/>
      <c r="P688" s="225"/>
      <c r="U688" s="315"/>
      <c r="V688" s="315"/>
    </row>
    <row r="689" spans="7:22" ht="16">
      <c r="G689" s="167"/>
      <c r="J689" s="314"/>
      <c r="M689" s="350"/>
      <c r="P689" s="225"/>
      <c r="U689" s="315"/>
      <c r="V689" s="315"/>
    </row>
    <row r="690" spans="7:22" ht="16">
      <c r="G690" s="167"/>
      <c r="J690" s="314"/>
      <c r="M690" s="350"/>
      <c r="P690" s="225"/>
      <c r="U690" s="315"/>
      <c r="V690" s="315"/>
    </row>
    <row r="691" spans="7:22" ht="16">
      <c r="G691" s="167"/>
      <c r="J691" s="314"/>
      <c r="M691" s="350"/>
      <c r="P691" s="225"/>
      <c r="U691" s="315"/>
      <c r="V691" s="315"/>
    </row>
    <row r="692" spans="7:22" ht="16">
      <c r="G692" s="167"/>
      <c r="J692" s="314"/>
      <c r="M692" s="350"/>
      <c r="P692" s="225"/>
      <c r="U692" s="315"/>
      <c r="V692" s="315"/>
    </row>
    <row r="693" spans="7:22" ht="16">
      <c r="G693" s="167"/>
      <c r="J693" s="314"/>
      <c r="M693" s="350"/>
      <c r="P693" s="225"/>
      <c r="U693" s="315"/>
      <c r="V693" s="315"/>
    </row>
    <row r="694" spans="7:22" ht="16">
      <c r="G694" s="167"/>
      <c r="J694" s="314"/>
      <c r="M694" s="350"/>
      <c r="P694" s="225"/>
      <c r="U694" s="315"/>
      <c r="V694" s="315"/>
    </row>
    <row r="695" spans="7:22" ht="16">
      <c r="G695" s="167"/>
      <c r="J695" s="314"/>
      <c r="M695" s="350"/>
      <c r="P695" s="225"/>
      <c r="U695" s="315"/>
      <c r="V695" s="315"/>
    </row>
    <row r="696" spans="7:22" ht="16">
      <c r="G696" s="167"/>
      <c r="J696" s="314"/>
      <c r="M696" s="350"/>
      <c r="P696" s="225"/>
      <c r="U696" s="315"/>
      <c r="V696" s="315"/>
    </row>
    <row r="697" spans="7:22" ht="16">
      <c r="G697" s="167"/>
      <c r="J697" s="314"/>
      <c r="M697" s="350"/>
      <c r="P697" s="225"/>
      <c r="U697" s="315"/>
      <c r="V697" s="315"/>
    </row>
    <row r="698" spans="7:22" ht="16">
      <c r="G698" s="167"/>
      <c r="J698" s="314"/>
      <c r="M698" s="350"/>
      <c r="P698" s="225"/>
      <c r="U698" s="315"/>
      <c r="V698" s="315"/>
    </row>
    <row r="699" spans="7:22" ht="16">
      <c r="G699" s="167"/>
      <c r="J699" s="314"/>
      <c r="M699" s="350"/>
      <c r="P699" s="225"/>
      <c r="U699" s="315"/>
      <c r="V699" s="315"/>
    </row>
    <row r="700" spans="7:22" ht="16">
      <c r="G700" s="167"/>
      <c r="J700" s="314"/>
      <c r="M700" s="350"/>
      <c r="P700" s="225"/>
      <c r="U700" s="315"/>
      <c r="V700" s="315"/>
    </row>
    <row r="701" spans="7:22" ht="16">
      <c r="G701" s="167"/>
      <c r="J701" s="314"/>
      <c r="M701" s="350"/>
      <c r="P701" s="225"/>
      <c r="U701" s="315"/>
      <c r="V701" s="315"/>
    </row>
    <row r="702" spans="7:22" ht="16">
      <c r="G702" s="167"/>
      <c r="J702" s="314"/>
      <c r="M702" s="350"/>
      <c r="P702" s="225"/>
      <c r="U702" s="315"/>
      <c r="V702" s="315"/>
    </row>
    <row r="703" spans="7:22" ht="16">
      <c r="G703" s="167"/>
      <c r="J703" s="314"/>
      <c r="M703" s="350"/>
      <c r="P703" s="225"/>
      <c r="U703" s="315"/>
      <c r="V703" s="315"/>
    </row>
    <row r="704" spans="7:22" ht="16">
      <c r="G704" s="167"/>
      <c r="J704" s="314"/>
      <c r="M704" s="350"/>
      <c r="P704" s="225"/>
      <c r="U704" s="315"/>
      <c r="V704" s="315"/>
    </row>
    <row r="705" spans="7:22" ht="16">
      <c r="G705" s="167"/>
      <c r="J705" s="314"/>
      <c r="M705" s="350"/>
      <c r="P705" s="225"/>
      <c r="U705" s="315"/>
      <c r="V705" s="315"/>
    </row>
    <row r="706" spans="7:22" ht="16">
      <c r="G706" s="167"/>
      <c r="J706" s="314"/>
      <c r="M706" s="350"/>
      <c r="P706" s="225"/>
      <c r="U706" s="315"/>
      <c r="V706" s="315"/>
    </row>
    <row r="707" spans="7:22" ht="16">
      <c r="G707" s="167"/>
      <c r="J707" s="314"/>
      <c r="M707" s="350"/>
      <c r="P707" s="225"/>
      <c r="U707" s="315"/>
      <c r="V707" s="315"/>
    </row>
    <row r="708" spans="7:22" ht="16">
      <c r="G708" s="167"/>
      <c r="J708" s="314"/>
      <c r="M708" s="350"/>
      <c r="P708" s="225"/>
      <c r="U708" s="315"/>
      <c r="V708" s="315"/>
    </row>
    <row r="709" spans="7:22" ht="16">
      <c r="G709" s="167"/>
      <c r="J709" s="314"/>
      <c r="M709" s="350"/>
      <c r="P709" s="225"/>
      <c r="U709" s="315"/>
      <c r="V709" s="315"/>
    </row>
    <row r="710" spans="7:22" ht="16">
      <c r="G710" s="167"/>
      <c r="J710" s="314"/>
      <c r="M710" s="350"/>
      <c r="P710" s="225"/>
      <c r="U710" s="315"/>
      <c r="V710" s="315"/>
    </row>
    <row r="711" spans="7:22" ht="16">
      <c r="G711" s="167"/>
      <c r="J711" s="314"/>
      <c r="M711" s="350"/>
      <c r="P711" s="225"/>
      <c r="U711" s="315"/>
      <c r="V711" s="315"/>
    </row>
    <row r="712" spans="7:22" ht="16">
      <c r="G712" s="167"/>
      <c r="J712" s="314"/>
      <c r="M712" s="350"/>
      <c r="P712" s="225"/>
      <c r="U712" s="315"/>
      <c r="V712" s="315"/>
    </row>
    <row r="713" spans="7:22" ht="16">
      <c r="G713" s="167"/>
      <c r="J713" s="314"/>
      <c r="M713" s="350"/>
      <c r="P713" s="225"/>
      <c r="U713" s="315"/>
      <c r="V713" s="315"/>
    </row>
    <row r="714" spans="7:22" ht="16">
      <c r="G714" s="167"/>
      <c r="J714" s="314"/>
      <c r="M714" s="350"/>
      <c r="P714" s="225"/>
      <c r="U714" s="315"/>
      <c r="V714" s="315"/>
    </row>
    <row r="715" spans="7:22" ht="16">
      <c r="G715" s="167"/>
      <c r="J715" s="314"/>
      <c r="M715" s="350"/>
      <c r="P715" s="225"/>
      <c r="U715" s="315"/>
      <c r="V715" s="315"/>
    </row>
    <row r="716" spans="7:22" ht="16">
      <c r="G716" s="167"/>
      <c r="J716" s="314"/>
      <c r="M716" s="350"/>
      <c r="P716" s="225"/>
      <c r="U716" s="315"/>
      <c r="V716" s="315"/>
    </row>
    <row r="717" spans="7:22" ht="16">
      <c r="G717" s="167"/>
      <c r="J717" s="314"/>
      <c r="M717" s="350"/>
      <c r="P717" s="225"/>
      <c r="U717" s="315"/>
      <c r="V717" s="315"/>
    </row>
    <row r="718" spans="7:22" ht="16">
      <c r="G718" s="167"/>
      <c r="J718" s="314"/>
      <c r="M718" s="350"/>
      <c r="P718" s="225"/>
      <c r="U718" s="315"/>
      <c r="V718" s="315"/>
    </row>
    <row r="719" spans="7:22" ht="16">
      <c r="G719" s="167"/>
      <c r="J719" s="314"/>
      <c r="M719" s="350"/>
      <c r="P719" s="225"/>
      <c r="U719" s="315"/>
      <c r="V719" s="315"/>
    </row>
    <row r="720" spans="7:22" ht="16">
      <c r="G720" s="167"/>
      <c r="J720" s="314"/>
      <c r="M720" s="350"/>
      <c r="P720" s="225"/>
      <c r="U720" s="315"/>
      <c r="V720" s="315"/>
    </row>
    <row r="721" spans="7:22" ht="16">
      <c r="G721" s="167"/>
      <c r="J721" s="314"/>
      <c r="M721" s="350"/>
      <c r="P721" s="225"/>
      <c r="U721" s="315"/>
      <c r="V721" s="315"/>
    </row>
    <row r="722" spans="7:22" ht="16">
      <c r="G722" s="167"/>
      <c r="J722" s="314"/>
      <c r="M722" s="350"/>
      <c r="P722" s="225"/>
      <c r="U722" s="315"/>
      <c r="V722" s="315"/>
    </row>
    <row r="723" spans="7:22" ht="16">
      <c r="G723" s="167"/>
      <c r="J723" s="314"/>
      <c r="M723" s="350"/>
      <c r="P723" s="225"/>
      <c r="U723" s="315"/>
      <c r="V723" s="315"/>
    </row>
    <row r="724" spans="7:22" ht="16">
      <c r="G724" s="167"/>
      <c r="J724" s="314"/>
      <c r="M724" s="350"/>
      <c r="P724" s="225"/>
      <c r="U724" s="315"/>
      <c r="V724" s="315"/>
    </row>
    <row r="725" spans="7:22" ht="16">
      <c r="G725" s="167"/>
      <c r="J725" s="314"/>
      <c r="M725" s="350"/>
      <c r="P725" s="225"/>
      <c r="U725" s="315"/>
      <c r="V725" s="315"/>
    </row>
    <row r="726" spans="7:22" ht="16">
      <c r="G726" s="167"/>
      <c r="J726" s="314"/>
      <c r="M726" s="350"/>
      <c r="P726" s="225"/>
      <c r="U726" s="315"/>
      <c r="V726" s="315"/>
    </row>
    <row r="727" spans="7:22" ht="16">
      <c r="G727" s="167"/>
      <c r="J727" s="314"/>
      <c r="M727" s="350"/>
      <c r="P727" s="225"/>
      <c r="U727" s="315"/>
      <c r="V727" s="315"/>
    </row>
    <row r="728" spans="7:22" ht="16">
      <c r="G728" s="167"/>
      <c r="J728" s="314"/>
      <c r="M728" s="350"/>
      <c r="P728" s="225"/>
      <c r="U728" s="315"/>
      <c r="V728" s="315"/>
    </row>
    <row r="729" spans="7:22" ht="16">
      <c r="G729" s="167"/>
      <c r="J729" s="314"/>
      <c r="M729" s="350"/>
      <c r="P729" s="225"/>
      <c r="U729" s="315"/>
      <c r="V729" s="315"/>
    </row>
    <row r="730" spans="7:22" ht="16">
      <c r="G730" s="167"/>
      <c r="J730" s="314"/>
      <c r="M730" s="350"/>
      <c r="P730" s="225"/>
      <c r="U730" s="315"/>
      <c r="V730" s="315"/>
    </row>
    <row r="731" spans="7:22" ht="16">
      <c r="G731" s="167"/>
      <c r="J731" s="314"/>
      <c r="M731" s="350"/>
      <c r="P731" s="225"/>
      <c r="U731" s="315"/>
      <c r="V731" s="315"/>
    </row>
    <row r="732" spans="7:22" ht="16">
      <c r="G732" s="167"/>
      <c r="J732" s="314"/>
      <c r="M732" s="350"/>
      <c r="P732" s="225"/>
      <c r="U732" s="315"/>
      <c r="V732" s="315"/>
    </row>
    <row r="733" spans="7:22" ht="16">
      <c r="G733" s="167"/>
      <c r="J733" s="314"/>
      <c r="M733" s="350"/>
      <c r="P733" s="225"/>
      <c r="U733" s="315"/>
      <c r="V733" s="315"/>
    </row>
    <row r="734" spans="7:22" ht="16">
      <c r="G734" s="167"/>
      <c r="J734" s="314"/>
      <c r="M734" s="350"/>
      <c r="P734" s="225"/>
      <c r="U734" s="315"/>
      <c r="V734" s="315"/>
    </row>
    <row r="735" spans="7:22" ht="16">
      <c r="G735" s="167"/>
      <c r="J735" s="314"/>
      <c r="M735" s="350"/>
      <c r="P735" s="225"/>
      <c r="U735" s="315"/>
      <c r="V735" s="315"/>
    </row>
    <row r="736" spans="7:22" ht="16">
      <c r="G736" s="167"/>
      <c r="J736" s="314"/>
      <c r="M736" s="350"/>
      <c r="P736" s="225"/>
      <c r="U736" s="315"/>
      <c r="V736" s="315"/>
    </row>
    <row r="737" spans="7:22" ht="16">
      <c r="G737" s="167"/>
      <c r="J737" s="314"/>
      <c r="M737" s="350"/>
      <c r="P737" s="225"/>
      <c r="U737" s="315"/>
      <c r="V737" s="315"/>
    </row>
    <row r="738" spans="7:22" ht="16">
      <c r="G738" s="167"/>
      <c r="J738" s="314"/>
      <c r="M738" s="350"/>
      <c r="P738" s="225"/>
      <c r="U738" s="315"/>
      <c r="V738" s="315"/>
    </row>
    <row r="739" spans="7:22" ht="16">
      <c r="G739" s="167"/>
      <c r="J739" s="314"/>
      <c r="M739" s="350"/>
      <c r="P739" s="225"/>
      <c r="U739" s="315"/>
      <c r="V739" s="315"/>
    </row>
    <row r="740" spans="7:22" ht="16">
      <c r="G740" s="167"/>
      <c r="J740" s="314"/>
      <c r="M740" s="350"/>
      <c r="P740" s="225"/>
      <c r="U740" s="315"/>
      <c r="V740" s="315"/>
    </row>
    <row r="741" spans="7:22" ht="16">
      <c r="G741" s="167"/>
      <c r="J741" s="314"/>
      <c r="M741" s="350"/>
      <c r="P741" s="225"/>
      <c r="U741" s="315"/>
      <c r="V741" s="315"/>
    </row>
    <row r="742" spans="7:22" ht="16">
      <c r="G742" s="167"/>
      <c r="J742" s="314"/>
      <c r="M742" s="350"/>
      <c r="P742" s="225"/>
      <c r="U742" s="315"/>
      <c r="V742" s="315"/>
    </row>
    <row r="743" spans="7:22" ht="16">
      <c r="G743" s="167"/>
      <c r="J743" s="314"/>
      <c r="M743" s="350"/>
      <c r="P743" s="225"/>
      <c r="U743" s="315"/>
      <c r="V743" s="315"/>
    </row>
    <row r="744" spans="7:22" ht="16">
      <c r="G744" s="167"/>
      <c r="J744" s="314"/>
      <c r="M744" s="350"/>
      <c r="P744" s="225"/>
      <c r="U744" s="315"/>
      <c r="V744" s="315"/>
    </row>
    <row r="745" spans="7:22" ht="16">
      <c r="G745" s="167"/>
      <c r="J745" s="314"/>
      <c r="M745" s="350"/>
      <c r="P745" s="225"/>
      <c r="U745" s="315"/>
      <c r="V745" s="315"/>
    </row>
    <row r="746" spans="7:22" ht="16">
      <c r="G746" s="167"/>
      <c r="J746" s="314"/>
      <c r="M746" s="350"/>
      <c r="P746" s="225"/>
      <c r="U746" s="315"/>
      <c r="V746" s="315"/>
    </row>
    <row r="747" spans="7:22" ht="16">
      <c r="G747" s="167"/>
      <c r="J747" s="314"/>
      <c r="M747" s="350"/>
      <c r="P747" s="225"/>
      <c r="U747" s="315"/>
      <c r="V747" s="315"/>
    </row>
    <row r="748" spans="7:22" ht="16">
      <c r="G748" s="167"/>
      <c r="J748" s="314"/>
      <c r="M748" s="350"/>
      <c r="P748" s="225"/>
      <c r="U748" s="315"/>
      <c r="V748" s="315"/>
    </row>
    <row r="749" spans="7:22" ht="16">
      <c r="G749" s="167"/>
      <c r="J749" s="314"/>
      <c r="M749" s="350"/>
      <c r="P749" s="225"/>
      <c r="U749" s="315"/>
      <c r="V749" s="315"/>
    </row>
    <row r="750" spans="7:22" ht="16">
      <c r="G750" s="167"/>
      <c r="J750" s="314"/>
      <c r="M750" s="350"/>
      <c r="P750" s="225"/>
      <c r="U750" s="315"/>
      <c r="V750" s="315"/>
    </row>
    <row r="751" spans="7:22" ht="16">
      <c r="G751" s="167"/>
      <c r="J751" s="314"/>
      <c r="M751" s="350"/>
      <c r="P751" s="225"/>
      <c r="U751" s="315"/>
      <c r="V751" s="315"/>
    </row>
    <row r="752" spans="7:22" ht="16">
      <c r="G752" s="167"/>
      <c r="J752" s="314"/>
      <c r="M752" s="350"/>
      <c r="P752" s="225"/>
      <c r="U752" s="315"/>
      <c r="V752" s="315"/>
    </row>
    <row r="753" spans="7:22" ht="16">
      <c r="G753" s="167"/>
      <c r="J753" s="314"/>
      <c r="M753" s="350"/>
      <c r="P753" s="225"/>
      <c r="U753" s="315"/>
      <c r="V753" s="315"/>
    </row>
    <row r="754" spans="7:22" ht="16">
      <c r="G754" s="167"/>
      <c r="J754" s="314"/>
      <c r="M754" s="350"/>
      <c r="P754" s="225"/>
      <c r="U754" s="315"/>
      <c r="V754" s="315"/>
    </row>
    <row r="755" spans="7:22" ht="16">
      <c r="G755" s="167"/>
      <c r="J755" s="314"/>
      <c r="M755" s="350"/>
      <c r="P755" s="225"/>
      <c r="U755" s="315"/>
      <c r="V755" s="315"/>
    </row>
    <row r="756" spans="7:22" ht="16">
      <c r="G756" s="167"/>
      <c r="J756" s="314"/>
      <c r="M756" s="350"/>
      <c r="P756" s="225"/>
      <c r="U756" s="315"/>
      <c r="V756" s="315"/>
    </row>
    <row r="757" spans="7:22" ht="16">
      <c r="G757" s="167"/>
      <c r="J757" s="314"/>
      <c r="M757" s="350"/>
      <c r="P757" s="225"/>
      <c r="U757" s="315"/>
      <c r="V757" s="315"/>
    </row>
    <row r="758" spans="7:22" ht="16">
      <c r="G758" s="167"/>
      <c r="J758" s="314"/>
      <c r="M758" s="350"/>
      <c r="P758" s="225"/>
      <c r="U758" s="315"/>
      <c r="V758" s="315"/>
    </row>
    <row r="759" spans="7:22" ht="16">
      <c r="G759" s="167"/>
      <c r="J759" s="314"/>
      <c r="M759" s="350"/>
      <c r="P759" s="225"/>
      <c r="U759" s="315"/>
      <c r="V759" s="315"/>
    </row>
    <row r="760" spans="7:22" ht="16">
      <c r="G760" s="167"/>
      <c r="J760" s="314"/>
      <c r="M760" s="350"/>
      <c r="P760" s="225"/>
      <c r="U760" s="315"/>
      <c r="V760" s="315"/>
    </row>
    <row r="761" spans="7:22" ht="16">
      <c r="G761" s="167"/>
      <c r="J761" s="314"/>
      <c r="M761" s="350"/>
      <c r="P761" s="225"/>
      <c r="U761" s="315"/>
      <c r="V761" s="315"/>
    </row>
    <row r="762" spans="7:22" ht="16">
      <c r="G762" s="167"/>
      <c r="J762" s="314"/>
      <c r="M762" s="350"/>
      <c r="P762" s="225"/>
      <c r="U762" s="315"/>
      <c r="V762" s="315"/>
    </row>
    <row r="763" spans="7:22" ht="16">
      <c r="G763" s="167"/>
      <c r="J763" s="314"/>
      <c r="M763" s="350"/>
      <c r="P763" s="225"/>
      <c r="U763" s="315"/>
      <c r="V763" s="315"/>
    </row>
    <row r="764" spans="7:22" ht="16">
      <c r="G764" s="167"/>
      <c r="J764" s="314"/>
      <c r="M764" s="350"/>
      <c r="P764" s="225"/>
      <c r="U764" s="315"/>
      <c r="V764" s="315"/>
    </row>
    <row r="765" spans="7:22" ht="16">
      <c r="G765" s="167"/>
      <c r="J765" s="314"/>
      <c r="M765" s="350"/>
      <c r="P765" s="225"/>
      <c r="U765" s="315"/>
      <c r="V765" s="315"/>
    </row>
    <row r="766" spans="7:22" ht="16">
      <c r="G766" s="167"/>
      <c r="J766" s="314"/>
      <c r="M766" s="350"/>
      <c r="P766" s="225"/>
      <c r="U766" s="315"/>
      <c r="V766" s="315"/>
    </row>
    <row r="767" spans="7:22" ht="16">
      <c r="G767" s="167"/>
      <c r="J767" s="314"/>
      <c r="M767" s="350"/>
      <c r="P767" s="225"/>
      <c r="U767" s="315"/>
      <c r="V767" s="315"/>
    </row>
    <row r="768" spans="7:22" ht="16">
      <c r="G768" s="167"/>
      <c r="J768" s="314"/>
      <c r="M768" s="350"/>
      <c r="P768" s="225"/>
      <c r="U768" s="315"/>
      <c r="V768" s="315"/>
    </row>
    <row r="769" spans="7:22" ht="16">
      <c r="G769" s="167"/>
      <c r="J769" s="314"/>
      <c r="M769" s="350"/>
      <c r="P769" s="225"/>
      <c r="U769" s="315"/>
      <c r="V769" s="315"/>
    </row>
    <row r="770" spans="7:22" ht="16">
      <c r="G770" s="167"/>
      <c r="J770" s="314"/>
      <c r="M770" s="350"/>
      <c r="P770" s="225"/>
      <c r="U770" s="315"/>
      <c r="V770" s="315"/>
    </row>
    <row r="771" spans="7:22" ht="16">
      <c r="G771" s="167"/>
      <c r="J771" s="314"/>
      <c r="M771" s="350"/>
      <c r="P771" s="225"/>
      <c r="U771" s="315"/>
      <c r="V771" s="315"/>
    </row>
    <row r="772" spans="7:22" ht="16">
      <c r="G772" s="167"/>
      <c r="J772" s="314"/>
      <c r="M772" s="350"/>
      <c r="P772" s="225"/>
      <c r="U772" s="315"/>
      <c r="V772" s="315"/>
    </row>
    <row r="773" spans="7:22" ht="16">
      <c r="G773" s="167"/>
      <c r="J773" s="314"/>
      <c r="M773" s="350"/>
      <c r="P773" s="225"/>
      <c r="U773" s="315"/>
      <c r="V773" s="315"/>
    </row>
    <row r="774" spans="7:22" ht="16">
      <c r="G774" s="167"/>
      <c r="J774" s="314"/>
      <c r="M774" s="350"/>
      <c r="P774" s="225"/>
      <c r="U774" s="315"/>
      <c r="V774" s="315"/>
    </row>
    <row r="775" spans="7:22" ht="16">
      <c r="G775" s="167"/>
      <c r="J775" s="314"/>
      <c r="M775" s="350"/>
      <c r="P775" s="225"/>
      <c r="U775" s="315"/>
      <c r="V775" s="315"/>
    </row>
    <row r="776" spans="7:22" ht="16">
      <c r="G776" s="167"/>
      <c r="J776" s="314"/>
      <c r="M776" s="350"/>
      <c r="P776" s="225"/>
      <c r="U776" s="315"/>
      <c r="V776" s="315"/>
    </row>
    <row r="777" spans="7:22" ht="16">
      <c r="G777" s="167"/>
      <c r="J777" s="314"/>
      <c r="M777" s="350"/>
      <c r="P777" s="225"/>
      <c r="U777" s="315"/>
      <c r="V777" s="315"/>
    </row>
    <row r="778" spans="7:22" ht="16">
      <c r="G778" s="167"/>
      <c r="J778" s="314"/>
      <c r="M778" s="350"/>
      <c r="P778" s="225"/>
      <c r="U778" s="315"/>
      <c r="V778" s="315"/>
    </row>
    <row r="779" spans="7:22" ht="16">
      <c r="G779" s="167"/>
      <c r="J779" s="314"/>
      <c r="M779" s="350"/>
      <c r="P779" s="225"/>
      <c r="U779" s="315"/>
      <c r="V779" s="315"/>
    </row>
    <row r="780" spans="7:22" ht="16">
      <c r="G780" s="167"/>
      <c r="J780" s="314"/>
      <c r="M780" s="350"/>
      <c r="P780" s="225"/>
      <c r="U780" s="315"/>
      <c r="V780" s="315"/>
    </row>
    <row r="781" spans="7:22" ht="16">
      <c r="G781" s="167"/>
      <c r="J781" s="314"/>
      <c r="M781" s="350"/>
      <c r="P781" s="225"/>
      <c r="U781" s="315"/>
      <c r="V781" s="315"/>
    </row>
    <row r="782" spans="7:22" ht="16">
      <c r="G782" s="167"/>
      <c r="J782" s="314"/>
      <c r="M782" s="350"/>
      <c r="P782" s="225"/>
      <c r="U782" s="315"/>
      <c r="V782" s="315"/>
    </row>
    <row r="783" spans="7:22" ht="16">
      <c r="G783" s="167"/>
      <c r="J783" s="314"/>
      <c r="M783" s="350"/>
      <c r="P783" s="225"/>
      <c r="U783" s="315"/>
      <c r="V783" s="315"/>
    </row>
    <row r="784" spans="7:22" ht="16">
      <c r="G784" s="167"/>
      <c r="J784" s="314"/>
      <c r="M784" s="350"/>
      <c r="P784" s="225"/>
      <c r="U784" s="315"/>
      <c r="V784" s="315"/>
    </row>
    <row r="785" spans="7:22" ht="16">
      <c r="G785" s="167"/>
      <c r="J785" s="314"/>
      <c r="M785" s="350"/>
      <c r="P785" s="225"/>
      <c r="U785" s="315"/>
      <c r="V785" s="315"/>
    </row>
    <row r="786" spans="7:22" ht="16">
      <c r="G786" s="167"/>
      <c r="J786" s="314"/>
      <c r="M786" s="350"/>
      <c r="P786" s="225"/>
      <c r="U786" s="315"/>
      <c r="V786" s="315"/>
    </row>
    <row r="787" spans="7:22" ht="16">
      <c r="G787" s="167"/>
      <c r="J787" s="314"/>
      <c r="M787" s="350"/>
      <c r="P787" s="225"/>
      <c r="U787" s="315"/>
      <c r="V787" s="315"/>
    </row>
    <row r="788" spans="7:22" ht="16">
      <c r="G788" s="167"/>
      <c r="J788" s="314"/>
      <c r="M788" s="350"/>
      <c r="P788" s="225"/>
      <c r="U788" s="315"/>
      <c r="V788" s="315"/>
    </row>
    <row r="789" spans="7:22" ht="16">
      <c r="G789" s="167"/>
      <c r="J789" s="314"/>
      <c r="M789" s="350"/>
      <c r="P789" s="225"/>
      <c r="U789" s="315"/>
      <c r="V789" s="315"/>
    </row>
    <row r="790" spans="7:22" ht="16">
      <c r="G790" s="167"/>
      <c r="J790" s="314"/>
      <c r="M790" s="350"/>
      <c r="P790" s="225"/>
      <c r="U790" s="315"/>
      <c r="V790" s="315"/>
    </row>
    <row r="791" spans="7:22" ht="16">
      <c r="G791" s="167"/>
      <c r="J791" s="314"/>
      <c r="M791" s="350"/>
      <c r="P791" s="225"/>
      <c r="U791" s="315"/>
      <c r="V791" s="315"/>
    </row>
    <row r="792" spans="7:22" ht="16">
      <c r="G792" s="167"/>
      <c r="J792" s="314"/>
      <c r="M792" s="350"/>
      <c r="P792" s="225"/>
      <c r="U792" s="315"/>
      <c r="V792" s="315"/>
    </row>
    <row r="793" spans="7:22" ht="16">
      <c r="G793" s="167"/>
      <c r="J793" s="314"/>
      <c r="M793" s="350"/>
      <c r="P793" s="225"/>
      <c r="U793" s="315"/>
      <c r="V793" s="315"/>
    </row>
    <row r="794" spans="7:22" ht="16">
      <c r="G794" s="167"/>
      <c r="J794" s="314"/>
      <c r="M794" s="350"/>
      <c r="P794" s="225"/>
      <c r="U794" s="315"/>
      <c r="V794" s="315"/>
    </row>
    <row r="795" spans="7:22" ht="16">
      <c r="G795" s="167"/>
      <c r="J795" s="314"/>
      <c r="M795" s="350"/>
      <c r="P795" s="225"/>
      <c r="U795" s="315"/>
      <c r="V795" s="315"/>
    </row>
    <row r="796" spans="7:22" ht="16">
      <c r="G796" s="167"/>
      <c r="J796" s="314"/>
      <c r="M796" s="350"/>
      <c r="P796" s="225"/>
      <c r="U796" s="315"/>
      <c r="V796" s="315"/>
    </row>
    <row r="797" spans="7:22" ht="16">
      <c r="G797" s="167"/>
      <c r="J797" s="314"/>
      <c r="M797" s="350"/>
      <c r="P797" s="225"/>
      <c r="U797" s="315"/>
      <c r="V797" s="315"/>
    </row>
    <row r="798" spans="7:22" ht="16">
      <c r="G798" s="167"/>
      <c r="J798" s="314"/>
      <c r="M798" s="350"/>
      <c r="P798" s="225"/>
      <c r="U798" s="315"/>
      <c r="V798" s="315"/>
    </row>
    <row r="799" spans="7:22" ht="16">
      <c r="G799" s="167"/>
      <c r="J799" s="314"/>
      <c r="M799" s="350"/>
      <c r="P799" s="225"/>
      <c r="U799" s="315"/>
      <c r="V799" s="315"/>
    </row>
    <row r="800" spans="7:22" ht="16">
      <c r="G800" s="167"/>
      <c r="J800" s="314"/>
      <c r="M800" s="350"/>
      <c r="P800" s="225"/>
      <c r="U800" s="315"/>
      <c r="V800" s="315"/>
    </row>
    <row r="801" spans="7:22" ht="16">
      <c r="G801" s="167"/>
      <c r="J801" s="314"/>
      <c r="M801" s="350"/>
      <c r="P801" s="225"/>
      <c r="U801" s="315"/>
      <c r="V801" s="315"/>
    </row>
    <row r="802" spans="7:22" ht="16">
      <c r="G802" s="167"/>
      <c r="J802" s="314"/>
      <c r="M802" s="350"/>
      <c r="P802" s="225"/>
      <c r="U802" s="315"/>
      <c r="V802" s="315"/>
    </row>
    <row r="803" spans="7:22" ht="16">
      <c r="G803" s="167"/>
      <c r="J803" s="314"/>
      <c r="M803" s="350"/>
      <c r="P803" s="225"/>
      <c r="U803" s="315"/>
      <c r="V803" s="315"/>
    </row>
    <row r="804" spans="7:22" ht="16">
      <c r="G804" s="167"/>
      <c r="J804" s="314"/>
      <c r="M804" s="350"/>
      <c r="P804" s="225"/>
      <c r="U804" s="315"/>
      <c r="V804" s="315"/>
    </row>
    <row r="805" spans="7:22" ht="16">
      <c r="G805" s="167"/>
      <c r="J805" s="314"/>
      <c r="M805" s="350"/>
      <c r="P805" s="225"/>
      <c r="U805" s="315"/>
      <c r="V805" s="315"/>
    </row>
    <row r="806" spans="7:22" ht="16">
      <c r="G806" s="167"/>
      <c r="J806" s="314"/>
      <c r="M806" s="350"/>
      <c r="P806" s="225"/>
      <c r="U806" s="315"/>
      <c r="V806" s="315"/>
    </row>
    <row r="807" spans="7:22" ht="16">
      <c r="G807" s="167"/>
      <c r="J807" s="314"/>
      <c r="M807" s="350"/>
      <c r="P807" s="225"/>
      <c r="U807" s="315"/>
      <c r="V807" s="315"/>
    </row>
    <row r="808" spans="7:22" ht="16">
      <c r="G808" s="167"/>
      <c r="J808" s="314"/>
      <c r="M808" s="350"/>
      <c r="P808" s="225"/>
      <c r="U808" s="315"/>
      <c r="V808" s="315"/>
    </row>
    <row r="809" spans="7:22" ht="16">
      <c r="G809" s="167"/>
      <c r="J809" s="314"/>
      <c r="M809" s="350"/>
      <c r="P809" s="225"/>
      <c r="U809" s="315"/>
      <c r="V809" s="315"/>
    </row>
    <row r="810" spans="7:22" ht="16">
      <c r="G810" s="167"/>
      <c r="J810" s="314"/>
      <c r="M810" s="350"/>
      <c r="P810" s="225"/>
      <c r="U810" s="315"/>
      <c r="V810" s="315"/>
    </row>
    <row r="811" spans="7:22" ht="16">
      <c r="G811" s="167"/>
      <c r="J811" s="314"/>
      <c r="M811" s="350"/>
      <c r="P811" s="225"/>
      <c r="U811" s="315"/>
      <c r="V811" s="315"/>
    </row>
    <row r="812" spans="7:22" ht="16">
      <c r="G812" s="167"/>
      <c r="J812" s="314"/>
      <c r="M812" s="350"/>
      <c r="P812" s="225"/>
      <c r="U812" s="315"/>
      <c r="V812" s="315"/>
    </row>
    <row r="813" spans="7:22" ht="16">
      <c r="G813" s="167"/>
      <c r="J813" s="314"/>
      <c r="M813" s="350"/>
      <c r="P813" s="225"/>
      <c r="U813" s="315"/>
      <c r="V813" s="315"/>
    </row>
    <row r="814" spans="7:22" ht="16">
      <c r="G814" s="167"/>
      <c r="J814" s="314"/>
      <c r="M814" s="350"/>
      <c r="P814" s="225"/>
      <c r="U814" s="315"/>
      <c r="V814" s="315"/>
    </row>
    <row r="815" spans="7:22" ht="16">
      <c r="G815" s="167"/>
      <c r="J815" s="314"/>
      <c r="M815" s="350"/>
      <c r="P815" s="225"/>
      <c r="U815" s="315"/>
      <c r="V815" s="315"/>
    </row>
    <row r="816" spans="7:22" ht="16">
      <c r="G816" s="167"/>
      <c r="J816" s="314"/>
      <c r="M816" s="350"/>
      <c r="P816" s="225"/>
      <c r="U816" s="315"/>
      <c r="V816" s="315"/>
    </row>
    <row r="817" spans="7:22" ht="16">
      <c r="G817" s="167"/>
      <c r="J817" s="314"/>
      <c r="M817" s="350"/>
      <c r="P817" s="225"/>
      <c r="U817" s="315"/>
      <c r="V817" s="315"/>
    </row>
    <row r="818" spans="7:22" ht="16">
      <c r="G818" s="167"/>
      <c r="J818" s="314"/>
      <c r="M818" s="350"/>
      <c r="P818" s="225"/>
      <c r="U818" s="315"/>
      <c r="V818" s="315"/>
    </row>
    <row r="819" spans="7:22" ht="16">
      <c r="G819" s="167"/>
      <c r="J819" s="314"/>
      <c r="M819" s="350"/>
      <c r="P819" s="225"/>
      <c r="U819" s="315"/>
      <c r="V819" s="315"/>
    </row>
    <row r="820" spans="7:22" ht="16">
      <c r="G820" s="167"/>
      <c r="J820" s="314"/>
      <c r="M820" s="350"/>
      <c r="P820" s="225"/>
      <c r="U820" s="315"/>
      <c r="V820" s="315"/>
    </row>
    <row r="821" spans="7:22" ht="16">
      <c r="G821" s="167"/>
      <c r="J821" s="314"/>
      <c r="M821" s="350"/>
      <c r="P821" s="225"/>
      <c r="U821" s="315"/>
      <c r="V821" s="315"/>
    </row>
    <row r="822" spans="7:22" ht="16">
      <c r="G822" s="167"/>
      <c r="J822" s="314"/>
      <c r="M822" s="350"/>
      <c r="P822" s="225"/>
      <c r="U822" s="315"/>
      <c r="V822" s="315"/>
    </row>
    <row r="823" spans="7:22" ht="16">
      <c r="G823" s="167"/>
      <c r="J823" s="314"/>
      <c r="M823" s="350"/>
      <c r="P823" s="225"/>
      <c r="U823" s="315"/>
      <c r="V823" s="315"/>
    </row>
    <row r="824" spans="7:22" ht="16">
      <c r="G824" s="167"/>
      <c r="J824" s="314"/>
      <c r="M824" s="350"/>
      <c r="P824" s="225"/>
      <c r="U824" s="315"/>
      <c r="V824" s="315"/>
    </row>
    <row r="825" spans="7:22" ht="16">
      <c r="G825" s="167"/>
      <c r="J825" s="314"/>
      <c r="M825" s="350"/>
      <c r="P825" s="225"/>
      <c r="U825" s="315"/>
      <c r="V825" s="315"/>
    </row>
    <row r="826" spans="7:22" ht="16">
      <c r="G826" s="167"/>
      <c r="J826" s="314"/>
      <c r="M826" s="350"/>
      <c r="P826" s="225"/>
      <c r="U826" s="315"/>
      <c r="V826" s="315"/>
    </row>
    <row r="827" spans="7:22" ht="16">
      <c r="G827" s="167"/>
      <c r="J827" s="314"/>
      <c r="M827" s="350"/>
      <c r="P827" s="225"/>
      <c r="U827" s="315"/>
      <c r="V827" s="315"/>
    </row>
    <row r="828" spans="7:22" ht="16">
      <c r="G828" s="167"/>
      <c r="J828" s="314"/>
      <c r="M828" s="350"/>
      <c r="P828" s="225"/>
      <c r="U828" s="315"/>
      <c r="V828" s="315"/>
    </row>
    <row r="829" spans="7:22" ht="16">
      <c r="G829" s="167"/>
      <c r="J829" s="314"/>
      <c r="M829" s="350"/>
      <c r="P829" s="225"/>
      <c r="U829" s="315"/>
      <c r="V829" s="315"/>
    </row>
    <row r="830" spans="7:22" ht="16">
      <c r="G830" s="167"/>
      <c r="J830" s="314"/>
      <c r="M830" s="350"/>
      <c r="P830" s="225"/>
      <c r="U830" s="315"/>
      <c r="V830" s="315"/>
    </row>
    <row r="831" spans="7:22" ht="16">
      <c r="G831" s="167"/>
      <c r="J831" s="314"/>
      <c r="M831" s="350"/>
      <c r="P831" s="225"/>
      <c r="U831" s="315"/>
      <c r="V831" s="315"/>
    </row>
    <row r="832" spans="7:22" ht="16">
      <c r="G832" s="167"/>
      <c r="J832" s="314"/>
      <c r="M832" s="350"/>
      <c r="P832" s="225"/>
      <c r="U832" s="315"/>
      <c r="V832" s="315"/>
    </row>
    <row r="833" spans="7:22" ht="16">
      <c r="G833" s="167"/>
      <c r="J833" s="314"/>
      <c r="M833" s="350"/>
      <c r="P833" s="225"/>
      <c r="U833" s="315"/>
      <c r="V833" s="315"/>
    </row>
    <row r="834" spans="7:22" ht="16">
      <c r="G834" s="167"/>
      <c r="J834" s="314"/>
      <c r="M834" s="350"/>
      <c r="P834" s="225"/>
      <c r="U834" s="315"/>
      <c r="V834" s="315"/>
    </row>
    <row r="835" spans="7:22" ht="16">
      <c r="G835" s="167"/>
      <c r="J835" s="314"/>
      <c r="M835" s="350"/>
      <c r="P835" s="225"/>
      <c r="U835" s="315"/>
      <c r="V835" s="315"/>
    </row>
    <row r="836" spans="7:22" ht="16">
      <c r="G836" s="167"/>
      <c r="J836" s="314"/>
      <c r="M836" s="350"/>
      <c r="P836" s="225"/>
      <c r="U836" s="315"/>
      <c r="V836" s="315"/>
    </row>
    <row r="837" spans="7:22" ht="16">
      <c r="G837" s="167"/>
      <c r="J837" s="314"/>
      <c r="M837" s="350"/>
      <c r="P837" s="225"/>
      <c r="U837" s="315"/>
      <c r="V837" s="315"/>
    </row>
    <row r="838" spans="7:22" ht="16">
      <c r="G838" s="167"/>
      <c r="J838" s="314"/>
      <c r="M838" s="350"/>
      <c r="P838" s="225"/>
      <c r="U838" s="315"/>
      <c r="V838" s="315"/>
    </row>
    <row r="839" spans="7:22" ht="16">
      <c r="G839" s="167"/>
      <c r="J839" s="314"/>
      <c r="M839" s="350"/>
      <c r="P839" s="225"/>
      <c r="U839" s="315"/>
      <c r="V839" s="315"/>
    </row>
    <row r="840" spans="7:22" ht="16">
      <c r="G840" s="167"/>
      <c r="J840" s="314"/>
      <c r="M840" s="350"/>
      <c r="P840" s="225"/>
      <c r="U840" s="315"/>
      <c r="V840" s="315"/>
    </row>
    <row r="841" spans="7:22" ht="16">
      <c r="G841" s="167"/>
      <c r="J841" s="314"/>
      <c r="M841" s="350"/>
      <c r="P841" s="225"/>
      <c r="U841" s="315"/>
      <c r="V841" s="315"/>
    </row>
    <row r="842" spans="7:22" ht="16">
      <c r="G842" s="167"/>
      <c r="J842" s="314"/>
      <c r="M842" s="350"/>
      <c r="P842" s="225"/>
      <c r="U842" s="315"/>
      <c r="V842" s="315"/>
    </row>
    <row r="843" spans="7:22" ht="16">
      <c r="G843" s="167"/>
      <c r="J843" s="314"/>
      <c r="M843" s="350"/>
      <c r="P843" s="225"/>
      <c r="U843" s="315"/>
      <c r="V843" s="315"/>
    </row>
    <row r="844" spans="7:22" ht="16">
      <c r="G844" s="167"/>
      <c r="J844" s="314"/>
      <c r="M844" s="350"/>
      <c r="P844" s="225"/>
      <c r="U844" s="315"/>
      <c r="V844" s="315"/>
    </row>
    <row r="845" spans="7:22" ht="16">
      <c r="G845" s="167"/>
      <c r="J845" s="314"/>
      <c r="M845" s="350"/>
      <c r="P845" s="225"/>
      <c r="U845" s="315"/>
      <c r="V845" s="315"/>
    </row>
    <row r="846" spans="7:22" ht="16">
      <c r="G846" s="167"/>
      <c r="J846" s="314"/>
      <c r="M846" s="350"/>
      <c r="P846" s="225"/>
      <c r="U846" s="315"/>
      <c r="V846" s="315"/>
    </row>
    <row r="847" spans="7:22" ht="16">
      <c r="G847" s="167"/>
      <c r="J847" s="314"/>
      <c r="M847" s="350"/>
      <c r="P847" s="225"/>
      <c r="U847" s="315"/>
      <c r="V847" s="315"/>
    </row>
    <row r="848" spans="7:22" ht="16">
      <c r="G848" s="167"/>
      <c r="J848" s="314"/>
      <c r="M848" s="350"/>
      <c r="P848" s="225"/>
      <c r="U848" s="315"/>
      <c r="V848" s="315"/>
    </row>
    <row r="849" spans="7:22" ht="16">
      <c r="G849" s="167"/>
      <c r="J849" s="314"/>
      <c r="M849" s="350"/>
      <c r="P849" s="225"/>
      <c r="U849" s="315"/>
      <c r="V849" s="315"/>
    </row>
    <row r="850" spans="7:22" ht="16">
      <c r="G850" s="167"/>
      <c r="J850" s="314"/>
      <c r="M850" s="350"/>
      <c r="P850" s="225"/>
      <c r="U850" s="315"/>
      <c r="V850" s="315"/>
    </row>
    <row r="851" spans="7:22" ht="16">
      <c r="G851" s="167"/>
      <c r="J851" s="314"/>
      <c r="M851" s="350"/>
      <c r="P851" s="225"/>
      <c r="U851" s="315"/>
      <c r="V851" s="315"/>
    </row>
    <row r="852" spans="7:22" ht="16">
      <c r="G852" s="167"/>
      <c r="J852" s="314"/>
      <c r="M852" s="350"/>
      <c r="P852" s="225"/>
      <c r="U852" s="315"/>
      <c r="V852" s="315"/>
    </row>
    <row r="853" spans="7:22" ht="16">
      <c r="G853" s="167"/>
      <c r="J853" s="314"/>
      <c r="M853" s="350"/>
      <c r="P853" s="225"/>
      <c r="U853" s="315"/>
      <c r="V853" s="315"/>
    </row>
    <row r="854" spans="7:22" ht="16">
      <c r="G854" s="167"/>
      <c r="J854" s="314"/>
      <c r="M854" s="350"/>
      <c r="P854" s="225"/>
      <c r="U854" s="315"/>
      <c r="V854" s="315"/>
    </row>
    <row r="855" spans="7:22" ht="16">
      <c r="G855" s="167"/>
      <c r="J855" s="314"/>
      <c r="M855" s="350"/>
      <c r="P855" s="225"/>
      <c r="U855" s="315"/>
      <c r="V855" s="315"/>
    </row>
    <row r="856" spans="7:22" ht="16">
      <c r="G856" s="167"/>
      <c r="J856" s="314"/>
      <c r="M856" s="350"/>
      <c r="P856" s="225"/>
      <c r="U856" s="315"/>
      <c r="V856" s="315"/>
    </row>
    <row r="857" spans="7:22" ht="16">
      <c r="G857" s="167"/>
      <c r="J857" s="314"/>
      <c r="M857" s="350"/>
      <c r="P857" s="225"/>
      <c r="U857" s="315"/>
      <c r="V857" s="315"/>
    </row>
    <row r="858" spans="7:22" ht="16">
      <c r="G858" s="167"/>
      <c r="J858" s="314"/>
      <c r="M858" s="350"/>
      <c r="P858" s="225"/>
      <c r="U858" s="315"/>
      <c r="V858" s="315"/>
    </row>
    <row r="859" spans="7:22" ht="16">
      <c r="G859" s="167"/>
      <c r="J859" s="314"/>
      <c r="M859" s="350"/>
      <c r="P859" s="225"/>
      <c r="U859" s="315"/>
      <c r="V859" s="315"/>
    </row>
    <row r="860" spans="7:22" ht="16">
      <c r="G860" s="167"/>
      <c r="J860" s="314"/>
      <c r="M860" s="350"/>
      <c r="P860" s="225"/>
      <c r="U860" s="315"/>
      <c r="V860" s="315"/>
    </row>
    <row r="861" spans="7:22" ht="16">
      <c r="G861" s="167"/>
      <c r="J861" s="314"/>
      <c r="M861" s="350"/>
      <c r="P861" s="225"/>
      <c r="U861" s="315"/>
      <c r="V861" s="315"/>
    </row>
    <row r="862" spans="7:22" ht="16">
      <c r="G862" s="167"/>
      <c r="J862" s="314"/>
      <c r="M862" s="350"/>
      <c r="P862" s="225"/>
      <c r="U862" s="315"/>
      <c r="V862" s="315"/>
    </row>
    <row r="863" spans="7:22" ht="16">
      <c r="G863" s="167"/>
      <c r="J863" s="314"/>
      <c r="M863" s="350"/>
      <c r="P863" s="225"/>
      <c r="U863" s="315"/>
      <c r="V863" s="315"/>
    </row>
    <row r="864" spans="7:22" ht="16">
      <c r="G864" s="167"/>
      <c r="J864" s="314"/>
      <c r="M864" s="350"/>
      <c r="P864" s="225"/>
      <c r="U864" s="315"/>
      <c r="V864" s="315"/>
    </row>
    <row r="865" spans="7:22" ht="16">
      <c r="G865" s="167"/>
      <c r="J865" s="314"/>
      <c r="M865" s="350"/>
      <c r="P865" s="225"/>
      <c r="U865" s="315"/>
      <c r="V865" s="315"/>
    </row>
    <row r="866" spans="7:22" ht="16">
      <c r="G866" s="167"/>
      <c r="J866" s="314"/>
      <c r="M866" s="350"/>
      <c r="P866" s="225"/>
      <c r="U866" s="315"/>
      <c r="V866" s="315"/>
    </row>
    <row r="867" spans="7:22" ht="16">
      <c r="G867" s="167"/>
      <c r="J867" s="314"/>
      <c r="M867" s="350"/>
      <c r="P867" s="225"/>
      <c r="U867" s="315"/>
      <c r="V867" s="315"/>
    </row>
    <row r="868" spans="7:22" ht="16">
      <c r="G868" s="167"/>
      <c r="J868" s="314"/>
      <c r="M868" s="350"/>
      <c r="P868" s="225"/>
      <c r="U868" s="315"/>
      <c r="V868" s="315"/>
    </row>
    <row r="869" spans="7:22" ht="16">
      <c r="G869" s="167"/>
      <c r="J869" s="314"/>
      <c r="M869" s="350"/>
      <c r="P869" s="225"/>
      <c r="U869" s="315"/>
      <c r="V869" s="315"/>
    </row>
    <row r="870" spans="7:22" ht="16">
      <c r="G870" s="167"/>
      <c r="J870" s="314"/>
      <c r="M870" s="350"/>
      <c r="P870" s="225"/>
      <c r="U870" s="315"/>
      <c r="V870" s="315"/>
    </row>
    <row r="871" spans="7:22" ht="16">
      <c r="G871" s="167"/>
      <c r="J871" s="314"/>
      <c r="M871" s="350"/>
      <c r="P871" s="225"/>
      <c r="U871" s="315"/>
      <c r="V871" s="315"/>
    </row>
    <row r="872" spans="7:22" ht="16">
      <c r="G872" s="167"/>
      <c r="J872" s="314"/>
      <c r="M872" s="350"/>
      <c r="P872" s="225"/>
      <c r="U872" s="315"/>
      <c r="V872" s="315"/>
    </row>
    <row r="873" spans="7:22" ht="16">
      <c r="G873" s="167"/>
      <c r="J873" s="314"/>
      <c r="M873" s="350"/>
      <c r="P873" s="225"/>
      <c r="U873" s="315"/>
      <c r="V873" s="315"/>
    </row>
    <row r="874" spans="7:22" ht="16">
      <c r="G874" s="167"/>
      <c r="J874" s="314"/>
      <c r="M874" s="350"/>
      <c r="P874" s="225"/>
      <c r="U874" s="315"/>
      <c r="V874" s="315"/>
    </row>
    <row r="875" spans="7:22" ht="16">
      <c r="G875" s="167"/>
      <c r="J875" s="314"/>
      <c r="M875" s="350"/>
      <c r="P875" s="225"/>
      <c r="U875" s="315"/>
      <c r="V875" s="315"/>
    </row>
    <row r="876" spans="7:22" ht="16">
      <c r="G876" s="167"/>
      <c r="J876" s="314"/>
      <c r="M876" s="350"/>
      <c r="P876" s="225"/>
      <c r="U876" s="315"/>
      <c r="V876" s="315"/>
    </row>
    <row r="877" spans="7:22" ht="16">
      <c r="G877" s="167"/>
      <c r="J877" s="314"/>
      <c r="M877" s="350"/>
      <c r="P877" s="225"/>
      <c r="U877" s="315"/>
      <c r="V877" s="315"/>
    </row>
    <row r="878" spans="7:22" ht="16">
      <c r="G878" s="167"/>
      <c r="J878" s="314"/>
      <c r="M878" s="350"/>
      <c r="P878" s="225"/>
      <c r="U878" s="315"/>
      <c r="V878" s="315"/>
    </row>
    <row r="879" spans="7:22" ht="16">
      <c r="G879" s="167"/>
      <c r="J879" s="314"/>
      <c r="M879" s="350"/>
      <c r="P879" s="225"/>
      <c r="U879" s="315"/>
      <c r="V879" s="315"/>
    </row>
    <row r="880" spans="7:22" ht="16">
      <c r="G880" s="167"/>
      <c r="J880" s="314"/>
      <c r="M880" s="350"/>
      <c r="P880" s="225"/>
      <c r="U880" s="315"/>
      <c r="V880" s="315"/>
    </row>
    <row r="881" spans="7:22" ht="16">
      <c r="G881" s="167"/>
      <c r="J881" s="314"/>
      <c r="M881" s="350"/>
      <c r="P881" s="225"/>
      <c r="U881" s="315"/>
      <c r="V881" s="315"/>
    </row>
    <row r="882" spans="7:22" ht="16">
      <c r="G882" s="167"/>
      <c r="J882" s="314"/>
      <c r="M882" s="350"/>
      <c r="P882" s="225"/>
      <c r="U882" s="315"/>
      <c r="V882" s="315"/>
    </row>
    <row r="883" spans="7:22" ht="16">
      <c r="G883" s="167"/>
      <c r="J883" s="314"/>
      <c r="M883" s="350"/>
      <c r="P883" s="225"/>
      <c r="U883" s="315"/>
      <c r="V883" s="315"/>
    </row>
    <row r="884" spans="7:22" ht="16">
      <c r="G884" s="167"/>
      <c r="J884" s="314"/>
      <c r="M884" s="350"/>
      <c r="P884" s="225"/>
      <c r="U884" s="315"/>
      <c r="V884" s="315"/>
    </row>
    <row r="885" spans="7:22" ht="16">
      <c r="G885" s="167"/>
      <c r="J885" s="314"/>
      <c r="M885" s="350"/>
      <c r="P885" s="225"/>
      <c r="U885" s="315"/>
      <c r="V885" s="315"/>
    </row>
    <row r="886" spans="7:22" ht="16">
      <c r="G886" s="167"/>
      <c r="J886" s="314"/>
      <c r="M886" s="350"/>
      <c r="P886" s="225"/>
      <c r="U886" s="315"/>
      <c r="V886" s="315"/>
    </row>
    <row r="887" spans="7:22" ht="16">
      <c r="G887" s="167"/>
      <c r="J887" s="314"/>
      <c r="M887" s="350"/>
      <c r="P887" s="225"/>
      <c r="U887" s="315"/>
      <c r="V887" s="315"/>
    </row>
    <row r="888" spans="7:22" ht="16">
      <c r="G888" s="167"/>
      <c r="J888" s="314"/>
      <c r="M888" s="350"/>
      <c r="P888" s="225"/>
      <c r="U888" s="315"/>
      <c r="V888" s="315"/>
    </row>
    <row r="889" spans="7:22" ht="16">
      <c r="G889" s="167"/>
      <c r="J889" s="314"/>
      <c r="M889" s="350"/>
      <c r="P889" s="225"/>
      <c r="U889" s="315"/>
      <c r="V889" s="315"/>
    </row>
    <row r="890" spans="7:22" ht="16">
      <c r="G890" s="167"/>
      <c r="J890" s="314"/>
      <c r="M890" s="350"/>
      <c r="P890" s="225"/>
      <c r="U890" s="315"/>
      <c r="V890" s="315"/>
    </row>
    <row r="891" spans="7:22" ht="16">
      <c r="G891" s="167"/>
      <c r="J891" s="314"/>
      <c r="M891" s="350"/>
      <c r="P891" s="225"/>
      <c r="U891" s="315"/>
      <c r="V891" s="315"/>
    </row>
    <row r="892" spans="7:22" ht="16">
      <c r="G892" s="167"/>
      <c r="J892" s="314"/>
      <c r="M892" s="350"/>
      <c r="P892" s="225"/>
      <c r="U892" s="315"/>
      <c r="V892" s="315"/>
    </row>
    <row r="893" spans="7:22" ht="16">
      <c r="G893" s="167"/>
      <c r="J893" s="314"/>
      <c r="M893" s="350"/>
      <c r="P893" s="225"/>
      <c r="U893" s="315"/>
      <c r="V893" s="315"/>
    </row>
    <row r="894" spans="7:22" ht="16">
      <c r="G894" s="167"/>
      <c r="J894" s="314"/>
      <c r="M894" s="350"/>
      <c r="P894" s="225"/>
      <c r="U894" s="315"/>
      <c r="V894" s="315"/>
    </row>
    <row r="895" spans="7:22" ht="16">
      <c r="G895" s="167"/>
      <c r="J895" s="314"/>
      <c r="M895" s="350"/>
      <c r="P895" s="225"/>
      <c r="U895" s="315"/>
      <c r="V895" s="315"/>
    </row>
    <row r="896" spans="7:22" ht="16">
      <c r="G896" s="167"/>
      <c r="J896" s="314"/>
      <c r="M896" s="350"/>
      <c r="P896" s="225"/>
      <c r="U896" s="315"/>
      <c r="V896" s="315"/>
    </row>
    <row r="897" spans="7:22" ht="16">
      <c r="G897" s="167"/>
      <c r="J897" s="314"/>
      <c r="M897" s="350"/>
      <c r="P897" s="225"/>
      <c r="U897" s="315"/>
      <c r="V897" s="315"/>
    </row>
    <row r="898" spans="7:22" ht="16">
      <c r="G898" s="167"/>
      <c r="J898" s="314"/>
      <c r="M898" s="350"/>
      <c r="P898" s="225"/>
      <c r="U898" s="315"/>
      <c r="V898" s="315"/>
    </row>
    <row r="899" spans="7:22" ht="16">
      <c r="G899" s="167"/>
      <c r="J899" s="314"/>
      <c r="M899" s="350"/>
      <c r="P899" s="225"/>
      <c r="U899" s="315"/>
      <c r="V899" s="315"/>
    </row>
    <row r="900" spans="7:22" ht="16">
      <c r="G900" s="167"/>
      <c r="J900" s="314"/>
      <c r="M900" s="350"/>
      <c r="P900" s="225"/>
      <c r="U900" s="315"/>
      <c r="V900" s="315"/>
    </row>
    <row r="901" spans="7:22" ht="16">
      <c r="G901" s="167"/>
      <c r="J901" s="314"/>
      <c r="M901" s="350"/>
      <c r="P901" s="225"/>
      <c r="U901" s="315"/>
      <c r="V901" s="315"/>
    </row>
    <row r="902" spans="7:22" ht="16">
      <c r="G902" s="167"/>
      <c r="J902" s="314"/>
      <c r="M902" s="350"/>
      <c r="P902" s="225"/>
      <c r="U902" s="315"/>
      <c r="V902" s="315"/>
    </row>
    <row r="903" spans="7:22" ht="16">
      <c r="G903" s="167"/>
      <c r="J903" s="314"/>
      <c r="M903" s="350"/>
      <c r="P903" s="225"/>
      <c r="U903" s="315"/>
      <c r="V903" s="315"/>
    </row>
    <row r="904" spans="7:22" ht="16">
      <c r="G904" s="167"/>
      <c r="J904" s="314"/>
      <c r="M904" s="350"/>
      <c r="P904" s="225"/>
      <c r="U904" s="315"/>
      <c r="V904" s="315"/>
    </row>
    <row r="905" spans="7:22" ht="16">
      <c r="G905" s="167"/>
      <c r="J905" s="314"/>
      <c r="M905" s="350"/>
      <c r="P905" s="225"/>
      <c r="U905" s="315"/>
      <c r="V905" s="315"/>
    </row>
    <row r="906" spans="7:22" ht="16">
      <c r="G906" s="167"/>
      <c r="J906" s="314"/>
      <c r="M906" s="350"/>
      <c r="P906" s="225"/>
      <c r="U906" s="315"/>
      <c r="V906" s="315"/>
    </row>
    <row r="907" spans="7:22" ht="16">
      <c r="G907" s="167"/>
      <c r="J907" s="314"/>
      <c r="M907" s="350"/>
      <c r="P907" s="225"/>
      <c r="U907" s="315"/>
      <c r="V907" s="315"/>
    </row>
    <row r="908" spans="7:22" ht="16">
      <c r="G908" s="167"/>
      <c r="J908" s="314"/>
      <c r="M908" s="350"/>
      <c r="P908" s="225"/>
      <c r="U908" s="315"/>
      <c r="V908" s="315"/>
    </row>
    <row r="909" spans="7:22" ht="16">
      <c r="G909" s="167"/>
      <c r="J909" s="314"/>
      <c r="M909" s="350"/>
      <c r="P909" s="225"/>
      <c r="U909" s="315"/>
      <c r="V909" s="315"/>
    </row>
    <row r="910" spans="7:22" ht="16">
      <c r="G910" s="167"/>
      <c r="J910" s="314"/>
      <c r="M910" s="350"/>
      <c r="P910" s="225"/>
      <c r="U910" s="315"/>
      <c r="V910" s="315"/>
    </row>
    <row r="911" spans="7:22" ht="16">
      <c r="G911" s="167"/>
      <c r="J911" s="314"/>
      <c r="M911" s="350"/>
      <c r="P911" s="225"/>
      <c r="U911" s="315"/>
      <c r="V911" s="315"/>
    </row>
    <row r="912" spans="7:22" ht="16">
      <c r="G912" s="167"/>
      <c r="J912" s="314"/>
      <c r="M912" s="350"/>
      <c r="P912" s="225"/>
      <c r="U912" s="315"/>
      <c r="V912" s="315"/>
    </row>
    <row r="913" spans="7:22" ht="16">
      <c r="G913" s="167"/>
      <c r="J913" s="314"/>
      <c r="M913" s="350"/>
      <c r="P913" s="225"/>
      <c r="U913" s="315"/>
      <c r="V913" s="315"/>
    </row>
    <row r="914" spans="7:22" ht="16">
      <c r="G914" s="167"/>
      <c r="J914" s="314"/>
      <c r="M914" s="350"/>
      <c r="P914" s="225"/>
      <c r="U914" s="315"/>
      <c r="V914" s="315"/>
    </row>
    <row r="915" spans="7:22" ht="16">
      <c r="G915" s="167"/>
      <c r="J915" s="314"/>
      <c r="M915" s="350"/>
      <c r="P915" s="225"/>
      <c r="U915" s="315"/>
      <c r="V915" s="315"/>
    </row>
    <row r="916" spans="7:22" ht="16">
      <c r="G916" s="167"/>
      <c r="J916" s="314"/>
      <c r="M916" s="350"/>
      <c r="P916" s="225"/>
      <c r="U916" s="315"/>
      <c r="V916" s="315"/>
    </row>
    <row r="917" spans="7:22" ht="16">
      <c r="G917" s="167"/>
      <c r="J917" s="314"/>
      <c r="M917" s="350"/>
      <c r="P917" s="225"/>
      <c r="U917" s="315"/>
      <c r="V917" s="315"/>
    </row>
    <row r="918" spans="7:22" ht="16">
      <c r="G918" s="167"/>
      <c r="J918" s="314"/>
      <c r="M918" s="350"/>
      <c r="P918" s="225"/>
      <c r="U918" s="315"/>
      <c r="V918" s="315"/>
    </row>
    <row r="919" spans="7:22" ht="16">
      <c r="G919" s="167"/>
      <c r="J919" s="314"/>
      <c r="M919" s="350"/>
      <c r="P919" s="225"/>
      <c r="U919" s="315"/>
      <c r="V919" s="315"/>
    </row>
    <row r="920" spans="7:22" ht="16">
      <c r="G920" s="167"/>
      <c r="J920" s="314"/>
      <c r="M920" s="350"/>
      <c r="P920" s="225"/>
      <c r="U920" s="315"/>
      <c r="V920" s="315"/>
    </row>
    <row r="921" spans="7:22" ht="16">
      <c r="G921" s="167"/>
      <c r="J921" s="314"/>
      <c r="M921" s="350"/>
      <c r="P921" s="225"/>
      <c r="U921" s="315"/>
      <c r="V921" s="315"/>
    </row>
    <row r="922" spans="7:22" ht="16">
      <c r="G922" s="167"/>
      <c r="J922" s="314"/>
      <c r="M922" s="350"/>
      <c r="P922" s="225"/>
      <c r="U922" s="315"/>
      <c r="V922" s="315"/>
    </row>
    <row r="923" spans="7:22" ht="16">
      <c r="G923" s="167"/>
      <c r="J923" s="314"/>
      <c r="M923" s="350"/>
      <c r="P923" s="225"/>
      <c r="U923" s="315"/>
      <c r="V923" s="315"/>
    </row>
    <row r="924" spans="7:22" ht="16">
      <c r="G924" s="167"/>
      <c r="J924" s="314"/>
      <c r="M924" s="350"/>
      <c r="P924" s="225"/>
      <c r="U924" s="315"/>
      <c r="V924" s="315"/>
    </row>
    <row r="925" spans="7:22" ht="16">
      <c r="G925" s="167"/>
      <c r="J925" s="314"/>
      <c r="M925" s="350"/>
      <c r="P925" s="225"/>
      <c r="U925" s="315"/>
      <c r="V925" s="315"/>
    </row>
    <row r="926" spans="7:22" ht="16">
      <c r="G926" s="167"/>
      <c r="J926" s="314"/>
      <c r="M926" s="350"/>
      <c r="P926" s="225"/>
      <c r="U926" s="315"/>
      <c r="V926" s="315"/>
    </row>
    <row r="927" spans="7:22" ht="16">
      <c r="G927" s="167"/>
      <c r="J927" s="314"/>
      <c r="M927" s="350"/>
      <c r="P927" s="225"/>
      <c r="U927" s="315"/>
      <c r="V927" s="315"/>
    </row>
    <row r="928" spans="7:22" ht="16">
      <c r="G928" s="167"/>
      <c r="J928" s="314"/>
      <c r="M928" s="350"/>
      <c r="P928" s="225"/>
      <c r="U928" s="315"/>
      <c r="V928" s="315"/>
    </row>
    <row r="929" spans="7:22" ht="16">
      <c r="G929" s="167"/>
      <c r="J929" s="314"/>
      <c r="M929" s="350"/>
      <c r="P929" s="225"/>
      <c r="U929" s="315"/>
      <c r="V929" s="315"/>
    </row>
    <row r="930" spans="7:22" ht="16">
      <c r="G930" s="167"/>
      <c r="J930" s="314"/>
      <c r="M930" s="350"/>
      <c r="P930" s="225"/>
      <c r="U930" s="315"/>
      <c r="V930" s="315"/>
    </row>
    <row r="931" spans="7:22" ht="16">
      <c r="G931" s="167"/>
      <c r="J931" s="314"/>
      <c r="M931" s="350"/>
      <c r="P931" s="225"/>
      <c r="U931" s="315"/>
      <c r="V931" s="315"/>
    </row>
    <row r="932" spans="7:22" ht="16">
      <c r="G932" s="167"/>
      <c r="J932" s="314"/>
      <c r="M932" s="350"/>
      <c r="P932" s="225"/>
      <c r="U932" s="315"/>
      <c r="V932" s="315"/>
    </row>
    <row r="933" spans="7:22" ht="16">
      <c r="G933" s="167"/>
      <c r="J933" s="314"/>
      <c r="M933" s="350"/>
      <c r="P933" s="225"/>
      <c r="U933" s="315"/>
      <c r="V933" s="315"/>
    </row>
    <row r="934" spans="7:22" ht="16">
      <c r="G934" s="167"/>
      <c r="J934" s="314"/>
      <c r="M934" s="350"/>
      <c r="P934" s="225"/>
      <c r="U934" s="315"/>
      <c r="V934" s="315"/>
    </row>
    <row r="935" spans="7:22" ht="16">
      <c r="G935" s="167"/>
      <c r="J935" s="314"/>
      <c r="M935" s="350"/>
      <c r="P935" s="225"/>
      <c r="U935" s="315"/>
      <c r="V935" s="315"/>
    </row>
    <row r="936" spans="7:22" ht="16">
      <c r="G936" s="167"/>
      <c r="J936" s="314"/>
      <c r="M936" s="350"/>
      <c r="P936" s="225"/>
      <c r="U936" s="315"/>
      <c r="V936" s="315"/>
    </row>
    <row r="937" spans="7:22" ht="16">
      <c r="G937" s="167"/>
      <c r="J937" s="314"/>
      <c r="M937" s="350"/>
      <c r="P937" s="225"/>
      <c r="U937" s="315"/>
      <c r="V937" s="315"/>
    </row>
    <row r="938" spans="7:22" ht="16">
      <c r="G938" s="167"/>
      <c r="J938" s="314"/>
      <c r="M938" s="350"/>
      <c r="P938" s="225"/>
      <c r="U938" s="315"/>
      <c r="V938" s="315"/>
    </row>
    <row r="939" spans="7:22" ht="16">
      <c r="G939" s="167"/>
      <c r="J939" s="314"/>
      <c r="M939" s="350"/>
      <c r="P939" s="225"/>
      <c r="U939" s="315"/>
      <c r="V939" s="315"/>
    </row>
    <row r="940" spans="7:22" ht="16">
      <c r="G940" s="167"/>
      <c r="J940" s="314"/>
      <c r="M940" s="350"/>
      <c r="P940" s="225"/>
      <c r="U940" s="315"/>
      <c r="V940" s="315"/>
    </row>
    <row r="941" spans="7:22" ht="16">
      <c r="G941" s="167"/>
      <c r="J941" s="314"/>
      <c r="M941" s="350"/>
      <c r="P941" s="225"/>
      <c r="U941" s="315"/>
      <c r="V941" s="315"/>
    </row>
    <row r="942" spans="7:22" ht="16">
      <c r="G942" s="167"/>
      <c r="J942" s="314"/>
      <c r="M942" s="350"/>
      <c r="P942" s="225"/>
      <c r="U942" s="315"/>
      <c r="V942" s="315"/>
    </row>
    <row r="943" spans="7:22" ht="16">
      <c r="G943" s="167"/>
      <c r="J943" s="314"/>
      <c r="M943" s="350"/>
      <c r="P943" s="225"/>
      <c r="U943" s="315"/>
      <c r="V943" s="315"/>
    </row>
    <row r="944" spans="7:22" ht="16">
      <c r="G944" s="167"/>
      <c r="J944" s="314"/>
      <c r="M944" s="350"/>
      <c r="P944" s="225"/>
      <c r="U944" s="315"/>
      <c r="V944" s="315"/>
    </row>
    <row r="945" spans="7:22" ht="16">
      <c r="G945" s="167"/>
      <c r="J945" s="314"/>
      <c r="M945" s="350"/>
      <c r="P945" s="225"/>
      <c r="U945" s="315"/>
      <c r="V945" s="315"/>
    </row>
    <row r="946" spans="7:22" ht="16">
      <c r="G946" s="167"/>
      <c r="J946" s="314"/>
      <c r="M946" s="350"/>
      <c r="P946" s="225"/>
      <c r="U946" s="315"/>
      <c r="V946" s="315"/>
    </row>
    <row r="947" spans="7:22" ht="16">
      <c r="G947" s="167"/>
      <c r="J947" s="314"/>
      <c r="M947" s="350"/>
      <c r="P947" s="225"/>
      <c r="U947" s="315"/>
      <c r="V947" s="315"/>
    </row>
    <row r="948" spans="7:22" ht="16">
      <c r="G948" s="167"/>
      <c r="J948" s="314"/>
      <c r="M948" s="350"/>
      <c r="P948" s="225"/>
      <c r="U948" s="315"/>
      <c r="V948" s="315"/>
    </row>
    <row r="949" spans="7:22" ht="16">
      <c r="G949" s="167"/>
      <c r="J949" s="314"/>
      <c r="M949" s="350"/>
      <c r="P949" s="225"/>
      <c r="U949" s="315"/>
      <c r="V949" s="315"/>
    </row>
    <row r="950" spans="7:22" ht="16">
      <c r="G950" s="167"/>
      <c r="J950" s="314"/>
      <c r="M950" s="350"/>
      <c r="P950" s="225"/>
      <c r="U950" s="315"/>
      <c r="V950" s="315"/>
    </row>
    <row r="951" spans="7:22" ht="16">
      <c r="G951" s="167"/>
      <c r="J951" s="314"/>
      <c r="M951" s="350"/>
      <c r="P951" s="225"/>
      <c r="U951" s="315"/>
      <c r="V951" s="315"/>
    </row>
    <row r="952" spans="7:22" ht="16">
      <c r="G952" s="167"/>
      <c r="J952" s="314"/>
      <c r="M952" s="350"/>
      <c r="P952" s="225"/>
      <c r="U952" s="315"/>
      <c r="V952" s="315"/>
    </row>
    <row r="953" spans="7:22" ht="16">
      <c r="G953" s="167"/>
      <c r="J953" s="314"/>
      <c r="M953" s="350"/>
      <c r="P953" s="225"/>
      <c r="U953" s="315"/>
      <c r="V953" s="315"/>
    </row>
    <row r="954" spans="7:22" ht="16">
      <c r="G954" s="167"/>
      <c r="J954" s="314"/>
      <c r="M954" s="350"/>
      <c r="P954" s="225"/>
      <c r="U954" s="315"/>
      <c r="V954" s="315"/>
    </row>
    <row r="955" spans="7:22" ht="16">
      <c r="G955" s="167"/>
      <c r="J955" s="314"/>
      <c r="M955" s="350"/>
      <c r="P955" s="225"/>
      <c r="U955" s="315"/>
      <c r="V955" s="315"/>
    </row>
    <row r="956" spans="7:22" ht="16">
      <c r="G956" s="167"/>
      <c r="J956" s="314"/>
      <c r="M956" s="350"/>
      <c r="P956" s="225"/>
      <c r="U956" s="315"/>
      <c r="V956" s="315"/>
    </row>
    <row r="957" spans="7:22" ht="16">
      <c r="G957" s="167"/>
      <c r="J957" s="314"/>
      <c r="M957" s="350"/>
      <c r="P957" s="225"/>
      <c r="U957" s="315"/>
      <c r="V957" s="315"/>
    </row>
    <row r="958" spans="7:22" ht="16">
      <c r="G958" s="167"/>
      <c r="J958" s="314"/>
      <c r="M958" s="350"/>
      <c r="P958" s="225"/>
      <c r="U958" s="315"/>
      <c r="V958" s="315"/>
    </row>
    <row r="959" spans="7:22" ht="16">
      <c r="G959" s="167"/>
      <c r="J959" s="314"/>
      <c r="M959" s="350"/>
      <c r="P959" s="225"/>
      <c r="U959" s="315"/>
      <c r="V959" s="315"/>
    </row>
    <row r="960" spans="7:22" ht="16">
      <c r="G960" s="167"/>
      <c r="J960" s="314"/>
      <c r="M960" s="350"/>
      <c r="P960" s="225"/>
      <c r="U960" s="315"/>
      <c r="V960" s="315"/>
    </row>
    <row r="961" spans="7:22" ht="16">
      <c r="G961" s="167"/>
      <c r="J961" s="314"/>
      <c r="M961" s="350"/>
      <c r="P961" s="225"/>
      <c r="U961" s="315"/>
      <c r="V961" s="315"/>
    </row>
    <row r="962" spans="7:22" ht="16">
      <c r="G962" s="167"/>
      <c r="J962" s="314"/>
      <c r="M962" s="350"/>
      <c r="P962" s="225"/>
      <c r="U962" s="315"/>
      <c r="V962" s="315"/>
    </row>
    <row r="963" spans="7:22" ht="16">
      <c r="G963" s="167"/>
      <c r="J963" s="314"/>
      <c r="M963" s="350"/>
      <c r="P963" s="225"/>
      <c r="U963" s="315"/>
      <c r="V963" s="315"/>
    </row>
    <row r="964" spans="7:22" ht="16">
      <c r="G964" s="167"/>
      <c r="J964" s="314"/>
      <c r="M964" s="350"/>
      <c r="P964" s="225"/>
      <c r="U964" s="315"/>
      <c r="V964" s="315"/>
    </row>
    <row r="965" spans="7:22" ht="16">
      <c r="G965" s="167"/>
      <c r="J965" s="314"/>
      <c r="M965" s="350"/>
      <c r="P965" s="225"/>
      <c r="U965" s="315"/>
      <c r="V965" s="315"/>
    </row>
    <row r="966" spans="7:22" ht="16">
      <c r="G966" s="167"/>
      <c r="J966" s="314"/>
      <c r="M966" s="350"/>
      <c r="P966" s="225"/>
      <c r="U966" s="315"/>
      <c r="V966" s="315"/>
    </row>
    <row r="967" spans="7:22" ht="16">
      <c r="G967" s="167"/>
      <c r="J967" s="314"/>
      <c r="M967" s="350"/>
      <c r="P967" s="225"/>
      <c r="U967" s="315"/>
      <c r="V967" s="315"/>
    </row>
    <row r="968" spans="7:22" ht="16">
      <c r="G968" s="167"/>
      <c r="J968" s="314"/>
      <c r="M968" s="350"/>
      <c r="P968" s="225"/>
      <c r="U968" s="315"/>
      <c r="V968" s="315"/>
    </row>
    <row r="969" spans="7:22" ht="16">
      <c r="G969" s="167"/>
      <c r="J969" s="314"/>
      <c r="M969" s="350"/>
      <c r="P969" s="225"/>
      <c r="U969" s="315"/>
      <c r="V969" s="315"/>
    </row>
    <row r="970" spans="7:22" ht="16">
      <c r="G970" s="167"/>
      <c r="J970" s="314"/>
      <c r="M970" s="350"/>
      <c r="P970" s="225"/>
      <c r="U970" s="315"/>
      <c r="V970" s="315"/>
    </row>
    <row r="971" spans="7:22" ht="16">
      <c r="G971" s="167"/>
      <c r="J971" s="314"/>
      <c r="M971" s="350"/>
      <c r="P971" s="225"/>
      <c r="U971" s="315"/>
      <c r="V971" s="315"/>
    </row>
    <row r="972" spans="7:22" ht="16">
      <c r="G972" s="167"/>
      <c r="J972" s="314"/>
      <c r="M972" s="350"/>
      <c r="P972" s="225"/>
      <c r="U972" s="315"/>
      <c r="V972" s="315"/>
    </row>
    <row r="973" spans="7:22" ht="16">
      <c r="G973" s="167"/>
      <c r="J973" s="314"/>
      <c r="M973" s="350"/>
      <c r="P973" s="225"/>
      <c r="U973" s="315"/>
      <c r="V973" s="315"/>
    </row>
    <row r="974" spans="7:22" ht="16">
      <c r="G974" s="167"/>
      <c r="J974" s="314"/>
      <c r="M974" s="350"/>
      <c r="P974" s="225"/>
      <c r="U974" s="315"/>
      <c r="V974" s="315"/>
    </row>
    <row r="975" spans="7:22" ht="16">
      <c r="G975" s="167"/>
      <c r="J975" s="314"/>
      <c r="M975" s="350"/>
      <c r="P975" s="225"/>
      <c r="U975" s="315"/>
      <c r="V975" s="315"/>
    </row>
    <row r="976" spans="7:22" ht="16">
      <c r="G976" s="167"/>
      <c r="J976" s="314"/>
      <c r="M976" s="350"/>
      <c r="P976" s="225"/>
      <c r="U976" s="315"/>
      <c r="V976" s="315"/>
    </row>
    <row r="977" spans="7:22" ht="16">
      <c r="G977" s="167"/>
      <c r="J977" s="314"/>
      <c r="M977" s="350"/>
      <c r="P977" s="225"/>
      <c r="U977" s="315"/>
      <c r="V977" s="315"/>
    </row>
    <row r="978" spans="7:22" ht="16">
      <c r="G978" s="167"/>
      <c r="J978" s="314"/>
      <c r="M978" s="350"/>
      <c r="P978" s="225"/>
      <c r="U978" s="315"/>
      <c r="V978" s="315"/>
    </row>
    <row r="979" spans="7:22" ht="16">
      <c r="G979" s="167"/>
      <c r="J979" s="314"/>
      <c r="M979" s="350"/>
      <c r="P979" s="225"/>
      <c r="U979" s="315"/>
      <c r="V979" s="315"/>
    </row>
    <row r="980" spans="7:22" ht="16">
      <c r="G980" s="167"/>
      <c r="J980" s="314"/>
      <c r="M980" s="350"/>
      <c r="P980" s="225"/>
      <c r="U980" s="315"/>
      <c r="V980" s="315"/>
    </row>
    <row r="981" spans="7:22" ht="16">
      <c r="G981" s="167"/>
      <c r="J981" s="314"/>
      <c r="M981" s="350"/>
      <c r="P981" s="225"/>
      <c r="U981" s="315"/>
      <c r="V981" s="315"/>
    </row>
    <row r="982" spans="7:22" ht="16">
      <c r="G982" s="167"/>
      <c r="J982" s="314"/>
      <c r="M982" s="350"/>
      <c r="P982" s="225"/>
      <c r="U982" s="315"/>
      <c r="V982" s="315"/>
    </row>
    <row r="983" spans="7:22" ht="16">
      <c r="G983" s="167"/>
      <c r="J983" s="314"/>
      <c r="M983" s="350"/>
      <c r="P983" s="225"/>
      <c r="U983" s="315"/>
      <c r="V983" s="315"/>
    </row>
    <row r="984" spans="7:22" ht="16">
      <c r="G984" s="167"/>
      <c r="J984" s="314"/>
      <c r="M984" s="350"/>
      <c r="P984" s="225"/>
      <c r="U984" s="315"/>
      <c r="V984" s="315"/>
    </row>
    <row r="985" spans="7:22" ht="16">
      <c r="G985" s="167"/>
      <c r="J985" s="314"/>
      <c r="M985" s="350"/>
      <c r="P985" s="225"/>
      <c r="U985" s="315"/>
      <c r="V985" s="315"/>
    </row>
    <row r="986" spans="7:22" ht="16">
      <c r="G986" s="167"/>
      <c r="J986" s="314"/>
      <c r="M986" s="350"/>
      <c r="P986" s="225"/>
      <c r="U986" s="315"/>
      <c r="V986" s="315"/>
    </row>
    <row r="987" spans="7:22" ht="16">
      <c r="G987" s="167"/>
      <c r="J987" s="314"/>
      <c r="M987" s="350"/>
      <c r="P987" s="225"/>
      <c r="U987" s="315"/>
      <c r="V987" s="315"/>
    </row>
    <row r="988" spans="7:22" ht="16">
      <c r="G988" s="167"/>
      <c r="J988" s="314"/>
      <c r="M988" s="350"/>
      <c r="P988" s="225"/>
      <c r="U988" s="315"/>
      <c r="V988" s="315"/>
    </row>
    <row r="989" spans="7:22" ht="16">
      <c r="G989" s="167"/>
      <c r="J989" s="314"/>
      <c r="M989" s="350"/>
      <c r="P989" s="225"/>
      <c r="U989" s="315"/>
      <c r="V989" s="315"/>
    </row>
    <row r="990" spans="7:22" ht="16">
      <c r="G990" s="167"/>
      <c r="J990" s="314"/>
      <c r="M990" s="350"/>
      <c r="P990" s="225"/>
      <c r="U990" s="315"/>
      <c r="V990" s="315"/>
    </row>
    <row r="991" spans="7:22" ht="16">
      <c r="G991" s="167"/>
      <c r="J991" s="314"/>
      <c r="M991" s="350"/>
      <c r="P991" s="225"/>
      <c r="U991" s="315"/>
      <c r="V991" s="315"/>
    </row>
    <row r="992" spans="7:22" ht="16">
      <c r="G992" s="167"/>
      <c r="J992" s="314"/>
      <c r="M992" s="350"/>
      <c r="P992" s="225"/>
      <c r="U992" s="315"/>
      <c r="V992" s="315"/>
    </row>
    <row r="993" spans="7:22" ht="16">
      <c r="G993" s="167"/>
      <c r="J993" s="314"/>
      <c r="M993" s="350"/>
      <c r="P993" s="225"/>
      <c r="U993" s="315"/>
      <c r="V993" s="315"/>
    </row>
    <row r="994" spans="7:22" ht="16">
      <c r="G994" s="167"/>
      <c r="J994" s="314"/>
      <c r="M994" s="350"/>
      <c r="P994" s="225"/>
      <c r="U994" s="315"/>
      <c r="V994" s="315"/>
    </row>
    <row r="995" spans="7:22" ht="16">
      <c r="G995" s="167"/>
      <c r="J995" s="314"/>
      <c r="M995" s="350"/>
      <c r="P995" s="225"/>
      <c r="U995" s="315"/>
      <c r="V995" s="315"/>
    </row>
    <row r="996" spans="7:22" ht="16">
      <c r="G996" s="167"/>
      <c r="J996" s="314"/>
      <c r="M996" s="350"/>
      <c r="P996" s="225"/>
      <c r="U996" s="315"/>
      <c r="V996" s="315"/>
    </row>
    <row r="997" spans="7:22" ht="16">
      <c r="G997" s="167"/>
      <c r="J997" s="314"/>
      <c r="M997" s="350"/>
      <c r="P997" s="225"/>
      <c r="U997" s="315"/>
      <c r="V997" s="315"/>
    </row>
    <row r="998" spans="7:22" ht="16">
      <c r="G998" s="167"/>
      <c r="J998" s="314"/>
      <c r="M998" s="350"/>
      <c r="P998" s="225"/>
      <c r="U998" s="315"/>
      <c r="V998" s="315"/>
    </row>
    <row r="999" spans="7:22" ht="16">
      <c r="G999" s="167"/>
      <c r="J999" s="314"/>
      <c r="M999" s="350"/>
      <c r="P999" s="225"/>
      <c r="U999" s="315"/>
      <c r="V999" s="315"/>
    </row>
    <row r="1000" spans="7:22" ht="16">
      <c r="G1000" s="167"/>
      <c r="J1000" s="314"/>
      <c r="M1000" s="350"/>
      <c r="P1000" s="225"/>
      <c r="U1000" s="315"/>
      <c r="V1000" s="315"/>
    </row>
    <row r="1001" spans="7:22" ht="16">
      <c r="G1001" s="167"/>
      <c r="J1001" s="314"/>
      <c r="M1001" s="350"/>
      <c r="P1001" s="225"/>
      <c r="U1001" s="315"/>
      <c r="V1001" s="315"/>
    </row>
    <row r="1002" spans="7:22" ht="16">
      <c r="G1002" s="167"/>
      <c r="J1002" s="314"/>
      <c r="M1002" s="350"/>
      <c r="P1002" s="225"/>
      <c r="U1002" s="315"/>
      <c r="V1002" s="315"/>
    </row>
    <row r="1003" spans="7:22" ht="16">
      <c r="G1003" s="167"/>
      <c r="J1003" s="314"/>
      <c r="M1003" s="350"/>
      <c r="P1003" s="225"/>
      <c r="U1003" s="315"/>
      <c r="V1003" s="315"/>
    </row>
    <row r="1004" spans="7:22" ht="16">
      <c r="G1004" s="167"/>
      <c r="J1004" s="314"/>
      <c r="M1004" s="350"/>
      <c r="P1004" s="225"/>
      <c r="U1004" s="315"/>
      <c r="V1004" s="315"/>
    </row>
    <row r="1005" spans="7:22" ht="16">
      <c r="G1005" s="167"/>
      <c r="J1005" s="314"/>
      <c r="M1005" s="350"/>
      <c r="P1005" s="225"/>
      <c r="U1005" s="315"/>
      <c r="V1005" s="315"/>
    </row>
    <row r="1006" spans="7:22" ht="16">
      <c r="G1006" s="167"/>
      <c r="J1006" s="314"/>
      <c r="M1006" s="350"/>
      <c r="P1006" s="225"/>
      <c r="U1006" s="315"/>
      <c r="V1006" s="315"/>
    </row>
    <row r="1007" spans="7:22" ht="16">
      <c r="G1007" s="167"/>
      <c r="J1007" s="314"/>
      <c r="M1007" s="350"/>
      <c r="P1007" s="225"/>
      <c r="U1007" s="315"/>
      <c r="V1007" s="315"/>
    </row>
    <row r="1008" spans="7:22" ht="16">
      <c r="G1008" s="167"/>
      <c r="J1008" s="314"/>
      <c r="M1008" s="350"/>
      <c r="P1008" s="225"/>
      <c r="U1008" s="315"/>
      <c r="V1008" s="315"/>
    </row>
    <row r="1009" spans="7:22" ht="16">
      <c r="G1009" s="167"/>
      <c r="J1009" s="314"/>
      <c r="M1009" s="350"/>
      <c r="P1009" s="225"/>
      <c r="U1009" s="315"/>
      <c r="V1009" s="315"/>
    </row>
    <row r="1010" spans="7:22" ht="16">
      <c r="G1010" s="167"/>
      <c r="J1010" s="314"/>
      <c r="M1010" s="350"/>
      <c r="P1010" s="225"/>
      <c r="U1010" s="315"/>
      <c r="V1010" s="315"/>
    </row>
    <row r="1011" spans="7:22" ht="16">
      <c r="G1011" s="167"/>
      <c r="J1011" s="314"/>
      <c r="M1011" s="350"/>
      <c r="P1011" s="225"/>
      <c r="U1011" s="315"/>
      <c r="V1011" s="315"/>
    </row>
    <row r="1012" spans="7:22" ht="16">
      <c r="G1012" s="167"/>
      <c r="J1012" s="314"/>
      <c r="M1012" s="350"/>
      <c r="P1012" s="225"/>
      <c r="U1012" s="315"/>
      <c r="V1012" s="315"/>
    </row>
    <row r="1013" spans="7:22" ht="16">
      <c r="G1013" s="167"/>
      <c r="J1013" s="314"/>
      <c r="M1013" s="350"/>
      <c r="P1013" s="225"/>
      <c r="U1013" s="315"/>
      <c r="V1013" s="315"/>
    </row>
    <row r="1014" spans="7:22" ht="16">
      <c r="G1014" s="167"/>
      <c r="J1014" s="314"/>
      <c r="M1014" s="350"/>
      <c r="P1014" s="225"/>
      <c r="U1014" s="315"/>
      <c r="V1014" s="315"/>
    </row>
    <row r="1015" spans="7:22" ht="16">
      <c r="G1015" s="167"/>
      <c r="J1015" s="314"/>
      <c r="M1015" s="350"/>
      <c r="P1015" s="225"/>
      <c r="U1015" s="315"/>
      <c r="V1015" s="315"/>
    </row>
    <row r="1016" spans="7:22" ht="16">
      <c r="G1016" s="167"/>
      <c r="J1016" s="314"/>
      <c r="M1016" s="350"/>
      <c r="P1016" s="225"/>
      <c r="U1016" s="315"/>
      <c r="V1016" s="315"/>
    </row>
    <row r="1017" spans="7:22" ht="16">
      <c r="G1017" s="167"/>
      <c r="J1017" s="314"/>
      <c r="M1017" s="350"/>
      <c r="P1017" s="225"/>
      <c r="U1017" s="315"/>
      <c r="V1017" s="315"/>
    </row>
    <row r="1018" spans="7:22" ht="16">
      <c r="G1018" s="167"/>
      <c r="J1018" s="314"/>
      <c r="M1018" s="350"/>
      <c r="P1018" s="225"/>
      <c r="U1018" s="315"/>
      <c r="V1018" s="315"/>
    </row>
    <row r="1019" spans="7:22" ht="16">
      <c r="G1019" s="167"/>
      <c r="J1019" s="314"/>
      <c r="M1019" s="350"/>
      <c r="P1019" s="225"/>
      <c r="U1019" s="315"/>
      <c r="V1019" s="315"/>
    </row>
    <row r="1020" spans="7:22" ht="16">
      <c r="G1020" s="167"/>
      <c r="J1020" s="314"/>
      <c r="M1020" s="350"/>
      <c r="P1020" s="225"/>
      <c r="U1020" s="315"/>
      <c r="V1020" s="315"/>
    </row>
    <row r="1021" spans="7:22" ht="16">
      <c r="G1021" s="167"/>
      <c r="J1021" s="314"/>
      <c r="M1021" s="350"/>
      <c r="U1021" s="316"/>
      <c r="V1021" s="316"/>
    </row>
    <row r="1022" spans="7:22" ht="16">
      <c r="G1022" s="167"/>
      <c r="J1022" s="314"/>
      <c r="M1022" s="350"/>
      <c r="U1022" s="316"/>
      <c r="V1022" s="316"/>
    </row>
    <row r="1023" spans="7:22" ht="16">
      <c r="G1023" s="167"/>
      <c r="J1023" s="314"/>
      <c r="M1023" s="350"/>
      <c r="U1023" s="316"/>
      <c r="V1023" s="316"/>
    </row>
    <row r="1024" spans="7:22" ht="16">
      <c r="G1024" s="167"/>
      <c r="J1024" s="314"/>
      <c r="M1024" s="350"/>
      <c r="U1024" s="316"/>
      <c r="V1024" s="316"/>
    </row>
  </sheetData>
  <mergeCells count="3">
    <mergeCell ref="B1:E1"/>
    <mergeCell ref="B6:F6"/>
    <mergeCell ref="H7:I7"/>
  </mergeCells>
  <conditionalFormatting sqref="E2">
    <cfRule type="notContainsBlanks" dxfId="3" priority="1">
      <formula>LEN(TRIM(E2))&gt;0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Y1040"/>
  <sheetViews>
    <sheetView topLeftCell="G1" workbookViewId="0">
      <pane ySplit="6" topLeftCell="A117" activePane="bottomLeft" state="frozen"/>
      <selection pane="bottomLeft" activeCell="M132" sqref="M132"/>
    </sheetView>
  </sheetViews>
  <sheetFormatPr baseColWidth="10" defaultColWidth="14.5" defaultRowHeight="15" customHeight="1"/>
  <cols>
    <col min="1" max="1" width="2" customWidth="1"/>
    <col min="2" max="2" width="13.6640625" customWidth="1"/>
    <col min="3" max="3" width="14.6640625" customWidth="1"/>
    <col min="4" max="4" width="12.33203125" customWidth="1"/>
    <col min="5" max="5" width="21.1640625" customWidth="1"/>
    <col min="6" max="6" width="16.83203125" customWidth="1"/>
    <col min="7" max="7" width="70.5" customWidth="1"/>
    <col min="8" max="8" width="6.83203125" customWidth="1"/>
    <col min="9" max="9" width="5.5" customWidth="1"/>
    <col min="10" max="10" width="12.5" customWidth="1"/>
    <col min="11" max="11" width="10.6640625" customWidth="1"/>
    <col min="12" max="12" width="4.5" customWidth="1"/>
    <col min="13" max="13" width="13.5" customWidth="1"/>
    <col min="14" max="14" width="5.5" customWidth="1"/>
    <col min="15" max="15" width="7.83203125" customWidth="1"/>
    <col min="16" max="16" width="4.83203125" customWidth="1"/>
    <col min="17" max="17" width="16.1640625" customWidth="1"/>
    <col min="18" max="18" width="20.6640625" customWidth="1"/>
    <col min="19" max="19" width="6.1640625" customWidth="1"/>
    <col min="20" max="20" width="26.1640625" customWidth="1"/>
    <col min="21" max="21" width="23.33203125" customWidth="1"/>
  </cols>
  <sheetData>
    <row r="1" spans="1:22" ht="63.75" customHeight="1">
      <c r="A1" s="465" t="s">
        <v>6078</v>
      </c>
      <c r="B1" s="550"/>
      <c r="C1" s="543"/>
      <c r="D1" s="543"/>
      <c r="E1" s="543"/>
      <c r="G1" s="166"/>
      <c r="H1" s="297"/>
      <c r="I1" s="297"/>
      <c r="J1" s="314"/>
      <c r="K1" s="8"/>
      <c r="L1" s="297"/>
      <c r="M1" s="297"/>
      <c r="N1" s="297"/>
      <c r="O1" s="297"/>
      <c r="P1" s="297"/>
      <c r="Q1" s="297"/>
      <c r="R1" s="314"/>
      <c r="S1" s="297"/>
      <c r="T1" s="466"/>
      <c r="U1" s="297"/>
      <c r="V1" s="1"/>
    </row>
    <row r="2" spans="1:22" ht="16">
      <c r="A2" s="1"/>
      <c r="B2" s="318" t="s">
        <v>1</v>
      </c>
      <c r="C2" s="319">
        <v>1300000</v>
      </c>
      <c r="D2" s="319"/>
      <c r="E2" s="320">
        <f>C3/C2</f>
        <v>0.74166130769230765</v>
      </c>
      <c r="F2" s="49"/>
      <c r="G2" s="49"/>
      <c r="H2" s="90"/>
      <c r="I2" s="90"/>
      <c r="J2" s="300"/>
      <c r="K2" s="300"/>
      <c r="L2" s="90"/>
      <c r="M2" s="321"/>
      <c r="N2" s="321"/>
      <c r="O2" s="90"/>
      <c r="P2" s="90"/>
      <c r="Q2" s="90"/>
      <c r="R2" s="300"/>
      <c r="S2" s="90"/>
      <c r="T2" s="467"/>
      <c r="U2" s="90"/>
      <c r="V2" s="1"/>
    </row>
    <row r="3" spans="1:22" ht="16">
      <c r="A3" s="1"/>
      <c r="B3" s="322" t="s">
        <v>2</v>
      </c>
      <c r="C3" s="319">
        <f>SUM(K8:K172)</f>
        <v>964159.7</v>
      </c>
      <c r="D3" s="319"/>
      <c r="E3" s="323" t="s">
        <v>3</v>
      </c>
      <c r="F3" s="324"/>
      <c r="G3" s="431"/>
      <c r="H3" s="299"/>
      <c r="I3" s="90"/>
      <c r="J3" s="468"/>
      <c r="K3" s="468"/>
      <c r="L3" s="299"/>
      <c r="M3" s="325"/>
      <c r="N3" s="299"/>
      <c r="O3" s="299"/>
      <c r="P3" s="299"/>
      <c r="Q3" s="299"/>
      <c r="R3" s="468"/>
      <c r="S3" s="299"/>
      <c r="T3" s="469"/>
      <c r="U3" s="299"/>
      <c r="V3" s="1"/>
    </row>
    <row r="4" spans="1:22">
      <c r="A4" s="1"/>
      <c r="B4" s="326" t="s">
        <v>2218</v>
      </c>
      <c r="C4" s="326">
        <f ca="1">(E5-TODAY())</f>
        <v>-35</v>
      </c>
      <c r="D4" s="326"/>
      <c r="E4" s="17"/>
      <c r="F4" s="327"/>
      <c r="G4" s="431"/>
      <c r="H4" s="90"/>
      <c r="J4" s="300"/>
      <c r="K4" s="314"/>
      <c r="L4" s="90"/>
      <c r="M4" s="321"/>
      <c r="N4" s="90"/>
      <c r="O4" s="90"/>
      <c r="P4" s="90"/>
      <c r="Q4" s="90"/>
      <c r="R4" s="300"/>
      <c r="S4" s="90"/>
      <c r="T4" s="467"/>
      <c r="U4" s="90"/>
      <c r="V4" s="1"/>
    </row>
    <row r="5" spans="1:22" ht="16">
      <c r="A5" s="1"/>
      <c r="B5" s="328" t="s">
        <v>6</v>
      </c>
      <c r="C5" s="329">
        <f ca="1">TODAY()</f>
        <v>46026</v>
      </c>
      <c r="D5" s="328"/>
      <c r="E5" s="330">
        <v>45991</v>
      </c>
      <c r="F5" s="90"/>
      <c r="G5" s="299"/>
      <c r="H5" s="90"/>
      <c r="I5" s="90"/>
      <c r="J5" s="300"/>
      <c r="K5" s="300"/>
      <c r="L5" s="90"/>
      <c r="M5" s="321"/>
      <c r="N5" s="301"/>
      <c r="O5" s="303"/>
      <c r="P5" s="90"/>
      <c r="Q5" s="304"/>
      <c r="R5" s="300"/>
      <c r="S5" s="90"/>
      <c r="T5" s="61"/>
      <c r="U5" s="305"/>
      <c r="V5" s="1"/>
    </row>
    <row r="6" spans="1:22" ht="22">
      <c r="A6" s="1"/>
      <c r="B6" s="549" t="s">
        <v>2734</v>
      </c>
      <c r="C6" s="537"/>
      <c r="D6" s="537"/>
      <c r="E6" s="537"/>
      <c r="F6" s="537"/>
      <c r="G6" s="26"/>
      <c r="H6" s="23"/>
      <c r="I6" s="23"/>
      <c r="J6" s="23"/>
      <c r="K6" s="23"/>
      <c r="L6" s="23"/>
      <c r="M6" s="331"/>
      <c r="N6" s="23"/>
      <c r="O6" s="211"/>
      <c r="P6" s="23"/>
      <c r="Q6" s="332"/>
      <c r="R6" s="25"/>
      <c r="S6" s="26"/>
      <c r="T6" s="470"/>
      <c r="U6" s="306"/>
      <c r="V6" s="1"/>
    </row>
    <row r="7" spans="1:22" ht="14.25" customHeight="1">
      <c r="A7" s="98"/>
      <c r="B7" s="38" t="s">
        <v>18</v>
      </c>
      <c r="C7" s="38" t="s">
        <v>3442</v>
      </c>
      <c r="D7" s="38" t="s">
        <v>19</v>
      </c>
      <c r="E7" s="38" t="s">
        <v>20</v>
      </c>
      <c r="F7" s="38" t="s">
        <v>21</v>
      </c>
      <c r="G7" s="39" t="s">
        <v>2018</v>
      </c>
      <c r="H7" s="538" t="s">
        <v>22</v>
      </c>
      <c r="I7" s="528"/>
      <c r="J7" s="40" t="s">
        <v>4046</v>
      </c>
      <c r="K7" s="41" t="s">
        <v>23</v>
      </c>
      <c r="L7" s="42"/>
      <c r="M7" s="41" t="s">
        <v>6079</v>
      </c>
      <c r="N7" s="43"/>
      <c r="O7" s="213"/>
      <c r="P7" s="45"/>
      <c r="Q7" s="128"/>
      <c r="R7" s="41" t="s">
        <v>6080</v>
      </c>
      <c r="S7" s="47"/>
      <c r="T7" s="471" t="s">
        <v>6081</v>
      </c>
      <c r="U7" s="307"/>
      <c r="V7" s="100" t="s">
        <v>24</v>
      </c>
    </row>
    <row r="8" spans="1:22" ht="15" customHeight="1">
      <c r="A8" s="1"/>
      <c r="B8" s="71" t="s">
        <v>6082</v>
      </c>
      <c r="C8" s="53" t="s">
        <v>3458</v>
      </c>
      <c r="D8" s="151" t="s">
        <v>51</v>
      </c>
      <c r="E8" s="53" t="s">
        <v>201</v>
      </c>
      <c r="F8" s="53" t="s">
        <v>202</v>
      </c>
      <c r="G8" s="66" t="s">
        <v>6083</v>
      </c>
      <c r="H8" s="131" t="s">
        <v>30</v>
      </c>
      <c r="I8" s="66">
        <v>1</v>
      </c>
      <c r="J8" s="472">
        <v>1000</v>
      </c>
      <c r="K8" s="472">
        <f t="shared" ref="K8:K77" si="0">(I8*J8)</f>
        <v>1000</v>
      </c>
      <c r="L8" s="55" t="b">
        <v>1</v>
      </c>
      <c r="M8" s="56">
        <v>11020251330</v>
      </c>
      <c r="N8" s="57" t="s">
        <v>3300</v>
      </c>
      <c r="O8" s="226"/>
      <c r="P8" s="191" t="b">
        <v>1</v>
      </c>
      <c r="Q8" s="342" t="s">
        <v>3684</v>
      </c>
      <c r="R8" s="174"/>
      <c r="S8" s="57" t="b">
        <v>1</v>
      </c>
      <c r="T8" s="309" t="s">
        <v>6084</v>
      </c>
      <c r="U8" s="307"/>
      <c r="V8" s="54"/>
    </row>
    <row r="9" spans="1:22" ht="15" customHeight="1">
      <c r="A9" s="18"/>
      <c r="B9" s="71" t="s">
        <v>6085</v>
      </c>
      <c r="C9" s="53" t="s">
        <v>3527</v>
      </c>
      <c r="D9" s="151" t="s">
        <v>51</v>
      </c>
      <c r="E9" s="151" t="s">
        <v>338</v>
      </c>
      <c r="F9" s="151" t="s">
        <v>3528</v>
      </c>
      <c r="G9" s="66" t="s">
        <v>6086</v>
      </c>
      <c r="H9" s="131" t="s">
        <v>30</v>
      </c>
      <c r="I9" s="151">
        <v>4</v>
      </c>
      <c r="J9" s="472">
        <v>2250</v>
      </c>
      <c r="K9" s="472">
        <f t="shared" si="0"/>
        <v>9000</v>
      </c>
      <c r="L9" s="55" t="b">
        <v>1</v>
      </c>
      <c r="M9" s="56">
        <v>11120231500</v>
      </c>
      <c r="N9" s="57" t="s">
        <v>39</v>
      </c>
      <c r="O9" s="226"/>
      <c r="P9" s="191" t="b">
        <v>1</v>
      </c>
      <c r="Q9" s="342" t="s">
        <v>3684</v>
      </c>
      <c r="R9" s="473"/>
      <c r="S9" s="57" t="b">
        <v>1</v>
      </c>
      <c r="T9" s="309" t="s">
        <v>6087</v>
      </c>
      <c r="U9" s="307"/>
      <c r="V9" s="54"/>
    </row>
    <row r="10" spans="1:22" ht="15" customHeight="1">
      <c r="A10" s="18"/>
      <c r="B10" s="71" t="s">
        <v>6085</v>
      </c>
      <c r="C10" s="151" t="s">
        <v>4717</v>
      </c>
      <c r="D10" s="151" t="s">
        <v>51</v>
      </c>
      <c r="E10" s="151" t="s">
        <v>475</v>
      </c>
      <c r="F10" s="151" t="s">
        <v>168</v>
      </c>
      <c r="G10" s="66" t="s">
        <v>3327</v>
      </c>
      <c r="H10" s="131" t="s">
        <v>30</v>
      </c>
      <c r="I10" s="151">
        <v>1</v>
      </c>
      <c r="J10" s="472">
        <v>7250</v>
      </c>
      <c r="K10" s="472">
        <f t="shared" si="0"/>
        <v>7250</v>
      </c>
      <c r="L10" s="55" t="b">
        <v>1</v>
      </c>
      <c r="M10" s="56">
        <v>11120231500</v>
      </c>
      <c r="N10" s="57" t="s">
        <v>39</v>
      </c>
      <c r="O10" s="215"/>
      <c r="P10" s="191" t="b">
        <v>1</v>
      </c>
      <c r="Q10" s="342" t="s">
        <v>3684</v>
      </c>
      <c r="R10" s="314"/>
      <c r="S10" s="57" t="b">
        <v>1</v>
      </c>
      <c r="T10" s="309" t="s">
        <v>6088</v>
      </c>
      <c r="U10" s="307"/>
      <c r="V10" s="54"/>
    </row>
    <row r="11" spans="1:22" ht="15" customHeight="1">
      <c r="A11" s="162"/>
      <c r="B11" s="71" t="s">
        <v>6085</v>
      </c>
      <c r="C11" s="151" t="s">
        <v>4717</v>
      </c>
      <c r="D11" s="151" t="s">
        <v>51</v>
      </c>
      <c r="E11" s="151" t="s">
        <v>475</v>
      </c>
      <c r="F11" s="151" t="s">
        <v>168</v>
      </c>
      <c r="G11" s="66" t="s">
        <v>6048</v>
      </c>
      <c r="H11" s="131" t="s">
        <v>30</v>
      </c>
      <c r="I11" s="151">
        <v>80</v>
      </c>
      <c r="J11" s="472">
        <v>60</v>
      </c>
      <c r="K11" s="472">
        <f t="shared" si="0"/>
        <v>4800</v>
      </c>
      <c r="L11" s="55" t="b">
        <v>1</v>
      </c>
      <c r="M11" s="56">
        <v>11120231500</v>
      </c>
      <c r="N11" s="57" t="s">
        <v>39</v>
      </c>
      <c r="O11" s="226"/>
      <c r="P11" s="191" t="b">
        <v>1</v>
      </c>
      <c r="Q11" s="342" t="s">
        <v>3684</v>
      </c>
      <c r="R11" s="174"/>
      <c r="S11" s="57" t="b">
        <v>1</v>
      </c>
      <c r="T11" s="309" t="s">
        <v>6088</v>
      </c>
      <c r="U11" s="307"/>
      <c r="V11" s="54"/>
    </row>
    <row r="12" spans="1:22" ht="15" customHeight="1">
      <c r="A12" s="162"/>
      <c r="B12" s="71" t="s">
        <v>6085</v>
      </c>
      <c r="C12" s="53" t="s">
        <v>3552</v>
      </c>
      <c r="D12" s="53" t="s">
        <v>51</v>
      </c>
      <c r="E12" s="53" t="s">
        <v>66</v>
      </c>
      <c r="F12" s="53" t="s">
        <v>67</v>
      </c>
      <c r="G12" s="66" t="s">
        <v>6086</v>
      </c>
      <c r="H12" s="131" t="s">
        <v>30</v>
      </c>
      <c r="I12" s="151">
        <v>6</v>
      </c>
      <c r="J12" s="472">
        <v>2250</v>
      </c>
      <c r="K12" s="472">
        <f t="shared" si="0"/>
        <v>13500</v>
      </c>
      <c r="L12" s="55" t="b">
        <v>1</v>
      </c>
      <c r="M12" s="56">
        <v>11120231500</v>
      </c>
      <c r="N12" s="57" t="s">
        <v>39</v>
      </c>
      <c r="O12" s="226"/>
      <c r="P12" s="191" t="b">
        <v>1</v>
      </c>
      <c r="Q12" s="342" t="s">
        <v>3684</v>
      </c>
      <c r="R12" s="474"/>
      <c r="S12" s="57" t="b">
        <v>1</v>
      </c>
      <c r="T12" s="309" t="s">
        <v>6089</v>
      </c>
      <c r="U12" s="307"/>
      <c r="V12" s="54"/>
    </row>
    <row r="13" spans="1:22" ht="15" customHeight="1">
      <c r="A13" s="162"/>
      <c r="B13" s="71" t="s">
        <v>6085</v>
      </c>
      <c r="C13" s="53" t="s">
        <v>3552</v>
      </c>
      <c r="D13" s="53" t="s">
        <v>51</v>
      </c>
      <c r="E13" s="53" t="s">
        <v>66</v>
      </c>
      <c r="F13" s="53" t="s">
        <v>67</v>
      </c>
      <c r="G13" s="66" t="s">
        <v>6048</v>
      </c>
      <c r="H13" s="131" t="s">
        <v>30</v>
      </c>
      <c r="I13" s="151">
        <v>100</v>
      </c>
      <c r="J13" s="472">
        <v>60</v>
      </c>
      <c r="K13" s="472">
        <f t="shared" si="0"/>
        <v>6000</v>
      </c>
      <c r="L13" s="55" t="b">
        <v>1</v>
      </c>
      <c r="M13" s="56">
        <v>11120231500</v>
      </c>
      <c r="N13" s="57" t="s">
        <v>39</v>
      </c>
      <c r="O13" s="226"/>
      <c r="P13" s="191" t="b">
        <v>1</v>
      </c>
      <c r="Q13" s="342" t="s">
        <v>3684</v>
      </c>
      <c r="R13" s="474"/>
      <c r="S13" s="57" t="b">
        <v>1</v>
      </c>
      <c r="T13" s="309" t="s">
        <v>6089</v>
      </c>
      <c r="U13" s="307"/>
      <c r="V13" s="54"/>
    </row>
    <row r="14" spans="1:22" ht="15" customHeight="1">
      <c r="A14" s="162"/>
      <c r="B14" s="71" t="s">
        <v>6085</v>
      </c>
      <c r="C14" s="151" t="s">
        <v>4099</v>
      </c>
      <c r="D14" s="151" t="s">
        <v>51</v>
      </c>
      <c r="E14" s="151" t="s">
        <v>594</v>
      </c>
      <c r="F14" s="151" t="s">
        <v>595</v>
      </c>
      <c r="G14" s="66" t="s">
        <v>894</v>
      </c>
      <c r="H14" s="131" t="s">
        <v>30</v>
      </c>
      <c r="I14" s="151">
        <v>2</v>
      </c>
      <c r="J14" s="472">
        <v>3750</v>
      </c>
      <c r="K14" s="472">
        <f t="shared" si="0"/>
        <v>7500</v>
      </c>
      <c r="L14" s="55" t="b">
        <v>1</v>
      </c>
      <c r="M14" s="56">
        <v>11120231500</v>
      </c>
      <c r="N14" s="57" t="s">
        <v>39</v>
      </c>
      <c r="O14" s="226"/>
      <c r="P14" s="191" t="b">
        <v>1</v>
      </c>
      <c r="Q14" s="342" t="s">
        <v>3684</v>
      </c>
      <c r="R14" s="473"/>
      <c r="S14" s="57" t="b">
        <v>1</v>
      </c>
      <c r="T14" s="309" t="s">
        <v>6090</v>
      </c>
      <c r="U14" s="307"/>
      <c r="V14" s="54"/>
    </row>
    <row r="15" spans="1:22" ht="15" customHeight="1">
      <c r="A15" s="162"/>
      <c r="B15" s="71" t="s">
        <v>6085</v>
      </c>
      <c r="C15" s="151" t="s">
        <v>4099</v>
      </c>
      <c r="D15" s="151" t="s">
        <v>51</v>
      </c>
      <c r="E15" s="151" t="s">
        <v>594</v>
      </c>
      <c r="F15" s="151" t="s">
        <v>595</v>
      </c>
      <c r="G15" s="66" t="s">
        <v>6048</v>
      </c>
      <c r="H15" s="131" t="s">
        <v>30</v>
      </c>
      <c r="I15" s="151">
        <v>100</v>
      </c>
      <c r="J15" s="472">
        <v>60</v>
      </c>
      <c r="K15" s="472">
        <f t="shared" si="0"/>
        <v>6000</v>
      </c>
      <c r="L15" s="55" t="b">
        <v>1</v>
      </c>
      <c r="M15" s="56">
        <v>11120231500</v>
      </c>
      <c r="N15" s="57" t="s">
        <v>39</v>
      </c>
      <c r="O15" s="226"/>
      <c r="P15" s="191" t="b">
        <v>1</v>
      </c>
      <c r="Q15" s="342" t="s">
        <v>3684</v>
      </c>
      <c r="R15" s="474"/>
      <c r="S15" s="57" t="b">
        <v>1</v>
      </c>
      <c r="T15" s="309" t="s">
        <v>6090</v>
      </c>
      <c r="U15" s="307"/>
      <c r="V15" s="54"/>
    </row>
    <row r="16" spans="1:22" ht="15" customHeight="1">
      <c r="A16" s="162"/>
      <c r="B16" s="71" t="s">
        <v>6085</v>
      </c>
      <c r="C16" s="151" t="s">
        <v>3641</v>
      </c>
      <c r="D16" s="151" t="s">
        <v>51</v>
      </c>
      <c r="E16" s="151" t="s">
        <v>335</v>
      </c>
      <c r="F16" s="151" t="s">
        <v>2237</v>
      </c>
      <c r="G16" s="66" t="s">
        <v>3327</v>
      </c>
      <c r="H16" s="131" t="s">
        <v>30</v>
      </c>
      <c r="I16" s="151">
        <v>2</v>
      </c>
      <c r="J16" s="472">
        <v>7500</v>
      </c>
      <c r="K16" s="472">
        <f t="shared" si="0"/>
        <v>15000</v>
      </c>
      <c r="L16" s="55" t="b">
        <v>1</v>
      </c>
      <c r="M16" s="56">
        <v>11120231500</v>
      </c>
      <c r="N16" s="57" t="s">
        <v>39</v>
      </c>
      <c r="O16" s="226"/>
      <c r="P16" s="191" t="b">
        <v>1</v>
      </c>
      <c r="Q16" s="342" t="s">
        <v>3684</v>
      </c>
      <c r="R16" s="474"/>
      <c r="S16" s="57" t="b">
        <v>1</v>
      </c>
      <c r="T16" s="309" t="s">
        <v>6091</v>
      </c>
      <c r="U16" s="307"/>
      <c r="V16" s="54"/>
    </row>
    <row r="17" spans="1:25" ht="15" customHeight="1">
      <c r="A17" s="162"/>
      <c r="B17" s="71" t="s">
        <v>6085</v>
      </c>
      <c r="C17" s="151" t="s">
        <v>3641</v>
      </c>
      <c r="D17" s="151" t="s">
        <v>51</v>
      </c>
      <c r="E17" s="151" t="s">
        <v>335</v>
      </c>
      <c r="F17" s="151" t="s">
        <v>2237</v>
      </c>
      <c r="G17" s="66" t="s">
        <v>6048</v>
      </c>
      <c r="H17" s="131" t="s">
        <v>30</v>
      </c>
      <c r="I17" s="151">
        <v>90</v>
      </c>
      <c r="J17" s="472">
        <v>60</v>
      </c>
      <c r="K17" s="472">
        <f t="shared" si="0"/>
        <v>5400</v>
      </c>
      <c r="L17" s="55" t="b">
        <v>1</v>
      </c>
      <c r="M17" s="56">
        <v>11120231500</v>
      </c>
      <c r="N17" s="57" t="s">
        <v>39</v>
      </c>
      <c r="O17" s="226"/>
      <c r="P17" s="191" t="b">
        <v>1</v>
      </c>
      <c r="Q17" s="342" t="s">
        <v>3684</v>
      </c>
      <c r="R17" s="474"/>
      <c r="S17" s="57" t="b">
        <v>1</v>
      </c>
      <c r="T17" s="309" t="s">
        <v>6091</v>
      </c>
      <c r="U17" s="307"/>
      <c r="V17" s="54"/>
    </row>
    <row r="18" spans="1:25" ht="15" customHeight="1">
      <c r="A18" s="162"/>
      <c r="B18" s="71" t="s">
        <v>6085</v>
      </c>
      <c r="C18" s="151" t="s">
        <v>3548</v>
      </c>
      <c r="D18" s="151" t="s">
        <v>51</v>
      </c>
      <c r="E18" s="151" t="s">
        <v>137</v>
      </c>
      <c r="F18" s="151" t="s">
        <v>138</v>
      </c>
      <c r="G18" s="66" t="s">
        <v>6086</v>
      </c>
      <c r="H18" s="131" t="s">
        <v>30</v>
      </c>
      <c r="I18" s="151">
        <v>4</v>
      </c>
      <c r="J18" s="472">
        <v>2250</v>
      </c>
      <c r="K18" s="472">
        <f t="shared" si="0"/>
        <v>9000</v>
      </c>
      <c r="L18" s="55" t="b">
        <v>1</v>
      </c>
      <c r="M18" s="56">
        <v>11120231500</v>
      </c>
      <c r="N18" s="57" t="s">
        <v>39</v>
      </c>
      <c r="O18" s="215"/>
      <c r="P18" s="191" t="b">
        <v>1</v>
      </c>
      <c r="Q18" s="342" t="s">
        <v>3684</v>
      </c>
      <c r="R18" s="474"/>
      <c r="S18" s="57" t="b">
        <v>1</v>
      </c>
      <c r="T18" s="309" t="s">
        <v>6090</v>
      </c>
      <c r="U18" s="307"/>
      <c r="V18" s="54"/>
    </row>
    <row r="19" spans="1:25" ht="15" customHeight="1">
      <c r="A19" s="162"/>
      <c r="B19" s="71" t="s">
        <v>6085</v>
      </c>
      <c r="C19" s="151" t="s">
        <v>3548</v>
      </c>
      <c r="D19" s="151" t="s">
        <v>51</v>
      </c>
      <c r="E19" s="151" t="s">
        <v>137</v>
      </c>
      <c r="F19" s="151" t="s">
        <v>138</v>
      </c>
      <c r="G19" s="66" t="s">
        <v>6048</v>
      </c>
      <c r="H19" s="131" t="s">
        <v>30</v>
      </c>
      <c r="I19" s="151">
        <v>100</v>
      </c>
      <c r="J19" s="472">
        <v>60</v>
      </c>
      <c r="K19" s="472">
        <f t="shared" si="0"/>
        <v>6000</v>
      </c>
      <c r="L19" s="55" t="b">
        <v>1</v>
      </c>
      <c r="M19" s="56">
        <v>11120231500</v>
      </c>
      <c r="N19" s="57" t="s">
        <v>39</v>
      </c>
      <c r="O19" s="226"/>
      <c r="P19" s="191" t="b">
        <v>1</v>
      </c>
      <c r="Q19" s="342" t="s">
        <v>3684</v>
      </c>
      <c r="R19" s="474"/>
      <c r="S19" s="57" t="b">
        <v>1</v>
      </c>
      <c r="T19" s="309" t="s">
        <v>6090</v>
      </c>
      <c r="U19" s="307"/>
      <c r="V19" s="54"/>
    </row>
    <row r="20" spans="1:25" ht="15" customHeight="1">
      <c r="A20" s="162"/>
      <c r="B20" s="71" t="s">
        <v>6085</v>
      </c>
      <c r="C20" s="53" t="s">
        <v>6064</v>
      </c>
      <c r="D20" s="53" t="s">
        <v>51</v>
      </c>
      <c r="E20" s="53" t="s">
        <v>89</v>
      </c>
      <c r="F20" s="53" t="s">
        <v>2090</v>
      </c>
      <c r="G20" s="66" t="s">
        <v>6092</v>
      </c>
      <c r="H20" s="131" t="s">
        <v>30</v>
      </c>
      <c r="I20" s="151">
        <v>1</v>
      </c>
      <c r="J20" s="472">
        <v>875</v>
      </c>
      <c r="K20" s="472">
        <f t="shared" si="0"/>
        <v>875</v>
      </c>
      <c r="L20" s="55" t="b">
        <v>1</v>
      </c>
      <c r="M20" s="56">
        <v>31120250844</v>
      </c>
      <c r="N20" s="57"/>
      <c r="O20" s="215"/>
      <c r="P20" s="191" t="b">
        <v>1</v>
      </c>
      <c r="Q20" s="342" t="s">
        <v>3684</v>
      </c>
      <c r="R20" s="173" t="s">
        <v>6093</v>
      </c>
      <c r="S20" s="57" t="b">
        <v>1</v>
      </c>
      <c r="T20" s="309" t="s">
        <v>6094</v>
      </c>
      <c r="U20" s="307"/>
      <c r="V20" s="54"/>
    </row>
    <row r="21" spans="1:25" ht="15" customHeight="1">
      <c r="A21" s="162"/>
      <c r="B21" s="71" t="s">
        <v>6085</v>
      </c>
      <c r="C21" s="53" t="s">
        <v>6064</v>
      </c>
      <c r="D21" s="53" t="s">
        <v>51</v>
      </c>
      <c r="E21" s="53" t="s">
        <v>89</v>
      </c>
      <c r="F21" s="53" t="s">
        <v>2090</v>
      </c>
      <c r="G21" s="66" t="s">
        <v>300</v>
      </c>
      <c r="H21" s="131" t="s">
        <v>30</v>
      </c>
      <c r="I21" s="151">
        <v>25</v>
      </c>
      <c r="J21" s="472">
        <v>175</v>
      </c>
      <c r="K21" s="472">
        <f t="shared" si="0"/>
        <v>4375</v>
      </c>
      <c r="L21" s="55" t="b">
        <v>1</v>
      </c>
      <c r="M21" s="56">
        <v>31120250844</v>
      </c>
      <c r="N21" s="57"/>
      <c r="O21" s="215"/>
      <c r="P21" s="191" t="b">
        <v>1</v>
      </c>
      <c r="Q21" s="432" t="s">
        <v>4528</v>
      </c>
      <c r="R21" s="474" t="s">
        <v>6095</v>
      </c>
      <c r="S21" s="57" t="b">
        <v>1</v>
      </c>
      <c r="T21" s="309" t="s">
        <v>6096</v>
      </c>
      <c r="U21" s="307"/>
      <c r="V21" s="54"/>
    </row>
    <row r="22" spans="1:25" ht="15" customHeight="1">
      <c r="A22" s="162"/>
      <c r="B22" s="71" t="s">
        <v>6085</v>
      </c>
      <c r="C22" s="53" t="s">
        <v>6064</v>
      </c>
      <c r="D22" s="53" t="s">
        <v>51</v>
      </c>
      <c r="E22" s="53" t="s">
        <v>89</v>
      </c>
      <c r="F22" s="53" t="s">
        <v>2090</v>
      </c>
      <c r="G22" s="53" t="s">
        <v>6097</v>
      </c>
      <c r="H22" s="131" t="s">
        <v>30</v>
      </c>
      <c r="I22" s="53">
        <v>1</v>
      </c>
      <c r="J22" s="472">
        <v>5600</v>
      </c>
      <c r="K22" s="472">
        <f t="shared" si="0"/>
        <v>5600</v>
      </c>
      <c r="L22" s="55" t="b">
        <v>1</v>
      </c>
      <c r="M22" s="56">
        <v>31120250844</v>
      </c>
      <c r="N22" s="57"/>
      <c r="O22" s="215"/>
      <c r="P22" s="191" t="b">
        <v>1</v>
      </c>
      <c r="Q22" s="342" t="s">
        <v>3684</v>
      </c>
      <c r="R22" s="173" t="s">
        <v>6098</v>
      </c>
      <c r="S22" s="57" t="b">
        <v>1</v>
      </c>
      <c r="T22" s="309" t="s">
        <v>6099</v>
      </c>
      <c r="U22" s="307"/>
      <c r="V22" s="54"/>
    </row>
    <row r="23" spans="1:25" ht="15" customHeight="1">
      <c r="A23" s="475"/>
      <c r="B23" s="343" t="s">
        <v>6085</v>
      </c>
      <c r="C23" s="151" t="s">
        <v>6064</v>
      </c>
      <c r="D23" s="151" t="s">
        <v>51</v>
      </c>
      <c r="E23" s="151" t="s">
        <v>89</v>
      </c>
      <c r="F23" s="151" t="s">
        <v>2090</v>
      </c>
      <c r="G23" s="151" t="s">
        <v>6100</v>
      </c>
      <c r="H23" s="334" t="s">
        <v>30</v>
      </c>
      <c r="I23" s="151">
        <v>2</v>
      </c>
      <c r="J23" s="472">
        <v>850</v>
      </c>
      <c r="K23" s="472">
        <f t="shared" si="0"/>
        <v>1700</v>
      </c>
      <c r="L23" s="476" t="b">
        <v>1</v>
      </c>
      <c r="M23" s="409">
        <v>31120250844</v>
      </c>
      <c r="N23" s="348"/>
      <c r="O23" s="477"/>
      <c r="P23" s="191" t="b">
        <v>1</v>
      </c>
      <c r="Q23" s="432" t="s">
        <v>4528</v>
      </c>
      <c r="R23" s="474"/>
      <c r="S23" s="348" t="b">
        <v>1</v>
      </c>
      <c r="T23" s="309" t="s">
        <v>6101</v>
      </c>
      <c r="U23" s="345"/>
      <c r="V23" s="364"/>
    </row>
    <row r="24" spans="1:25" ht="15" customHeight="1">
      <c r="A24" s="162"/>
      <c r="B24" s="71" t="s">
        <v>6085</v>
      </c>
      <c r="C24" s="151" t="s">
        <v>3632</v>
      </c>
      <c r="D24" s="151" t="s">
        <v>104</v>
      </c>
      <c r="E24" s="151" t="s">
        <v>486</v>
      </c>
      <c r="F24" s="151" t="s">
        <v>241</v>
      </c>
      <c r="G24" s="66" t="s">
        <v>1171</v>
      </c>
      <c r="H24" s="131" t="s">
        <v>30</v>
      </c>
      <c r="I24" s="151">
        <v>10</v>
      </c>
      <c r="J24" s="472">
        <v>1950</v>
      </c>
      <c r="K24" s="472">
        <f t="shared" si="0"/>
        <v>19500</v>
      </c>
      <c r="L24" s="55" t="b">
        <v>1</v>
      </c>
      <c r="M24" s="56">
        <v>31120250846</v>
      </c>
      <c r="N24" s="57"/>
      <c r="O24" s="226"/>
      <c r="P24" s="191" t="b">
        <v>1</v>
      </c>
      <c r="Q24" s="342" t="s">
        <v>3684</v>
      </c>
      <c r="R24" s="474" t="s">
        <v>6102</v>
      </c>
      <c r="S24" s="57" t="b">
        <v>1</v>
      </c>
      <c r="T24" s="309" t="s">
        <v>6103</v>
      </c>
      <c r="U24" s="307"/>
      <c r="V24" s="54"/>
    </row>
    <row r="25" spans="1:25" ht="15" customHeight="1">
      <c r="A25" s="162"/>
      <c r="B25" s="71" t="s">
        <v>6085</v>
      </c>
      <c r="C25" s="151" t="s">
        <v>3632</v>
      </c>
      <c r="D25" s="151" t="s">
        <v>104</v>
      </c>
      <c r="E25" s="151" t="s">
        <v>486</v>
      </c>
      <c r="F25" s="151" t="s">
        <v>241</v>
      </c>
      <c r="G25" s="66" t="s">
        <v>6104</v>
      </c>
      <c r="H25" s="131" t="s">
        <v>30</v>
      </c>
      <c r="I25" s="151">
        <v>100</v>
      </c>
      <c r="J25" s="472">
        <v>15.5</v>
      </c>
      <c r="K25" s="472">
        <f t="shared" si="0"/>
        <v>1550</v>
      </c>
      <c r="L25" s="55" t="b">
        <v>1</v>
      </c>
      <c r="M25" s="56">
        <v>31120250846</v>
      </c>
      <c r="N25" s="57"/>
      <c r="O25" s="226"/>
      <c r="P25" s="191" t="b">
        <v>1</v>
      </c>
      <c r="Q25" s="342" t="s">
        <v>3684</v>
      </c>
      <c r="R25" s="474" t="s">
        <v>6105</v>
      </c>
      <c r="S25" s="57" t="b">
        <v>1</v>
      </c>
      <c r="T25" s="309" t="s">
        <v>6106</v>
      </c>
      <c r="U25" s="307"/>
      <c r="V25" s="54"/>
    </row>
    <row r="26" spans="1:25" ht="15" customHeight="1">
      <c r="A26" s="162"/>
      <c r="B26" s="71" t="s">
        <v>6085</v>
      </c>
      <c r="C26" s="151" t="s">
        <v>3641</v>
      </c>
      <c r="D26" s="151" t="s">
        <v>51</v>
      </c>
      <c r="E26" s="151" t="s">
        <v>335</v>
      </c>
      <c r="F26" s="151" t="s">
        <v>457</v>
      </c>
      <c r="G26" s="66" t="s">
        <v>6107</v>
      </c>
      <c r="H26" s="131" t="s">
        <v>30</v>
      </c>
      <c r="I26" s="151">
        <v>1</v>
      </c>
      <c r="J26" s="472">
        <v>0</v>
      </c>
      <c r="K26" s="472">
        <f t="shared" si="0"/>
        <v>0</v>
      </c>
      <c r="L26" s="55" t="b">
        <v>1</v>
      </c>
      <c r="M26" s="56">
        <v>31120250846</v>
      </c>
      <c r="N26" s="57"/>
      <c r="O26" s="215"/>
      <c r="P26" s="191" t="b">
        <v>0</v>
      </c>
      <c r="Q26" s="433"/>
      <c r="R26" s="474"/>
      <c r="S26" s="57" t="b">
        <v>0</v>
      </c>
      <c r="T26" s="478"/>
      <c r="U26" s="307"/>
      <c r="V26" s="54"/>
    </row>
    <row r="27" spans="1:25" ht="15" customHeight="1">
      <c r="A27" s="101"/>
      <c r="B27" s="71" t="s">
        <v>6085</v>
      </c>
      <c r="C27" s="151" t="s">
        <v>3641</v>
      </c>
      <c r="D27" s="151" t="s">
        <v>51</v>
      </c>
      <c r="E27" s="151" t="s">
        <v>335</v>
      </c>
      <c r="F27" s="151" t="s">
        <v>457</v>
      </c>
      <c r="G27" s="66" t="s">
        <v>6108</v>
      </c>
      <c r="H27" s="131" t="s">
        <v>30</v>
      </c>
      <c r="I27" s="151">
        <v>1</v>
      </c>
      <c r="J27" s="472">
        <v>0</v>
      </c>
      <c r="K27" s="472">
        <f t="shared" si="0"/>
        <v>0</v>
      </c>
      <c r="L27" s="55" t="b">
        <v>1</v>
      </c>
      <c r="M27" s="56">
        <v>31120250846</v>
      </c>
      <c r="N27" s="57"/>
      <c r="O27" s="226"/>
      <c r="P27" s="191" t="b">
        <v>0</v>
      </c>
      <c r="Q27" s="433"/>
      <c r="R27" s="474"/>
      <c r="S27" s="57" t="b">
        <v>0</v>
      </c>
      <c r="T27" s="478"/>
      <c r="U27" s="307"/>
      <c r="V27" s="54"/>
      <c r="X27" s="193"/>
      <c r="Y27" s="193"/>
    </row>
    <row r="28" spans="1:25" ht="15" customHeight="1">
      <c r="A28" s="101"/>
      <c r="B28" s="479" t="s">
        <v>6085</v>
      </c>
      <c r="C28" s="480" t="s">
        <v>3641</v>
      </c>
      <c r="D28" s="480" t="s">
        <v>51</v>
      </c>
      <c r="E28" s="480" t="s">
        <v>335</v>
      </c>
      <c r="F28" s="480" t="s">
        <v>457</v>
      </c>
      <c r="G28" s="481" t="s">
        <v>6109</v>
      </c>
      <c r="H28" s="482" t="s">
        <v>30</v>
      </c>
      <c r="I28" s="480">
        <v>1</v>
      </c>
      <c r="J28" s="483">
        <v>0</v>
      </c>
      <c r="K28" s="483">
        <f t="shared" si="0"/>
        <v>0</v>
      </c>
      <c r="L28" s="55" t="b">
        <v>1</v>
      </c>
      <c r="M28" s="56">
        <v>31120250846</v>
      </c>
      <c r="N28" s="57"/>
      <c r="O28" s="226"/>
      <c r="P28" s="191" t="b">
        <v>0</v>
      </c>
      <c r="Q28" s="433"/>
      <c r="R28" s="474"/>
      <c r="S28" s="57" t="b">
        <v>0</v>
      </c>
      <c r="T28" s="478"/>
      <c r="U28" s="307"/>
      <c r="V28" s="54"/>
      <c r="X28" s="193"/>
      <c r="Y28" s="193"/>
    </row>
    <row r="29" spans="1:25" ht="15" customHeight="1">
      <c r="A29" s="162"/>
      <c r="B29" s="71" t="s">
        <v>6085</v>
      </c>
      <c r="C29" s="151" t="s">
        <v>4229</v>
      </c>
      <c r="D29" s="151" t="s">
        <v>104</v>
      </c>
      <c r="E29" s="151" t="s">
        <v>42</v>
      </c>
      <c r="F29" s="151" t="s">
        <v>6110</v>
      </c>
      <c r="G29" s="66" t="s">
        <v>6111</v>
      </c>
      <c r="H29" s="131" t="s">
        <v>30</v>
      </c>
      <c r="I29" s="151">
        <v>3</v>
      </c>
      <c r="J29" s="472">
        <v>495</v>
      </c>
      <c r="K29" s="472">
        <f t="shared" si="0"/>
        <v>1485</v>
      </c>
      <c r="L29" s="55" t="b">
        <v>1</v>
      </c>
      <c r="M29" s="56">
        <v>31120251432</v>
      </c>
      <c r="N29" s="57"/>
      <c r="O29" s="226"/>
      <c r="P29" s="191" t="b">
        <v>1</v>
      </c>
      <c r="Q29" s="342" t="s">
        <v>3684</v>
      </c>
      <c r="R29" s="474"/>
      <c r="S29" s="57" t="b">
        <v>1</v>
      </c>
      <c r="T29" s="309" t="s">
        <v>6112</v>
      </c>
      <c r="U29" s="307"/>
      <c r="V29" s="54"/>
    </row>
    <row r="30" spans="1:25" ht="15" customHeight="1">
      <c r="A30" s="162"/>
      <c r="B30" s="71" t="s">
        <v>6085</v>
      </c>
      <c r="C30" s="151" t="s">
        <v>4229</v>
      </c>
      <c r="D30" s="151" t="s">
        <v>104</v>
      </c>
      <c r="E30" s="151" t="s">
        <v>42</v>
      </c>
      <c r="F30" s="151" t="s">
        <v>6110</v>
      </c>
      <c r="G30" s="151" t="s">
        <v>6113</v>
      </c>
      <c r="H30" s="131" t="s">
        <v>30</v>
      </c>
      <c r="I30" s="151">
        <v>1</v>
      </c>
      <c r="J30" s="472">
        <v>3780</v>
      </c>
      <c r="K30" s="472">
        <f t="shared" si="0"/>
        <v>3780</v>
      </c>
      <c r="L30" s="55" t="b">
        <v>1</v>
      </c>
      <c r="M30" s="56">
        <v>31120251502</v>
      </c>
      <c r="N30" s="57"/>
      <c r="O30" s="226"/>
      <c r="P30" s="191" t="b">
        <v>1</v>
      </c>
      <c r="Q30" s="342" t="s">
        <v>3684</v>
      </c>
      <c r="R30" s="474"/>
      <c r="S30" s="57" t="b">
        <v>1</v>
      </c>
      <c r="T30" s="309" t="s">
        <v>6112</v>
      </c>
      <c r="U30" s="307"/>
      <c r="V30" s="54"/>
    </row>
    <row r="31" spans="1:25" ht="15" customHeight="1">
      <c r="A31" s="162"/>
      <c r="B31" s="71" t="s">
        <v>6114</v>
      </c>
      <c r="C31" s="151" t="s">
        <v>4135</v>
      </c>
      <c r="D31" s="151" t="s">
        <v>26</v>
      </c>
      <c r="E31" s="151" t="s">
        <v>27</v>
      </c>
      <c r="F31" s="151" t="s">
        <v>28</v>
      </c>
      <c r="G31" s="66" t="s">
        <v>68</v>
      </c>
      <c r="H31" s="131" t="s">
        <v>30</v>
      </c>
      <c r="I31" s="151">
        <v>2</v>
      </c>
      <c r="J31" s="472">
        <v>2350</v>
      </c>
      <c r="K31" s="472">
        <f t="shared" si="0"/>
        <v>4700</v>
      </c>
      <c r="L31" s="55" t="b">
        <v>1</v>
      </c>
      <c r="M31" s="56">
        <v>41120250900</v>
      </c>
      <c r="N31" s="57"/>
      <c r="O31" s="226"/>
      <c r="P31" s="191" t="b">
        <v>1</v>
      </c>
      <c r="Q31" s="342" t="s">
        <v>3684</v>
      </c>
      <c r="R31" s="474"/>
      <c r="S31" s="57" t="b">
        <v>1</v>
      </c>
      <c r="T31" s="309" t="s">
        <v>6115</v>
      </c>
      <c r="U31" s="307"/>
      <c r="V31" s="54"/>
    </row>
    <row r="32" spans="1:25" ht="15" customHeight="1">
      <c r="A32" s="162"/>
      <c r="B32" s="71" t="s">
        <v>6114</v>
      </c>
      <c r="C32" s="151" t="s">
        <v>3595</v>
      </c>
      <c r="D32" s="151" t="s">
        <v>55</v>
      </c>
      <c r="E32" s="151" t="s">
        <v>56</v>
      </c>
      <c r="F32" s="151" t="s">
        <v>57</v>
      </c>
      <c r="G32" s="66" t="s">
        <v>49</v>
      </c>
      <c r="H32" s="131" t="s">
        <v>30</v>
      </c>
      <c r="I32" s="151">
        <v>10</v>
      </c>
      <c r="J32" s="472">
        <v>795</v>
      </c>
      <c r="K32" s="472">
        <f t="shared" si="0"/>
        <v>7950</v>
      </c>
      <c r="L32" s="55" t="b">
        <v>1</v>
      </c>
      <c r="M32" s="56">
        <v>41120250900</v>
      </c>
      <c r="N32" s="57" t="s">
        <v>5991</v>
      </c>
      <c r="O32" s="226"/>
      <c r="P32" s="191" t="b">
        <v>1</v>
      </c>
      <c r="Q32" s="342" t="s">
        <v>3684</v>
      </c>
      <c r="R32" s="474"/>
      <c r="S32" s="57" t="b">
        <v>1</v>
      </c>
      <c r="T32" s="309" t="s">
        <v>6116</v>
      </c>
      <c r="U32" s="307"/>
      <c r="V32" s="54"/>
    </row>
    <row r="33" spans="1:25" ht="15" customHeight="1">
      <c r="A33" s="162"/>
      <c r="B33" s="132" t="s">
        <v>6114</v>
      </c>
      <c r="C33" s="53" t="s">
        <v>4107</v>
      </c>
      <c r="D33" s="53" t="s">
        <v>282</v>
      </c>
      <c r="E33" s="53" t="s">
        <v>74</v>
      </c>
      <c r="F33" s="53" t="s">
        <v>365</v>
      </c>
      <c r="G33" s="66" t="s">
        <v>545</v>
      </c>
      <c r="H33" s="131" t="s">
        <v>30</v>
      </c>
      <c r="I33" s="151">
        <v>12</v>
      </c>
      <c r="J33" s="472">
        <v>230</v>
      </c>
      <c r="K33" s="472">
        <f t="shared" si="0"/>
        <v>2760</v>
      </c>
      <c r="L33" s="55" t="b">
        <v>1</v>
      </c>
      <c r="M33" s="56">
        <v>41120250900</v>
      </c>
      <c r="N33" s="57"/>
      <c r="O33" s="226"/>
      <c r="P33" s="191" t="b">
        <v>1</v>
      </c>
      <c r="Q33" s="342" t="s">
        <v>3684</v>
      </c>
      <c r="R33" s="474"/>
      <c r="S33" s="57" t="b">
        <v>1</v>
      </c>
      <c r="T33" s="309" t="s">
        <v>6117</v>
      </c>
      <c r="U33" s="307"/>
      <c r="V33" s="54"/>
    </row>
    <row r="34" spans="1:25" ht="15" customHeight="1">
      <c r="A34" s="162"/>
      <c r="B34" s="132" t="s">
        <v>6114</v>
      </c>
      <c r="C34" s="53" t="s">
        <v>4051</v>
      </c>
      <c r="D34" s="53" t="s">
        <v>418</v>
      </c>
      <c r="E34" s="53" t="s">
        <v>42</v>
      </c>
      <c r="F34" s="53" t="s">
        <v>209</v>
      </c>
      <c r="G34" s="66" t="s">
        <v>1084</v>
      </c>
      <c r="H34" s="131" t="s">
        <v>30</v>
      </c>
      <c r="I34" s="151">
        <v>50</v>
      </c>
      <c r="J34" s="472">
        <v>28</v>
      </c>
      <c r="K34" s="472">
        <f t="shared" si="0"/>
        <v>1400</v>
      </c>
      <c r="L34" s="55" t="b">
        <v>1</v>
      </c>
      <c r="M34" s="56">
        <v>41120251144</v>
      </c>
      <c r="N34" s="57"/>
      <c r="O34" s="215"/>
      <c r="P34" s="191" t="b">
        <v>1</v>
      </c>
      <c r="Q34" s="342" t="s">
        <v>3684</v>
      </c>
      <c r="R34" s="474"/>
      <c r="S34" s="57" t="b">
        <v>1</v>
      </c>
      <c r="T34" s="309" t="s">
        <v>6118</v>
      </c>
      <c r="U34" s="307"/>
      <c r="V34" s="54"/>
    </row>
    <row r="35" spans="1:25" ht="15" customHeight="1">
      <c r="A35" s="162"/>
      <c r="B35" s="132" t="s">
        <v>6119</v>
      </c>
      <c r="C35" s="53" t="s">
        <v>3527</v>
      </c>
      <c r="D35" s="53" t="s">
        <v>51</v>
      </c>
      <c r="E35" s="53" t="s">
        <v>338</v>
      </c>
      <c r="F35" s="53" t="s">
        <v>3528</v>
      </c>
      <c r="G35" s="66" t="s">
        <v>6120</v>
      </c>
      <c r="H35" s="131" t="s">
        <v>30</v>
      </c>
      <c r="I35" s="151">
        <v>10</v>
      </c>
      <c r="J35" s="472">
        <v>110</v>
      </c>
      <c r="K35" s="472">
        <f t="shared" si="0"/>
        <v>1100</v>
      </c>
      <c r="L35" s="55" t="b">
        <v>1</v>
      </c>
      <c r="M35" s="56">
        <v>41120252028</v>
      </c>
      <c r="N35" s="57"/>
      <c r="O35" s="226"/>
      <c r="P35" s="191" t="b">
        <v>1</v>
      </c>
      <c r="Q35" s="342" t="s">
        <v>3684</v>
      </c>
      <c r="R35" s="474"/>
      <c r="S35" s="57" t="b">
        <v>1</v>
      </c>
      <c r="T35" s="309" t="s">
        <v>6121</v>
      </c>
      <c r="U35" s="307"/>
      <c r="V35" s="54"/>
    </row>
    <row r="36" spans="1:25" ht="15" customHeight="1">
      <c r="A36" s="162"/>
      <c r="B36" s="71" t="s">
        <v>6114</v>
      </c>
      <c r="C36" s="53" t="s">
        <v>3527</v>
      </c>
      <c r="D36" s="53" t="s">
        <v>51</v>
      </c>
      <c r="E36" s="53" t="s">
        <v>338</v>
      </c>
      <c r="F36" s="53" t="s">
        <v>3528</v>
      </c>
      <c r="G36" s="66" t="s">
        <v>101</v>
      </c>
      <c r="H36" s="131" t="s">
        <v>30</v>
      </c>
      <c r="I36" s="151">
        <v>5</v>
      </c>
      <c r="J36" s="472">
        <v>950</v>
      </c>
      <c r="K36" s="472">
        <f t="shared" si="0"/>
        <v>4750</v>
      </c>
      <c r="L36" s="55" t="b">
        <v>1</v>
      </c>
      <c r="M36" s="56">
        <v>41120252028</v>
      </c>
      <c r="N36" s="57"/>
      <c r="O36" s="226"/>
      <c r="P36" s="191" t="b">
        <v>1</v>
      </c>
      <c r="Q36" s="342" t="s">
        <v>3684</v>
      </c>
      <c r="R36" s="474" t="s">
        <v>6122</v>
      </c>
      <c r="S36" s="57" t="b">
        <v>1</v>
      </c>
      <c r="T36" s="309" t="s">
        <v>6123</v>
      </c>
      <c r="U36" s="307"/>
      <c r="V36" s="54"/>
    </row>
    <row r="37" spans="1:25" ht="15" customHeight="1">
      <c r="A37" s="162"/>
      <c r="B37" s="71" t="s">
        <v>6114</v>
      </c>
      <c r="C37" s="53" t="s">
        <v>4120</v>
      </c>
      <c r="D37" s="53" t="s">
        <v>144</v>
      </c>
      <c r="E37" s="53" t="s">
        <v>1959</v>
      </c>
      <c r="F37" s="53" t="s">
        <v>1235</v>
      </c>
      <c r="G37" s="66" t="s">
        <v>68</v>
      </c>
      <c r="H37" s="131" t="s">
        <v>30</v>
      </c>
      <c r="I37" s="151">
        <v>2</v>
      </c>
      <c r="J37" s="472">
        <v>2350</v>
      </c>
      <c r="K37" s="472">
        <f t="shared" si="0"/>
        <v>4700</v>
      </c>
      <c r="L37" s="55" t="b">
        <v>1</v>
      </c>
      <c r="M37" s="56">
        <v>41120252034</v>
      </c>
      <c r="N37" s="57"/>
      <c r="O37" s="226"/>
      <c r="P37" s="191" t="b">
        <v>1</v>
      </c>
      <c r="Q37" s="432" t="s">
        <v>4528</v>
      </c>
      <c r="R37" s="474" t="s">
        <v>6124</v>
      </c>
      <c r="S37" s="57" t="b">
        <v>1</v>
      </c>
      <c r="T37" s="309" t="s">
        <v>6125</v>
      </c>
      <c r="U37" s="307"/>
      <c r="V37" s="54"/>
    </row>
    <row r="38" spans="1:25" ht="15" customHeight="1">
      <c r="A38" s="162"/>
      <c r="B38" s="71" t="s">
        <v>6114</v>
      </c>
      <c r="C38" s="53" t="s">
        <v>4149</v>
      </c>
      <c r="D38" s="53" t="s">
        <v>144</v>
      </c>
      <c r="E38" s="53" t="s">
        <v>4503</v>
      </c>
      <c r="F38" s="53" t="s">
        <v>582</v>
      </c>
      <c r="G38" s="66" t="s">
        <v>6126</v>
      </c>
      <c r="H38" s="131" t="s">
        <v>30</v>
      </c>
      <c r="I38" s="151">
        <v>1</v>
      </c>
      <c r="J38" s="472">
        <v>2200</v>
      </c>
      <c r="K38" s="472">
        <f t="shared" si="0"/>
        <v>2200</v>
      </c>
      <c r="L38" s="55" t="b">
        <v>1</v>
      </c>
      <c r="M38" s="56">
        <v>41120252036</v>
      </c>
      <c r="N38" s="57"/>
      <c r="O38" s="226"/>
      <c r="P38" s="191" t="b">
        <v>1</v>
      </c>
      <c r="Q38" s="432" t="s">
        <v>4528</v>
      </c>
      <c r="R38" s="474" t="s">
        <v>6127</v>
      </c>
      <c r="S38" s="57" t="b">
        <v>1</v>
      </c>
      <c r="T38" s="309" t="s">
        <v>6128</v>
      </c>
      <c r="U38" s="307"/>
      <c r="V38" s="54"/>
    </row>
    <row r="39" spans="1:25" ht="15" customHeight="1">
      <c r="A39" s="162"/>
      <c r="B39" s="132" t="s">
        <v>6114</v>
      </c>
      <c r="C39" s="53" t="s">
        <v>3632</v>
      </c>
      <c r="D39" s="53" t="s">
        <v>104</v>
      </c>
      <c r="E39" s="53" t="s">
        <v>486</v>
      </c>
      <c r="F39" s="53" t="s">
        <v>241</v>
      </c>
      <c r="G39" s="66" t="s">
        <v>103</v>
      </c>
      <c r="H39" s="131" t="s">
        <v>30</v>
      </c>
      <c r="I39" s="151">
        <v>20</v>
      </c>
      <c r="J39" s="472">
        <v>375</v>
      </c>
      <c r="K39" s="472">
        <f t="shared" si="0"/>
        <v>7500</v>
      </c>
      <c r="L39" s="55" t="b">
        <v>1</v>
      </c>
      <c r="M39" s="56">
        <v>41120252039</v>
      </c>
      <c r="N39" s="57"/>
      <c r="O39" s="226"/>
      <c r="P39" s="191" t="b">
        <v>1</v>
      </c>
      <c r="Q39" s="342" t="s">
        <v>3684</v>
      </c>
      <c r="R39" s="173" t="s">
        <v>6129</v>
      </c>
      <c r="S39" s="57" t="b">
        <v>1</v>
      </c>
      <c r="T39" s="309" t="s">
        <v>6130</v>
      </c>
      <c r="U39" s="307"/>
      <c r="V39" s="54"/>
    </row>
    <row r="40" spans="1:25" ht="15" customHeight="1">
      <c r="A40" s="162"/>
      <c r="B40" s="132" t="s">
        <v>6131</v>
      </c>
      <c r="C40" s="53" t="s">
        <v>4229</v>
      </c>
      <c r="D40" s="53" t="s">
        <v>3160</v>
      </c>
      <c r="E40" s="151" t="s">
        <v>42</v>
      </c>
      <c r="F40" s="53" t="s">
        <v>6110</v>
      </c>
      <c r="G40" s="66" t="s">
        <v>124</v>
      </c>
      <c r="H40" s="131" t="s">
        <v>30</v>
      </c>
      <c r="I40" s="151">
        <v>5</v>
      </c>
      <c r="J40" s="472">
        <v>875</v>
      </c>
      <c r="K40" s="472">
        <f t="shared" si="0"/>
        <v>4375</v>
      </c>
      <c r="L40" s="55" t="b">
        <v>1</v>
      </c>
      <c r="M40" s="56">
        <v>51120251216</v>
      </c>
      <c r="N40" s="57"/>
      <c r="O40" s="215"/>
      <c r="P40" s="191" t="b">
        <v>1</v>
      </c>
      <c r="Q40" s="432" t="s">
        <v>4528</v>
      </c>
      <c r="R40" s="474" t="s">
        <v>6132</v>
      </c>
      <c r="S40" s="57" t="b">
        <v>1</v>
      </c>
      <c r="T40" s="309" t="s">
        <v>6133</v>
      </c>
      <c r="U40" s="307"/>
      <c r="V40" s="54"/>
    </row>
    <row r="41" spans="1:25" ht="15" customHeight="1">
      <c r="A41" s="162"/>
      <c r="B41" s="71" t="s">
        <v>6131</v>
      </c>
      <c r="C41" s="151" t="s">
        <v>4229</v>
      </c>
      <c r="D41" s="151" t="s">
        <v>104</v>
      </c>
      <c r="E41" s="151" t="s">
        <v>42</v>
      </c>
      <c r="F41" s="151" t="s">
        <v>6110</v>
      </c>
      <c r="G41" s="66" t="s">
        <v>6067</v>
      </c>
      <c r="H41" s="131" t="s">
        <v>30</v>
      </c>
      <c r="I41" s="151">
        <v>5</v>
      </c>
      <c r="J41" s="472">
        <v>350</v>
      </c>
      <c r="K41" s="472">
        <f t="shared" si="0"/>
        <v>1750</v>
      </c>
      <c r="L41" s="55" t="b">
        <v>1</v>
      </c>
      <c r="M41" s="56">
        <v>51120251216</v>
      </c>
      <c r="N41" s="57"/>
      <c r="O41" s="226"/>
      <c r="P41" s="191" t="b">
        <v>1</v>
      </c>
      <c r="Q41" s="432" t="s">
        <v>4528</v>
      </c>
      <c r="R41" s="474" t="s">
        <v>6132</v>
      </c>
      <c r="S41" s="57" t="b">
        <v>1</v>
      </c>
      <c r="T41" s="309" t="s">
        <v>6133</v>
      </c>
      <c r="U41" s="307"/>
      <c r="V41" s="54"/>
    </row>
    <row r="42" spans="1:25" ht="15" customHeight="1">
      <c r="A42" s="162"/>
      <c r="B42" s="132" t="s">
        <v>6131</v>
      </c>
      <c r="C42" s="151" t="s">
        <v>4229</v>
      </c>
      <c r="D42" s="151" t="s">
        <v>104</v>
      </c>
      <c r="E42" s="151" t="s">
        <v>42</v>
      </c>
      <c r="F42" s="151" t="s">
        <v>6110</v>
      </c>
      <c r="G42" s="66" t="s">
        <v>6134</v>
      </c>
      <c r="H42" s="131" t="s">
        <v>30</v>
      </c>
      <c r="I42" s="151">
        <v>84</v>
      </c>
      <c r="J42" s="472">
        <v>45</v>
      </c>
      <c r="K42" s="472">
        <f t="shared" si="0"/>
        <v>3780</v>
      </c>
      <c r="L42" s="55" t="b">
        <v>1</v>
      </c>
      <c r="M42" s="56">
        <v>51120251222</v>
      </c>
      <c r="N42" s="57"/>
      <c r="O42" s="226"/>
      <c r="P42" s="191" t="b">
        <v>1</v>
      </c>
      <c r="Q42" s="432" t="s">
        <v>4528</v>
      </c>
      <c r="R42" s="474" t="s">
        <v>6132</v>
      </c>
      <c r="S42" s="57" t="b">
        <v>1</v>
      </c>
      <c r="T42" s="309" t="s">
        <v>6133</v>
      </c>
      <c r="U42" s="307"/>
      <c r="V42" s="54"/>
    </row>
    <row r="43" spans="1:25" ht="15" customHeight="1">
      <c r="A43" s="162"/>
      <c r="B43" s="132" t="s">
        <v>6135</v>
      </c>
      <c r="C43" s="151" t="s">
        <v>3521</v>
      </c>
      <c r="D43" s="151" t="s">
        <v>144</v>
      </c>
      <c r="E43" s="151" t="s">
        <v>2055</v>
      </c>
      <c r="F43" s="151" t="s">
        <v>985</v>
      </c>
      <c r="G43" s="66" t="s">
        <v>96</v>
      </c>
      <c r="H43" s="131" t="s">
        <v>30</v>
      </c>
      <c r="I43" s="151">
        <v>2</v>
      </c>
      <c r="J43" s="472">
        <v>2850</v>
      </c>
      <c r="K43" s="472">
        <f t="shared" si="0"/>
        <v>5700</v>
      </c>
      <c r="L43" s="55" t="b">
        <v>1</v>
      </c>
      <c r="M43" s="56">
        <v>61120250932</v>
      </c>
      <c r="N43" s="57"/>
      <c r="O43" s="215"/>
      <c r="P43" s="191" t="b">
        <v>1</v>
      </c>
      <c r="Q43" s="342" t="s">
        <v>3684</v>
      </c>
      <c r="R43" s="173" t="s">
        <v>6136</v>
      </c>
      <c r="S43" s="57" t="b">
        <v>1</v>
      </c>
      <c r="T43" s="309" t="s">
        <v>6137</v>
      </c>
      <c r="U43" s="307"/>
      <c r="V43" s="54"/>
    </row>
    <row r="44" spans="1:25" ht="15" customHeight="1">
      <c r="A44" s="162"/>
      <c r="B44" s="132" t="s">
        <v>6135</v>
      </c>
      <c r="C44" s="151" t="s">
        <v>3706</v>
      </c>
      <c r="D44" s="151" t="s">
        <v>418</v>
      </c>
      <c r="E44" s="151" t="s">
        <v>1549</v>
      </c>
      <c r="F44" s="151" t="s">
        <v>6138</v>
      </c>
      <c r="G44" s="66" t="s">
        <v>49</v>
      </c>
      <c r="H44" s="131" t="s">
        <v>30</v>
      </c>
      <c r="I44" s="151">
        <v>20</v>
      </c>
      <c r="J44" s="472">
        <v>795</v>
      </c>
      <c r="K44" s="472">
        <f t="shared" si="0"/>
        <v>15900</v>
      </c>
      <c r="L44" s="55" t="b">
        <v>1</v>
      </c>
      <c r="M44" s="56">
        <v>61120250933</v>
      </c>
      <c r="N44" s="57"/>
      <c r="O44" s="226"/>
      <c r="P44" s="191" t="b">
        <v>1</v>
      </c>
      <c r="Q44" s="342" t="s">
        <v>3684</v>
      </c>
      <c r="R44" s="173" t="s">
        <v>6139</v>
      </c>
      <c r="S44" s="57" t="b">
        <v>1</v>
      </c>
      <c r="T44" s="309" t="s">
        <v>6140</v>
      </c>
      <c r="U44" s="307"/>
      <c r="V44" s="54"/>
    </row>
    <row r="45" spans="1:25" ht="15" customHeight="1">
      <c r="A45" s="162"/>
      <c r="B45" s="132" t="s">
        <v>6135</v>
      </c>
      <c r="C45" s="151" t="s">
        <v>3706</v>
      </c>
      <c r="D45" s="151" t="s">
        <v>418</v>
      </c>
      <c r="E45" s="151" t="s">
        <v>1549</v>
      </c>
      <c r="F45" s="151" t="s">
        <v>6138</v>
      </c>
      <c r="G45" s="66" t="s">
        <v>6141</v>
      </c>
      <c r="H45" s="131" t="s">
        <v>30</v>
      </c>
      <c r="I45" s="151">
        <v>2</v>
      </c>
      <c r="J45" s="472">
        <v>350</v>
      </c>
      <c r="K45" s="472">
        <f t="shared" si="0"/>
        <v>700</v>
      </c>
      <c r="L45" s="55" t="b">
        <v>1</v>
      </c>
      <c r="M45" s="56">
        <v>61120250946</v>
      </c>
      <c r="N45" s="57"/>
      <c r="O45" s="226"/>
      <c r="P45" s="191" t="b">
        <v>1</v>
      </c>
      <c r="Q45" s="432" t="s">
        <v>4528</v>
      </c>
      <c r="R45" s="474" t="s">
        <v>6142</v>
      </c>
      <c r="S45" s="57" t="b">
        <v>1</v>
      </c>
      <c r="T45" s="309" t="s">
        <v>6143</v>
      </c>
      <c r="U45" s="307"/>
      <c r="V45" s="54"/>
    </row>
    <row r="46" spans="1:25" ht="15" customHeight="1">
      <c r="A46" s="455"/>
      <c r="B46" s="437" t="s">
        <v>6135</v>
      </c>
      <c r="C46" s="340" t="s">
        <v>4750</v>
      </c>
      <c r="D46" s="340" t="s">
        <v>418</v>
      </c>
      <c r="E46" s="340" t="s">
        <v>230</v>
      </c>
      <c r="F46" s="340" t="s">
        <v>1990</v>
      </c>
      <c r="G46" s="158" t="s">
        <v>1024</v>
      </c>
      <c r="H46" s="484" t="s">
        <v>30</v>
      </c>
      <c r="I46" s="340">
        <v>10</v>
      </c>
      <c r="J46" s="472">
        <v>165</v>
      </c>
      <c r="K46" s="472">
        <f t="shared" si="0"/>
        <v>1650</v>
      </c>
      <c r="L46" s="55" t="b">
        <v>1</v>
      </c>
      <c r="M46" s="56">
        <v>61120250946</v>
      </c>
      <c r="N46" s="158"/>
      <c r="O46" s="485"/>
      <c r="P46" s="191" t="b">
        <v>1</v>
      </c>
      <c r="Q46" s="432" t="s">
        <v>4528</v>
      </c>
      <c r="R46" s="474" t="s">
        <v>6144</v>
      </c>
      <c r="S46" s="57" t="b">
        <v>1</v>
      </c>
      <c r="T46" s="309" t="s">
        <v>6145</v>
      </c>
      <c r="U46" s="459"/>
      <c r="V46" s="336"/>
      <c r="X46" s="462"/>
      <c r="Y46" s="462"/>
    </row>
    <row r="47" spans="1:25" ht="15" customHeight="1">
      <c r="A47" s="447"/>
      <c r="B47" s="437" t="s">
        <v>6135</v>
      </c>
      <c r="C47" s="340" t="s">
        <v>4750</v>
      </c>
      <c r="D47" s="340" t="s">
        <v>418</v>
      </c>
      <c r="E47" s="340" t="s">
        <v>230</v>
      </c>
      <c r="F47" s="340" t="s">
        <v>1990</v>
      </c>
      <c r="G47" s="158" t="s">
        <v>68</v>
      </c>
      <c r="H47" s="484" t="s">
        <v>30</v>
      </c>
      <c r="I47" s="340">
        <v>1</v>
      </c>
      <c r="J47" s="472">
        <v>2350</v>
      </c>
      <c r="K47" s="472">
        <f t="shared" si="0"/>
        <v>2350</v>
      </c>
      <c r="L47" s="55" t="b">
        <v>1</v>
      </c>
      <c r="M47" s="56">
        <v>61120250946</v>
      </c>
      <c r="N47" s="486"/>
      <c r="O47" s="450"/>
      <c r="P47" s="191" t="b">
        <v>1</v>
      </c>
      <c r="Q47" s="432" t="s">
        <v>4528</v>
      </c>
      <c r="R47" s="474" t="s">
        <v>6144</v>
      </c>
      <c r="S47" s="57" t="b">
        <v>1</v>
      </c>
      <c r="T47" s="309" t="s">
        <v>6145</v>
      </c>
      <c r="U47" s="451"/>
      <c r="V47" s="452"/>
      <c r="X47" s="453"/>
      <c r="Y47" s="453"/>
    </row>
    <row r="48" spans="1:25" ht="15" customHeight="1">
      <c r="A48" s="447"/>
      <c r="B48" s="437" t="s">
        <v>6135</v>
      </c>
      <c r="C48" s="340" t="s">
        <v>5296</v>
      </c>
      <c r="D48" s="340" t="s">
        <v>194</v>
      </c>
      <c r="E48" s="340" t="s">
        <v>137</v>
      </c>
      <c r="F48" s="340" t="s">
        <v>3054</v>
      </c>
      <c r="G48" s="158" t="s">
        <v>1171</v>
      </c>
      <c r="H48" s="484" t="s">
        <v>30</v>
      </c>
      <c r="I48" s="340">
        <v>6</v>
      </c>
      <c r="J48" s="472">
        <v>1950</v>
      </c>
      <c r="K48" s="472">
        <f t="shared" si="0"/>
        <v>11700</v>
      </c>
      <c r="L48" s="55" t="b">
        <v>1</v>
      </c>
      <c r="M48" s="56">
        <v>61120251420</v>
      </c>
      <c r="N48" s="486"/>
      <c r="O48" s="450"/>
      <c r="P48" s="191" t="b">
        <v>1</v>
      </c>
      <c r="Q48" s="432" t="s">
        <v>4528</v>
      </c>
      <c r="R48" s="474" t="s">
        <v>6146</v>
      </c>
      <c r="S48" s="57" t="b">
        <v>1</v>
      </c>
      <c r="T48" s="309" t="s">
        <v>6147</v>
      </c>
      <c r="U48" s="451"/>
      <c r="V48" s="452"/>
      <c r="X48" s="453"/>
      <c r="Y48" s="453"/>
    </row>
    <row r="49" spans="1:22" ht="15" customHeight="1">
      <c r="A49" s="162"/>
      <c r="B49" s="71" t="s">
        <v>6148</v>
      </c>
      <c r="C49" s="151" t="s">
        <v>3552</v>
      </c>
      <c r="D49" s="151" t="s">
        <v>51</v>
      </c>
      <c r="E49" s="151" t="s">
        <v>66</v>
      </c>
      <c r="F49" s="151" t="s">
        <v>67</v>
      </c>
      <c r="G49" s="66" t="s">
        <v>6149</v>
      </c>
      <c r="H49" s="131" t="s">
        <v>30</v>
      </c>
      <c r="I49" s="151">
        <v>50</v>
      </c>
      <c r="J49" s="472">
        <v>280</v>
      </c>
      <c r="K49" s="472">
        <f t="shared" si="0"/>
        <v>14000</v>
      </c>
      <c r="L49" s="55" t="b">
        <v>1</v>
      </c>
      <c r="M49" s="56">
        <v>71120251540</v>
      </c>
      <c r="N49" s="57"/>
      <c r="O49" s="226"/>
      <c r="P49" s="191" t="b">
        <v>1</v>
      </c>
      <c r="Q49" s="432" t="s">
        <v>4528</v>
      </c>
      <c r="R49" s="474"/>
      <c r="S49" s="57" t="b">
        <v>1</v>
      </c>
      <c r="T49" s="309" t="s">
        <v>6150</v>
      </c>
      <c r="U49" s="307"/>
      <c r="V49" s="54"/>
    </row>
    <row r="50" spans="1:22" ht="15" customHeight="1">
      <c r="A50" s="162"/>
      <c r="B50" s="71" t="s">
        <v>6148</v>
      </c>
      <c r="C50" s="151" t="s">
        <v>4087</v>
      </c>
      <c r="D50" s="151" t="s">
        <v>1503</v>
      </c>
      <c r="E50" s="151" t="s">
        <v>1503</v>
      </c>
      <c r="F50" s="151" t="s">
        <v>6151</v>
      </c>
      <c r="G50" s="66" t="s">
        <v>96</v>
      </c>
      <c r="H50" s="131" t="s">
        <v>30</v>
      </c>
      <c r="I50" s="151">
        <v>5</v>
      </c>
      <c r="J50" s="472">
        <v>2850</v>
      </c>
      <c r="K50" s="472">
        <f t="shared" si="0"/>
        <v>14250</v>
      </c>
      <c r="L50" s="55" t="b">
        <v>1</v>
      </c>
      <c r="M50" s="56">
        <v>71120251543</v>
      </c>
      <c r="N50" s="57"/>
      <c r="O50" s="226"/>
      <c r="P50" s="191" t="b">
        <v>1</v>
      </c>
      <c r="Q50" s="432" t="s">
        <v>4528</v>
      </c>
      <c r="R50" s="173" t="s">
        <v>6152</v>
      </c>
      <c r="S50" s="57" t="b">
        <v>1</v>
      </c>
      <c r="T50" s="309" t="s">
        <v>6153</v>
      </c>
      <c r="U50" s="307"/>
      <c r="V50" s="54"/>
    </row>
    <row r="51" spans="1:22" ht="15" customHeight="1">
      <c r="A51" s="162"/>
      <c r="B51" s="71" t="s">
        <v>6148</v>
      </c>
      <c r="C51" s="151" t="s">
        <v>6154</v>
      </c>
      <c r="D51" s="151" t="s">
        <v>3160</v>
      </c>
      <c r="E51" s="151" t="s">
        <v>296</v>
      </c>
      <c r="F51" s="151" t="s">
        <v>6155</v>
      </c>
      <c r="G51" s="66" t="s">
        <v>6156</v>
      </c>
      <c r="H51" s="131" t="s">
        <v>30</v>
      </c>
      <c r="I51" s="151">
        <v>45</v>
      </c>
      <c r="J51" s="472">
        <v>255</v>
      </c>
      <c r="K51" s="472">
        <f t="shared" si="0"/>
        <v>11475</v>
      </c>
      <c r="L51" s="55" t="b">
        <v>1</v>
      </c>
      <c r="M51" s="80">
        <v>71120251648</v>
      </c>
      <c r="N51" s="57"/>
      <c r="O51" s="226"/>
      <c r="P51" s="191" t="b">
        <v>1</v>
      </c>
      <c r="Q51" s="432" t="s">
        <v>4528</v>
      </c>
      <c r="R51" s="474" t="s">
        <v>6157</v>
      </c>
      <c r="S51" s="57" t="b">
        <v>1</v>
      </c>
      <c r="T51" s="309" t="s">
        <v>6158</v>
      </c>
      <c r="U51" s="307"/>
      <c r="V51" s="54"/>
    </row>
    <row r="52" spans="1:22" ht="15" customHeight="1">
      <c r="A52" s="162"/>
      <c r="B52" s="71" t="s">
        <v>6148</v>
      </c>
      <c r="C52" s="151" t="s">
        <v>6154</v>
      </c>
      <c r="D52" s="151" t="s">
        <v>3160</v>
      </c>
      <c r="E52" s="151" t="s">
        <v>296</v>
      </c>
      <c r="F52" s="151" t="s">
        <v>6155</v>
      </c>
      <c r="G52" s="66" t="s">
        <v>6156</v>
      </c>
      <c r="H52" s="131" t="s">
        <v>30</v>
      </c>
      <c r="I52" s="151">
        <v>5</v>
      </c>
      <c r="J52" s="472">
        <v>255</v>
      </c>
      <c r="K52" s="472">
        <f t="shared" si="0"/>
        <v>1275</v>
      </c>
      <c r="L52" s="55" t="b">
        <v>1</v>
      </c>
      <c r="M52" s="80">
        <v>71120251649</v>
      </c>
      <c r="N52" s="57"/>
      <c r="O52" s="226"/>
      <c r="P52" s="191" t="b">
        <v>1</v>
      </c>
      <c r="Q52" s="432" t="s">
        <v>4528</v>
      </c>
      <c r="R52" s="474"/>
      <c r="S52" s="57" t="b">
        <v>1</v>
      </c>
      <c r="T52" s="309" t="s">
        <v>6159</v>
      </c>
      <c r="U52" s="307"/>
      <c r="V52" s="54"/>
    </row>
    <row r="53" spans="1:22" ht="15" customHeight="1">
      <c r="A53" s="162"/>
      <c r="B53" s="71" t="s">
        <v>6148</v>
      </c>
      <c r="C53" s="151" t="s">
        <v>6154</v>
      </c>
      <c r="D53" s="151" t="s">
        <v>3160</v>
      </c>
      <c r="E53" s="151" t="s">
        <v>296</v>
      </c>
      <c r="F53" s="151" t="s">
        <v>6155</v>
      </c>
      <c r="G53" s="66" t="s">
        <v>6160</v>
      </c>
      <c r="H53" s="131" t="s">
        <v>30</v>
      </c>
      <c r="I53" s="151">
        <v>1</v>
      </c>
      <c r="J53" s="472">
        <v>0</v>
      </c>
      <c r="K53" s="472">
        <f t="shared" si="0"/>
        <v>0</v>
      </c>
      <c r="L53" s="55" t="b">
        <v>1</v>
      </c>
      <c r="M53" s="80">
        <v>71120251650</v>
      </c>
      <c r="N53" s="57"/>
      <c r="O53" s="226"/>
      <c r="P53" s="191" t="b">
        <v>1</v>
      </c>
      <c r="Q53" s="432" t="s">
        <v>4528</v>
      </c>
      <c r="R53" s="173" t="s">
        <v>6161</v>
      </c>
      <c r="S53" s="57" t="b">
        <v>1</v>
      </c>
      <c r="T53" s="309" t="s">
        <v>6162</v>
      </c>
      <c r="U53" s="307"/>
      <c r="V53" s="54"/>
    </row>
    <row r="54" spans="1:22" ht="15" customHeight="1">
      <c r="A54" s="162"/>
      <c r="B54" s="71" t="s">
        <v>6163</v>
      </c>
      <c r="C54" s="151" t="s">
        <v>4051</v>
      </c>
      <c r="D54" s="151" t="s">
        <v>418</v>
      </c>
      <c r="E54" s="151" t="s">
        <v>42</v>
      </c>
      <c r="F54" s="151" t="s">
        <v>209</v>
      </c>
      <c r="G54" s="66" t="s">
        <v>2719</v>
      </c>
      <c r="H54" s="131" t="s">
        <v>30</v>
      </c>
      <c r="I54" s="151">
        <v>20</v>
      </c>
      <c r="J54" s="472">
        <v>150</v>
      </c>
      <c r="K54" s="472">
        <f t="shared" si="0"/>
        <v>3000</v>
      </c>
      <c r="L54" s="55" t="b">
        <v>1</v>
      </c>
      <c r="M54" s="56">
        <v>81120251549</v>
      </c>
      <c r="N54" s="57"/>
      <c r="O54" s="226"/>
      <c r="P54" s="191" t="b">
        <v>1</v>
      </c>
      <c r="Q54" s="432" t="s">
        <v>4528</v>
      </c>
      <c r="R54" s="474" t="s">
        <v>6164</v>
      </c>
      <c r="S54" s="57" t="b">
        <v>1</v>
      </c>
      <c r="T54" s="309" t="s">
        <v>6165</v>
      </c>
      <c r="U54" s="307"/>
      <c r="V54" s="54"/>
    </row>
    <row r="55" spans="1:22" ht="15" customHeight="1">
      <c r="A55" s="162"/>
      <c r="B55" s="71" t="s">
        <v>6163</v>
      </c>
      <c r="C55" s="151" t="s">
        <v>4051</v>
      </c>
      <c r="D55" s="151" t="s">
        <v>418</v>
      </c>
      <c r="E55" s="151" t="s">
        <v>42</v>
      </c>
      <c r="F55" s="151" t="s">
        <v>209</v>
      </c>
      <c r="G55" s="66" t="s">
        <v>6166</v>
      </c>
      <c r="H55" s="131" t="s">
        <v>30</v>
      </c>
      <c r="I55" s="151">
        <v>20</v>
      </c>
      <c r="J55" s="472">
        <v>175</v>
      </c>
      <c r="K55" s="472">
        <f t="shared" si="0"/>
        <v>3500</v>
      </c>
      <c r="L55" s="55" t="b">
        <v>1</v>
      </c>
      <c r="M55" s="56">
        <v>81120251549</v>
      </c>
      <c r="N55" s="57"/>
      <c r="O55" s="226"/>
      <c r="P55" s="191" t="b">
        <v>1</v>
      </c>
      <c r="Q55" s="432" t="s">
        <v>4528</v>
      </c>
      <c r="R55" s="474" t="s">
        <v>6164</v>
      </c>
      <c r="S55" s="57" t="b">
        <v>1</v>
      </c>
      <c r="T55" s="309" t="s">
        <v>6165</v>
      </c>
      <c r="U55" s="307"/>
      <c r="V55" s="54"/>
    </row>
    <row r="56" spans="1:22" ht="15" customHeight="1">
      <c r="A56" s="162"/>
      <c r="B56" s="71" t="s">
        <v>6167</v>
      </c>
      <c r="C56" s="151" t="s">
        <v>4330</v>
      </c>
      <c r="D56" s="151" t="s">
        <v>212</v>
      </c>
      <c r="E56" s="151" t="s">
        <v>213</v>
      </c>
      <c r="F56" s="151" t="s">
        <v>4331</v>
      </c>
      <c r="G56" s="66" t="s">
        <v>877</v>
      </c>
      <c r="H56" s="131" t="s">
        <v>30</v>
      </c>
      <c r="I56" s="151">
        <v>10</v>
      </c>
      <c r="J56" s="472">
        <v>875</v>
      </c>
      <c r="K56" s="472">
        <f t="shared" si="0"/>
        <v>8750</v>
      </c>
      <c r="L56" s="55" t="b">
        <v>1</v>
      </c>
      <c r="M56" s="56">
        <v>101120250954</v>
      </c>
      <c r="N56" s="57"/>
      <c r="O56" s="226"/>
      <c r="P56" s="191" t="b">
        <v>1</v>
      </c>
      <c r="Q56" s="342" t="s">
        <v>3684</v>
      </c>
      <c r="R56" s="474" t="s">
        <v>6168</v>
      </c>
      <c r="S56" s="57" t="b">
        <v>1</v>
      </c>
      <c r="T56" s="309" t="s">
        <v>6169</v>
      </c>
      <c r="U56" s="307"/>
      <c r="V56" s="54"/>
    </row>
    <row r="57" spans="1:22" ht="15" customHeight="1">
      <c r="A57" s="162"/>
      <c r="B57" s="71" t="s">
        <v>6167</v>
      </c>
      <c r="C57" s="151" t="s">
        <v>3589</v>
      </c>
      <c r="D57" s="151" t="s">
        <v>397</v>
      </c>
      <c r="E57" s="151" t="s">
        <v>213</v>
      </c>
      <c r="F57" s="151" t="s">
        <v>859</v>
      </c>
      <c r="G57" s="66" t="s">
        <v>3026</v>
      </c>
      <c r="H57" s="131" t="s">
        <v>30</v>
      </c>
      <c r="I57" s="151">
        <v>50</v>
      </c>
      <c r="J57" s="472">
        <v>25</v>
      </c>
      <c r="K57" s="472">
        <f t="shared" si="0"/>
        <v>1250</v>
      </c>
      <c r="L57" s="55" t="b">
        <v>1</v>
      </c>
      <c r="M57" s="56">
        <v>101120250954</v>
      </c>
      <c r="N57" s="57"/>
      <c r="O57" s="226"/>
      <c r="P57" s="191" t="b">
        <v>1</v>
      </c>
      <c r="Q57" s="432" t="s">
        <v>4528</v>
      </c>
      <c r="R57" s="474" t="s">
        <v>6170</v>
      </c>
      <c r="S57" s="57" t="b">
        <v>1</v>
      </c>
      <c r="T57" s="309" t="s">
        <v>6171</v>
      </c>
      <c r="U57" s="307"/>
      <c r="V57" s="54"/>
    </row>
    <row r="58" spans="1:22" ht="15" customHeight="1">
      <c r="A58" s="162"/>
      <c r="B58" s="71" t="s">
        <v>6167</v>
      </c>
      <c r="C58" s="151" t="s">
        <v>3589</v>
      </c>
      <c r="D58" s="151" t="s">
        <v>397</v>
      </c>
      <c r="E58" s="151" t="s">
        <v>213</v>
      </c>
      <c r="F58" s="151" t="s">
        <v>859</v>
      </c>
      <c r="G58" s="66" t="s">
        <v>3026</v>
      </c>
      <c r="H58" s="131" t="s">
        <v>30</v>
      </c>
      <c r="I58" s="151">
        <v>50</v>
      </c>
      <c r="J58" s="472">
        <v>25</v>
      </c>
      <c r="K58" s="472">
        <f t="shared" si="0"/>
        <v>1250</v>
      </c>
      <c r="L58" s="55" t="b">
        <v>1</v>
      </c>
      <c r="M58" s="56">
        <v>101120250954</v>
      </c>
      <c r="N58" s="57"/>
      <c r="O58" s="226"/>
      <c r="P58" s="191" t="b">
        <v>1</v>
      </c>
      <c r="Q58" s="432" t="s">
        <v>4528</v>
      </c>
      <c r="R58" s="173" t="s">
        <v>6172</v>
      </c>
      <c r="S58" s="57" t="b">
        <v>1</v>
      </c>
      <c r="T58" s="309" t="s">
        <v>6173</v>
      </c>
      <c r="U58" s="307"/>
      <c r="V58" s="54"/>
    </row>
    <row r="59" spans="1:22" ht="16">
      <c r="A59" s="162"/>
      <c r="B59" s="437" t="s">
        <v>6167</v>
      </c>
      <c r="C59" s="340" t="s">
        <v>3552</v>
      </c>
      <c r="D59" s="340" t="s">
        <v>51</v>
      </c>
      <c r="E59" s="340" t="s">
        <v>594</v>
      </c>
      <c r="F59" s="340" t="s">
        <v>6174</v>
      </c>
      <c r="G59" s="66" t="s">
        <v>6175</v>
      </c>
      <c r="H59" s="131" t="s">
        <v>30</v>
      </c>
      <c r="I59" s="151">
        <v>2</v>
      </c>
      <c r="J59" s="472">
        <v>7500</v>
      </c>
      <c r="K59" s="472">
        <f t="shared" si="0"/>
        <v>15000</v>
      </c>
      <c r="L59" s="55" t="b">
        <v>1</v>
      </c>
      <c r="M59" s="56">
        <v>101120250957</v>
      </c>
      <c r="N59" s="57"/>
      <c r="O59" s="226"/>
      <c r="P59" s="191" t="b">
        <v>1</v>
      </c>
      <c r="Q59" s="342" t="s">
        <v>3684</v>
      </c>
      <c r="R59" s="474"/>
      <c r="S59" s="57" t="b">
        <v>1</v>
      </c>
      <c r="T59" s="309" t="s">
        <v>6176</v>
      </c>
      <c r="U59" s="307"/>
      <c r="V59" s="54"/>
    </row>
    <row r="60" spans="1:22" ht="16">
      <c r="A60" s="162"/>
      <c r="B60" s="71" t="s">
        <v>6167</v>
      </c>
      <c r="C60" s="151" t="s">
        <v>5152</v>
      </c>
      <c r="D60" s="151" t="s">
        <v>3160</v>
      </c>
      <c r="E60" s="151" t="s">
        <v>6177</v>
      </c>
      <c r="F60" s="151" t="s">
        <v>6178</v>
      </c>
      <c r="G60" s="66" t="s">
        <v>6179</v>
      </c>
      <c r="H60" s="131" t="s">
        <v>30</v>
      </c>
      <c r="I60" s="151">
        <v>10</v>
      </c>
      <c r="J60" s="472">
        <v>675</v>
      </c>
      <c r="K60" s="472">
        <f t="shared" si="0"/>
        <v>6750</v>
      </c>
      <c r="L60" s="55" t="b">
        <v>1</v>
      </c>
      <c r="M60" s="56">
        <v>101120251451</v>
      </c>
      <c r="N60" s="57"/>
      <c r="O60" s="226"/>
      <c r="P60" s="191" t="b">
        <v>1</v>
      </c>
      <c r="Q60" s="342" t="s">
        <v>3684</v>
      </c>
      <c r="R60" s="474" t="s">
        <v>6180</v>
      </c>
      <c r="S60" s="57" t="b">
        <v>1</v>
      </c>
      <c r="T60" s="309" t="s">
        <v>6181</v>
      </c>
      <c r="U60" s="307"/>
      <c r="V60" s="54"/>
    </row>
    <row r="61" spans="1:22" ht="16">
      <c r="A61" s="162"/>
      <c r="B61" s="71" t="s">
        <v>6167</v>
      </c>
      <c r="C61" s="151" t="s">
        <v>6182</v>
      </c>
      <c r="D61" s="151" t="s">
        <v>104</v>
      </c>
      <c r="E61" s="151" t="s">
        <v>6183</v>
      </c>
      <c r="F61" s="151" t="s">
        <v>6184</v>
      </c>
      <c r="G61" s="66" t="s">
        <v>6179</v>
      </c>
      <c r="H61" s="131" t="s">
        <v>30</v>
      </c>
      <c r="I61" s="151">
        <v>1</v>
      </c>
      <c r="J61" s="472">
        <v>725</v>
      </c>
      <c r="K61" s="472">
        <f t="shared" si="0"/>
        <v>725</v>
      </c>
      <c r="L61" s="55" t="b">
        <v>1</v>
      </c>
      <c r="M61" s="56">
        <v>101120251532</v>
      </c>
      <c r="N61" s="57"/>
      <c r="O61" s="226"/>
      <c r="P61" s="191" t="b">
        <v>1</v>
      </c>
      <c r="Q61" s="342" t="s">
        <v>3684</v>
      </c>
      <c r="R61" s="474" t="s">
        <v>6185</v>
      </c>
      <c r="S61" s="57" t="b">
        <v>1</v>
      </c>
      <c r="T61" s="309" t="s">
        <v>6186</v>
      </c>
      <c r="U61" s="307"/>
      <c r="V61" s="54"/>
    </row>
    <row r="62" spans="1:22" ht="16">
      <c r="A62" s="162"/>
      <c r="B62" s="71" t="s">
        <v>6167</v>
      </c>
      <c r="C62" s="151" t="s">
        <v>3532</v>
      </c>
      <c r="D62" s="151" t="s">
        <v>51</v>
      </c>
      <c r="E62" s="151" t="s">
        <v>52</v>
      </c>
      <c r="F62" s="151" t="s">
        <v>1710</v>
      </c>
      <c r="G62" s="66" t="s">
        <v>300</v>
      </c>
      <c r="H62" s="131" t="s">
        <v>30</v>
      </c>
      <c r="I62" s="151">
        <v>50</v>
      </c>
      <c r="J62" s="472">
        <v>175</v>
      </c>
      <c r="K62" s="472">
        <f t="shared" si="0"/>
        <v>8750</v>
      </c>
      <c r="L62" s="55" t="b">
        <v>1</v>
      </c>
      <c r="M62" s="56">
        <v>101120251536</v>
      </c>
      <c r="N62" s="57"/>
      <c r="O62" s="226"/>
      <c r="P62" s="191" t="b">
        <v>1</v>
      </c>
      <c r="Q62" s="342" t="s">
        <v>3684</v>
      </c>
      <c r="R62" s="173" t="s">
        <v>6187</v>
      </c>
      <c r="S62" s="57" t="b">
        <v>1</v>
      </c>
      <c r="T62" s="309" t="s">
        <v>6188</v>
      </c>
      <c r="U62" s="307"/>
      <c r="V62" s="54"/>
    </row>
    <row r="63" spans="1:22" ht="16">
      <c r="A63" s="162"/>
      <c r="B63" s="71" t="s">
        <v>6167</v>
      </c>
      <c r="C63" s="151" t="s">
        <v>3532</v>
      </c>
      <c r="D63" s="151" t="s">
        <v>51</v>
      </c>
      <c r="E63" s="151" t="s">
        <v>52</v>
      </c>
      <c r="F63" s="151" t="s">
        <v>1710</v>
      </c>
      <c r="G63" s="66" t="s">
        <v>6179</v>
      </c>
      <c r="H63" s="131" t="s">
        <v>30</v>
      </c>
      <c r="I63" s="151">
        <v>10</v>
      </c>
      <c r="J63" s="472">
        <v>795</v>
      </c>
      <c r="K63" s="472">
        <f t="shared" si="0"/>
        <v>7950</v>
      </c>
      <c r="L63" s="55" t="b">
        <v>1</v>
      </c>
      <c r="M63" s="56">
        <v>101120251536</v>
      </c>
      <c r="N63" s="57"/>
      <c r="O63" s="226"/>
      <c r="P63" s="191" t="b">
        <v>1</v>
      </c>
      <c r="Q63" s="432" t="s">
        <v>4528</v>
      </c>
      <c r="R63" s="474" t="s">
        <v>6189</v>
      </c>
      <c r="S63" s="57" t="b">
        <v>1</v>
      </c>
      <c r="T63" s="309" t="s">
        <v>6190</v>
      </c>
      <c r="U63" s="307"/>
      <c r="V63" s="54"/>
    </row>
    <row r="64" spans="1:22" ht="16">
      <c r="A64" s="162"/>
      <c r="B64" s="71" t="s">
        <v>6167</v>
      </c>
      <c r="C64" s="151" t="s">
        <v>3458</v>
      </c>
      <c r="D64" s="151" t="s">
        <v>51</v>
      </c>
      <c r="E64" s="151" t="s">
        <v>201</v>
      </c>
      <c r="F64" s="151" t="s">
        <v>202</v>
      </c>
      <c r="G64" s="66" t="s">
        <v>6048</v>
      </c>
      <c r="H64" s="131" t="s">
        <v>30</v>
      </c>
      <c r="I64" s="151">
        <v>130</v>
      </c>
      <c r="J64" s="472">
        <v>60</v>
      </c>
      <c r="K64" s="472">
        <f t="shared" si="0"/>
        <v>7800</v>
      </c>
      <c r="L64" s="55" t="b">
        <v>1</v>
      </c>
      <c r="M64" s="56">
        <v>101120252000</v>
      </c>
      <c r="N64" s="57"/>
      <c r="O64" s="226"/>
      <c r="P64" s="191" t="b">
        <v>1</v>
      </c>
      <c r="Q64" s="432" t="s">
        <v>4528</v>
      </c>
      <c r="R64" s="474"/>
      <c r="S64" s="57" t="b">
        <v>1</v>
      </c>
      <c r="T64" s="309" t="s">
        <v>6191</v>
      </c>
      <c r="U64" s="307"/>
      <c r="V64" s="54"/>
    </row>
    <row r="65" spans="1:22" ht="13.5" customHeight="1">
      <c r="A65" s="162"/>
      <c r="B65" s="71" t="s">
        <v>6167</v>
      </c>
      <c r="C65" s="151" t="s">
        <v>5137</v>
      </c>
      <c r="D65" s="151" t="s">
        <v>93</v>
      </c>
      <c r="E65" s="151" t="s">
        <v>94</v>
      </c>
      <c r="F65" s="151" t="s">
        <v>268</v>
      </c>
      <c r="G65" s="66" t="s">
        <v>6179</v>
      </c>
      <c r="H65" s="131" t="s">
        <v>30</v>
      </c>
      <c r="I65" s="151">
        <v>10</v>
      </c>
      <c r="J65" s="472">
        <v>795</v>
      </c>
      <c r="K65" s="472">
        <f t="shared" si="0"/>
        <v>7950</v>
      </c>
      <c r="L65" s="55" t="b">
        <v>1</v>
      </c>
      <c r="M65" s="56">
        <v>101120252002</v>
      </c>
      <c r="N65" s="57"/>
      <c r="O65" s="226"/>
      <c r="P65" s="191" t="b">
        <v>1</v>
      </c>
      <c r="Q65" s="432" t="s">
        <v>4528</v>
      </c>
      <c r="R65" s="474"/>
      <c r="S65" s="57" t="b">
        <v>1</v>
      </c>
      <c r="T65" s="309" t="s">
        <v>6192</v>
      </c>
      <c r="U65" s="307"/>
      <c r="V65" s="54"/>
    </row>
    <row r="66" spans="1:22" ht="16">
      <c r="A66" s="162"/>
      <c r="B66" s="71" t="s">
        <v>6167</v>
      </c>
      <c r="C66" s="53" t="s">
        <v>3451</v>
      </c>
      <c r="D66" s="53" t="s">
        <v>60</v>
      </c>
      <c r="E66" s="53" t="s">
        <v>3452</v>
      </c>
      <c r="F66" s="53" t="s">
        <v>2260</v>
      </c>
      <c r="G66" s="66" t="s">
        <v>6193</v>
      </c>
      <c r="H66" s="53" t="s">
        <v>30</v>
      </c>
      <c r="I66" s="151">
        <v>2</v>
      </c>
      <c r="J66" s="472">
        <v>425</v>
      </c>
      <c r="K66" s="472">
        <f t="shared" si="0"/>
        <v>850</v>
      </c>
      <c r="L66" s="55" t="b">
        <v>1</v>
      </c>
      <c r="M66" s="56">
        <v>100120252007</v>
      </c>
      <c r="N66" s="57" t="s">
        <v>2968</v>
      </c>
      <c r="O66" s="226"/>
      <c r="P66" s="191" t="b">
        <v>1</v>
      </c>
      <c r="Q66" s="432" t="s">
        <v>4528</v>
      </c>
      <c r="R66" s="173" t="s">
        <v>6194</v>
      </c>
      <c r="S66" s="57" t="b">
        <v>1</v>
      </c>
      <c r="T66" s="309" t="s">
        <v>6195</v>
      </c>
      <c r="U66" s="307"/>
      <c r="V66" s="54"/>
    </row>
    <row r="67" spans="1:22" ht="16">
      <c r="A67" s="162"/>
      <c r="B67" s="71" t="s">
        <v>6196</v>
      </c>
      <c r="C67" s="53" t="s">
        <v>6064</v>
      </c>
      <c r="D67" s="53" t="s">
        <v>51</v>
      </c>
      <c r="E67" s="53" t="s">
        <v>89</v>
      </c>
      <c r="F67" s="53" t="s">
        <v>1872</v>
      </c>
      <c r="G67" s="66" t="s">
        <v>6197</v>
      </c>
      <c r="H67" s="131" t="s">
        <v>30</v>
      </c>
      <c r="I67" s="151">
        <v>100</v>
      </c>
      <c r="J67" s="472">
        <v>25</v>
      </c>
      <c r="K67" s="472">
        <f t="shared" si="0"/>
        <v>2500</v>
      </c>
      <c r="L67" s="55" t="b">
        <v>1</v>
      </c>
      <c r="M67" s="56" t="s">
        <v>529</v>
      </c>
      <c r="N67" s="57"/>
      <c r="O67" s="226"/>
      <c r="P67" s="191" t="b">
        <v>1</v>
      </c>
      <c r="Q67" s="432" t="s">
        <v>4528</v>
      </c>
      <c r="R67" s="173" t="s">
        <v>6198</v>
      </c>
      <c r="S67" s="57" t="b">
        <v>1</v>
      </c>
      <c r="T67" s="309" t="s">
        <v>6199</v>
      </c>
      <c r="U67" s="307"/>
      <c r="V67" s="54"/>
    </row>
    <row r="68" spans="1:22" ht="16">
      <c r="A68" s="162"/>
      <c r="B68" s="71" t="s">
        <v>6196</v>
      </c>
      <c r="C68" s="53" t="s">
        <v>6064</v>
      </c>
      <c r="D68" s="53" t="s">
        <v>51</v>
      </c>
      <c r="E68" s="53" t="s">
        <v>89</v>
      </c>
      <c r="F68" s="53" t="s">
        <v>1872</v>
      </c>
      <c r="G68" s="66" t="s">
        <v>6197</v>
      </c>
      <c r="H68" s="131" t="s">
        <v>30</v>
      </c>
      <c r="I68" s="151">
        <v>150</v>
      </c>
      <c r="J68" s="472">
        <v>25</v>
      </c>
      <c r="K68" s="472">
        <f t="shared" si="0"/>
        <v>3750</v>
      </c>
      <c r="L68" s="55" t="b">
        <v>1</v>
      </c>
      <c r="M68" s="56" t="s">
        <v>529</v>
      </c>
      <c r="N68" s="57"/>
      <c r="O68" s="226"/>
      <c r="P68" s="191" t="b">
        <v>1</v>
      </c>
      <c r="Q68" s="432" t="s">
        <v>4528</v>
      </c>
      <c r="R68" s="173" t="s">
        <v>6200</v>
      </c>
      <c r="S68" s="57" t="b">
        <v>1</v>
      </c>
      <c r="T68" s="309" t="s">
        <v>6201</v>
      </c>
      <c r="U68" s="307"/>
      <c r="V68" s="54"/>
    </row>
    <row r="69" spans="1:22" ht="16">
      <c r="A69" s="162"/>
      <c r="B69" s="71" t="s">
        <v>6196</v>
      </c>
      <c r="C69" s="151" t="s">
        <v>3458</v>
      </c>
      <c r="D69" s="151" t="s">
        <v>51</v>
      </c>
      <c r="E69" s="151" t="s">
        <v>201</v>
      </c>
      <c r="F69" s="151" t="s">
        <v>202</v>
      </c>
      <c r="G69" s="66" t="s">
        <v>6202</v>
      </c>
      <c r="H69" s="131" t="s">
        <v>30</v>
      </c>
      <c r="I69" s="151">
        <v>2</v>
      </c>
      <c r="J69" s="472">
        <v>2750</v>
      </c>
      <c r="K69" s="472">
        <f t="shared" si="0"/>
        <v>5500</v>
      </c>
      <c r="L69" s="55" t="b">
        <v>1</v>
      </c>
      <c r="M69" s="56">
        <v>100120252007</v>
      </c>
      <c r="N69" s="57"/>
      <c r="O69" s="226"/>
      <c r="P69" s="191" t="b">
        <v>1</v>
      </c>
      <c r="Q69" s="432" t="s">
        <v>4528</v>
      </c>
      <c r="R69" s="474"/>
      <c r="S69" s="57" t="b">
        <v>1</v>
      </c>
      <c r="T69" s="309" t="s">
        <v>6203</v>
      </c>
      <c r="U69" s="307"/>
      <c r="V69" s="54"/>
    </row>
    <row r="70" spans="1:22" ht="16">
      <c r="A70" s="162"/>
      <c r="B70" s="71" t="s">
        <v>6196</v>
      </c>
      <c r="C70" s="151" t="s">
        <v>3458</v>
      </c>
      <c r="D70" s="151" t="s">
        <v>51</v>
      </c>
      <c r="E70" s="151" t="s">
        <v>201</v>
      </c>
      <c r="F70" s="151" t="s">
        <v>202</v>
      </c>
      <c r="G70" s="66" t="s">
        <v>6204</v>
      </c>
      <c r="H70" s="131" t="s">
        <v>30</v>
      </c>
      <c r="I70" s="151">
        <v>10</v>
      </c>
      <c r="J70" s="472">
        <v>795</v>
      </c>
      <c r="K70" s="472">
        <f t="shared" si="0"/>
        <v>7950</v>
      </c>
      <c r="L70" s="55" t="b">
        <v>1</v>
      </c>
      <c r="M70" s="56">
        <v>111120251108</v>
      </c>
      <c r="N70" s="57"/>
      <c r="O70" s="215"/>
      <c r="P70" s="191" t="b">
        <v>1</v>
      </c>
      <c r="Q70" s="432" t="s">
        <v>4528</v>
      </c>
      <c r="R70" s="173" t="s">
        <v>6205</v>
      </c>
      <c r="S70" s="57" t="b">
        <v>1</v>
      </c>
      <c r="T70" s="309" t="s">
        <v>6206</v>
      </c>
      <c r="U70" s="307"/>
      <c r="V70" s="54"/>
    </row>
    <row r="71" spans="1:22" ht="16">
      <c r="A71" s="162"/>
      <c r="B71" s="71" t="s">
        <v>6196</v>
      </c>
      <c r="C71" s="151" t="s">
        <v>3458</v>
      </c>
      <c r="D71" s="151" t="s">
        <v>51</v>
      </c>
      <c r="E71" s="151" t="s">
        <v>201</v>
      </c>
      <c r="F71" s="151" t="s">
        <v>202</v>
      </c>
      <c r="G71" s="66" t="s">
        <v>236</v>
      </c>
      <c r="H71" s="131" t="s">
        <v>30</v>
      </c>
      <c r="I71" s="151">
        <v>12</v>
      </c>
      <c r="J71" s="472">
        <v>230</v>
      </c>
      <c r="K71" s="472">
        <f t="shared" si="0"/>
        <v>2760</v>
      </c>
      <c r="L71" s="55" t="b">
        <v>1</v>
      </c>
      <c r="M71" s="56">
        <v>111120251108</v>
      </c>
      <c r="N71" s="57"/>
      <c r="O71" s="226"/>
      <c r="P71" s="191" t="b">
        <v>1</v>
      </c>
      <c r="Q71" s="432" t="s">
        <v>4528</v>
      </c>
      <c r="R71" s="173" t="s">
        <v>6205</v>
      </c>
      <c r="S71" s="57" t="b">
        <v>1</v>
      </c>
      <c r="T71" s="309" t="s">
        <v>6206</v>
      </c>
      <c r="U71" s="307"/>
      <c r="V71" s="54"/>
    </row>
    <row r="72" spans="1:22" ht="14.25" customHeight="1">
      <c r="A72" s="162"/>
      <c r="B72" s="71" t="s">
        <v>6196</v>
      </c>
      <c r="C72" s="151" t="s">
        <v>6207</v>
      </c>
      <c r="D72" s="151" t="s">
        <v>104</v>
      </c>
      <c r="E72" s="151" t="s">
        <v>4701</v>
      </c>
      <c r="F72" s="151" t="s">
        <v>6208</v>
      </c>
      <c r="G72" s="66" t="s">
        <v>5776</v>
      </c>
      <c r="H72" s="131" t="s">
        <v>30</v>
      </c>
      <c r="I72" s="151">
        <v>200</v>
      </c>
      <c r="J72" s="472">
        <v>22</v>
      </c>
      <c r="K72" s="472">
        <f t="shared" si="0"/>
        <v>4400</v>
      </c>
      <c r="L72" s="55" t="b">
        <v>1</v>
      </c>
      <c r="M72" s="56">
        <v>111120251111</v>
      </c>
      <c r="N72" s="57"/>
      <c r="O72" s="226"/>
      <c r="P72" s="191" t="b">
        <v>1</v>
      </c>
      <c r="Q72" s="432" t="s">
        <v>4528</v>
      </c>
      <c r="R72" s="173" t="s">
        <v>6209</v>
      </c>
      <c r="S72" s="57" t="b">
        <v>1</v>
      </c>
      <c r="T72" s="309" t="s">
        <v>6210</v>
      </c>
      <c r="U72" s="307"/>
      <c r="V72" s="54"/>
    </row>
    <row r="73" spans="1:22" ht="16">
      <c r="A73" s="101"/>
      <c r="B73" s="71" t="s">
        <v>6211</v>
      </c>
      <c r="C73" s="151" t="s">
        <v>3706</v>
      </c>
      <c r="D73" s="151" t="s">
        <v>418</v>
      </c>
      <c r="E73" s="151" t="s">
        <v>3373</v>
      </c>
      <c r="F73" s="151" t="s">
        <v>3406</v>
      </c>
      <c r="G73" s="66" t="s">
        <v>5776</v>
      </c>
      <c r="H73" s="131" t="s">
        <v>30</v>
      </c>
      <c r="I73" s="151">
        <v>200</v>
      </c>
      <c r="J73" s="472">
        <v>22.5</v>
      </c>
      <c r="K73" s="472">
        <f t="shared" si="0"/>
        <v>4500</v>
      </c>
      <c r="L73" s="55" t="b">
        <v>1</v>
      </c>
      <c r="M73" s="56">
        <v>121120251815</v>
      </c>
      <c r="N73" s="57"/>
      <c r="O73" s="226"/>
      <c r="P73" s="191" t="b">
        <v>1</v>
      </c>
      <c r="Q73" s="432" t="s">
        <v>4528</v>
      </c>
      <c r="R73" s="173" t="s">
        <v>6212</v>
      </c>
      <c r="S73" s="57" t="b">
        <v>1</v>
      </c>
      <c r="T73" s="309" t="s">
        <v>6213</v>
      </c>
      <c r="U73" s="307"/>
      <c r="V73" s="54"/>
    </row>
    <row r="74" spans="1:22" ht="16">
      <c r="A74" s="162"/>
      <c r="B74" s="71" t="s">
        <v>6211</v>
      </c>
      <c r="C74" s="151" t="s">
        <v>3650</v>
      </c>
      <c r="D74" s="151" t="s">
        <v>171</v>
      </c>
      <c r="E74" s="151" t="s">
        <v>137</v>
      </c>
      <c r="F74" s="151" t="s">
        <v>3651</v>
      </c>
      <c r="G74" s="66" t="s">
        <v>58</v>
      </c>
      <c r="H74" s="131" t="s">
        <v>30</v>
      </c>
      <c r="I74" s="151">
        <v>168</v>
      </c>
      <c r="J74" s="472">
        <v>45</v>
      </c>
      <c r="K74" s="472">
        <f t="shared" si="0"/>
        <v>7560</v>
      </c>
      <c r="L74" s="55" t="b">
        <v>1</v>
      </c>
      <c r="M74" s="56">
        <v>121120251921</v>
      </c>
      <c r="N74" s="57"/>
      <c r="O74" s="226"/>
      <c r="P74" s="191" t="b">
        <v>1</v>
      </c>
      <c r="Q74" s="432" t="s">
        <v>4528</v>
      </c>
      <c r="R74" s="474" t="s">
        <v>6214</v>
      </c>
      <c r="S74" s="57" t="b">
        <v>1</v>
      </c>
      <c r="T74" s="309" t="s">
        <v>6215</v>
      </c>
      <c r="U74" s="307"/>
      <c r="V74" s="54"/>
    </row>
    <row r="75" spans="1:22" ht="16">
      <c r="A75" s="162"/>
      <c r="B75" s="71" t="s">
        <v>6211</v>
      </c>
      <c r="C75" s="151" t="s">
        <v>3650</v>
      </c>
      <c r="D75" s="151" t="s">
        <v>171</v>
      </c>
      <c r="E75" s="151" t="s">
        <v>137</v>
      </c>
      <c r="F75" s="151" t="s">
        <v>3651</v>
      </c>
      <c r="G75" s="66" t="s">
        <v>6216</v>
      </c>
      <c r="H75" s="131" t="s">
        <v>30</v>
      </c>
      <c r="I75" s="151">
        <v>168</v>
      </c>
      <c r="J75" s="472">
        <v>38.200000000000003</v>
      </c>
      <c r="K75" s="472">
        <f t="shared" si="0"/>
        <v>6417.6</v>
      </c>
      <c r="L75" s="55" t="b">
        <v>1</v>
      </c>
      <c r="M75" s="56">
        <v>121120251923</v>
      </c>
      <c r="N75" s="57"/>
      <c r="O75" s="226"/>
      <c r="P75" s="191" t="b">
        <v>1</v>
      </c>
      <c r="Q75" s="432" t="s">
        <v>4528</v>
      </c>
      <c r="R75" s="173" t="s">
        <v>6217</v>
      </c>
      <c r="S75" s="57" t="b">
        <v>1</v>
      </c>
      <c r="T75" s="309" t="s">
        <v>6218</v>
      </c>
      <c r="U75" s="307"/>
      <c r="V75" s="54"/>
    </row>
    <row r="76" spans="1:22" ht="16">
      <c r="A76" s="162"/>
      <c r="B76" s="71" t="s">
        <v>6211</v>
      </c>
      <c r="C76" s="151" t="s">
        <v>3650</v>
      </c>
      <c r="D76" s="151" t="s">
        <v>171</v>
      </c>
      <c r="E76" s="151" t="s">
        <v>137</v>
      </c>
      <c r="F76" s="151" t="s">
        <v>3651</v>
      </c>
      <c r="G76" s="66" t="s">
        <v>6219</v>
      </c>
      <c r="H76" s="131" t="s">
        <v>30</v>
      </c>
      <c r="I76" s="151">
        <v>84</v>
      </c>
      <c r="J76" s="472">
        <v>45</v>
      </c>
      <c r="K76" s="472">
        <f t="shared" si="0"/>
        <v>3780</v>
      </c>
      <c r="L76" s="55" t="b">
        <v>1</v>
      </c>
      <c r="M76" s="56">
        <v>121120251930</v>
      </c>
      <c r="N76" s="57"/>
      <c r="O76" s="226"/>
      <c r="P76" s="191" t="b">
        <v>1</v>
      </c>
      <c r="Q76" s="432" t="s">
        <v>4528</v>
      </c>
      <c r="R76" s="173" t="s">
        <v>6217</v>
      </c>
      <c r="S76" s="57" t="b">
        <v>1</v>
      </c>
      <c r="T76" s="309" t="s">
        <v>6218</v>
      </c>
      <c r="U76" s="307"/>
      <c r="V76" s="54"/>
    </row>
    <row r="77" spans="1:22" ht="16">
      <c r="A77" s="162"/>
      <c r="B77" s="71" t="s">
        <v>6220</v>
      </c>
      <c r="C77" s="151" t="s">
        <v>5174</v>
      </c>
      <c r="D77" s="151" t="s">
        <v>832</v>
      </c>
      <c r="E77" s="151" t="s">
        <v>137</v>
      </c>
      <c r="F77" s="151" t="s">
        <v>834</v>
      </c>
      <c r="G77" s="66" t="s">
        <v>68</v>
      </c>
      <c r="H77" s="131" t="s">
        <v>30</v>
      </c>
      <c r="I77" s="151">
        <v>1</v>
      </c>
      <c r="J77" s="472">
        <v>2350</v>
      </c>
      <c r="K77" s="472">
        <f t="shared" si="0"/>
        <v>2350</v>
      </c>
      <c r="L77" s="55" t="b">
        <v>1</v>
      </c>
      <c r="M77" s="56">
        <v>131120251800</v>
      </c>
      <c r="N77" s="57"/>
      <c r="O77" s="226"/>
      <c r="P77" s="191" t="b">
        <v>1</v>
      </c>
      <c r="Q77" s="432" t="s">
        <v>4528</v>
      </c>
      <c r="R77" s="173" t="s">
        <v>6221</v>
      </c>
      <c r="S77" s="57" t="b">
        <v>1</v>
      </c>
      <c r="T77" s="309" t="s">
        <v>6222</v>
      </c>
      <c r="U77" s="307"/>
      <c r="V77" s="54"/>
    </row>
    <row r="78" spans="1:22" ht="16">
      <c r="A78" s="162"/>
      <c r="B78" s="71" t="s">
        <v>6220</v>
      </c>
      <c r="C78" s="151" t="s">
        <v>3458</v>
      </c>
      <c r="D78" s="151" t="s">
        <v>51</v>
      </c>
      <c r="E78" s="151" t="s">
        <v>201</v>
      </c>
      <c r="F78" s="151" t="s">
        <v>202</v>
      </c>
      <c r="G78" s="66" t="s">
        <v>6223</v>
      </c>
      <c r="H78" s="131" t="s">
        <v>30</v>
      </c>
      <c r="I78" s="151">
        <v>10</v>
      </c>
      <c r="J78" s="472">
        <v>1750</v>
      </c>
      <c r="K78" s="472">
        <f t="shared" ref="K78:K110" si="1">(J78*I78)</f>
        <v>17500</v>
      </c>
      <c r="L78" s="55" t="b">
        <v>1</v>
      </c>
      <c r="M78" s="56">
        <v>131120251800</v>
      </c>
      <c r="N78" s="57"/>
      <c r="O78" s="226"/>
      <c r="P78" s="191" t="b">
        <v>1</v>
      </c>
      <c r="Q78" s="432" t="s">
        <v>4528</v>
      </c>
      <c r="R78" s="474"/>
      <c r="S78" s="57" t="b">
        <v>1</v>
      </c>
      <c r="T78" s="309" t="s">
        <v>6224</v>
      </c>
      <c r="U78" s="307"/>
      <c r="V78" s="54"/>
    </row>
    <row r="79" spans="1:22" ht="16">
      <c r="A79" s="162"/>
      <c r="B79" s="71" t="s">
        <v>6220</v>
      </c>
      <c r="C79" s="151" t="s">
        <v>3552</v>
      </c>
      <c r="D79" s="151" t="s">
        <v>51</v>
      </c>
      <c r="E79" s="151" t="s">
        <v>6225</v>
      </c>
      <c r="F79" s="151" t="s">
        <v>67</v>
      </c>
      <c r="G79" s="66" t="s">
        <v>6175</v>
      </c>
      <c r="H79" s="131" t="s">
        <v>30</v>
      </c>
      <c r="I79" s="151">
        <v>1</v>
      </c>
      <c r="J79" s="472">
        <v>8500</v>
      </c>
      <c r="K79" s="472">
        <f t="shared" si="1"/>
        <v>8500</v>
      </c>
      <c r="L79" s="55" t="b">
        <v>1</v>
      </c>
      <c r="M79" s="56">
        <v>131120251800</v>
      </c>
      <c r="N79" s="57"/>
      <c r="O79" s="226"/>
      <c r="P79" s="191" t="b">
        <v>1</v>
      </c>
      <c r="Q79" s="432" t="s">
        <v>4528</v>
      </c>
      <c r="R79" s="474"/>
      <c r="S79" s="57" t="b">
        <v>1</v>
      </c>
      <c r="T79" s="309" t="s">
        <v>6226</v>
      </c>
      <c r="U79" s="307"/>
      <c r="V79" s="54"/>
    </row>
    <row r="80" spans="1:22" ht="16">
      <c r="A80" s="162"/>
      <c r="B80" s="71" t="s">
        <v>6227</v>
      </c>
      <c r="C80" s="53" t="s">
        <v>3589</v>
      </c>
      <c r="D80" s="151" t="s">
        <v>397</v>
      </c>
      <c r="E80" s="151" t="s">
        <v>213</v>
      </c>
      <c r="F80" s="151" t="s">
        <v>859</v>
      </c>
      <c r="G80" s="66" t="s">
        <v>3642</v>
      </c>
      <c r="H80" s="131" t="s">
        <v>30</v>
      </c>
      <c r="I80" s="151">
        <v>30</v>
      </c>
      <c r="J80" s="472">
        <v>270</v>
      </c>
      <c r="K80" s="472">
        <f t="shared" si="1"/>
        <v>8100</v>
      </c>
      <c r="L80" s="55" t="b">
        <v>1</v>
      </c>
      <c r="M80" s="56">
        <v>141120251157</v>
      </c>
      <c r="N80" s="57"/>
      <c r="O80" s="226"/>
      <c r="P80" s="191" t="b">
        <v>1</v>
      </c>
      <c r="Q80" s="432" t="s">
        <v>4528</v>
      </c>
      <c r="R80" s="173" t="s">
        <v>6228</v>
      </c>
      <c r="S80" s="57" t="b">
        <v>1</v>
      </c>
      <c r="T80" s="309" t="s">
        <v>6229</v>
      </c>
      <c r="U80" s="307"/>
      <c r="V80" s="54"/>
    </row>
    <row r="81" spans="1:22" ht="16">
      <c r="A81" s="162"/>
      <c r="B81" s="71" t="s">
        <v>6227</v>
      </c>
      <c r="C81" s="53" t="s">
        <v>3589</v>
      </c>
      <c r="D81" s="151" t="s">
        <v>397</v>
      </c>
      <c r="E81" s="151" t="s">
        <v>213</v>
      </c>
      <c r="F81" s="151" t="s">
        <v>859</v>
      </c>
      <c r="G81" s="66" t="s">
        <v>3642</v>
      </c>
      <c r="H81" s="131" t="s">
        <v>30</v>
      </c>
      <c r="I81" s="151">
        <v>20</v>
      </c>
      <c r="J81" s="472">
        <v>270</v>
      </c>
      <c r="K81" s="472">
        <f t="shared" si="1"/>
        <v>5400</v>
      </c>
      <c r="L81" s="55" t="b">
        <v>1</v>
      </c>
      <c r="M81" s="56">
        <v>141120251157</v>
      </c>
      <c r="N81" s="57"/>
      <c r="O81" s="226"/>
      <c r="P81" s="191" t="b">
        <v>1</v>
      </c>
      <c r="Q81" s="432" t="s">
        <v>4528</v>
      </c>
      <c r="R81" s="173" t="s">
        <v>6230</v>
      </c>
      <c r="S81" s="57" t="b">
        <v>1</v>
      </c>
      <c r="T81" s="309" t="s">
        <v>6231</v>
      </c>
      <c r="U81" s="487"/>
      <c r="V81" s="54"/>
    </row>
    <row r="82" spans="1:22">
      <c r="A82" s="162" t="s">
        <v>3617</v>
      </c>
      <c r="B82" s="71" t="s">
        <v>6227</v>
      </c>
      <c r="C82" s="53" t="s">
        <v>4969</v>
      </c>
      <c r="D82" s="151" t="s">
        <v>3160</v>
      </c>
      <c r="E82" s="151" t="s">
        <v>4503</v>
      </c>
      <c r="F82" s="151" t="s">
        <v>123</v>
      </c>
      <c r="G82" s="66" t="s">
        <v>5776</v>
      </c>
      <c r="H82" s="131" t="s">
        <v>30</v>
      </c>
      <c r="I82" s="151">
        <v>200</v>
      </c>
      <c r="J82" s="472">
        <v>22.5</v>
      </c>
      <c r="K82" s="472">
        <f t="shared" si="1"/>
        <v>4500</v>
      </c>
      <c r="L82" s="55" t="b">
        <v>1</v>
      </c>
      <c r="M82" s="56">
        <v>141120251505</v>
      </c>
      <c r="N82" s="57"/>
      <c r="O82" s="226"/>
      <c r="P82" s="191" t="b">
        <v>1</v>
      </c>
      <c r="Q82" s="342" t="s">
        <v>3684</v>
      </c>
      <c r="R82" s="173" t="s">
        <v>6232</v>
      </c>
      <c r="S82" s="57" t="b">
        <v>1</v>
      </c>
      <c r="T82" s="309" t="s">
        <v>6233</v>
      </c>
      <c r="V82" s="54"/>
    </row>
    <row r="83" spans="1:22">
      <c r="A83" s="162"/>
      <c r="B83" s="71" t="s">
        <v>6227</v>
      </c>
      <c r="C83" s="53" t="s">
        <v>4107</v>
      </c>
      <c r="D83" s="151" t="s">
        <v>282</v>
      </c>
      <c r="E83" s="151" t="s">
        <v>74</v>
      </c>
      <c r="F83" s="151" t="s">
        <v>365</v>
      </c>
      <c r="G83" s="158" t="s">
        <v>2719</v>
      </c>
      <c r="H83" s="131" t="s">
        <v>30</v>
      </c>
      <c r="I83" s="151">
        <v>15</v>
      </c>
      <c r="J83" s="472">
        <v>135</v>
      </c>
      <c r="K83" s="472">
        <f t="shared" si="1"/>
        <v>2025</v>
      </c>
      <c r="L83" s="55" t="b">
        <v>1</v>
      </c>
      <c r="M83" s="56">
        <v>141120251629</v>
      </c>
      <c r="N83" s="57"/>
      <c r="O83" s="226"/>
      <c r="P83" s="191" t="b">
        <v>1</v>
      </c>
      <c r="Q83" s="342" t="s">
        <v>3684</v>
      </c>
      <c r="R83" s="173" t="s">
        <v>6234</v>
      </c>
      <c r="S83" s="57" t="b">
        <v>1</v>
      </c>
      <c r="T83" s="309" t="s">
        <v>6235</v>
      </c>
      <c r="V83" s="54"/>
    </row>
    <row r="84" spans="1:22">
      <c r="A84" s="162"/>
      <c r="B84" s="71" t="s">
        <v>6227</v>
      </c>
      <c r="C84" s="151" t="s">
        <v>3650</v>
      </c>
      <c r="D84" s="151" t="s">
        <v>171</v>
      </c>
      <c r="E84" s="151" t="s">
        <v>137</v>
      </c>
      <c r="F84" s="151" t="s">
        <v>3651</v>
      </c>
      <c r="G84" s="158" t="s">
        <v>6236</v>
      </c>
      <c r="H84" s="131" t="s">
        <v>30</v>
      </c>
      <c r="I84" s="151">
        <v>30</v>
      </c>
      <c r="J84" s="472">
        <v>790</v>
      </c>
      <c r="K84" s="472">
        <f t="shared" si="1"/>
        <v>23700</v>
      </c>
      <c r="L84" s="55" t="b">
        <v>1</v>
      </c>
      <c r="M84" s="56">
        <v>141120251630</v>
      </c>
      <c r="N84" s="57"/>
      <c r="O84" s="226"/>
      <c r="P84" s="191" t="b">
        <v>1</v>
      </c>
      <c r="Q84" s="342" t="s">
        <v>3684</v>
      </c>
      <c r="R84" s="474"/>
      <c r="S84" s="57" t="b">
        <v>1</v>
      </c>
      <c r="T84" s="309" t="s">
        <v>6237</v>
      </c>
      <c r="V84" s="54"/>
    </row>
    <row r="85" spans="1:22" ht="16">
      <c r="A85" s="162"/>
      <c r="B85" s="71" t="s">
        <v>6238</v>
      </c>
      <c r="C85" s="151" t="s">
        <v>3458</v>
      </c>
      <c r="D85" s="151" t="s">
        <v>51</v>
      </c>
      <c r="E85" s="151" t="s">
        <v>201</v>
      </c>
      <c r="F85" s="151" t="s">
        <v>202</v>
      </c>
      <c r="G85" s="158" t="s">
        <v>6239</v>
      </c>
      <c r="H85" s="131" t="s">
        <v>30</v>
      </c>
      <c r="I85" s="151">
        <v>24</v>
      </c>
      <c r="J85" s="472">
        <v>218</v>
      </c>
      <c r="K85" s="472">
        <f t="shared" si="1"/>
        <v>5232</v>
      </c>
      <c r="L85" s="55" t="b">
        <v>1</v>
      </c>
      <c r="M85" s="56">
        <v>151120251151</v>
      </c>
      <c r="N85" s="57"/>
      <c r="O85" s="226"/>
      <c r="P85" s="191" t="b">
        <v>1</v>
      </c>
      <c r="Q85" s="342" t="s">
        <v>3684</v>
      </c>
      <c r="R85" s="173" t="s">
        <v>6240</v>
      </c>
      <c r="S85" s="57" t="b">
        <v>1</v>
      </c>
      <c r="T85" s="309" t="s">
        <v>6241</v>
      </c>
      <c r="U85" s="307"/>
      <c r="V85" s="54"/>
    </row>
    <row r="86" spans="1:22" ht="16">
      <c r="A86" s="162"/>
      <c r="B86" s="71" t="s">
        <v>6238</v>
      </c>
      <c r="C86" s="151" t="s">
        <v>4229</v>
      </c>
      <c r="D86" s="151" t="s">
        <v>104</v>
      </c>
      <c r="E86" s="151" t="s">
        <v>42</v>
      </c>
      <c r="F86" s="151" t="s">
        <v>5840</v>
      </c>
      <c r="G86" s="66" t="s">
        <v>68</v>
      </c>
      <c r="H86" s="131" t="s">
        <v>30</v>
      </c>
      <c r="I86" s="151">
        <v>1</v>
      </c>
      <c r="J86" s="472">
        <v>2350</v>
      </c>
      <c r="K86" s="472">
        <f t="shared" si="1"/>
        <v>2350</v>
      </c>
      <c r="L86" s="55" t="b">
        <v>1</v>
      </c>
      <c r="M86" s="56">
        <v>151120251259</v>
      </c>
      <c r="N86" s="57"/>
      <c r="O86" s="226"/>
      <c r="P86" s="191" t="b">
        <v>1</v>
      </c>
      <c r="Q86" s="342" t="s">
        <v>3684</v>
      </c>
      <c r="R86" s="173" t="s">
        <v>6242</v>
      </c>
      <c r="S86" s="57" t="b">
        <v>1</v>
      </c>
      <c r="T86" s="309" t="s">
        <v>6243</v>
      </c>
      <c r="U86" s="307"/>
      <c r="V86" s="54"/>
    </row>
    <row r="87" spans="1:22" ht="16">
      <c r="A87" s="162"/>
      <c r="B87" s="71" t="s">
        <v>6238</v>
      </c>
      <c r="C87" s="151" t="s">
        <v>4229</v>
      </c>
      <c r="D87" s="151" t="s">
        <v>3160</v>
      </c>
      <c r="E87" s="53" t="s">
        <v>42</v>
      </c>
      <c r="F87" s="53" t="s">
        <v>5840</v>
      </c>
      <c r="G87" s="66" t="s">
        <v>6244</v>
      </c>
      <c r="H87" s="131" t="s">
        <v>30</v>
      </c>
      <c r="I87" s="151">
        <v>1</v>
      </c>
      <c r="J87" s="472">
        <v>1875</v>
      </c>
      <c r="K87" s="472">
        <f t="shared" si="1"/>
        <v>1875</v>
      </c>
      <c r="L87" s="55" t="b">
        <v>1</v>
      </c>
      <c r="M87" s="488">
        <v>151120251310</v>
      </c>
      <c r="N87" s="57"/>
      <c r="O87" s="226"/>
      <c r="P87" s="191" t="b">
        <v>1</v>
      </c>
      <c r="Q87" s="342" t="s">
        <v>3684</v>
      </c>
      <c r="R87" s="173" t="s">
        <v>6242</v>
      </c>
      <c r="S87" s="57" t="b">
        <v>1</v>
      </c>
      <c r="T87" s="309" t="s">
        <v>6243</v>
      </c>
      <c r="U87" s="307"/>
      <c r="V87" s="54"/>
    </row>
    <row r="88" spans="1:22" ht="16">
      <c r="A88" s="162"/>
      <c r="B88" s="71" t="s">
        <v>6238</v>
      </c>
      <c r="C88" s="151" t="s">
        <v>4969</v>
      </c>
      <c r="D88" s="151" t="s">
        <v>104</v>
      </c>
      <c r="E88" s="53" t="s">
        <v>4503</v>
      </c>
      <c r="F88" s="53" t="s">
        <v>123</v>
      </c>
      <c r="G88" s="66" t="s">
        <v>1084</v>
      </c>
      <c r="H88" s="131" t="s">
        <v>30</v>
      </c>
      <c r="I88" s="151">
        <v>100</v>
      </c>
      <c r="J88" s="472">
        <v>25</v>
      </c>
      <c r="K88" s="472">
        <f t="shared" si="1"/>
        <v>2500</v>
      </c>
      <c r="L88" s="55" t="b">
        <v>1</v>
      </c>
      <c r="M88" s="56">
        <v>151120251310</v>
      </c>
      <c r="N88" s="57"/>
      <c r="O88" s="226"/>
      <c r="P88" s="191" t="b">
        <v>1</v>
      </c>
      <c r="Q88" s="342" t="s">
        <v>3684</v>
      </c>
      <c r="R88" s="173" t="s">
        <v>6245</v>
      </c>
      <c r="S88" s="57" t="b">
        <v>1</v>
      </c>
      <c r="T88" s="309" t="s">
        <v>6246</v>
      </c>
      <c r="U88" s="307"/>
      <c r="V88" s="54"/>
    </row>
    <row r="89" spans="1:22" ht="16">
      <c r="A89" s="162"/>
      <c r="B89" s="132" t="s">
        <v>6238</v>
      </c>
      <c r="C89" s="151" t="s">
        <v>4229</v>
      </c>
      <c r="D89" s="151" t="s">
        <v>3160</v>
      </c>
      <c r="E89" s="151" t="s">
        <v>42</v>
      </c>
      <c r="F89" s="151" t="s">
        <v>5840</v>
      </c>
      <c r="G89" s="66" t="s">
        <v>6104</v>
      </c>
      <c r="H89" s="131" t="s">
        <v>30</v>
      </c>
      <c r="I89" s="151">
        <v>100</v>
      </c>
      <c r="J89" s="472">
        <v>15.5</v>
      </c>
      <c r="K89" s="472">
        <f t="shared" si="1"/>
        <v>1550</v>
      </c>
      <c r="L89" s="55" t="b">
        <v>1</v>
      </c>
      <c r="M89" s="56">
        <v>151120251329</v>
      </c>
      <c r="N89" s="57"/>
      <c r="O89" s="226"/>
      <c r="P89" s="191" t="b">
        <v>1</v>
      </c>
      <c r="Q89" s="342" t="s">
        <v>3684</v>
      </c>
      <c r="R89" s="173" t="s">
        <v>6242</v>
      </c>
      <c r="S89" s="57" t="b">
        <v>1</v>
      </c>
      <c r="T89" s="309" t="s">
        <v>6243</v>
      </c>
      <c r="U89" s="307"/>
      <c r="V89" s="54"/>
    </row>
    <row r="90" spans="1:22" ht="16">
      <c r="A90" s="162"/>
      <c r="B90" s="132" t="s">
        <v>6238</v>
      </c>
      <c r="C90" s="151" t="s">
        <v>4095</v>
      </c>
      <c r="D90" s="151" t="s">
        <v>345</v>
      </c>
      <c r="E90" s="151" t="s">
        <v>342</v>
      </c>
      <c r="F90" s="151" t="s">
        <v>2228</v>
      </c>
      <c r="G90" s="158" t="s">
        <v>58</v>
      </c>
      <c r="H90" s="131" t="s">
        <v>30</v>
      </c>
      <c r="I90" s="151">
        <v>84</v>
      </c>
      <c r="J90" s="472">
        <v>45</v>
      </c>
      <c r="K90" s="472">
        <f t="shared" si="1"/>
        <v>3780</v>
      </c>
      <c r="L90" s="55" t="b">
        <v>1</v>
      </c>
      <c r="M90" s="56">
        <v>1151120251330</v>
      </c>
      <c r="N90" s="57"/>
      <c r="O90" s="226"/>
      <c r="P90" s="191" t="b">
        <v>1</v>
      </c>
      <c r="Q90" s="342" t="s">
        <v>3684</v>
      </c>
      <c r="R90" s="173" t="s">
        <v>6247</v>
      </c>
      <c r="S90" s="57" t="b">
        <v>1</v>
      </c>
      <c r="T90" s="309" t="s">
        <v>6248</v>
      </c>
      <c r="U90" s="307"/>
      <c r="V90" s="54"/>
    </row>
    <row r="91" spans="1:22" ht="16">
      <c r="A91" s="162"/>
      <c r="B91" s="132" t="s">
        <v>6238</v>
      </c>
      <c r="C91" s="151" t="s">
        <v>4095</v>
      </c>
      <c r="D91" s="151" t="s">
        <v>345</v>
      </c>
      <c r="E91" s="151" t="s">
        <v>342</v>
      </c>
      <c r="F91" s="151" t="s">
        <v>2228</v>
      </c>
      <c r="G91" s="158" t="s">
        <v>68</v>
      </c>
      <c r="H91" s="131" t="s">
        <v>30</v>
      </c>
      <c r="I91" s="151">
        <v>1</v>
      </c>
      <c r="J91" s="472">
        <v>2350</v>
      </c>
      <c r="K91" s="472">
        <f t="shared" si="1"/>
        <v>2350</v>
      </c>
      <c r="L91" s="55" t="b">
        <v>1</v>
      </c>
      <c r="M91" s="56">
        <v>1151120251330</v>
      </c>
      <c r="N91" s="57"/>
      <c r="O91" s="226"/>
      <c r="P91" s="191" t="b">
        <v>1</v>
      </c>
      <c r="Q91" s="342" t="s">
        <v>3684</v>
      </c>
      <c r="R91" s="173" t="s">
        <v>6247</v>
      </c>
      <c r="S91" s="57" t="b">
        <v>1</v>
      </c>
      <c r="T91" s="309" t="s">
        <v>6248</v>
      </c>
      <c r="U91" s="307"/>
      <c r="V91" s="54"/>
    </row>
    <row r="92" spans="1:22" ht="16">
      <c r="A92" s="162"/>
      <c r="B92" s="132" t="s">
        <v>6238</v>
      </c>
      <c r="C92" s="151" t="s">
        <v>4229</v>
      </c>
      <c r="D92" s="151" t="s">
        <v>3160</v>
      </c>
      <c r="E92" s="151" t="s">
        <v>42</v>
      </c>
      <c r="F92" s="151" t="s">
        <v>5840</v>
      </c>
      <c r="G92" s="66" t="s">
        <v>5776</v>
      </c>
      <c r="H92" s="131" t="s">
        <v>30</v>
      </c>
      <c r="I92" s="151">
        <v>150</v>
      </c>
      <c r="J92" s="472">
        <v>25</v>
      </c>
      <c r="K92" s="472">
        <f t="shared" si="1"/>
        <v>3750</v>
      </c>
      <c r="L92" s="55" t="b">
        <v>1</v>
      </c>
      <c r="M92" s="56"/>
      <c r="N92" s="57"/>
      <c r="O92" s="226"/>
      <c r="P92" s="191" t="b">
        <v>1</v>
      </c>
      <c r="Q92" s="342" t="s">
        <v>3684</v>
      </c>
      <c r="R92" s="173" t="s">
        <v>6249</v>
      </c>
      <c r="S92" s="57" t="b">
        <v>1</v>
      </c>
      <c r="T92" s="309" t="s">
        <v>6250</v>
      </c>
      <c r="U92" s="307"/>
      <c r="V92" s="54"/>
    </row>
    <row r="93" spans="1:22" ht="16">
      <c r="A93" s="162"/>
      <c r="B93" s="132" t="s">
        <v>6238</v>
      </c>
      <c r="C93" s="151" t="s">
        <v>4229</v>
      </c>
      <c r="D93" s="151" t="s">
        <v>3160</v>
      </c>
      <c r="E93" s="151" t="s">
        <v>42</v>
      </c>
      <c r="F93" s="151" t="s">
        <v>5840</v>
      </c>
      <c r="G93" s="66" t="s">
        <v>5776</v>
      </c>
      <c r="H93" s="131" t="s">
        <v>30</v>
      </c>
      <c r="I93" s="151">
        <v>150</v>
      </c>
      <c r="J93" s="472">
        <v>25</v>
      </c>
      <c r="K93" s="472">
        <f t="shared" si="1"/>
        <v>3750</v>
      </c>
      <c r="L93" s="55" t="b">
        <v>1</v>
      </c>
      <c r="M93" s="56">
        <v>151120251355</v>
      </c>
      <c r="N93" s="57"/>
      <c r="O93" s="226"/>
      <c r="P93" s="191" t="b">
        <v>1</v>
      </c>
      <c r="Q93" s="342" t="s">
        <v>3684</v>
      </c>
      <c r="R93" s="173" t="s">
        <v>6251</v>
      </c>
      <c r="S93" s="57" t="b">
        <v>1</v>
      </c>
      <c r="T93" s="309" t="s">
        <v>6252</v>
      </c>
      <c r="U93" s="307"/>
      <c r="V93" s="54"/>
    </row>
    <row r="94" spans="1:22" ht="16">
      <c r="A94" s="162"/>
      <c r="B94" s="132" t="s">
        <v>6238</v>
      </c>
      <c r="C94" s="151" t="s">
        <v>4229</v>
      </c>
      <c r="D94" s="151" t="s">
        <v>3160</v>
      </c>
      <c r="E94" s="151" t="s">
        <v>42</v>
      </c>
      <c r="F94" s="151" t="s">
        <v>5840</v>
      </c>
      <c r="G94" s="66" t="s">
        <v>6253</v>
      </c>
      <c r="H94" s="131" t="s">
        <v>30</v>
      </c>
      <c r="I94" s="151">
        <v>20</v>
      </c>
      <c r="J94" s="472">
        <v>975</v>
      </c>
      <c r="K94" s="472">
        <f t="shared" si="1"/>
        <v>19500</v>
      </c>
      <c r="L94" s="55" t="b">
        <v>1</v>
      </c>
      <c r="M94" s="56">
        <v>151120251503</v>
      </c>
      <c r="N94" s="57"/>
      <c r="O94" s="226"/>
      <c r="P94" s="191" t="b">
        <v>1</v>
      </c>
      <c r="Q94" s="342" t="s">
        <v>3684</v>
      </c>
      <c r="R94" s="474"/>
      <c r="S94" s="57" t="b">
        <v>1</v>
      </c>
      <c r="T94" s="309" t="s">
        <v>6254</v>
      </c>
      <c r="U94" s="307"/>
      <c r="V94" s="54"/>
    </row>
    <row r="95" spans="1:22" ht="16">
      <c r="A95" s="162"/>
      <c r="B95" s="132" t="s">
        <v>6238</v>
      </c>
      <c r="C95" s="151" t="s">
        <v>4229</v>
      </c>
      <c r="D95" s="151" t="s">
        <v>3160</v>
      </c>
      <c r="E95" s="151" t="s">
        <v>42</v>
      </c>
      <c r="F95" s="151" t="s">
        <v>5840</v>
      </c>
      <c r="G95" s="66" t="s">
        <v>3562</v>
      </c>
      <c r="H95" s="131" t="s">
        <v>30</v>
      </c>
      <c r="I95" s="151">
        <v>1</v>
      </c>
      <c r="J95" s="472">
        <v>6000</v>
      </c>
      <c r="K95" s="472">
        <f t="shared" si="1"/>
        <v>6000</v>
      </c>
      <c r="L95" s="55" t="b">
        <v>1</v>
      </c>
      <c r="M95" s="56">
        <v>151120251503</v>
      </c>
      <c r="N95" s="57"/>
      <c r="O95" s="226"/>
      <c r="P95" s="191" t="b">
        <v>1</v>
      </c>
      <c r="Q95" s="342" t="s">
        <v>3684</v>
      </c>
      <c r="R95" s="474"/>
      <c r="S95" s="57" t="b">
        <v>1</v>
      </c>
      <c r="T95" s="309" t="s">
        <v>6255</v>
      </c>
      <c r="U95" s="307"/>
      <c r="V95" s="54"/>
    </row>
    <row r="96" spans="1:22" ht="16">
      <c r="A96" s="372"/>
      <c r="B96" s="132" t="s">
        <v>6256</v>
      </c>
      <c r="C96" s="151" t="s">
        <v>3595</v>
      </c>
      <c r="D96" s="151" t="s">
        <v>55</v>
      </c>
      <c r="E96" s="151" t="s">
        <v>56</v>
      </c>
      <c r="F96" s="151" t="s">
        <v>57</v>
      </c>
      <c r="G96" s="158" t="s">
        <v>5776</v>
      </c>
      <c r="H96" s="131" t="s">
        <v>30</v>
      </c>
      <c r="I96" s="151">
        <v>200</v>
      </c>
      <c r="J96" s="472">
        <v>25</v>
      </c>
      <c r="K96" s="472">
        <f t="shared" si="1"/>
        <v>5000</v>
      </c>
      <c r="L96" s="55" t="b">
        <v>1</v>
      </c>
      <c r="M96" s="56">
        <v>171120250952</v>
      </c>
      <c r="N96" s="57"/>
      <c r="O96" s="226"/>
      <c r="P96" s="191" t="b">
        <v>1</v>
      </c>
      <c r="Q96" s="342" t="s">
        <v>3684</v>
      </c>
      <c r="R96" s="173" t="s">
        <v>6257</v>
      </c>
      <c r="S96" s="57" t="b">
        <v>1</v>
      </c>
      <c r="T96" s="309" t="s">
        <v>6258</v>
      </c>
      <c r="U96" s="307"/>
      <c r="V96" s="54"/>
    </row>
    <row r="97" spans="1:22" ht="16">
      <c r="A97" s="162"/>
      <c r="B97" s="489" t="s">
        <v>6256</v>
      </c>
      <c r="C97" s="490" t="s">
        <v>4099</v>
      </c>
      <c r="D97" s="490" t="s">
        <v>51</v>
      </c>
      <c r="E97" s="490" t="s">
        <v>594</v>
      </c>
      <c r="F97" s="490" t="s">
        <v>2992</v>
      </c>
      <c r="G97" s="491" t="s">
        <v>6259</v>
      </c>
      <c r="H97" s="492" t="s">
        <v>30</v>
      </c>
      <c r="I97" s="490">
        <v>1</v>
      </c>
      <c r="J97" s="493">
        <v>52500</v>
      </c>
      <c r="K97" s="493">
        <f t="shared" si="1"/>
        <v>52500</v>
      </c>
      <c r="L97" s="55" t="b">
        <v>1</v>
      </c>
      <c r="M97" s="56">
        <v>171120250952</v>
      </c>
      <c r="N97" s="57"/>
      <c r="O97" s="226"/>
      <c r="P97" s="191" t="b">
        <v>1</v>
      </c>
      <c r="Q97" s="342" t="s">
        <v>3684</v>
      </c>
      <c r="R97" s="474"/>
      <c r="S97" s="57" t="b">
        <v>1</v>
      </c>
      <c r="T97" s="309" t="s">
        <v>6260</v>
      </c>
      <c r="U97" s="307"/>
      <c r="V97" s="54"/>
    </row>
    <row r="98" spans="1:22" ht="16">
      <c r="A98" s="162"/>
      <c r="B98" s="132" t="s">
        <v>6256</v>
      </c>
      <c r="C98" s="151" t="s">
        <v>4330</v>
      </c>
      <c r="D98" s="151" t="s">
        <v>212</v>
      </c>
      <c r="E98" s="151" t="s">
        <v>213</v>
      </c>
      <c r="F98" s="151" t="s">
        <v>4331</v>
      </c>
      <c r="G98" s="66" t="s">
        <v>3375</v>
      </c>
      <c r="H98" s="131" t="s">
        <v>30</v>
      </c>
      <c r="I98" s="151">
        <v>1</v>
      </c>
      <c r="J98" s="472">
        <v>2200</v>
      </c>
      <c r="K98" s="472">
        <f t="shared" si="1"/>
        <v>2200</v>
      </c>
      <c r="L98" s="55" t="b">
        <v>1</v>
      </c>
      <c r="M98" s="56">
        <v>171120251106</v>
      </c>
      <c r="N98" s="57"/>
      <c r="O98" s="226"/>
      <c r="P98" s="191" t="b">
        <v>1</v>
      </c>
      <c r="Q98" s="342" t="s">
        <v>3684</v>
      </c>
      <c r="R98" s="173" t="s">
        <v>6261</v>
      </c>
      <c r="S98" s="57" t="b">
        <v>1</v>
      </c>
      <c r="T98" s="309" t="s">
        <v>6262</v>
      </c>
      <c r="U98" s="307"/>
      <c r="V98" s="54"/>
    </row>
    <row r="99" spans="1:22" ht="16">
      <c r="A99" s="162"/>
      <c r="B99" s="132" t="s">
        <v>6256</v>
      </c>
      <c r="C99" s="151" t="s">
        <v>4095</v>
      </c>
      <c r="D99" s="151" t="s">
        <v>345</v>
      </c>
      <c r="E99" s="151" t="s">
        <v>342</v>
      </c>
      <c r="F99" s="151" t="s">
        <v>927</v>
      </c>
      <c r="G99" s="158" t="s">
        <v>6263</v>
      </c>
      <c r="H99" s="131" t="s">
        <v>30</v>
      </c>
      <c r="I99" s="151">
        <v>10</v>
      </c>
      <c r="J99" s="75">
        <v>175</v>
      </c>
      <c r="K99" s="472">
        <f t="shared" si="1"/>
        <v>1750</v>
      </c>
      <c r="L99" s="55" t="b">
        <v>1</v>
      </c>
      <c r="M99" s="56">
        <v>171120251829</v>
      </c>
      <c r="N99" s="57"/>
      <c r="O99" s="226"/>
      <c r="P99" s="191" t="b">
        <v>1</v>
      </c>
      <c r="Q99" s="342" t="s">
        <v>3684</v>
      </c>
      <c r="R99" s="173" t="s">
        <v>6264</v>
      </c>
      <c r="S99" s="57" t="b">
        <v>1</v>
      </c>
      <c r="T99" s="309" t="s">
        <v>6265</v>
      </c>
      <c r="U99" s="307"/>
      <c r="V99" s="54"/>
    </row>
    <row r="100" spans="1:22" ht="16">
      <c r="A100" s="162"/>
      <c r="B100" s="343" t="s">
        <v>6256</v>
      </c>
      <c r="C100" s="151" t="s">
        <v>4289</v>
      </c>
      <c r="D100" s="151" t="s">
        <v>3160</v>
      </c>
      <c r="E100" s="151" t="s">
        <v>6266</v>
      </c>
      <c r="F100" s="151" t="s">
        <v>3979</v>
      </c>
      <c r="G100" s="151" t="s">
        <v>6267</v>
      </c>
      <c r="H100" s="131" t="s">
        <v>30</v>
      </c>
      <c r="I100" s="151">
        <v>10</v>
      </c>
      <c r="J100" s="75">
        <v>795</v>
      </c>
      <c r="K100" s="472">
        <f t="shared" si="1"/>
        <v>7950</v>
      </c>
      <c r="L100" s="55" t="b">
        <v>1</v>
      </c>
      <c r="M100" s="56">
        <v>171120251930</v>
      </c>
      <c r="N100" s="57"/>
      <c r="O100" s="226"/>
      <c r="P100" s="191" t="b">
        <v>1</v>
      </c>
      <c r="Q100" s="342" t="s">
        <v>3684</v>
      </c>
      <c r="R100" s="173" t="s">
        <v>6268</v>
      </c>
      <c r="S100" s="57" t="b">
        <v>1</v>
      </c>
      <c r="T100" s="309" t="s">
        <v>6269</v>
      </c>
      <c r="U100" s="307"/>
      <c r="V100" s="54"/>
    </row>
    <row r="101" spans="1:22" ht="16">
      <c r="A101" s="162"/>
      <c r="B101" s="132" t="s">
        <v>6270</v>
      </c>
      <c r="C101" s="151" t="s">
        <v>3552</v>
      </c>
      <c r="D101" s="151" t="s">
        <v>51</v>
      </c>
      <c r="E101" s="151" t="s">
        <v>6225</v>
      </c>
      <c r="F101" s="151" t="s">
        <v>67</v>
      </c>
      <c r="G101" s="158" t="s">
        <v>6086</v>
      </c>
      <c r="H101" s="484" t="s">
        <v>30</v>
      </c>
      <c r="I101" s="340">
        <v>2</v>
      </c>
      <c r="J101" s="438">
        <v>2250</v>
      </c>
      <c r="K101" s="472">
        <f t="shared" si="1"/>
        <v>4500</v>
      </c>
      <c r="L101" s="55" t="b">
        <v>1</v>
      </c>
      <c r="M101" s="56">
        <v>181120250820</v>
      </c>
      <c r="N101" s="57"/>
      <c r="O101" s="226"/>
      <c r="P101" s="191" t="b">
        <v>1</v>
      </c>
      <c r="Q101" s="342" t="s">
        <v>3684</v>
      </c>
      <c r="R101" s="474"/>
      <c r="S101" s="57" t="b">
        <v>1</v>
      </c>
      <c r="T101" s="309" t="s">
        <v>6271</v>
      </c>
      <c r="U101" s="307"/>
      <c r="V101" s="54"/>
    </row>
    <row r="102" spans="1:22" ht="16">
      <c r="A102" s="162"/>
      <c r="B102" s="132" t="s">
        <v>6270</v>
      </c>
      <c r="C102" s="151" t="s">
        <v>3552</v>
      </c>
      <c r="D102" s="151" t="s">
        <v>51</v>
      </c>
      <c r="E102" s="151" t="s">
        <v>6225</v>
      </c>
      <c r="F102" s="151" t="s">
        <v>67</v>
      </c>
      <c r="G102" s="158" t="s">
        <v>6048</v>
      </c>
      <c r="H102" s="484" t="s">
        <v>30</v>
      </c>
      <c r="I102" s="340">
        <v>50</v>
      </c>
      <c r="J102" s="438">
        <v>60</v>
      </c>
      <c r="K102" s="472">
        <f t="shared" si="1"/>
        <v>3000</v>
      </c>
      <c r="L102" s="55" t="b">
        <v>1</v>
      </c>
      <c r="M102" s="56">
        <v>181120250820</v>
      </c>
      <c r="N102" s="57"/>
      <c r="O102" s="226"/>
      <c r="P102" s="191" t="b">
        <v>1</v>
      </c>
      <c r="Q102" s="342" t="s">
        <v>3684</v>
      </c>
      <c r="R102" s="474"/>
      <c r="S102" s="57" t="b">
        <v>1</v>
      </c>
      <c r="T102" s="309" t="s">
        <v>6271</v>
      </c>
      <c r="U102" s="307"/>
      <c r="V102" s="54"/>
    </row>
    <row r="103" spans="1:22" ht="16">
      <c r="A103" s="162"/>
      <c r="B103" s="132" t="s">
        <v>6270</v>
      </c>
      <c r="C103" s="151" t="s">
        <v>6272</v>
      </c>
      <c r="D103" s="151" t="s">
        <v>212</v>
      </c>
      <c r="E103" s="151" t="s">
        <v>6273</v>
      </c>
      <c r="F103" s="151" t="s">
        <v>6274</v>
      </c>
      <c r="G103" s="158" t="s">
        <v>6275</v>
      </c>
      <c r="H103" s="131" t="s">
        <v>30</v>
      </c>
      <c r="I103" s="151">
        <v>300</v>
      </c>
      <c r="J103" s="75">
        <v>15</v>
      </c>
      <c r="K103" s="472">
        <f t="shared" si="1"/>
        <v>4500</v>
      </c>
      <c r="L103" s="55" t="b">
        <v>1</v>
      </c>
      <c r="M103" s="56">
        <v>181120252044</v>
      </c>
      <c r="N103" s="57"/>
      <c r="O103" s="226"/>
      <c r="P103" s="191" t="b">
        <v>1</v>
      </c>
      <c r="Q103" s="342" t="s">
        <v>3684</v>
      </c>
      <c r="R103" s="173" t="s">
        <v>6276</v>
      </c>
      <c r="S103" s="57" t="b">
        <v>1</v>
      </c>
      <c r="T103" s="309" t="s">
        <v>6277</v>
      </c>
      <c r="U103" s="307"/>
      <c r="V103" s="54"/>
    </row>
    <row r="104" spans="1:22" ht="16">
      <c r="A104" s="162"/>
      <c r="B104" s="132" t="s">
        <v>6270</v>
      </c>
      <c r="C104" s="151" t="s">
        <v>5089</v>
      </c>
      <c r="D104" s="151" t="s">
        <v>104</v>
      </c>
      <c r="E104" s="151" t="s">
        <v>6278</v>
      </c>
      <c r="F104" s="151" t="s">
        <v>114</v>
      </c>
      <c r="G104" s="158" t="s">
        <v>1171</v>
      </c>
      <c r="H104" s="131" t="s">
        <v>30</v>
      </c>
      <c r="I104" s="151">
        <v>25</v>
      </c>
      <c r="J104" s="75">
        <v>1600</v>
      </c>
      <c r="K104" s="472">
        <f t="shared" si="1"/>
        <v>40000</v>
      </c>
      <c r="L104" s="55" t="b">
        <v>1</v>
      </c>
      <c r="M104" s="56">
        <v>181120252045</v>
      </c>
      <c r="N104" s="57"/>
      <c r="O104" s="226"/>
      <c r="P104" s="191" t="b">
        <v>1</v>
      </c>
      <c r="Q104" s="342" t="s">
        <v>3684</v>
      </c>
      <c r="R104" s="474"/>
      <c r="S104" s="57" t="b">
        <v>1</v>
      </c>
      <c r="T104" s="309" t="s">
        <v>6279</v>
      </c>
      <c r="U104" s="307"/>
      <c r="V104" s="54"/>
    </row>
    <row r="105" spans="1:22" ht="16">
      <c r="A105" s="162"/>
      <c r="B105" s="132" t="s">
        <v>6270</v>
      </c>
      <c r="C105" s="151" t="s">
        <v>5089</v>
      </c>
      <c r="D105" s="151" t="s">
        <v>104</v>
      </c>
      <c r="E105" s="151" t="s">
        <v>6278</v>
      </c>
      <c r="F105" s="151" t="s">
        <v>114</v>
      </c>
      <c r="G105" s="158" t="s">
        <v>103</v>
      </c>
      <c r="H105" s="131" t="s">
        <v>30</v>
      </c>
      <c r="I105" s="151">
        <v>25</v>
      </c>
      <c r="J105" s="75">
        <v>350</v>
      </c>
      <c r="K105" s="472">
        <f t="shared" si="1"/>
        <v>8750</v>
      </c>
      <c r="L105" s="55" t="b">
        <v>1</v>
      </c>
      <c r="M105" s="56">
        <v>181120252045</v>
      </c>
      <c r="N105" s="57"/>
      <c r="O105" s="226"/>
      <c r="P105" s="191" t="b">
        <v>1</v>
      </c>
      <c r="Q105" s="342" t="s">
        <v>3684</v>
      </c>
      <c r="R105" s="173" t="s">
        <v>6280</v>
      </c>
      <c r="S105" s="57" t="b">
        <v>1</v>
      </c>
      <c r="T105" s="309" t="s">
        <v>6281</v>
      </c>
      <c r="U105" s="307"/>
      <c r="V105" s="54"/>
    </row>
    <row r="106" spans="1:22" ht="16">
      <c r="A106" s="162"/>
      <c r="B106" s="132" t="s">
        <v>6270</v>
      </c>
      <c r="C106" s="151" t="s">
        <v>3487</v>
      </c>
      <c r="D106" s="340" t="s">
        <v>51</v>
      </c>
      <c r="E106" s="340" t="s">
        <v>89</v>
      </c>
      <c r="F106" s="340" t="s">
        <v>1872</v>
      </c>
      <c r="G106" s="158" t="s">
        <v>6282</v>
      </c>
      <c r="H106" s="131" t="s">
        <v>30</v>
      </c>
      <c r="I106" s="151">
        <v>10</v>
      </c>
      <c r="J106" s="75">
        <v>160</v>
      </c>
      <c r="K106" s="472">
        <f t="shared" si="1"/>
        <v>1600</v>
      </c>
      <c r="L106" s="55" t="b">
        <v>1</v>
      </c>
      <c r="M106" s="56"/>
      <c r="N106" s="57"/>
      <c r="O106" s="226"/>
      <c r="P106" s="191" t="b">
        <v>1</v>
      </c>
      <c r="Q106" s="342" t="s">
        <v>3684</v>
      </c>
      <c r="R106" s="173" t="s">
        <v>6283</v>
      </c>
      <c r="S106" s="57" t="b">
        <v>1</v>
      </c>
      <c r="T106" s="309" t="s">
        <v>6284</v>
      </c>
      <c r="U106" s="307"/>
      <c r="V106" s="54"/>
    </row>
    <row r="107" spans="1:22" ht="16">
      <c r="A107" s="162"/>
      <c r="B107" s="132" t="s">
        <v>6270</v>
      </c>
      <c r="C107" s="151" t="s">
        <v>3487</v>
      </c>
      <c r="D107" s="340" t="s">
        <v>51</v>
      </c>
      <c r="E107" s="340" t="s">
        <v>89</v>
      </c>
      <c r="F107" s="340" t="s">
        <v>1872</v>
      </c>
      <c r="G107" s="158" t="s">
        <v>6282</v>
      </c>
      <c r="H107" s="131" t="s">
        <v>30</v>
      </c>
      <c r="I107" s="151">
        <v>10</v>
      </c>
      <c r="J107" s="75">
        <v>160</v>
      </c>
      <c r="K107" s="472">
        <f t="shared" si="1"/>
        <v>1600</v>
      </c>
      <c r="L107" s="55" t="b">
        <v>1</v>
      </c>
      <c r="M107" s="56"/>
      <c r="N107" s="57"/>
      <c r="O107" s="226"/>
      <c r="P107" s="191" t="b">
        <v>1</v>
      </c>
      <c r="Q107" s="342" t="s">
        <v>3684</v>
      </c>
      <c r="R107" s="173" t="s">
        <v>6285</v>
      </c>
      <c r="S107" s="57" t="b">
        <v>1</v>
      </c>
      <c r="T107" s="309" t="s">
        <v>6286</v>
      </c>
      <c r="U107" s="307"/>
      <c r="V107" s="54"/>
    </row>
    <row r="108" spans="1:22" ht="16">
      <c r="A108" s="162"/>
      <c r="B108" s="343" t="s">
        <v>6270</v>
      </c>
      <c r="C108" s="151" t="s">
        <v>3592</v>
      </c>
      <c r="D108" s="151" t="s">
        <v>104</v>
      </c>
      <c r="E108" s="151" t="s">
        <v>6287</v>
      </c>
      <c r="F108" s="151" t="s">
        <v>674</v>
      </c>
      <c r="G108" s="151" t="s">
        <v>5776</v>
      </c>
      <c r="H108" s="131" t="s">
        <v>30</v>
      </c>
      <c r="I108" s="151">
        <v>100</v>
      </c>
      <c r="J108" s="75">
        <v>25</v>
      </c>
      <c r="K108" s="472">
        <f t="shared" si="1"/>
        <v>2500</v>
      </c>
      <c r="L108" s="55" t="b">
        <v>1</v>
      </c>
      <c r="M108" s="56">
        <v>181120251816</v>
      </c>
      <c r="N108" s="57"/>
      <c r="O108" s="226"/>
      <c r="P108" s="191" t="b">
        <v>1</v>
      </c>
      <c r="Q108" s="342" t="s">
        <v>3684</v>
      </c>
      <c r="R108" s="173" t="s">
        <v>6288</v>
      </c>
      <c r="S108" s="57" t="b">
        <v>1</v>
      </c>
      <c r="T108" s="309" t="s">
        <v>6289</v>
      </c>
      <c r="U108" s="307"/>
      <c r="V108" s="54"/>
    </row>
    <row r="109" spans="1:22" ht="16">
      <c r="A109" s="162"/>
      <c r="B109" s="71" t="s">
        <v>6290</v>
      </c>
      <c r="C109" s="53" t="s">
        <v>3534</v>
      </c>
      <c r="D109" s="53" t="s">
        <v>418</v>
      </c>
      <c r="E109" s="53" t="s">
        <v>1069</v>
      </c>
      <c r="F109" s="53" t="s">
        <v>420</v>
      </c>
      <c r="G109" s="80" t="s">
        <v>6291</v>
      </c>
      <c r="H109" s="131" t="s">
        <v>30</v>
      </c>
      <c r="I109" s="151">
        <v>2</v>
      </c>
      <c r="J109" s="75">
        <v>750</v>
      </c>
      <c r="K109" s="472">
        <f t="shared" si="1"/>
        <v>1500</v>
      </c>
      <c r="L109" s="55" t="b">
        <v>1</v>
      </c>
      <c r="M109" s="56">
        <v>191120251047</v>
      </c>
      <c r="N109" s="57"/>
      <c r="O109" s="226"/>
      <c r="P109" s="191" t="b">
        <v>1</v>
      </c>
      <c r="Q109" s="342" t="s">
        <v>3684</v>
      </c>
      <c r="R109" s="173" t="s">
        <v>6292</v>
      </c>
      <c r="S109" s="57" t="b">
        <v>1</v>
      </c>
      <c r="T109" s="309" t="s">
        <v>6293</v>
      </c>
      <c r="U109" s="307"/>
      <c r="V109" s="54"/>
    </row>
    <row r="110" spans="1:22" ht="16">
      <c r="A110" s="162"/>
      <c r="B110" s="71" t="s">
        <v>6290</v>
      </c>
      <c r="C110" s="53" t="s">
        <v>3532</v>
      </c>
      <c r="D110" s="53" t="s">
        <v>51</v>
      </c>
      <c r="E110" s="53" t="s">
        <v>52</v>
      </c>
      <c r="F110" s="53" t="s">
        <v>3702</v>
      </c>
      <c r="G110" s="80" t="s">
        <v>6294</v>
      </c>
      <c r="H110" s="131" t="s">
        <v>30</v>
      </c>
      <c r="I110" s="151">
        <v>2</v>
      </c>
      <c r="J110" s="75">
        <v>325</v>
      </c>
      <c r="K110" s="472">
        <f t="shared" si="1"/>
        <v>650</v>
      </c>
      <c r="L110" s="55" t="b">
        <v>1</v>
      </c>
      <c r="M110" s="56" t="s">
        <v>529</v>
      </c>
      <c r="N110" s="57"/>
      <c r="O110" s="226"/>
      <c r="P110" s="191" t="b">
        <v>1</v>
      </c>
      <c r="Q110" s="342" t="s">
        <v>3684</v>
      </c>
      <c r="R110" s="474"/>
      <c r="S110" s="57" t="b">
        <v>1</v>
      </c>
      <c r="T110" s="309" t="s">
        <v>6295</v>
      </c>
      <c r="U110" s="307"/>
      <c r="V110" s="54"/>
    </row>
    <row r="111" spans="1:22" ht="16">
      <c r="A111" s="162"/>
      <c r="B111" s="71" t="s">
        <v>6290</v>
      </c>
      <c r="C111" s="53" t="s">
        <v>3532</v>
      </c>
      <c r="D111" s="53" t="s">
        <v>51</v>
      </c>
      <c r="E111" s="53" t="s">
        <v>52</v>
      </c>
      <c r="F111" s="53" t="s">
        <v>3702</v>
      </c>
      <c r="G111" s="80" t="s">
        <v>6296</v>
      </c>
      <c r="H111" s="131" t="s">
        <v>30</v>
      </c>
      <c r="I111" s="151">
        <v>60</v>
      </c>
      <c r="J111" s="75">
        <v>35</v>
      </c>
      <c r="K111" s="472">
        <v>2100</v>
      </c>
      <c r="L111" s="55" t="b">
        <v>1</v>
      </c>
      <c r="M111" s="56">
        <v>191120252100</v>
      </c>
      <c r="N111" s="57"/>
      <c r="O111" s="226"/>
      <c r="P111" s="191" t="b">
        <v>1</v>
      </c>
      <c r="Q111" s="342" t="s">
        <v>3684</v>
      </c>
      <c r="R111" s="474"/>
      <c r="S111" s="57" t="b">
        <v>1</v>
      </c>
      <c r="T111" s="309" t="s">
        <v>6295</v>
      </c>
      <c r="U111" s="307"/>
      <c r="V111" s="54"/>
    </row>
    <row r="112" spans="1:22" ht="16">
      <c r="A112" s="162"/>
      <c r="B112" s="71" t="s">
        <v>6290</v>
      </c>
      <c r="C112" s="53" t="s">
        <v>3458</v>
      </c>
      <c r="D112" s="53" t="s">
        <v>51</v>
      </c>
      <c r="E112" s="53" t="s">
        <v>201</v>
      </c>
      <c r="F112" s="53" t="s">
        <v>202</v>
      </c>
      <c r="G112" s="80" t="s">
        <v>6297</v>
      </c>
      <c r="H112" s="131" t="s">
        <v>30</v>
      </c>
      <c r="I112" s="151">
        <v>24</v>
      </c>
      <c r="J112" s="75">
        <v>60</v>
      </c>
      <c r="K112" s="472">
        <f t="shared" ref="K112:K122" si="2">(J112*I112)</f>
        <v>1440</v>
      </c>
      <c r="L112" s="55" t="b">
        <v>1</v>
      </c>
      <c r="M112" s="56">
        <v>191120252100</v>
      </c>
      <c r="N112" s="57"/>
      <c r="O112" s="226"/>
      <c r="P112" s="191" t="b">
        <v>1</v>
      </c>
      <c r="Q112" s="342" t="s">
        <v>3684</v>
      </c>
      <c r="R112" s="173" t="s">
        <v>6298</v>
      </c>
      <c r="S112" s="57" t="b">
        <v>1</v>
      </c>
      <c r="T112" s="309" t="s">
        <v>6299</v>
      </c>
      <c r="U112" s="307"/>
      <c r="V112" s="54"/>
    </row>
    <row r="113" spans="1:22" ht="16.5" customHeight="1">
      <c r="A113" s="162"/>
      <c r="B113" s="71" t="s">
        <v>6290</v>
      </c>
      <c r="C113" s="53" t="s">
        <v>4147</v>
      </c>
      <c r="D113" s="53" t="s">
        <v>144</v>
      </c>
      <c r="E113" s="53" t="s">
        <v>243</v>
      </c>
      <c r="F113" s="53" t="s">
        <v>244</v>
      </c>
      <c r="G113" s="80" t="s">
        <v>436</v>
      </c>
      <c r="H113" s="131" t="s">
        <v>30</v>
      </c>
      <c r="I113" s="151">
        <v>50</v>
      </c>
      <c r="J113" s="75">
        <v>255</v>
      </c>
      <c r="K113" s="472">
        <f t="shared" si="2"/>
        <v>12750</v>
      </c>
      <c r="L113" s="55" t="b">
        <v>1</v>
      </c>
      <c r="M113" s="56">
        <v>191120252132</v>
      </c>
      <c r="N113" s="57"/>
      <c r="O113" s="226"/>
      <c r="P113" s="191" t="b">
        <v>1</v>
      </c>
      <c r="Q113" s="342" t="s">
        <v>3684</v>
      </c>
      <c r="R113" s="474"/>
      <c r="S113" s="57" t="b">
        <v>1</v>
      </c>
      <c r="T113" s="309" t="s">
        <v>6300</v>
      </c>
      <c r="U113" s="307"/>
      <c r="V113" s="54"/>
    </row>
    <row r="114" spans="1:22" ht="16">
      <c r="A114" s="162"/>
      <c r="B114" s="71" t="s">
        <v>6301</v>
      </c>
      <c r="C114" s="53" t="s">
        <v>4173</v>
      </c>
      <c r="D114" s="53" t="s">
        <v>149</v>
      </c>
      <c r="E114" s="53" t="s">
        <v>130</v>
      </c>
      <c r="F114" s="53" t="s">
        <v>150</v>
      </c>
      <c r="G114" s="53" t="s">
        <v>101</v>
      </c>
      <c r="H114" s="131" t="s">
        <v>30</v>
      </c>
      <c r="I114" s="151">
        <v>10</v>
      </c>
      <c r="J114" s="75">
        <v>975</v>
      </c>
      <c r="K114" s="472">
        <f t="shared" si="2"/>
        <v>9750</v>
      </c>
      <c r="L114" s="55" t="b">
        <v>1</v>
      </c>
      <c r="M114" s="56">
        <v>201120251918</v>
      </c>
      <c r="N114" s="57"/>
      <c r="O114" s="226"/>
      <c r="P114" s="191" t="b">
        <v>1</v>
      </c>
      <c r="Q114" s="342" t="s">
        <v>3684</v>
      </c>
      <c r="R114" s="173" t="s">
        <v>6302</v>
      </c>
      <c r="S114" s="57" t="b">
        <v>1</v>
      </c>
      <c r="T114" s="309" t="s">
        <v>6303</v>
      </c>
      <c r="U114" s="307"/>
      <c r="V114" s="54"/>
    </row>
    <row r="115" spans="1:22" ht="16">
      <c r="A115" s="162"/>
      <c r="B115" s="71" t="s">
        <v>6301</v>
      </c>
      <c r="C115" s="53" t="s">
        <v>4173</v>
      </c>
      <c r="D115" s="53" t="s">
        <v>149</v>
      </c>
      <c r="E115" s="53" t="s">
        <v>130</v>
      </c>
      <c r="F115" s="53" t="s">
        <v>150</v>
      </c>
      <c r="G115" s="53" t="s">
        <v>3562</v>
      </c>
      <c r="H115" s="131" t="s">
        <v>30</v>
      </c>
      <c r="I115" s="151">
        <v>1</v>
      </c>
      <c r="J115" s="75">
        <v>1250</v>
      </c>
      <c r="K115" s="472">
        <f t="shared" si="2"/>
        <v>1250</v>
      </c>
      <c r="L115" s="55" t="b">
        <v>1</v>
      </c>
      <c r="M115" s="56">
        <v>201120251918</v>
      </c>
      <c r="N115" s="57"/>
      <c r="O115" s="226"/>
      <c r="P115" s="191" t="b">
        <v>1</v>
      </c>
      <c r="Q115" s="342" t="s">
        <v>3684</v>
      </c>
      <c r="R115" s="173" t="s">
        <v>6302</v>
      </c>
      <c r="S115" s="57" t="b">
        <v>1</v>
      </c>
      <c r="T115" s="309" t="s">
        <v>6303</v>
      </c>
      <c r="U115" s="307"/>
      <c r="V115" s="54"/>
    </row>
    <row r="116" spans="1:22" ht="15" customHeight="1">
      <c r="A116" s="162"/>
      <c r="B116" s="71" t="s">
        <v>6301</v>
      </c>
      <c r="C116" s="53" t="s">
        <v>3632</v>
      </c>
      <c r="D116" s="53" t="s">
        <v>104</v>
      </c>
      <c r="E116" s="53" t="s">
        <v>486</v>
      </c>
      <c r="F116" s="53" t="s">
        <v>241</v>
      </c>
      <c r="G116" s="53" t="s">
        <v>6067</v>
      </c>
      <c r="H116" s="131" t="s">
        <v>30</v>
      </c>
      <c r="I116" s="151">
        <v>40</v>
      </c>
      <c r="J116" s="75">
        <v>350</v>
      </c>
      <c r="K116" s="472">
        <f t="shared" si="2"/>
        <v>14000</v>
      </c>
      <c r="L116" s="55" t="b">
        <v>1</v>
      </c>
      <c r="M116" s="56">
        <v>201120251918</v>
      </c>
      <c r="N116" s="57"/>
      <c r="O116" s="226"/>
      <c r="P116" s="191" t="b">
        <v>1</v>
      </c>
      <c r="Q116" s="342" t="s">
        <v>3684</v>
      </c>
      <c r="R116" s="173" t="s">
        <v>6304</v>
      </c>
      <c r="S116" s="57" t="b">
        <v>1</v>
      </c>
      <c r="T116" s="309" t="s">
        <v>6305</v>
      </c>
      <c r="U116" s="307"/>
      <c r="V116" s="54"/>
    </row>
    <row r="117" spans="1:22" ht="16">
      <c r="A117" s="162"/>
      <c r="B117" s="71" t="s">
        <v>6301</v>
      </c>
      <c r="C117" s="53" t="s">
        <v>3632</v>
      </c>
      <c r="D117" s="53" t="s">
        <v>104</v>
      </c>
      <c r="E117" s="53" t="s">
        <v>486</v>
      </c>
      <c r="F117" s="53" t="s">
        <v>241</v>
      </c>
      <c r="G117" s="151" t="s">
        <v>6306</v>
      </c>
      <c r="H117" s="131" t="s">
        <v>30</v>
      </c>
      <c r="I117" s="151">
        <v>20</v>
      </c>
      <c r="J117" s="75">
        <v>375</v>
      </c>
      <c r="K117" s="472">
        <f t="shared" si="2"/>
        <v>7500</v>
      </c>
      <c r="L117" s="55" t="b">
        <v>1</v>
      </c>
      <c r="M117" s="56">
        <v>201120251918</v>
      </c>
      <c r="N117" s="57"/>
      <c r="O117" s="226"/>
      <c r="P117" s="191" t="b">
        <v>1</v>
      </c>
      <c r="Q117" s="342" t="s">
        <v>3684</v>
      </c>
      <c r="R117" s="173" t="s">
        <v>6304</v>
      </c>
      <c r="S117" s="57" t="b">
        <v>1</v>
      </c>
      <c r="T117" s="309" t="s">
        <v>6305</v>
      </c>
      <c r="U117" s="307"/>
      <c r="V117" s="54"/>
    </row>
    <row r="118" spans="1:22" ht="16">
      <c r="A118" s="162"/>
      <c r="B118" s="71" t="s">
        <v>6301</v>
      </c>
      <c r="C118" s="151" t="s">
        <v>5174</v>
      </c>
      <c r="D118" s="151" t="s">
        <v>832</v>
      </c>
      <c r="E118" s="151" t="s">
        <v>137</v>
      </c>
      <c r="F118" s="151" t="s">
        <v>834</v>
      </c>
      <c r="G118" s="151" t="s">
        <v>1351</v>
      </c>
      <c r="H118" s="131" t="s">
        <v>30</v>
      </c>
      <c r="I118" s="151">
        <v>10</v>
      </c>
      <c r="J118" s="75">
        <v>175</v>
      </c>
      <c r="K118" s="472">
        <f t="shared" si="2"/>
        <v>1750</v>
      </c>
      <c r="L118" s="55" t="b">
        <v>1</v>
      </c>
      <c r="M118" s="56">
        <v>201120251918</v>
      </c>
      <c r="N118" s="57"/>
      <c r="O118" s="226"/>
      <c r="P118" s="191" t="b">
        <v>1</v>
      </c>
      <c r="Q118" s="342" t="s">
        <v>3684</v>
      </c>
      <c r="R118" s="173" t="s">
        <v>6307</v>
      </c>
      <c r="S118" s="57" t="b">
        <v>1</v>
      </c>
      <c r="T118" s="309" t="s">
        <v>6308</v>
      </c>
      <c r="U118" s="307"/>
      <c r="V118" s="54"/>
    </row>
    <row r="119" spans="1:22" ht="16">
      <c r="A119" s="162"/>
      <c r="B119" s="71" t="s">
        <v>6301</v>
      </c>
      <c r="C119" s="151" t="s">
        <v>5174</v>
      </c>
      <c r="D119" s="151" t="s">
        <v>832</v>
      </c>
      <c r="E119" s="151" t="s">
        <v>137</v>
      </c>
      <c r="F119" s="151" t="s">
        <v>834</v>
      </c>
      <c r="G119" s="158" t="s">
        <v>2719</v>
      </c>
      <c r="H119" s="131" t="s">
        <v>30</v>
      </c>
      <c r="I119" s="151">
        <v>20</v>
      </c>
      <c r="J119" s="75">
        <v>150</v>
      </c>
      <c r="K119" s="472">
        <f t="shared" si="2"/>
        <v>3000</v>
      </c>
      <c r="L119" s="55" t="b">
        <v>1</v>
      </c>
      <c r="M119" s="56">
        <v>201120251918</v>
      </c>
      <c r="N119" s="57"/>
      <c r="O119" s="226"/>
      <c r="P119" s="191" t="b">
        <v>1</v>
      </c>
      <c r="Q119" s="342" t="s">
        <v>3684</v>
      </c>
      <c r="R119" s="173" t="s">
        <v>6307</v>
      </c>
      <c r="S119" s="57" t="b">
        <v>1</v>
      </c>
      <c r="T119" s="309" t="s">
        <v>6308</v>
      </c>
      <c r="U119" s="307"/>
      <c r="V119" s="54"/>
    </row>
    <row r="120" spans="1:22" ht="16">
      <c r="A120" s="162"/>
      <c r="B120" s="71" t="s">
        <v>6301</v>
      </c>
      <c r="C120" s="151" t="s">
        <v>3527</v>
      </c>
      <c r="D120" s="151" t="s">
        <v>51</v>
      </c>
      <c r="E120" s="151" t="s">
        <v>338</v>
      </c>
      <c r="F120" s="151" t="s">
        <v>3528</v>
      </c>
      <c r="G120" s="158" t="s">
        <v>6309</v>
      </c>
      <c r="H120" s="131" t="s">
        <v>30</v>
      </c>
      <c r="I120" s="151">
        <v>1</v>
      </c>
      <c r="J120" s="75">
        <v>650</v>
      </c>
      <c r="K120" s="472">
        <f t="shared" si="2"/>
        <v>650</v>
      </c>
      <c r="L120" s="55" t="b">
        <v>1</v>
      </c>
      <c r="M120" s="56">
        <v>201120251918</v>
      </c>
      <c r="N120" s="57" t="s">
        <v>2968</v>
      </c>
      <c r="O120" s="446"/>
      <c r="P120" s="191" t="b">
        <v>1</v>
      </c>
      <c r="Q120" s="342" t="s">
        <v>3684</v>
      </c>
      <c r="R120" s="173" t="s">
        <v>6310</v>
      </c>
      <c r="S120" s="57" t="b">
        <v>1</v>
      </c>
      <c r="T120" s="309" t="s">
        <v>6311</v>
      </c>
      <c r="U120" s="307"/>
      <c r="V120" s="54"/>
    </row>
    <row r="121" spans="1:22" ht="16">
      <c r="A121" s="162"/>
      <c r="B121" s="71" t="s">
        <v>6312</v>
      </c>
      <c r="C121" s="151" t="s">
        <v>3487</v>
      </c>
      <c r="D121" s="151" t="s">
        <v>51</v>
      </c>
      <c r="E121" s="151" t="s">
        <v>89</v>
      </c>
      <c r="F121" s="151" t="s">
        <v>1872</v>
      </c>
      <c r="G121" s="158" t="s">
        <v>3327</v>
      </c>
      <c r="H121" s="131" t="s">
        <v>30</v>
      </c>
      <c r="I121" s="151">
        <v>2</v>
      </c>
      <c r="J121" s="75">
        <v>7500</v>
      </c>
      <c r="K121" s="472">
        <f t="shared" si="2"/>
        <v>15000</v>
      </c>
      <c r="L121" s="55" t="b">
        <v>1</v>
      </c>
      <c r="M121" s="56">
        <v>211120251045</v>
      </c>
      <c r="N121" s="57"/>
      <c r="O121" s="226"/>
      <c r="P121" s="191" t="b">
        <v>1</v>
      </c>
      <c r="Q121" s="342" t="s">
        <v>3684</v>
      </c>
      <c r="R121" s="474"/>
      <c r="S121" s="57" t="b">
        <v>1</v>
      </c>
      <c r="T121" s="309" t="s">
        <v>6313</v>
      </c>
      <c r="U121" s="307"/>
      <c r="V121" s="54"/>
    </row>
    <row r="122" spans="1:22" ht="16">
      <c r="A122" s="162"/>
      <c r="B122" s="71" t="s">
        <v>6312</v>
      </c>
      <c r="C122" s="53" t="s">
        <v>3706</v>
      </c>
      <c r="D122" s="151" t="s">
        <v>418</v>
      </c>
      <c r="E122" s="151" t="s">
        <v>3373</v>
      </c>
      <c r="F122" s="151" t="s">
        <v>3406</v>
      </c>
      <c r="G122" s="158" t="s">
        <v>907</v>
      </c>
      <c r="H122" s="131" t="s">
        <v>30</v>
      </c>
      <c r="I122" s="151">
        <v>500</v>
      </c>
      <c r="J122" s="75">
        <v>6.95</v>
      </c>
      <c r="K122" s="472">
        <f t="shared" si="2"/>
        <v>3475</v>
      </c>
      <c r="L122" s="55" t="b">
        <v>1</v>
      </c>
      <c r="M122" s="56">
        <v>211120251045</v>
      </c>
      <c r="N122" s="57"/>
      <c r="O122" s="226"/>
      <c r="P122" s="191" t="b">
        <v>1</v>
      </c>
      <c r="Q122" s="342" t="s">
        <v>3684</v>
      </c>
      <c r="R122" s="494"/>
      <c r="S122" s="57" t="b">
        <v>1</v>
      </c>
      <c r="T122" s="309" t="s">
        <v>6314</v>
      </c>
      <c r="U122" s="307"/>
      <c r="V122" s="54"/>
    </row>
    <row r="123" spans="1:22" ht="16">
      <c r="A123" s="162"/>
      <c r="B123" s="71" t="s">
        <v>6312</v>
      </c>
      <c r="C123" s="53" t="s">
        <v>3706</v>
      </c>
      <c r="D123" s="151" t="s">
        <v>418</v>
      </c>
      <c r="E123" s="151" t="s">
        <v>3373</v>
      </c>
      <c r="F123" s="151" t="s">
        <v>3406</v>
      </c>
      <c r="G123" s="158" t="s">
        <v>6315</v>
      </c>
      <c r="H123" s="131" t="s">
        <v>30</v>
      </c>
      <c r="I123" s="151">
        <v>500</v>
      </c>
      <c r="J123" s="75">
        <v>4.75</v>
      </c>
      <c r="K123" s="472">
        <f>J123*I123</f>
        <v>2375</v>
      </c>
      <c r="L123" s="55" t="b">
        <v>1</v>
      </c>
      <c r="M123" s="56" t="s">
        <v>529</v>
      </c>
      <c r="N123" s="57"/>
      <c r="O123" s="226"/>
      <c r="P123" s="191" t="b">
        <v>1</v>
      </c>
      <c r="Q123" s="342" t="s">
        <v>3684</v>
      </c>
      <c r="R123" s="494"/>
      <c r="S123" s="57" t="b">
        <v>1</v>
      </c>
      <c r="T123" s="309" t="s">
        <v>6314</v>
      </c>
      <c r="U123" s="307"/>
      <c r="V123" s="54"/>
    </row>
    <row r="124" spans="1:22" ht="16">
      <c r="A124" s="162"/>
      <c r="B124" s="71" t="s">
        <v>6312</v>
      </c>
      <c r="C124" s="53" t="s">
        <v>3476</v>
      </c>
      <c r="D124" s="151" t="s">
        <v>433</v>
      </c>
      <c r="E124" s="151" t="s">
        <v>434</v>
      </c>
      <c r="F124" s="151" t="s">
        <v>1754</v>
      </c>
      <c r="G124" s="158" t="s">
        <v>6267</v>
      </c>
      <c r="H124" s="131" t="s">
        <v>30</v>
      </c>
      <c r="I124" s="151">
        <v>10</v>
      </c>
      <c r="J124" s="75">
        <v>795</v>
      </c>
      <c r="K124" s="472">
        <f t="shared" ref="K124:K158" si="3">(J124*I124)</f>
        <v>7950</v>
      </c>
      <c r="L124" s="55" t="b">
        <v>1</v>
      </c>
      <c r="M124" s="56">
        <v>211120251045</v>
      </c>
      <c r="N124" s="57"/>
      <c r="O124" s="226"/>
      <c r="P124" s="191" t="b">
        <v>1</v>
      </c>
      <c r="Q124" s="342" t="s">
        <v>3684</v>
      </c>
      <c r="R124" s="173" t="s">
        <v>6316</v>
      </c>
      <c r="S124" s="57" t="b">
        <v>1</v>
      </c>
      <c r="T124" s="309" t="s">
        <v>6317</v>
      </c>
      <c r="U124" s="307"/>
      <c r="V124" s="54"/>
    </row>
    <row r="125" spans="1:22" ht="16">
      <c r="A125" s="162"/>
      <c r="B125" s="71" t="s">
        <v>6312</v>
      </c>
      <c r="C125" s="53" t="s">
        <v>3476</v>
      </c>
      <c r="D125" s="151" t="s">
        <v>433</v>
      </c>
      <c r="E125" s="151" t="s">
        <v>434</v>
      </c>
      <c r="F125" s="151" t="s">
        <v>1754</v>
      </c>
      <c r="G125" s="158" t="s">
        <v>1024</v>
      </c>
      <c r="H125" s="131" t="s">
        <v>30</v>
      </c>
      <c r="I125" s="151">
        <v>5</v>
      </c>
      <c r="J125" s="75">
        <v>165</v>
      </c>
      <c r="K125" s="472">
        <f t="shared" si="3"/>
        <v>825</v>
      </c>
      <c r="L125" s="55" t="b">
        <v>1</v>
      </c>
      <c r="M125" s="56">
        <v>211120251045</v>
      </c>
      <c r="N125" s="57"/>
      <c r="O125" s="226"/>
      <c r="P125" s="191" t="b">
        <v>1</v>
      </c>
      <c r="Q125" s="342" t="s">
        <v>3684</v>
      </c>
      <c r="R125" s="173" t="s">
        <v>6318</v>
      </c>
      <c r="S125" s="57" t="b">
        <v>1</v>
      </c>
      <c r="T125" s="309" t="s">
        <v>6319</v>
      </c>
      <c r="U125" s="307"/>
      <c r="V125" s="54"/>
    </row>
    <row r="126" spans="1:22" ht="16">
      <c r="A126" s="162"/>
      <c r="B126" s="71" t="s">
        <v>6312</v>
      </c>
      <c r="C126" s="53" t="s">
        <v>3476</v>
      </c>
      <c r="D126" s="151" t="s">
        <v>433</v>
      </c>
      <c r="E126" s="151" t="s">
        <v>434</v>
      </c>
      <c r="F126" s="151" t="s">
        <v>1754</v>
      </c>
      <c r="G126" s="158" t="s">
        <v>668</v>
      </c>
      <c r="H126" s="131" t="s">
        <v>30</v>
      </c>
      <c r="I126" s="151">
        <v>5</v>
      </c>
      <c r="J126" s="75">
        <v>165</v>
      </c>
      <c r="K126" s="472">
        <f t="shared" si="3"/>
        <v>825</v>
      </c>
      <c r="L126" s="55" t="b">
        <v>1</v>
      </c>
      <c r="M126" s="56">
        <v>211120251045</v>
      </c>
      <c r="N126" s="57"/>
      <c r="O126" s="215"/>
      <c r="P126" s="191" t="b">
        <v>1</v>
      </c>
      <c r="Q126" s="342" t="s">
        <v>3684</v>
      </c>
      <c r="R126" s="173" t="s">
        <v>6318</v>
      </c>
      <c r="S126" s="57" t="b">
        <v>1</v>
      </c>
      <c r="T126" s="309" t="s">
        <v>6319</v>
      </c>
      <c r="U126" s="307"/>
      <c r="V126" s="54"/>
    </row>
    <row r="127" spans="1:22" ht="16">
      <c r="A127" s="162"/>
      <c r="B127" s="71" t="s">
        <v>6312</v>
      </c>
      <c r="C127" s="151" t="s">
        <v>3592</v>
      </c>
      <c r="D127" s="151" t="s">
        <v>104</v>
      </c>
      <c r="E127" s="151" t="s">
        <v>6287</v>
      </c>
      <c r="F127" s="151" t="s">
        <v>674</v>
      </c>
      <c r="G127" s="66" t="s">
        <v>5776</v>
      </c>
      <c r="H127" s="131" t="s">
        <v>30</v>
      </c>
      <c r="I127" s="151">
        <v>100</v>
      </c>
      <c r="J127" s="75">
        <v>25</v>
      </c>
      <c r="K127" s="472">
        <f t="shared" si="3"/>
        <v>2500</v>
      </c>
      <c r="L127" s="55" t="b">
        <v>1</v>
      </c>
      <c r="M127" s="56">
        <v>211120251743</v>
      </c>
      <c r="N127" s="57"/>
      <c r="O127" s="226"/>
      <c r="P127" s="191" t="b">
        <v>1</v>
      </c>
      <c r="Q127" s="342" t="s">
        <v>3684</v>
      </c>
      <c r="R127" s="474"/>
      <c r="S127" s="57" t="b">
        <v>1</v>
      </c>
      <c r="T127" s="309" t="s">
        <v>6320</v>
      </c>
      <c r="U127" s="307"/>
      <c r="V127" s="54"/>
    </row>
    <row r="128" spans="1:22" ht="16">
      <c r="A128" s="162"/>
      <c r="B128" s="71" t="s">
        <v>6312</v>
      </c>
      <c r="C128" s="151" t="s">
        <v>3476</v>
      </c>
      <c r="D128" s="151" t="s">
        <v>433</v>
      </c>
      <c r="E128" s="151" t="s">
        <v>434</v>
      </c>
      <c r="F128" s="151" t="s">
        <v>1754</v>
      </c>
      <c r="G128" s="158" t="s">
        <v>436</v>
      </c>
      <c r="H128" s="131" t="s">
        <v>30</v>
      </c>
      <c r="I128" s="151">
        <v>30</v>
      </c>
      <c r="J128" s="75">
        <v>270</v>
      </c>
      <c r="K128" s="472">
        <f t="shared" si="3"/>
        <v>8100</v>
      </c>
      <c r="L128" s="55" t="b">
        <v>1</v>
      </c>
      <c r="M128" s="56">
        <v>211120250015</v>
      </c>
      <c r="N128" s="57"/>
      <c r="O128" s="226"/>
      <c r="P128" s="191" t="b">
        <v>1</v>
      </c>
      <c r="Q128" s="342" t="s">
        <v>3684</v>
      </c>
      <c r="R128" s="173" t="s">
        <v>6321</v>
      </c>
      <c r="S128" s="57" t="b">
        <v>1</v>
      </c>
      <c r="T128" s="309" t="s">
        <v>6322</v>
      </c>
      <c r="U128" s="307"/>
      <c r="V128" s="54"/>
    </row>
    <row r="129" spans="1:22" ht="16">
      <c r="A129" s="162"/>
      <c r="B129" s="71" t="s">
        <v>6312</v>
      </c>
      <c r="C129" s="151" t="s">
        <v>3476</v>
      </c>
      <c r="D129" s="151" t="s">
        <v>433</v>
      </c>
      <c r="E129" s="151" t="s">
        <v>434</v>
      </c>
      <c r="F129" s="151" t="s">
        <v>1754</v>
      </c>
      <c r="G129" s="158" t="s">
        <v>436</v>
      </c>
      <c r="H129" s="131" t="s">
        <v>30</v>
      </c>
      <c r="I129" s="151">
        <v>20</v>
      </c>
      <c r="J129" s="75">
        <v>270</v>
      </c>
      <c r="K129" s="472">
        <f t="shared" si="3"/>
        <v>5400</v>
      </c>
      <c r="L129" s="55" t="b">
        <v>1</v>
      </c>
      <c r="M129" s="56">
        <v>211120250015</v>
      </c>
      <c r="N129" s="57"/>
      <c r="O129" s="226"/>
      <c r="P129" s="191" t="b">
        <v>1</v>
      </c>
      <c r="Q129" s="342" t="s">
        <v>3684</v>
      </c>
      <c r="R129" s="173" t="s">
        <v>6323</v>
      </c>
      <c r="S129" s="57" t="b">
        <v>1</v>
      </c>
      <c r="T129" s="309" t="s">
        <v>6324</v>
      </c>
      <c r="U129" s="307"/>
      <c r="V129" s="54"/>
    </row>
    <row r="130" spans="1:22" ht="16">
      <c r="A130" s="162"/>
      <c r="B130" s="71" t="s">
        <v>6312</v>
      </c>
      <c r="C130" s="151" t="s">
        <v>4147</v>
      </c>
      <c r="D130" s="151" t="s">
        <v>144</v>
      </c>
      <c r="E130" s="151" t="s">
        <v>243</v>
      </c>
      <c r="F130" s="151" t="s">
        <v>244</v>
      </c>
      <c r="G130" s="158" t="s">
        <v>1700</v>
      </c>
      <c r="H130" s="131" t="s">
        <v>30</v>
      </c>
      <c r="I130" s="151">
        <v>200</v>
      </c>
      <c r="J130" s="75">
        <v>18</v>
      </c>
      <c r="K130" s="472">
        <f t="shared" si="3"/>
        <v>3600</v>
      </c>
      <c r="L130" s="55" t="b">
        <v>1</v>
      </c>
      <c r="M130" s="56">
        <v>211120250015</v>
      </c>
      <c r="N130" s="57"/>
      <c r="O130" s="226"/>
      <c r="P130" s="191" t="b">
        <v>1</v>
      </c>
      <c r="Q130" s="342" t="s">
        <v>3684</v>
      </c>
      <c r="R130" s="173" t="s">
        <v>6325</v>
      </c>
      <c r="S130" s="57" t="b">
        <v>1</v>
      </c>
      <c r="T130" s="309" t="s">
        <v>6326</v>
      </c>
      <c r="U130" s="307"/>
      <c r="V130" s="54"/>
    </row>
    <row r="131" spans="1:22" ht="16">
      <c r="A131" s="162"/>
      <c r="B131" s="71" t="s">
        <v>6327</v>
      </c>
      <c r="C131" s="151" t="s">
        <v>3506</v>
      </c>
      <c r="D131" s="151" t="s">
        <v>55</v>
      </c>
      <c r="E131" s="151" t="s">
        <v>1987</v>
      </c>
      <c r="F131" s="151" t="s">
        <v>1552</v>
      </c>
      <c r="G131" s="158" t="s">
        <v>6267</v>
      </c>
      <c r="H131" s="131" t="s">
        <v>30</v>
      </c>
      <c r="I131" s="151">
        <v>10</v>
      </c>
      <c r="J131" s="75">
        <v>795</v>
      </c>
      <c r="K131" s="472">
        <f t="shared" si="3"/>
        <v>7950</v>
      </c>
      <c r="L131" s="55" t="b">
        <v>1</v>
      </c>
      <c r="M131" s="56">
        <v>221120251328</v>
      </c>
      <c r="N131" s="57"/>
      <c r="O131" s="226"/>
      <c r="P131" s="191" t="b">
        <v>1</v>
      </c>
      <c r="Q131" s="342" t="s">
        <v>3684</v>
      </c>
      <c r="R131" s="474"/>
      <c r="S131" s="57" t="b">
        <v>1</v>
      </c>
      <c r="T131" s="309" t="s">
        <v>6328</v>
      </c>
      <c r="U131" s="307"/>
      <c r="V131" s="54"/>
    </row>
    <row r="132" spans="1:22" ht="16">
      <c r="A132" s="162"/>
      <c r="B132" s="71" t="s">
        <v>6327</v>
      </c>
      <c r="C132" s="151" t="s">
        <v>3552</v>
      </c>
      <c r="D132" s="151" t="s">
        <v>51</v>
      </c>
      <c r="E132" s="151" t="s">
        <v>66</v>
      </c>
      <c r="F132" s="151" t="s">
        <v>67</v>
      </c>
      <c r="G132" s="151" t="s">
        <v>68</v>
      </c>
      <c r="H132" s="131" t="s">
        <v>30</v>
      </c>
      <c r="I132" s="151">
        <v>3</v>
      </c>
      <c r="J132" s="75">
        <v>2350</v>
      </c>
      <c r="K132" s="472">
        <f t="shared" si="3"/>
        <v>7050</v>
      </c>
      <c r="L132" s="55" t="b">
        <v>1</v>
      </c>
      <c r="M132" s="56">
        <v>221120252031</v>
      </c>
      <c r="N132" s="57"/>
      <c r="O132" s="226"/>
      <c r="P132" s="191" t="b">
        <v>1</v>
      </c>
      <c r="Q132" s="342" t="s">
        <v>3684</v>
      </c>
      <c r="R132" s="173" t="s">
        <v>6329</v>
      </c>
      <c r="S132" s="57" t="b">
        <v>1</v>
      </c>
      <c r="T132" s="309" t="s">
        <v>6330</v>
      </c>
      <c r="U132" s="307"/>
      <c r="V132" s="54"/>
    </row>
    <row r="133" spans="1:22" ht="16">
      <c r="A133" s="162"/>
      <c r="B133" s="71" t="s">
        <v>6331</v>
      </c>
      <c r="C133" s="151" t="s">
        <v>3595</v>
      </c>
      <c r="D133" s="151" t="s">
        <v>55</v>
      </c>
      <c r="E133" s="151" t="s">
        <v>56</v>
      </c>
      <c r="F133" s="151" t="s">
        <v>57</v>
      </c>
      <c r="G133" s="158" t="s">
        <v>6332</v>
      </c>
      <c r="H133" s="131" t="s">
        <v>30</v>
      </c>
      <c r="I133" s="151">
        <v>1</v>
      </c>
      <c r="J133" s="75">
        <v>8000</v>
      </c>
      <c r="K133" s="472">
        <f t="shared" si="3"/>
        <v>8000</v>
      </c>
      <c r="L133" s="55" t="b">
        <v>1</v>
      </c>
      <c r="M133" s="56">
        <v>241120251037</v>
      </c>
      <c r="N133" s="57"/>
      <c r="O133" s="226"/>
      <c r="P133" s="191" t="b">
        <v>0</v>
      </c>
      <c r="Q133" s="433" t="s">
        <v>5694</v>
      </c>
      <c r="R133" s="474"/>
      <c r="S133" s="57" t="b">
        <v>0</v>
      </c>
      <c r="T133" s="478"/>
      <c r="U133" s="307"/>
      <c r="V133" s="54"/>
    </row>
    <row r="134" spans="1:22" ht="16">
      <c r="A134" s="162"/>
      <c r="B134" s="71" t="s">
        <v>6331</v>
      </c>
      <c r="C134" s="151" t="s">
        <v>4153</v>
      </c>
      <c r="D134" s="151" t="s">
        <v>262</v>
      </c>
      <c r="E134" s="151" t="s">
        <v>263</v>
      </c>
      <c r="F134" s="151" t="s">
        <v>2855</v>
      </c>
      <c r="G134" s="158" t="s">
        <v>907</v>
      </c>
      <c r="H134" s="131" t="s">
        <v>30</v>
      </c>
      <c r="I134" s="151">
        <v>100</v>
      </c>
      <c r="J134" s="75">
        <v>6.95</v>
      </c>
      <c r="K134" s="472">
        <f t="shared" si="3"/>
        <v>695</v>
      </c>
      <c r="L134" s="55" t="b">
        <v>1</v>
      </c>
      <c r="M134" s="56">
        <v>241120251829</v>
      </c>
      <c r="N134" s="57"/>
      <c r="O134" s="226"/>
      <c r="P134" s="191" t="b">
        <v>1</v>
      </c>
      <c r="Q134" s="342" t="s">
        <v>3684</v>
      </c>
      <c r="R134" s="474"/>
      <c r="S134" s="57" t="b">
        <v>1</v>
      </c>
      <c r="T134" s="309" t="s">
        <v>6333</v>
      </c>
      <c r="U134" s="307"/>
      <c r="V134" s="54"/>
    </row>
    <row r="135" spans="1:22" ht="16">
      <c r="A135" s="162"/>
      <c r="B135" s="71" t="s">
        <v>6331</v>
      </c>
      <c r="C135" s="151" t="s">
        <v>4153</v>
      </c>
      <c r="D135" s="151" t="s">
        <v>262</v>
      </c>
      <c r="E135" s="151" t="s">
        <v>263</v>
      </c>
      <c r="F135" s="151" t="s">
        <v>2855</v>
      </c>
      <c r="G135" s="158" t="s">
        <v>6315</v>
      </c>
      <c r="H135" s="131" t="s">
        <v>30</v>
      </c>
      <c r="I135" s="151">
        <v>100</v>
      </c>
      <c r="J135" s="75">
        <v>4.75</v>
      </c>
      <c r="K135" s="472">
        <f t="shared" si="3"/>
        <v>475</v>
      </c>
      <c r="L135" s="55" t="b">
        <v>1</v>
      </c>
      <c r="M135" s="56">
        <v>241120251829</v>
      </c>
      <c r="N135" s="57"/>
      <c r="O135" s="226"/>
      <c r="P135" s="191" t="b">
        <v>1</v>
      </c>
      <c r="Q135" s="342" t="s">
        <v>3684</v>
      </c>
      <c r="R135" s="474"/>
      <c r="S135" s="57" t="b">
        <v>1</v>
      </c>
      <c r="T135" s="309" t="s">
        <v>6333</v>
      </c>
      <c r="U135" s="307"/>
      <c r="V135" s="54"/>
    </row>
    <row r="136" spans="1:22" ht="16">
      <c r="A136" s="162"/>
      <c r="B136" s="71" t="s">
        <v>6331</v>
      </c>
      <c r="C136" s="151" t="s">
        <v>3445</v>
      </c>
      <c r="D136" s="151" t="s">
        <v>262</v>
      </c>
      <c r="E136" s="151" t="s">
        <v>3446</v>
      </c>
      <c r="F136" s="151" t="s">
        <v>3847</v>
      </c>
      <c r="G136" s="158" t="s">
        <v>177</v>
      </c>
      <c r="H136" s="131" t="s">
        <v>30</v>
      </c>
      <c r="I136" s="151">
        <v>5</v>
      </c>
      <c r="J136" s="75">
        <v>960</v>
      </c>
      <c r="K136" s="472">
        <f t="shared" si="3"/>
        <v>4800</v>
      </c>
      <c r="L136" s="55" t="b">
        <v>1</v>
      </c>
      <c r="M136" s="56">
        <v>241120251829</v>
      </c>
      <c r="N136" s="57"/>
      <c r="O136" s="226"/>
      <c r="P136" s="191" t="b">
        <v>1</v>
      </c>
      <c r="Q136" s="342" t="s">
        <v>3684</v>
      </c>
      <c r="R136" s="474"/>
      <c r="S136" s="57" t="b">
        <v>1</v>
      </c>
      <c r="T136" s="309" t="s">
        <v>6334</v>
      </c>
      <c r="U136" s="307"/>
      <c r="V136" s="54"/>
    </row>
    <row r="137" spans="1:22" ht="16">
      <c r="A137" s="162"/>
      <c r="B137" s="71" t="s">
        <v>6331</v>
      </c>
      <c r="C137" s="151" t="s">
        <v>4268</v>
      </c>
      <c r="D137" s="151" t="s">
        <v>345</v>
      </c>
      <c r="E137" s="151" t="s">
        <v>1756</v>
      </c>
      <c r="F137" s="151" t="s">
        <v>6335</v>
      </c>
      <c r="G137" s="158" t="s">
        <v>1700</v>
      </c>
      <c r="H137" s="131" t="s">
        <v>30</v>
      </c>
      <c r="I137" s="151">
        <v>500</v>
      </c>
      <c r="J137" s="75">
        <v>18</v>
      </c>
      <c r="K137" s="472">
        <f t="shared" si="3"/>
        <v>9000</v>
      </c>
      <c r="L137" s="55" t="b">
        <v>1</v>
      </c>
      <c r="M137" s="56">
        <v>241120251926</v>
      </c>
      <c r="N137" s="57"/>
      <c r="O137" s="226"/>
      <c r="P137" s="191" t="b">
        <v>1</v>
      </c>
      <c r="Q137" s="342" t="s">
        <v>3684</v>
      </c>
      <c r="R137" s="173" t="s">
        <v>6336</v>
      </c>
      <c r="S137" s="57" t="b">
        <v>1</v>
      </c>
      <c r="T137" s="309" t="s">
        <v>6337</v>
      </c>
      <c r="U137" s="307"/>
      <c r="V137" s="54"/>
    </row>
    <row r="138" spans="1:22" ht="16">
      <c r="A138" s="162"/>
      <c r="B138" s="71" t="s">
        <v>6331</v>
      </c>
      <c r="C138" s="151" t="s">
        <v>4979</v>
      </c>
      <c r="D138" s="151" t="s">
        <v>104</v>
      </c>
      <c r="E138" s="151" t="s">
        <v>4980</v>
      </c>
      <c r="F138" s="151" t="s">
        <v>634</v>
      </c>
      <c r="G138" s="158" t="s">
        <v>907</v>
      </c>
      <c r="H138" s="131" t="s">
        <v>30</v>
      </c>
      <c r="I138" s="151">
        <v>200</v>
      </c>
      <c r="J138" s="75">
        <v>6.95</v>
      </c>
      <c r="K138" s="472">
        <f t="shared" si="3"/>
        <v>1390</v>
      </c>
      <c r="L138" s="55" t="b">
        <v>1</v>
      </c>
      <c r="M138" s="56">
        <v>241120251926</v>
      </c>
      <c r="N138" s="57"/>
      <c r="O138" s="226"/>
      <c r="P138" s="191" t="b">
        <v>1</v>
      </c>
      <c r="Q138" s="342" t="s">
        <v>3684</v>
      </c>
      <c r="R138" s="474"/>
      <c r="S138" s="57" t="b">
        <v>1</v>
      </c>
      <c r="T138" s="309" t="s">
        <v>6338</v>
      </c>
      <c r="U138" s="307"/>
      <c r="V138" s="54"/>
    </row>
    <row r="139" spans="1:22" ht="16">
      <c r="A139" s="162"/>
      <c r="B139" s="71" t="s">
        <v>6331</v>
      </c>
      <c r="C139" s="151" t="s">
        <v>4979</v>
      </c>
      <c r="D139" s="151" t="s">
        <v>104</v>
      </c>
      <c r="E139" s="151" t="s">
        <v>4980</v>
      </c>
      <c r="F139" s="151" t="s">
        <v>634</v>
      </c>
      <c r="G139" s="158" t="s">
        <v>6315</v>
      </c>
      <c r="H139" s="131" t="s">
        <v>30</v>
      </c>
      <c r="I139" s="151">
        <v>200</v>
      </c>
      <c r="J139" s="75">
        <v>4.75</v>
      </c>
      <c r="K139" s="472">
        <f t="shared" si="3"/>
        <v>950</v>
      </c>
      <c r="L139" s="55" t="b">
        <v>1</v>
      </c>
      <c r="M139" s="56">
        <v>241120251926</v>
      </c>
      <c r="N139" s="57"/>
      <c r="O139" s="226"/>
      <c r="P139" s="191" t="b">
        <v>1</v>
      </c>
      <c r="Q139" s="342" t="s">
        <v>3684</v>
      </c>
      <c r="R139" s="473"/>
      <c r="S139" s="57" t="b">
        <v>1</v>
      </c>
      <c r="T139" s="309" t="s">
        <v>6338</v>
      </c>
      <c r="U139" s="307"/>
      <c r="V139" s="54"/>
    </row>
    <row r="140" spans="1:22" ht="16">
      <c r="A140" s="162"/>
      <c r="B140" s="71" t="s">
        <v>6331</v>
      </c>
      <c r="C140" s="151" t="s">
        <v>3532</v>
      </c>
      <c r="D140" s="151" t="s">
        <v>51</v>
      </c>
      <c r="E140" s="151" t="s">
        <v>52</v>
      </c>
      <c r="F140" s="151" t="s">
        <v>807</v>
      </c>
      <c r="G140" s="66" t="s">
        <v>6339</v>
      </c>
      <c r="H140" s="131" t="s">
        <v>30</v>
      </c>
      <c r="I140" s="151">
        <v>1</v>
      </c>
      <c r="J140" s="75">
        <v>1750</v>
      </c>
      <c r="K140" s="472">
        <f t="shared" si="3"/>
        <v>1750</v>
      </c>
      <c r="L140" s="55" t="b">
        <v>1</v>
      </c>
      <c r="M140" s="56" t="s">
        <v>529</v>
      </c>
      <c r="N140" s="57"/>
      <c r="O140" s="226"/>
      <c r="P140" s="191" t="b">
        <v>1</v>
      </c>
      <c r="Q140" s="342" t="s">
        <v>3684</v>
      </c>
      <c r="R140" s="173" t="s">
        <v>6340</v>
      </c>
      <c r="S140" s="57" t="b">
        <v>1</v>
      </c>
      <c r="T140" s="309" t="s">
        <v>6341</v>
      </c>
      <c r="U140" s="307"/>
      <c r="V140" s="54"/>
    </row>
    <row r="141" spans="1:22" ht="16">
      <c r="A141" s="162"/>
      <c r="B141" s="71" t="s">
        <v>6342</v>
      </c>
      <c r="C141" s="151" t="s">
        <v>4750</v>
      </c>
      <c r="D141" s="151" t="s">
        <v>418</v>
      </c>
      <c r="E141" s="151" t="s">
        <v>230</v>
      </c>
      <c r="F141" s="151" t="s">
        <v>1990</v>
      </c>
      <c r="G141" s="151" t="s">
        <v>6343</v>
      </c>
      <c r="H141" s="131" t="s">
        <v>30</v>
      </c>
      <c r="I141" s="151">
        <v>20</v>
      </c>
      <c r="J141" s="75">
        <v>165</v>
      </c>
      <c r="K141" s="472">
        <f t="shared" si="3"/>
        <v>3300</v>
      </c>
      <c r="L141" s="55" t="b">
        <v>1</v>
      </c>
      <c r="M141" s="56">
        <v>251120251907</v>
      </c>
      <c r="N141" s="57"/>
      <c r="O141" s="226"/>
      <c r="P141" s="191" t="b">
        <v>1</v>
      </c>
      <c r="Q141" s="342" t="s">
        <v>3684</v>
      </c>
      <c r="R141" s="173" t="s">
        <v>6344</v>
      </c>
      <c r="S141" s="57" t="b">
        <v>1</v>
      </c>
      <c r="T141" s="309" t="s">
        <v>6345</v>
      </c>
      <c r="U141" s="307"/>
      <c r="V141" s="54"/>
    </row>
    <row r="142" spans="1:22" ht="16">
      <c r="A142" s="162"/>
      <c r="B142" s="71" t="s">
        <v>6342</v>
      </c>
      <c r="C142" s="151" t="s">
        <v>3458</v>
      </c>
      <c r="D142" s="151" t="s">
        <v>51</v>
      </c>
      <c r="E142" s="151" t="s">
        <v>201</v>
      </c>
      <c r="F142" s="151" t="s">
        <v>202</v>
      </c>
      <c r="G142" s="66" t="s">
        <v>5776</v>
      </c>
      <c r="H142" s="131" t="s">
        <v>30</v>
      </c>
      <c r="I142" s="151">
        <v>25</v>
      </c>
      <c r="J142" s="75">
        <v>500</v>
      </c>
      <c r="K142" s="472">
        <f t="shared" si="3"/>
        <v>12500</v>
      </c>
      <c r="L142" s="55" t="b">
        <v>1</v>
      </c>
      <c r="M142" s="56">
        <v>251120251908</v>
      </c>
      <c r="N142" s="57"/>
      <c r="O142" s="75"/>
      <c r="P142" s="191" t="b">
        <v>1</v>
      </c>
      <c r="Q142" s="342" t="s">
        <v>3684</v>
      </c>
      <c r="R142" s="173" t="s">
        <v>6346</v>
      </c>
      <c r="S142" s="57" t="b">
        <v>1</v>
      </c>
      <c r="T142" s="309" t="s">
        <v>6347</v>
      </c>
      <c r="U142" s="307"/>
      <c r="V142" s="54"/>
    </row>
    <row r="143" spans="1:22" ht="16">
      <c r="A143" s="162"/>
      <c r="B143" s="71" t="s">
        <v>6342</v>
      </c>
      <c r="C143" s="151" t="s">
        <v>4095</v>
      </c>
      <c r="D143" s="151" t="s">
        <v>345</v>
      </c>
      <c r="E143" s="151" t="s">
        <v>342</v>
      </c>
      <c r="F143" s="151" t="s">
        <v>2228</v>
      </c>
      <c r="G143" s="66" t="s">
        <v>6348</v>
      </c>
      <c r="H143" s="131" t="s">
        <v>30</v>
      </c>
      <c r="I143" s="151">
        <v>2</v>
      </c>
      <c r="J143" s="75">
        <v>175</v>
      </c>
      <c r="K143" s="472">
        <f t="shared" si="3"/>
        <v>350</v>
      </c>
      <c r="L143" s="55" t="b">
        <v>1</v>
      </c>
      <c r="M143" s="56">
        <v>251120251909</v>
      </c>
      <c r="N143" s="57"/>
      <c r="O143" s="75"/>
      <c r="P143" s="191" t="b">
        <v>1</v>
      </c>
      <c r="Q143" s="342" t="s">
        <v>3684</v>
      </c>
      <c r="R143" s="173" t="s">
        <v>6349</v>
      </c>
      <c r="S143" s="57" t="b">
        <v>1</v>
      </c>
      <c r="T143" s="309" t="s">
        <v>6350</v>
      </c>
      <c r="U143" s="307"/>
      <c r="V143" s="54"/>
    </row>
    <row r="144" spans="1:22" ht="16">
      <c r="A144" s="162"/>
      <c r="B144" s="71" t="s">
        <v>6342</v>
      </c>
      <c r="C144" s="151" t="s">
        <v>5475</v>
      </c>
      <c r="D144" s="151" t="s">
        <v>104</v>
      </c>
      <c r="E144" s="151" t="s">
        <v>6351</v>
      </c>
      <c r="F144" s="151" t="s">
        <v>6352</v>
      </c>
      <c r="G144" s="66" t="s">
        <v>6353</v>
      </c>
      <c r="H144" s="131" t="s">
        <v>30</v>
      </c>
      <c r="I144" s="151">
        <v>14</v>
      </c>
      <c r="J144" s="75">
        <v>1750</v>
      </c>
      <c r="K144" s="472">
        <f t="shared" si="3"/>
        <v>24500</v>
      </c>
      <c r="L144" s="55" t="b">
        <v>1</v>
      </c>
      <c r="M144" s="56">
        <v>251120252055</v>
      </c>
      <c r="N144" s="57"/>
      <c r="O144" s="75"/>
      <c r="P144" s="191" t="b">
        <v>1</v>
      </c>
      <c r="Q144" s="342" t="s">
        <v>3684</v>
      </c>
      <c r="R144" s="474"/>
      <c r="S144" s="57" t="b">
        <v>1</v>
      </c>
      <c r="T144" s="309" t="s">
        <v>6354</v>
      </c>
      <c r="U144" s="307" t="s">
        <v>6355</v>
      </c>
      <c r="V144" s="454" t="s">
        <v>6356</v>
      </c>
    </row>
    <row r="145" spans="1:22" ht="16">
      <c r="A145" s="162"/>
      <c r="B145" s="71" t="s">
        <v>6342</v>
      </c>
      <c r="C145" s="151" t="s">
        <v>5475</v>
      </c>
      <c r="D145" s="151" t="s">
        <v>104</v>
      </c>
      <c r="E145" s="151" t="s">
        <v>6351</v>
      </c>
      <c r="F145" s="151" t="s">
        <v>6352</v>
      </c>
      <c r="G145" s="66" t="s">
        <v>3562</v>
      </c>
      <c r="H145" s="131" t="s">
        <v>30</v>
      </c>
      <c r="I145" s="151">
        <v>1</v>
      </c>
      <c r="J145" s="75">
        <v>6500</v>
      </c>
      <c r="K145" s="472">
        <f t="shared" si="3"/>
        <v>6500</v>
      </c>
      <c r="L145" s="55" t="b">
        <v>1</v>
      </c>
      <c r="M145" s="56">
        <v>251120252055</v>
      </c>
      <c r="N145" s="57"/>
      <c r="O145" s="75"/>
      <c r="P145" s="191" t="b">
        <v>1</v>
      </c>
      <c r="Q145" s="342" t="s">
        <v>3684</v>
      </c>
      <c r="R145" s="474"/>
      <c r="S145" s="57" t="b">
        <v>1</v>
      </c>
      <c r="T145" s="309" t="s">
        <v>6354</v>
      </c>
      <c r="U145" s="307"/>
      <c r="V145" s="54"/>
    </row>
    <row r="146" spans="1:22" ht="16">
      <c r="A146" s="162"/>
      <c r="B146" s="71" t="s">
        <v>6357</v>
      </c>
      <c r="C146" s="151" t="s">
        <v>4095</v>
      </c>
      <c r="D146" s="151" t="s">
        <v>345</v>
      </c>
      <c r="E146" s="151" t="s">
        <v>342</v>
      </c>
      <c r="F146" s="151" t="s">
        <v>2823</v>
      </c>
      <c r="G146" s="66" t="s">
        <v>2965</v>
      </c>
      <c r="H146" s="131" t="s">
        <v>30</v>
      </c>
      <c r="I146" s="151">
        <v>5</v>
      </c>
      <c r="J146" s="75">
        <v>695</v>
      </c>
      <c r="K146" s="472">
        <f t="shared" si="3"/>
        <v>3475</v>
      </c>
      <c r="L146" s="55" t="b">
        <v>1</v>
      </c>
      <c r="M146" s="56">
        <v>261120251021</v>
      </c>
      <c r="N146" s="57"/>
      <c r="O146" s="75"/>
      <c r="P146" s="191" t="b">
        <v>1</v>
      </c>
      <c r="Q146" s="342" t="s">
        <v>3684</v>
      </c>
      <c r="R146" s="474"/>
      <c r="S146" s="57" t="b">
        <v>1</v>
      </c>
      <c r="T146" s="309" t="s">
        <v>6358</v>
      </c>
      <c r="U146" s="307"/>
      <c r="V146" s="54"/>
    </row>
    <row r="147" spans="1:22" ht="16">
      <c r="A147" s="162"/>
      <c r="B147" s="71" t="s">
        <v>6357</v>
      </c>
      <c r="C147" s="151" t="s">
        <v>6359</v>
      </c>
      <c r="D147" s="151" t="s">
        <v>104</v>
      </c>
      <c r="E147" s="151" t="s">
        <v>316</v>
      </c>
      <c r="F147" s="151" t="s">
        <v>6360</v>
      </c>
      <c r="G147" s="158" t="s">
        <v>907</v>
      </c>
      <c r="H147" s="131" t="s">
        <v>30</v>
      </c>
      <c r="I147" s="151">
        <v>200</v>
      </c>
      <c r="J147" s="75">
        <v>6.95</v>
      </c>
      <c r="K147" s="472">
        <f t="shared" si="3"/>
        <v>1390</v>
      </c>
      <c r="L147" s="55" t="b">
        <v>1</v>
      </c>
      <c r="M147" s="56" t="s">
        <v>6361</v>
      </c>
      <c r="N147" s="57"/>
      <c r="O147" s="75"/>
      <c r="P147" s="191" t="b">
        <v>1</v>
      </c>
      <c r="Q147" s="342" t="s">
        <v>3684</v>
      </c>
      <c r="R147" s="474"/>
      <c r="S147" s="57" t="b">
        <v>1</v>
      </c>
      <c r="T147" s="309" t="s">
        <v>6362</v>
      </c>
      <c r="U147" s="307"/>
      <c r="V147" s="54"/>
    </row>
    <row r="148" spans="1:22" ht="16">
      <c r="A148" s="162"/>
      <c r="B148" s="71" t="s">
        <v>6357</v>
      </c>
      <c r="C148" s="151" t="s">
        <v>6359</v>
      </c>
      <c r="D148" s="151" t="s">
        <v>104</v>
      </c>
      <c r="E148" s="151" t="s">
        <v>316</v>
      </c>
      <c r="F148" s="151" t="s">
        <v>6360</v>
      </c>
      <c r="G148" s="158" t="s">
        <v>6315</v>
      </c>
      <c r="H148" s="131" t="s">
        <v>30</v>
      </c>
      <c r="I148" s="151">
        <v>200</v>
      </c>
      <c r="J148" s="75">
        <v>4.75</v>
      </c>
      <c r="K148" s="472">
        <f t="shared" si="3"/>
        <v>950</v>
      </c>
      <c r="L148" s="55" t="b">
        <v>1</v>
      </c>
      <c r="M148" s="56" t="s">
        <v>6361</v>
      </c>
      <c r="N148" s="57"/>
      <c r="O148" s="75"/>
      <c r="P148" s="191" t="b">
        <v>1</v>
      </c>
      <c r="Q148" s="342" t="s">
        <v>3684</v>
      </c>
      <c r="R148" s="474"/>
      <c r="S148" s="57" t="b">
        <v>1</v>
      </c>
      <c r="T148" s="309" t="s">
        <v>6362</v>
      </c>
      <c r="U148" s="307"/>
      <c r="V148" s="54"/>
    </row>
    <row r="149" spans="1:22" ht="16">
      <c r="A149" s="162"/>
      <c r="B149" s="71" t="s">
        <v>6363</v>
      </c>
      <c r="C149" s="151" t="s">
        <v>3506</v>
      </c>
      <c r="D149" s="151" t="s">
        <v>55</v>
      </c>
      <c r="E149" s="151">
        <v>41</v>
      </c>
      <c r="F149" s="151" t="s">
        <v>1552</v>
      </c>
      <c r="G149" s="66" t="s">
        <v>1700</v>
      </c>
      <c r="H149" s="131" t="s">
        <v>30</v>
      </c>
      <c r="I149" s="151">
        <v>100</v>
      </c>
      <c r="J149" s="75">
        <v>18</v>
      </c>
      <c r="K149" s="472">
        <f t="shared" si="3"/>
        <v>1800</v>
      </c>
      <c r="L149" s="55" t="b">
        <v>1</v>
      </c>
      <c r="M149" s="56">
        <v>271120250935</v>
      </c>
      <c r="N149" s="57"/>
      <c r="O149" s="75"/>
      <c r="P149" s="191" t="b">
        <v>0</v>
      </c>
      <c r="Q149" s="433" t="s">
        <v>6364</v>
      </c>
      <c r="R149" s="173" t="s">
        <v>6365</v>
      </c>
      <c r="S149" s="57" t="b">
        <v>0</v>
      </c>
      <c r="T149" s="495"/>
      <c r="U149" s="307"/>
      <c r="V149" s="54"/>
    </row>
    <row r="150" spans="1:22" ht="16">
      <c r="A150" s="162"/>
      <c r="B150" s="132" t="s">
        <v>6363</v>
      </c>
      <c r="C150" s="151" t="s">
        <v>4266</v>
      </c>
      <c r="D150" s="151" t="s">
        <v>463</v>
      </c>
      <c r="E150" s="151" t="s">
        <v>463</v>
      </c>
      <c r="F150" s="151" t="s">
        <v>5247</v>
      </c>
      <c r="G150" s="158" t="s">
        <v>6267</v>
      </c>
      <c r="H150" s="131" t="s">
        <v>30</v>
      </c>
      <c r="I150" s="151">
        <v>20</v>
      </c>
      <c r="J150" s="75">
        <v>795</v>
      </c>
      <c r="K150" s="472">
        <f t="shared" si="3"/>
        <v>15900</v>
      </c>
      <c r="L150" s="55" t="b">
        <v>1</v>
      </c>
      <c r="M150" s="56">
        <v>271120250956</v>
      </c>
      <c r="N150" s="57" t="s">
        <v>2968</v>
      </c>
      <c r="O150" s="75"/>
      <c r="P150" s="191" t="b">
        <v>1</v>
      </c>
      <c r="Q150" s="342" t="s">
        <v>3684</v>
      </c>
      <c r="R150" s="173" t="s">
        <v>6366</v>
      </c>
      <c r="S150" s="57" t="b">
        <v>1</v>
      </c>
      <c r="T150" s="309" t="s">
        <v>6367</v>
      </c>
      <c r="U150" s="307"/>
      <c r="V150" s="54"/>
    </row>
    <row r="151" spans="1:22" ht="16">
      <c r="A151" s="162"/>
      <c r="B151" s="132" t="s">
        <v>6363</v>
      </c>
      <c r="C151" s="151" t="s">
        <v>4330</v>
      </c>
      <c r="D151" s="151" t="s">
        <v>212</v>
      </c>
      <c r="E151" s="151" t="s">
        <v>213</v>
      </c>
      <c r="F151" s="151" t="s">
        <v>4331</v>
      </c>
      <c r="G151" s="66" t="s">
        <v>5660</v>
      </c>
      <c r="H151" s="131" t="s">
        <v>30</v>
      </c>
      <c r="I151" s="151">
        <v>1</v>
      </c>
      <c r="J151" s="75">
        <v>2500</v>
      </c>
      <c r="K151" s="472">
        <f t="shared" si="3"/>
        <v>2500</v>
      </c>
      <c r="L151" s="55" t="b">
        <v>1</v>
      </c>
      <c r="M151" s="56">
        <v>271120251110</v>
      </c>
      <c r="N151" s="57"/>
      <c r="O151" s="75"/>
      <c r="P151" s="191" t="b">
        <v>1</v>
      </c>
      <c r="Q151" s="342" t="s">
        <v>3684</v>
      </c>
      <c r="R151" s="173" t="s">
        <v>6368</v>
      </c>
      <c r="S151" s="57" t="b">
        <v>1</v>
      </c>
      <c r="T151" s="309" t="s">
        <v>6369</v>
      </c>
      <c r="U151" s="307"/>
      <c r="V151" s="54"/>
    </row>
    <row r="152" spans="1:22" ht="16">
      <c r="A152" s="162"/>
      <c r="B152" s="132" t="s">
        <v>6370</v>
      </c>
      <c r="C152" s="340" t="s">
        <v>4165</v>
      </c>
      <c r="D152" s="151" t="s">
        <v>104</v>
      </c>
      <c r="E152" s="151" t="s">
        <v>2273</v>
      </c>
      <c r="F152" s="151" t="s">
        <v>4313</v>
      </c>
      <c r="G152" s="66" t="s">
        <v>5776</v>
      </c>
      <c r="H152" s="131" t="s">
        <v>30</v>
      </c>
      <c r="I152" s="151">
        <v>300</v>
      </c>
      <c r="J152" s="151">
        <v>300</v>
      </c>
      <c r="K152" s="472">
        <f t="shared" si="3"/>
        <v>90000</v>
      </c>
      <c r="L152" s="55" t="b">
        <v>1</v>
      </c>
      <c r="M152" s="56">
        <v>281120251109</v>
      </c>
      <c r="N152" s="57"/>
      <c r="O152" s="75"/>
      <c r="P152" s="191" t="b">
        <v>1</v>
      </c>
      <c r="Q152" s="342" t="s">
        <v>3684</v>
      </c>
      <c r="R152" s="474"/>
      <c r="S152" s="57" t="b">
        <v>1</v>
      </c>
      <c r="T152" s="309" t="s">
        <v>6371</v>
      </c>
      <c r="U152" s="307"/>
      <c r="V152" s="54"/>
    </row>
    <row r="153" spans="1:22" ht="16">
      <c r="A153" s="162"/>
      <c r="B153" s="132" t="s">
        <v>6370</v>
      </c>
      <c r="C153" s="340" t="s">
        <v>4165</v>
      </c>
      <c r="D153" s="151" t="s">
        <v>104</v>
      </c>
      <c r="E153" s="151" t="s">
        <v>2273</v>
      </c>
      <c r="F153" s="151" t="s">
        <v>4313</v>
      </c>
      <c r="G153" s="66" t="s">
        <v>5776</v>
      </c>
      <c r="H153" s="131" t="s">
        <v>30</v>
      </c>
      <c r="I153" s="151">
        <v>200</v>
      </c>
      <c r="J153" s="75">
        <v>25</v>
      </c>
      <c r="K153" s="472">
        <f t="shared" si="3"/>
        <v>5000</v>
      </c>
      <c r="L153" s="55" t="b">
        <v>1</v>
      </c>
      <c r="M153" s="56">
        <v>281120251109</v>
      </c>
      <c r="N153" s="57"/>
      <c r="O153" s="75"/>
      <c r="P153" s="191" t="b">
        <v>1</v>
      </c>
      <c r="Q153" s="342" t="s">
        <v>3684</v>
      </c>
      <c r="R153" s="474" t="s">
        <v>6372</v>
      </c>
      <c r="S153" s="57" t="b">
        <v>1</v>
      </c>
      <c r="T153" s="309" t="s">
        <v>6371</v>
      </c>
      <c r="U153" s="307"/>
      <c r="V153" s="54"/>
    </row>
    <row r="154" spans="1:22" ht="16">
      <c r="A154" s="162"/>
      <c r="B154" s="132" t="s">
        <v>6370</v>
      </c>
      <c r="C154" s="151" t="s">
        <v>3458</v>
      </c>
      <c r="D154" s="151" t="s">
        <v>51</v>
      </c>
      <c r="E154" s="151" t="s">
        <v>201</v>
      </c>
      <c r="F154" s="151" t="s">
        <v>202</v>
      </c>
      <c r="G154" s="66" t="s">
        <v>6373</v>
      </c>
      <c r="H154" s="131" t="s">
        <v>30</v>
      </c>
      <c r="I154" s="151">
        <v>2</v>
      </c>
      <c r="J154" s="75"/>
      <c r="K154" s="472">
        <f t="shared" si="3"/>
        <v>0</v>
      </c>
      <c r="L154" s="55" t="b">
        <v>1</v>
      </c>
      <c r="M154" s="56">
        <v>281120251109</v>
      </c>
      <c r="N154" s="57"/>
      <c r="O154" s="75"/>
      <c r="P154" s="191" t="b">
        <v>0</v>
      </c>
      <c r="Q154" s="433"/>
      <c r="R154" s="474"/>
      <c r="S154" s="57" t="b">
        <v>0</v>
      </c>
      <c r="T154" s="495"/>
      <c r="U154" s="307"/>
      <c r="V154" s="54"/>
    </row>
    <row r="155" spans="1:22" ht="16">
      <c r="A155" s="162"/>
      <c r="B155" s="132" t="s">
        <v>6370</v>
      </c>
      <c r="C155" s="151" t="s">
        <v>3532</v>
      </c>
      <c r="D155" s="151" t="s">
        <v>51</v>
      </c>
      <c r="E155" s="151" t="s">
        <v>52</v>
      </c>
      <c r="F155" s="151" t="s">
        <v>1710</v>
      </c>
      <c r="G155" s="66" t="s">
        <v>6374</v>
      </c>
      <c r="H155" s="131" t="s">
        <v>30</v>
      </c>
      <c r="I155" s="151">
        <v>200</v>
      </c>
      <c r="J155" s="75">
        <v>4.5</v>
      </c>
      <c r="K155" s="472">
        <f t="shared" si="3"/>
        <v>900</v>
      </c>
      <c r="L155" s="55" t="b">
        <v>1</v>
      </c>
      <c r="M155" s="56">
        <v>281120251109</v>
      </c>
      <c r="N155" s="57"/>
      <c r="O155" s="75"/>
      <c r="P155" s="191" t="b">
        <v>1</v>
      </c>
      <c r="Q155" s="342" t="s">
        <v>3684</v>
      </c>
      <c r="R155" s="173" t="s">
        <v>6375</v>
      </c>
      <c r="S155" s="57" t="b">
        <v>1</v>
      </c>
      <c r="T155" s="309" t="s">
        <v>6376</v>
      </c>
      <c r="U155" s="307"/>
      <c r="V155" s="54"/>
    </row>
    <row r="156" spans="1:22" ht="16">
      <c r="A156" s="162"/>
      <c r="B156" s="71" t="s">
        <v>6370</v>
      </c>
      <c r="C156" s="369" t="s">
        <v>6377</v>
      </c>
      <c r="D156" s="151" t="s">
        <v>1747</v>
      </c>
      <c r="E156" s="151" t="s">
        <v>6378</v>
      </c>
      <c r="F156" s="151" t="s">
        <v>944</v>
      </c>
      <c r="G156" s="66" t="s">
        <v>795</v>
      </c>
      <c r="H156" s="131" t="s">
        <v>30</v>
      </c>
      <c r="I156" s="151">
        <v>1</v>
      </c>
      <c r="J156" s="75">
        <v>0.1</v>
      </c>
      <c r="K156" s="472">
        <f t="shared" si="3"/>
        <v>0.1</v>
      </c>
      <c r="L156" s="55" t="b">
        <v>1</v>
      </c>
      <c r="M156" s="56">
        <v>281120251109</v>
      </c>
      <c r="N156" s="57"/>
      <c r="O156" s="75"/>
      <c r="P156" s="191" t="b">
        <v>0</v>
      </c>
      <c r="Q156" s="433"/>
      <c r="R156" s="474"/>
      <c r="S156" s="57" t="b">
        <v>0</v>
      </c>
      <c r="T156" s="495"/>
      <c r="U156" s="307"/>
      <c r="V156" s="54"/>
    </row>
    <row r="157" spans="1:22" ht="16">
      <c r="A157" s="162"/>
      <c r="B157" s="71" t="s">
        <v>6370</v>
      </c>
      <c r="C157" s="340" t="s">
        <v>4095</v>
      </c>
      <c r="D157" s="151" t="s">
        <v>345</v>
      </c>
      <c r="E157" s="151" t="s">
        <v>342</v>
      </c>
      <c r="F157" s="151" t="s">
        <v>927</v>
      </c>
      <c r="G157" s="66" t="s">
        <v>236</v>
      </c>
      <c r="H157" s="131" t="s">
        <v>30</v>
      </c>
      <c r="I157" s="151">
        <v>12</v>
      </c>
      <c r="J157" s="75">
        <v>230</v>
      </c>
      <c r="K157" s="472">
        <f t="shared" si="3"/>
        <v>2760</v>
      </c>
      <c r="L157" s="55" t="b">
        <v>1</v>
      </c>
      <c r="M157" s="56">
        <v>281120251500</v>
      </c>
      <c r="N157" s="57"/>
      <c r="O157" s="75"/>
      <c r="P157" s="191" t="b">
        <v>1</v>
      </c>
      <c r="Q157" s="342" t="s">
        <v>3684</v>
      </c>
      <c r="R157" s="474"/>
      <c r="S157" s="57" t="b">
        <v>1</v>
      </c>
      <c r="T157" s="309" t="s">
        <v>6379</v>
      </c>
      <c r="U157" s="307"/>
      <c r="V157" s="54"/>
    </row>
    <row r="158" spans="1:22" ht="16">
      <c r="A158" s="162"/>
      <c r="B158" s="71" t="s">
        <v>6370</v>
      </c>
      <c r="C158" s="340" t="s">
        <v>4095</v>
      </c>
      <c r="D158" s="151" t="s">
        <v>345</v>
      </c>
      <c r="E158" s="151" t="s">
        <v>342</v>
      </c>
      <c r="F158" s="151" t="s">
        <v>927</v>
      </c>
      <c r="G158" s="66" t="s">
        <v>3642</v>
      </c>
      <c r="H158" s="131" t="s">
        <v>30</v>
      </c>
      <c r="I158" s="151">
        <v>20</v>
      </c>
      <c r="J158" s="75">
        <v>270</v>
      </c>
      <c r="K158" s="472">
        <f t="shared" si="3"/>
        <v>5400</v>
      </c>
      <c r="L158" s="55" t="b">
        <v>1</v>
      </c>
      <c r="M158" s="56">
        <v>281120251500</v>
      </c>
      <c r="N158" s="57"/>
      <c r="O158" s="75"/>
      <c r="P158" s="191" t="b">
        <v>1</v>
      </c>
      <c r="Q158" s="342" t="s">
        <v>3684</v>
      </c>
      <c r="R158" s="173" t="s">
        <v>6380</v>
      </c>
      <c r="S158" s="57" t="b">
        <v>1</v>
      </c>
      <c r="T158" s="309" t="s">
        <v>6381</v>
      </c>
      <c r="U158" s="307"/>
      <c r="V158" s="54"/>
    </row>
    <row r="159" spans="1:22" ht="16">
      <c r="A159" s="162"/>
      <c r="B159" s="343"/>
      <c r="C159" s="151"/>
      <c r="D159" s="151"/>
      <c r="E159" s="151"/>
      <c r="F159" s="151"/>
      <c r="G159" s="151"/>
      <c r="H159" s="334"/>
      <c r="I159" s="151"/>
      <c r="J159" s="496"/>
      <c r="K159" s="472"/>
      <c r="L159" s="55"/>
      <c r="M159" s="56"/>
      <c r="N159" s="57"/>
      <c r="O159" s="75"/>
      <c r="P159" s="191" t="b">
        <v>0</v>
      </c>
      <c r="Q159" s="433"/>
      <c r="R159" s="474"/>
      <c r="S159" s="57" t="b">
        <v>0</v>
      </c>
      <c r="T159" s="495"/>
      <c r="U159" s="307"/>
      <c r="V159" s="54"/>
    </row>
    <row r="160" spans="1:22" ht="16">
      <c r="A160" s="162"/>
      <c r="B160" s="71"/>
      <c r="C160" s="151"/>
      <c r="D160" s="151"/>
      <c r="E160" s="151"/>
      <c r="F160" s="151"/>
      <c r="G160" s="66"/>
      <c r="H160" s="131" t="s">
        <v>30</v>
      </c>
      <c r="I160" s="151"/>
      <c r="J160" s="75"/>
      <c r="K160" s="472">
        <f t="shared" ref="K160:K198" si="4">(J160*I160)</f>
        <v>0</v>
      </c>
      <c r="L160" s="55" t="b">
        <v>0</v>
      </c>
      <c r="M160" s="56"/>
      <c r="N160" s="57"/>
      <c r="O160" s="75"/>
      <c r="P160" s="191" t="b">
        <v>0</v>
      </c>
      <c r="Q160" s="433"/>
      <c r="R160" s="474"/>
      <c r="S160" s="57" t="b">
        <v>0</v>
      </c>
      <c r="T160" s="495"/>
      <c r="U160" s="307"/>
      <c r="V160" s="54"/>
    </row>
    <row r="161" spans="1:25" ht="16">
      <c r="A161" s="162"/>
      <c r="B161" s="71"/>
      <c r="C161" s="151"/>
      <c r="D161" s="151"/>
      <c r="E161" s="151"/>
      <c r="F161" s="151"/>
      <c r="G161" s="66"/>
      <c r="H161" s="131" t="s">
        <v>30</v>
      </c>
      <c r="I161" s="151"/>
      <c r="J161" s="75"/>
      <c r="K161" s="472">
        <f t="shared" si="4"/>
        <v>0</v>
      </c>
      <c r="L161" s="55" t="b">
        <v>0</v>
      </c>
      <c r="M161" s="56"/>
      <c r="N161" s="57"/>
      <c r="O161" s="75"/>
      <c r="P161" s="191" t="b">
        <v>0</v>
      </c>
      <c r="Q161" s="433"/>
      <c r="R161" s="474"/>
      <c r="S161" s="57" t="b">
        <v>0</v>
      </c>
      <c r="T161" s="495"/>
      <c r="U161" s="307"/>
      <c r="V161" s="54"/>
    </row>
    <row r="162" spans="1:25" ht="16">
      <c r="A162" s="162"/>
      <c r="B162" s="456"/>
      <c r="C162" s="158"/>
      <c r="D162" s="158"/>
      <c r="E162" s="158"/>
      <c r="F162" s="158"/>
      <c r="G162" s="158"/>
      <c r="H162" s="131" t="s">
        <v>30</v>
      </c>
      <c r="I162" s="151"/>
      <c r="J162" s="75"/>
      <c r="K162" s="472">
        <f t="shared" si="4"/>
        <v>0</v>
      </c>
      <c r="L162" s="55" t="b">
        <v>0</v>
      </c>
      <c r="M162" s="457"/>
      <c r="N162" s="57"/>
      <c r="O162" s="438"/>
      <c r="P162" s="191" t="b">
        <v>0</v>
      </c>
      <c r="Q162" s="433"/>
      <c r="R162" s="474"/>
      <c r="S162" s="57" t="b">
        <v>0</v>
      </c>
      <c r="T162" s="497"/>
      <c r="U162" s="459"/>
      <c r="V162" s="438"/>
    </row>
    <row r="163" spans="1:25" ht="16">
      <c r="A163" s="162"/>
      <c r="B163" s="71"/>
      <c r="C163" s="151"/>
      <c r="D163" s="151"/>
      <c r="E163" s="151"/>
      <c r="F163" s="151"/>
      <c r="G163" s="66"/>
      <c r="H163" s="131" t="s">
        <v>30</v>
      </c>
      <c r="I163" s="151"/>
      <c r="J163" s="75"/>
      <c r="K163" s="472">
        <f t="shared" si="4"/>
        <v>0</v>
      </c>
      <c r="L163" s="55" t="b">
        <v>0</v>
      </c>
      <c r="M163" s="56"/>
      <c r="N163" s="57"/>
      <c r="O163" s="75"/>
      <c r="P163" s="191" t="b">
        <v>0</v>
      </c>
      <c r="Q163" s="433"/>
      <c r="R163" s="474"/>
      <c r="S163" s="57" t="b">
        <v>0</v>
      </c>
      <c r="T163" s="309"/>
      <c r="U163" s="307"/>
      <c r="V163" s="54"/>
    </row>
    <row r="164" spans="1:25" ht="16">
      <c r="A164" s="455"/>
      <c r="B164" s="71"/>
      <c r="C164" s="151"/>
      <c r="D164" s="151"/>
      <c r="E164" s="151"/>
      <c r="F164" s="151"/>
      <c r="G164" s="66"/>
      <c r="H164" s="131" t="s">
        <v>30</v>
      </c>
      <c r="I164" s="151"/>
      <c r="J164" s="75"/>
      <c r="K164" s="472">
        <f t="shared" si="4"/>
        <v>0</v>
      </c>
      <c r="L164" s="55" t="b">
        <v>0</v>
      </c>
      <c r="M164" s="56"/>
      <c r="N164" s="57"/>
      <c r="O164" s="75"/>
      <c r="P164" s="191" t="b">
        <v>0</v>
      </c>
      <c r="Q164" s="433"/>
      <c r="R164" s="474"/>
      <c r="S164" s="57" t="b">
        <v>0</v>
      </c>
      <c r="T164" s="309"/>
      <c r="U164" s="307"/>
      <c r="V164" s="54"/>
      <c r="X164" s="460"/>
      <c r="Y164" s="460"/>
    </row>
    <row r="165" spans="1:25" ht="16">
      <c r="A165" s="162"/>
      <c r="B165" s="71"/>
      <c r="C165" s="151"/>
      <c r="D165" s="151"/>
      <c r="E165" s="151"/>
      <c r="F165" s="151"/>
      <c r="G165" s="66"/>
      <c r="H165" s="131" t="s">
        <v>30</v>
      </c>
      <c r="I165" s="151"/>
      <c r="J165" s="75"/>
      <c r="K165" s="472">
        <f t="shared" si="4"/>
        <v>0</v>
      </c>
      <c r="L165" s="55" t="b">
        <v>0</v>
      </c>
      <c r="M165" s="56"/>
      <c r="N165" s="57"/>
      <c r="O165" s="75"/>
      <c r="P165" s="191" t="b">
        <v>0</v>
      </c>
      <c r="Q165" s="433"/>
      <c r="R165" s="474"/>
      <c r="S165" s="57" t="b">
        <v>0</v>
      </c>
      <c r="T165" s="309"/>
      <c r="U165" s="307"/>
      <c r="V165" s="54"/>
    </row>
    <row r="166" spans="1:25" ht="16">
      <c r="A166" s="162"/>
      <c r="B166" s="71"/>
      <c r="C166" s="53"/>
      <c r="D166" s="53"/>
      <c r="E166" s="53"/>
      <c r="F166" s="53"/>
      <c r="G166" s="66"/>
      <c r="H166" s="131" t="s">
        <v>30</v>
      </c>
      <c r="I166" s="151"/>
      <c r="J166" s="75"/>
      <c r="K166" s="472">
        <f t="shared" si="4"/>
        <v>0</v>
      </c>
      <c r="L166" s="55" t="b">
        <v>0</v>
      </c>
      <c r="M166" s="56"/>
      <c r="N166" s="57"/>
      <c r="O166" s="75"/>
      <c r="P166" s="191" t="b">
        <v>0</v>
      </c>
      <c r="Q166" s="433"/>
      <c r="R166" s="474"/>
      <c r="S166" s="57" t="b">
        <v>0</v>
      </c>
      <c r="T166" s="495"/>
      <c r="U166" s="307"/>
      <c r="V166" s="54"/>
    </row>
    <row r="167" spans="1:25" ht="16">
      <c r="A167" s="162"/>
      <c r="B167" s="71"/>
      <c r="C167" s="53"/>
      <c r="D167" s="53"/>
      <c r="E167" s="53"/>
      <c r="F167" s="53"/>
      <c r="G167" s="66"/>
      <c r="H167" s="131" t="s">
        <v>30</v>
      </c>
      <c r="I167" s="151"/>
      <c r="J167" s="75"/>
      <c r="K167" s="472">
        <f t="shared" si="4"/>
        <v>0</v>
      </c>
      <c r="L167" s="55" t="b">
        <v>0</v>
      </c>
      <c r="M167" s="56"/>
      <c r="N167" s="57"/>
      <c r="O167" s="75"/>
      <c r="P167" s="191" t="b">
        <v>0</v>
      </c>
      <c r="Q167" s="433"/>
      <c r="R167" s="474"/>
      <c r="S167" s="57" t="b">
        <v>0</v>
      </c>
      <c r="T167" s="495"/>
      <c r="U167" s="307"/>
      <c r="V167" s="54"/>
    </row>
    <row r="168" spans="1:25" ht="16">
      <c r="A168" s="162"/>
      <c r="B168" s="71"/>
      <c r="C168" s="53"/>
      <c r="D168" s="53"/>
      <c r="E168" s="53"/>
      <c r="F168" s="53"/>
      <c r="G168" s="66"/>
      <c r="H168" s="131" t="s">
        <v>30</v>
      </c>
      <c r="I168" s="151"/>
      <c r="J168" s="75"/>
      <c r="K168" s="472">
        <f t="shared" si="4"/>
        <v>0</v>
      </c>
      <c r="L168" s="55" t="b">
        <v>0</v>
      </c>
      <c r="M168" s="56"/>
      <c r="N168" s="57"/>
      <c r="O168" s="75"/>
      <c r="P168" s="191" t="b">
        <v>0</v>
      </c>
      <c r="Q168" s="433"/>
      <c r="R168" s="474"/>
      <c r="S168" s="57" t="b">
        <v>0</v>
      </c>
      <c r="T168" s="495"/>
      <c r="U168" s="307"/>
      <c r="V168" s="54"/>
    </row>
    <row r="169" spans="1:25" ht="16">
      <c r="A169" s="162"/>
      <c r="B169" s="71"/>
      <c r="C169" s="53"/>
      <c r="D169" s="53"/>
      <c r="E169" s="53"/>
      <c r="F169" s="53"/>
      <c r="G169" s="66"/>
      <c r="H169" s="131" t="s">
        <v>30</v>
      </c>
      <c r="I169" s="151"/>
      <c r="J169" s="75"/>
      <c r="K169" s="472">
        <f t="shared" si="4"/>
        <v>0</v>
      </c>
      <c r="L169" s="55" t="b">
        <v>0</v>
      </c>
      <c r="M169" s="56"/>
      <c r="N169" s="57"/>
      <c r="O169" s="75"/>
      <c r="P169" s="191" t="b">
        <v>0</v>
      </c>
      <c r="Q169" s="433"/>
      <c r="R169" s="474"/>
      <c r="S169" s="57" t="b">
        <v>0</v>
      </c>
      <c r="T169" s="495"/>
      <c r="U169" s="307"/>
      <c r="V169" s="54"/>
    </row>
    <row r="170" spans="1:25" ht="16">
      <c r="A170" s="162"/>
      <c r="B170" s="71"/>
      <c r="C170" s="53"/>
      <c r="D170" s="53"/>
      <c r="E170" s="53"/>
      <c r="F170" s="53"/>
      <c r="G170" s="66"/>
      <c r="H170" s="131" t="s">
        <v>30</v>
      </c>
      <c r="I170" s="151"/>
      <c r="J170" s="75"/>
      <c r="K170" s="472">
        <f t="shared" si="4"/>
        <v>0</v>
      </c>
      <c r="L170" s="55" t="b">
        <v>0</v>
      </c>
      <c r="M170" s="56"/>
      <c r="N170" s="57"/>
      <c r="O170" s="75"/>
      <c r="P170" s="191" t="b">
        <v>0</v>
      </c>
      <c r="Q170" s="433"/>
      <c r="R170" s="474"/>
      <c r="S170" s="57" t="b">
        <v>0</v>
      </c>
      <c r="T170" s="309"/>
      <c r="U170" s="307"/>
      <c r="V170" s="54"/>
    </row>
    <row r="171" spans="1:25" ht="16">
      <c r="A171" s="162"/>
      <c r="B171" s="71"/>
      <c r="C171" s="53"/>
      <c r="D171" s="53"/>
      <c r="E171" s="53"/>
      <c r="F171" s="53"/>
      <c r="G171" s="66"/>
      <c r="H171" s="131" t="s">
        <v>30</v>
      </c>
      <c r="I171" s="151"/>
      <c r="J171" s="75"/>
      <c r="K171" s="472">
        <f t="shared" si="4"/>
        <v>0</v>
      </c>
      <c r="L171" s="55" t="b">
        <v>0</v>
      </c>
      <c r="M171" s="56"/>
      <c r="N171" s="57"/>
      <c r="O171" s="75"/>
      <c r="P171" s="191" t="b">
        <v>0</v>
      </c>
      <c r="Q171" s="433"/>
      <c r="R171" s="474"/>
      <c r="S171" s="57" t="b">
        <v>0</v>
      </c>
      <c r="T171" s="495"/>
      <c r="U171" s="307"/>
      <c r="V171" s="54"/>
    </row>
    <row r="172" spans="1:25" ht="16">
      <c r="A172" s="162"/>
      <c r="B172" s="71"/>
      <c r="C172" s="151"/>
      <c r="D172" s="151"/>
      <c r="E172" s="151"/>
      <c r="F172" s="151"/>
      <c r="G172" s="66"/>
      <c r="H172" s="131" t="s">
        <v>30</v>
      </c>
      <c r="I172" s="151"/>
      <c r="J172" s="75"/>
      <c r="K172" s="472">
        <f t="shared" si="4"/>
        <v>0</v>
      </c>
      <c r="L172" s="55" t="b">
        <v>0</v>
      </c>
      <c r="M172" s="56"/>
      <c r="N172" s="57"/>
      <c r="O172" s="75"/>
      <c r="P172" s="191" t="b">
        <v>0</v>
      </c>
      <c r="Q172" s="433"/>
      <c r="R172" s="474"/>
      <c r="S172" s="57" t="b">
        <v>0</v>
      </c>
      <c r="T172" s="309"/>
      <c r="U172" s="307"/>
      <c r="V172" s="54"/>
    </row>
    <row r="173" spans="1:25" ht="16">
      <c r="A173" s="162"/>
      <c r="B173" s="71"/>
      <c r="C173" s="151"/>
      <c r="D173" s="151"/>
      <c r="E173" s="151"/>
      <c r="F173" s="151"/>
      <c r="G173" s="66"/>
      <c r="H173" s="131" t="s">
        <v>30</v>
      </c>
      <c r="I173" s="151"/>
      <c r="J173" s="75"/>
      <c r="K173" s="472">
        <f t="shared" si="4"/>
        <v>0</v>
      </c>
      <c r="L173" s="55" t="b">
        <v>0</v>
      </c>
      <c r="M173" s="56"/>
      <c r="N173" s="57"/>
      <c r="O173" s="75"/>
      <c r="P173" s="191" t="b">
        <v>0</v>
      </c>
      <c r="Q173" s="433"/>
      <c r="R173" s="474"/>
      <c r="S173" s="57" t="b">
        <v>0</v>
      </c>
      <c r="T173" s="309"/>
      <c r="U173" s="307"/>
      <c r="V173" s="54"/>
    </row>
    <row r="174" spans="1:25" ht="16">
      <c r="A174" s="162"/>
      <c r="B174" s="71"/>
      <c r="C174" s="151"/>
      <c r="D174" s="151"/>
      <c r="E174" s="151"/>
      <c r="F174" s="151"/>
      <c r="G174" s="66"/>
      <c r="H174" s="131" t="s">
        <v>30</v>
      </c>
      <c r="I174" s="151"/>
      <c r="J174" s="75"/>
      <c r="K174" s="472">
        <f t="shared" si="4"/>
        <v>0</v>
      </c>
      <c r="L174" s="55" t="b">
        <v>0</v>
      </c>
      <c r="M174" s="56"/>
      <c r="N174" s="57"/>
      <c r="O174" s="75"/>
      <c r="P174" s="191" t="b">
        <v>0</v>
      </c>
      <c r="Q174" s="433"/>
      <c r="R174" s="474"/>
      <c r="S174" s="57" t="b">
        <v>0</v>
      </c>
      <c r="T174" s="495"/>
      <c r="U174" s="307"/>
      <c r="V174" s="54"/>
    </row>
    <row r="175" spans="1:25" ht="16">
      <c r="A175" s="162"/>
      <c r="B175" s="71"/>
      <c r="C175" s="151"/>
      <c r="D175" s="151"/>
      <c r="E175" s="151"/>
      <c r="F175" s="151"/>
      <c r="G175" s="66"/>
      <c r="H175" s="131" t="s">
        <v>30</v>
      </c>
      <c r="I175" s="151"/>
      <c r="J175" s="75"/>
      <c r="K175" s="472">
        <f t="shared" si="4"/>
        <v>0</v>
      </c>
      <c r="L175" s="55" t="b">
        <v>0</v>
      </c>
      <c r="M175" s="56"/>
      <c r="N175" s="57"/>
      <c r="O175" s="75"/>
      <c r="P175" s="191" t="b">
        <v>0</v>
      </c>
      <c r="Q175" s="433"/>
      <c r="R175" s="474"/>
      <c r="S175" s="57" t="b">
        <v>0</v>
      </c>
      <c r="T175" s="309"/>
      <c r="U175" s="307"/>
      <c r="V175" s="54"/>
    </row>
    <row r="176" spans="1:25" ht="16">
      <c r="A176" s="162"/>
      <c r="B176" s="71"/>
      <c r="C176" s="151"/>
      <c r="D176" s="151"/>
      <c r="E176" s="151"/>
      <c r="F176" s="151"/>
      <c r="G176" s="66"/>
      <c r="H176" s="131" t="s">
        <v>30</v>
      </c>
      <c r="I176" s="151"/>
      <c r="J176" s="75"/>
      <c r="K176" s="472">
        <f t="shared" si="4"/>
        <v>0</v>
      </c>
      <c r="L176" s="55" t="b">
        <v>0</v>
      </c>
      <c r="M176" s="56"/>
      <c r="N176" s="57"/>
      <c r="O176" s="75"/>
      <c r="P176" s="191" t="b">
        <v>0</v>
      </c>
      <c r="Q176" s="433"/>
      <c r="R176" s="474"/>
      <c r="S176" s="57" t="b">
        <v>0</v>
      </c>
      <c r="T176" s="309"/>
      <c r="U176" s="307"/>
      <c r="V176" s="54"/>
    </row>
    <row r="177" spans="1:25" ht="16">
      <c r="A177" s="162"/>
      <c r="B177" s="437"/>
      <c r="C177" s="80"/>
      <c r="D177" s="80"/>
      <c r="E177" s="80"/>
      <c r="F177" s="80"/>
      <c r="G177" s="158"/>
      <c r="H177" s="131" t="s">
        <v>30</v>
      </c>
      <c r="I177" s="151"/>
      <c r="J177" s="75"/>
      <c r="K177" s="472">
        <f t="shared" si="4"/>
        <v>0</v>
      </c>
      <c r="L177" s="55" t="b">
        <v>0</v>
      </c>
      <c r="M177" s="461"/>
      <c r="N177" s="57"/>
      <c r="O177" s="438"/>
      <c r="P177" s="191" t="b">
        <v>0</v>
      </c>
      <c r="Q177" s="433"/>
      <c r="R177" s="474"/>
      <c r="S177" s="57" t="b">
        <v>0</v>
      </c>
      <c r="T177" s="309"/>
      <c r="U177" s="459"/>
      <c r="V177" s="336"/>
    </row>
    <row r="178" spans="1:25" ht="16">
      <c r="A178" s="162"/>
      <c r="B178" s="71"/>
      <c r="C178" s="151"/>
      <c r="D178" s="151"/>
      <c r="E178" s="151"/>
      <c r="F178" s="151"/>
      <c r="G178" s="66"/>
      <c r="H178" s="131" t="s">
        <v>30</v>
      </c>
      <c r="I178" s="151"/>
      <c r="J178" s="75"/>
      <c r="K178" s="472">
        <f t="shared" si="4"/>
        <v>0</v>
      </c>
      <c r="L178" s="55" t="b">
        <v>0</v>
      </c>
      <c r="M178" s="56"/>
      <c r="N178" s="57"/>
      <c r="O178" s="75"/>
      <c r="P178" s="191" t="b">
        <v>0</v>
      </c>
      <c r="Q178" s="433"/>
      <c r="R178" s="474"/>
      <c r="S178" s="57" t="b">
        <v>0</v>
      </c>
      <c r="T178" s="309"/>
      <c r="U178" s="307"/>
      <c r="V178" s="54"/>
    </row>
    <row r="179" spans="1:25" ht="16">
      <c r="A179" s="455"/>
      <c r="B179" s="71"/>
      <c r="C179" s="151"/>
      <c r="D179" s="151"/>
      <c r="E179" s="151"/>
      <c r="F179" s="151"/>
      <c r="G179" s="66"/>
      <c r="H179" s="131" t="s">
        <v>30</v>
      </c>
      <c r="I179" s="151"/>
      <c r="J179" s="75"/>
      <c r="K179" s="472">
        <f t="shared" si="4"/>
        <v>0</v>
      </c>
      <c r="L179" s="55" t="b">
        <v>0</v>
      </c>
      <c r="M179" s="56"/>
      <c r="N179" s="57"/>
      <c r="O179" s="75"/>
      <c r="P179" s="191" t="b">
        <v>0</v>
      </c>
      <c r="Q179" s="433"/>
      <c r="R179" s="474"/>
      <c r="S179" s="57" t="b">
        <v>0</v>
      </c>
      <c r="T179" s="309"/>
      <c r="U179" s="307"/>
      <c r="V179" s="54"/>
      <c r="X179" s="462"/>
      <c r="Y179" s="462"/>
    </row>
    <row r="180" spans="1:25" ht="14.25" customHeight="1">
      <c r="A180" s="162"/>
      <c r="B180" s="71"/>
      <c r="C180" s="53"/>
      <c r="D180" s="53"/>
      <c r="E180" s="53"/>
      <c r="F180" s="53"/>
      <c r="G180" s="158"/>
      <c r="H180" s="131" t="s">
        <v>30</v>
      </c>
      <c r="I180" s="151"/>
      <c r="J180" s="75"/>
      <c r="K180" s="472">
        <f t="shared" si="4"/>
        <v>0</v>
      </c>
      <c r="L180" s="55" t="b">
        <v>0</v>
      </c>
      <c r="M180" s="56"/>
      <c r="N180" s="57"/>
      <c r="O180" s="75"/>
      <c r="P180" s="191" t="b">
        <v>0</v>
      </c>
      <c r="Q180" s="433"/>
      <c r="R180" s="474"/>
      <c r="S180" s="57"/>
      <c r="T180" s="309"/>
      <c r="U180" s="307"/>
      <c r="V180" s="54"/>
    </row>
    <row r="181" spans="1:25" ht="16">
      <c r="A181" s="162"/>
      <c r="B181" s="437"/>
      <c r="C181" s="340"/>
      <c r="D181" s="340"/>
      <c r="E181" s="340"/>
      <c r="F181" s="340"/>
      <c r="G181" s="158"/>
      <c r="H181" s="131" t="s">
        <v>30</v>
      </c>
      <c r="I181" s="151"/>
      <c r="J181" s="75"/>
      <c r="K181" s="472">
        <f t="shared" si="4"/>
        <v>0</v>
      </c>
      <c r="L181" s="55" t="b">
        <v>0</v>
      </c>
      <c r="M181" s="80"/>
      <c r="N181" s="57"/>
      <c r="O181" s="438"/>
      <c r="P181" s="191" t="b">
        <v>0</v>
      </c>
      <c r="Q181" s="433"/>
      <c r="R181" s="474"/>
      <c r="S181" s="57"/>
      <c r="T181" s="309"/>
      <c r="U181" s="459"/>
      <c r="V181" s="336"/>
    </row>
    <row r="182" spans="1:25" ht="16">
      <c r="A182" s="162"/>
      <c r="B182" s="71"/>
      <c r="C182" s="151"/>
      <c r="D182" s="151"/>
      <c r="E182" s="151"/>
      <c r="F182" s="151"/>
      <c r="G182" s="66"/>
      <c r="H182" s="131" t="s">
        <v>30</v>
      </c>
      <c r="I182" s="151"/>
      <c r="J182" s="75"/>
      <c r="K182" s="472">
        <f t="shared" si="4"/>
        <v>0</v>
      </c>
      <c r="L182" s="55" t="b">
        <v>0</v>
      </c>
      <c r="M182" s="56"/>
      <c r="N182" s="57"/>
      <c r="O182" s="75"/>
      <c r="P182" s="191" t="b">
        <v>0</v>
      </c>
      <c r="Q182" s="433"/>
      <c r="R182" s="474"/>
      <c r="S182" s="57"/>
      <c r="T182" s="309"/>
      <c r="U182" s="307"/>
      <c r="V182" s="54"/>
    </row>
    <row r="183" spans="1:25" ht="16">
      <c r="A183" s="455"/>
      <c r="B183" s="71"/>
      <c r="C183" s="151"/>
      <c r="D183" s="151"/>
      <c r="E183" s="151"/>
      <c r="F183" s="151"/>
      <c r="G183" s="158"/>
      <c r="H183" s="131" t="s">
        <v>30</v>
      </c>
      <c r="I183" s="151"/>
      <c r="J183" s="75"/>
      <c r="K183" s="472">
        <f t="shared" si="4"/>
        <v>0</v>
      </c>
      <c r="L183" s="55" t="b">
        <v>0</v>
      </c>
      <c r="M183" s="56"/>
      <c r="N183" s="57"/>
      <c r="O183" s="75"/>
      <c r="P183" s="191" t="b">
        <v>0</v>
      </c>
      <c r="Q183" s="433"/>
      <c r="R183" s="474"/>
      <c r="S183" s="57"/>
      <c r="T183" s="309"/>
      <c r="U183" s="307"/>
      <c r="V183" s="54"/>
      <c r="X183" s="462"/>
      <c r="Y183" s="462"/>
    </row>
    <row r="184" spans="1:25" ht="16">
      <c r="A184" s="162"/>
      <c r="B184" s="71"/>
      <c r="C184" s="53"/>
      <c r="D184" s="53"/>
      <c r="E184" s="53"/>
      <c r="F184" s="53"/>
      <c r="G184" s="66"/>
      <c r="H184" s="131" t="s">
        <v>30</v>
      </c>
      <c r="I184" s="151"/>
      <c r="J184" s="75"/>
      <c r="K184" s="472">
        <f t="shared" si="4"/>
        <v>0</v>
      </c>
      <c r="L184" s="55" t="b">
        <v>0</v>
      </c>
      <c r="M184" s="56"/>
      <c r="N184" s="57"/>
      <c r="O184" s="75"/>
      <c r="P184" s="191" t="b">
        <v>0</v>
      </c>
      <c r="Q184" s="433"/>
      <c r="R184" s="474"/>
      <c r="S184" s="57"/>
      <c r="T184" s="309"/>
      <c r="U184" s="307"/>
      <c r="V184" s="54"/>
    </row>
    <row r="185" spans="1:25" ht="16">
      <c r="A185" s="162"/>
      <c r="B185" s="71"/>
      <c r="C185" s="53"/>
      <c r="D185" s="53"/>
      <c r="E185" s="53"/>
      <c r="F185" s="53"/>
      <c r="G185" s="66"/>
      <c r="H185" s="131" t="s">
        <v>30</v>
      </c>
      <c r="I185" s="151"/>
      <c r="J185" s="75"/>
      <c r="K185" s="472">
        <f t="shared" si="4"/>
        <v>0</v>
      </c>
      <c r="L185" s="55" t="b">
        <v>0</v>
      </c>
      <c r="M185" s="56"/>
      <c r="N185" s="57"/>
      <c r="O185" s="75"/>
      <c r="P185" s="191" t="b">
        <v>0</v>
      </c>
      <c r="Q185" s="433"/>
      <c r="R185" s="474"/>
      <c r="S185" s="57"/>
      <c r="T185" s="309"/>
      <c r="U185" s="307"/>
      <c r="V185" s="54"/>
    </row>
    <row r="186" spans="1:25" ht="16">
      <c r="A186" s="162"/>
      <c r="B186" s="71"/>
      <c r="C186" s="53"/>
      <c r="D186" s="53"/>
      <c r="E186" s="53"/>
      <c r="F186" s="53"/>
      <c r="G186" s="66"/>
      <c r="H186" s="131" t="s">
        <v>30</v>
      </c>
      <c r="I186" s="151"/>
      <c r="J186" s="75"/>
      <c r="K186" s="472">
        <f t="shared" si="4"/>
        <v>0</v>
      </c>
      <c r="L186" s="55" t="b">
        <v>0</v>
      </c>
      <c r="M186" s="56"/>
      <c r="N186" s="57"/>
      <c r="O186" s="75"/>
      <c r="P186" s="191" t="b">
        <v>0</v>
      </c>
      <c r="Q186" s="433"/>
      <c r="R186" s="474"/>
      <c r="S186" s="57"/>
      <c r="T186" s="309"/>
      <c r="U186" s="307"/>
      <c r="V186" s="54"/>
    </row>
    <row r="187" spans="1:25" ht="16">
      <c r="A187" s="162"/>
      <c r="B187" s="437"/>
      <c r="C187" s="80"/>
      <c r="D187" s="80"/>
      <c r="E187" s="80"/>
      <c r="F187" s="80"/>
      <c r="G187" s="158"/>
      <c r="H187" s="131" t="s">
        <v>30</v>
      </c>
      <c r="I187" s="151"/>
      <c r="J187" s="75"/>
      <c r="K187" s="472">
        <f t="shared" si="4"/>
        <v>0</v>
      </c>
      <c r="L187" s="55" t="b">
        <v>0</v>
      </c>
      <c r="M187" s="56"/>
      <c r="N187" s="57"/>
      <c r="O187" s="438"/>
      <c r="P187" s="191" t="b">
        <v>0</v>
      </c>
      <c r="Q187" s="433"/>
      <c r="R187" s="474"/>
      <c r="S187" s="57"/>
      <c r="T187" s="309"/>
      <c r="U187" s="459"/>
      <c r="V187" s="336"/>
    </row>
    <row r="188" spans="1:25" ht="16">
      <c r="A188" s="162"/>
      <c r="B188" s="71"/>
      <c r="C188" s="151"/>
      <c r="D188" s="151"/>
      <c r="E188" s="151"/>
      <c r="F188" s="53"/>
      <c r="G188" s="66"/>
      <c r="H188" s="131" t="s">
        <v>30</v>
      </c>
      <c r="I188" s="151"/>
      <c r="J188" s="75"/>
      <c r="K188" s="472">
        <f t="shared" si="4"/>
        <v>0</v>
      </c>
      <c r="L188" s="55" t="b">
        <v>0</v>
      </c>
      <c r="M188" s="56"/>
      <c r="N188" s="57"/>
      <c r="O188" s="75"/>
      <c r="P188" s="191" t="b">
        <v>0</v>
      </c>
      <c r="Q188" s="433"/>
      <c r="R188" s="474"/>
      <c r="S188" s="57"/>
      <c r="T188" s="309"/>
      <c r="U188" s="307"/>
      <c r="V188" s="54"/>
    </row>
    <row r="189" spans="1:25" ht="16">
      <c r="A189" s="455"/>
      <c r="B189" s="71"/>
      <c r="C189" s="53"/>
      <c r="D189" s="53"/>
      <c r="E189" s="53"/>
      <c r="F189" s="53"/>
      <c r="G189" s="66"/>
      <c r="H189" s="131" t="s">
        <v>30</v>
      </c>
      <c r="I189" s="151"/>
      <c r="J189" s="75"/>
      <c r="K189" s="472">
        <f t="shared" si="4"/>
        <v>0</v>
      </c>
      <c r="L189" s="55" t="b">
        <v>0</v>
      </c>
      <c r="M189" s="56"/>
      <c r="N189" s="57"/>
      <c r="O189" s="75"/>
      <c r="P189" s="191" t="b">
        <v>0</v>
      </c>
      <c r="Q189" s="433"/>
      <c r="R189" s="474"/>
      <c r="S189" s="57"/>
      <c r="T189" s="495"/>
      <c r="U189" s="307"/>
      <c r="V189" s="54"/>
      <c r="X189" s="462"/>
      <c r="Y189" s="462"/>
    </row>
    <row r="190" spans="1:25" ht="16">
      <c r="A190" s="162"/>
      <c r="B190" s="71"/>
      <c r="C190" s="53"/>
      <c r="D190" s="53"/>
      <c r="E190" s="53"/>
      <c r="F190" s="53"/>
      <c r="G190" s="66"/>
      <c r="H190" s="131" t="s">
        <v>30</v>
      </c>
      <c r="I190" s="151"/>
      <c r="J190" s="75"/>
      <c r="K190" s="472">
        <f t="shared" si="4"/>
        <v>0</v>
      </c>
      <c r="L190" s="55" t="b">
        <v>0</v>
      </c>
      <c r="M190" s="56"/>
      <c r="N190" s="57"/>
      <c r="O190" s="75"/>
      <c r="P190" s="191" t="b">
        <v>0</v>
      </c>
      <c r="Q190" s="433"/>
      <c r="R190" s="474"/>
      <c r="S190" s="57"/>
      <c r="T190" s="495"/>
      <c r="U190" s="307"/>
      <c r="V190" s="54"/>
    </row>
    <row r="191" spans="1:25" ht="16">
      <c r="A191" s="162"/>
      <c r="B191" s="71"/>
      <c r="C191" s="53"/>
      <c r="D191" s="53"/>
      <c r="E191" s="53"/>
      <c r="F191" s="53"/>
      <c r="G191" s="66"/>
      <c r="H191" s="131" t="s">
        <v>30</v>
      </c>
      <c r="I191" s="151"/>
      <c r="J191" s="75"/>
      <c r="K191" s="472">
        <f t="shared" si="4"/>
        <v>0</v>
      </c>
      <c r="L191" s="55" t="b">
        <v>0</v>
      </c>
      <c r="M191" s="56"/>
      <c r="N191" s="57"/>
      <c r="O191" s="75"/>
      <c r="P191" s="191" t="b">
        <v>0</v>
      </c>
      <c r="Q191" s="433"/>
      <c r="R191" s="474"/>
      <c r="S191" s="57"/>
      <c r="T191" s="495"/>
      <c r="U191" s="307"/>
      <c r="V191" s="54"/>
    </row>
    <row r="192" spans="1:25" ht="16">
      <c r="A192" s="162"/>
      <c r="B192" s="71"/>
      <c r="C192" s="53"/>
      <c r="D192" s="53"/>
      <c r="E192" s="53"/>
      <c r="F192" s="53"/>
      <c r="G192" s="66"/>
      <c r="H192" s="131" t="s">
        <v>30</v>
      </c>
      <c r="I192" s="151"/>
      <c r="J192" s="75"/>
      <c r="K192" s="472">
        <f t="shared" si="4"/>
        <v>0</v>
      </c>
      <c r="L192" s="55" t="b">
        <v>0</v>
      </c>
      <c r="M192" s="56"/>
      <c r="N192" s="57"/>
      <c r="O192" s="75"/>
      <c r="P192" s="191" t="b">
        <v>0</v>
      </c>
      <c r="Q192" s="433"/>
      <c r="R192" s="474"/>
      <c r="S192" s="57"/>
      <c r="T192" s="495"/>
      <c r="U192" s="307"/>
      <c r="V192" s="54"/>
    </row>
    <row r="193" spans="1:22" ht="16">
      <c r="A193" s="162"/>
      <c r="B193" s="71"/>
      <c r="C193" s="53"/>
      <c r="D193" s="53"/>
      <c r="E193" s="53"/>
      <c r="F193" s="53"/>
      <c r="G193" s="66"/>
      <c r="H193" s="131" t="s">
        <v>30</v>
      </c>
      <c r="I193" s="151"/>
      <c r="J193" s="75"/>
      <c r="K193" s="472">
        <f t="shared" si="4"/>
        <v>0</v>
      </c>
      <c r="L193" s="55" t="b">
        <v>0</v>
      </c>
      <c r="M193" s="56"/>
      <c r="N193" s="57"/>
      <c r="O193" s="75"/>
      <c r="P193" s="191" t="b">
        <v>0</v>
      </c>
      <c r="Q193" s="433"/>
      <c r="R193" s="474"/>
      <c r="S193" s="57"/>
      <c r="T193" s="495"/>
      <c r="U193" s="307"/>
      <c r="V193" s="54"/>
    </row>
    <row r="194" spans="1:22" ht="16">
      <c r="A194" s="162"/>
      <c r="B194" s="71"/>
      <c r="C194" s="53"/>
      <c r="D194" s="53"/>
      <c r="E194" s="53"/>
      <c r="F194" s="53"/>
      <c r="G194" s="66"/>
      <c r="H194" s="131" t="s">
        <v>30</v>
      </c>
      <c r="I194" s="151"/>
      <c r="J194" s="75"/>
      <c r="K194" s="472">
        <f t="shared" si="4"/>
        <v>0</v>
      </c>
      <c r="L194" s="55" t="b">
        <v>0</v>
      </c>
      <c r="M194" s="56"/>
      <c r="N194" s="57"/>
      <c r="O194" s="75"/>
      <c r="P194" s="191" t="b">
        <v>0</v>
      </c>
      <c r="Q194" s="433"/>
      <c r="R194" s="474"/>
      <c r="S194" s="57"/>
      <c r="T194" s="309"/>
      <c r="U194" s="307"/>
      <c r="V194" s="54"/>
    </row>
    <row r="195" spans="1:22" ht="16">
      <c r="A195" s="162"/>
      <c r="B195" s="132"/>
      <c r="C195" s="53"/>
      <c r="D195" s="53"/>
      <c r="E195" s="53"/>
      <c r="F195" s="53"/>
      <c r="G195" s="66"/>
      <c r="H195" s="131" t="s">
        <v>30</v>
      </c>
      <c r="I195" s="151"/>
      <c r="J195" s="75"/>
      <c r="K195" s="472">
        <f t="shared" si="4"/>
        <v>0</v>
      </c>
      <c r="L195" s="55" t="b">
        <v>0</v>
      </c>
      <c r="M195" s="56"/>
      <c r="N195" s="57"/>
      <c r="O195" s="75"/>
      <c r="P195" s="191" t="b">
        <v>0</v>
      </c>
      <c r="Q195" s="433"/>
      <c r="R195" s="474"/>
      <c r="S195" s="57"/>
      <c r="T195" s="495"/>
      <c r="U195" s="307"/>
      <c r="V195" s="54"/>
    </row>
    <row r="196" spans="1:22" ht="16">
      <c r="A196" s="162"/>
      <c r="B196" s="132"/>
      <c r="C196" s="53"/>
      <c r="D196" s="53"/>
      <c r="E196" s="53"/>
      <c r="F196" s="53"/>
      <c r="G196" s="66"/>
      <c r="H196" s="131" t="s">
        <v>30</v>
      </c>
      <c r="I196" s="151"/>
      <c r="J196" s="75"/>
      <c r="K196" s="472">
        <f t="shared" si="4"/>
        <v>0</v>
      </c>
      <c r="L196" s="55" t="b">
        <v>0</v>
      </c>
      <c r="M196" s="56"/>
      <c r="N196" s="57"/>
      <c r="O196" s="75"/>
      <c r="P196" s="191" t="b">
        <v>0</v>
      </c>
      <c r="Q196" s="433"/>
      <c r="R196" s="474"/>
      <c r="S196" s="57"/>
      <c r="T196" s="495"/>
      <c r="U196" s="307"/>
      <c r="V196" s="54"/>
    </row>
    <row r="197" spans="1:22" ht="16">
      <c r="A197" s="162"/>
      <c r="B197" s="132"/>
      <c r="C197" s="151"/>
      <c r="D197" s="151"/>
      <c r="E197" s="151"/>
      <c r="F197" s="151"/>
      <c r="G197" s="66"/>
      <c r="H197" s="131" t="s">
        <v>30</v>
      </c>
      <c r="I197" s="151"/>
      <c r="J197" s="75"/>
      <c r="K197" s="472">
        <f t="shared" si="4"/>
        <v>0</v>
      </c>
      <c r="L197" s="55" t="b">
        <v>0</v>
      </c>
      <c r="M197" s="150"/>
      <c r="N197" s="57"/>
      <c r="O197" s="75"/>
      <c r="P197" s="191" t="b">
        <v>0</v>
      </c>
      <c r="Q197" s="433"/>
      <c r="R197" s="474"/>
      <c r="S197" s="57"/>
      <c r="T197" s="309"/>
      <c r="U197" s="307"/>
      <c r="V197" s="54"/>
    </row>
    <row r="198" spans="1:22" ht="16">
      <c r="A198" s="162"/>
      <c r="B198" s="132"/>
      <c r="C198" s="53"/>
      <c r="D198" s="53"/>
      <c r="E198" s="53"/>
      <c r="F198" s="53"/>
      <c r="G198" s="66"/>
      <c r="H198" s="131" t="s">
        <v>30</v>
      </c>
      <c r="I198" s="151"/>
      <c r="J198" s="75"/>
      <c r="K198" s="472">
        <f t="shared" si="4"/>
        <v>0</v>
      </c>
      <c r="L198" s="55" t="b">
        <v>0</v>
      </c>
      <c r="M198" s="56"/>
      <c r="N198" s="57"/>
      <c r="O198" s="75"/>
      <c r="P198" s="191" t="b">
        <v>0</v>
      </c>
      <c r="Q198" s="433"/>
      <c r="R198" s="474"/>
      <c r="S198" s="57"/>
      <c r="T198" s="495"/>
      <c r="U198" s="307"/>
      <c r="V198" s="54"/>
    </row>
    <row r="199" spans="1:22" ht="16">
      <c r="A199" s="162"/>
      <c r="B199" s="132"/>
      <c r="C199" s="80"/>
      <c r="D199" s="80"/>
      <c r="E199" s="80"/>
      <c r="F199" s="53"/>
      <c r="G199" s="66"/>
      <c r="H199" s="53"/>
      <c r="I199" s="151"/>
      <c r="J199" s="75"/>
      <c r="K199" s="54"/>
      <c r="L199" s="55"/>
      <c r="M199" s="56"/>
      <c r="N199" s="57"/>
      <c r="O199" s="75"/>
      <c r="P199" s="191"/>
      <c r="Q199" s="433"/>
      <c r="R199" s="474"/>
      <c r="S199" s="57"/>
      <c r="T199" s="495"/>
      <c r="U199" s="307"/>
      <c r="V199" s="54"/>
    </row>
    <row r="200" spans="1:22" ht="16">
      <c r="A200" s="162"/>
      <c r="B200" s="132"/>
      <c r="C200" s="53"/>
      <c r="D200" s="53"/>
      <c r="E200" s="53"/>
      <c r="F200" s="53"/>
      <c r="G200" s="66"/>
      <c r="H200" s="53"/>
      <c r="I200" s="151"/>
      <c r="J200" s="75"/>
      <c r="K200" s="54"/>
      <c r="L200" s="55"/>
      <c r="M200" s="56"/>
      <c r="N200" s="57"/>
      <c r="O200" s="75"/>
      <c r="P200" s="191"/>
      <c r="Q200" s="433"/>
      <c r="R200" s="474"/>
      <c r="S200" s="57"/>
      <c r="T200" s="495"/>
      <c r="U200" s="307"/>
      <c r="V200" s="54"/>
    </row>
    <row r="201" spans="1:22" ht="16">
      <c r="A201" s="162"/>
      <c r="B201" s="132"/>
      <c r="C201" s="53"/>
      <c r="D201" s="53"/>
      <c r="E201" s="53"/>
      <c r="F201" s="53"/>
      <c r="G201" s="66"/>
      <c r="H201" s="53"/>
      <c r="I201" s="151"/>
      <c r="J201" s="75"/>
      <c r="K201" s="54"/>
      <c r="L201" s="55"/>
      <c r="M201" s="56"/>
      <c r="N201" s="57"/>
      <c r="O201" s="75"/>
      <c r="P201" s="191"/>
      <c r="Q201" s="433"/>
      <c r="R201" s="474"/>
      <c r="S201" s="57"/>
      <c r="T201" s="495"/>
      <c r="U201" s="307"/>
      <c r="V201" s="54"/>
    </row>
    <row r="202" spans="1:22" ht="16">
      <c r="A202" s="162"/>
      <c r="B202" s="132"/>
      <c r="C202" s="53"/>
      <c r="D202" s="53"/>
      <c r="E202" s="53"/>
      <c r="F202" s="53"/>
      <c r="G202" s="66"/>
      <c r="H202" s="53"/>
      <c r="I202" s="151"/>
      <c r="J202" s="75"/>
      <c r="K202" s="54"/>
      <c r="L202" s="55"/>
      <c r="M202" s="56"/>
      <c r="N202" s="57"/>
      <c r="O202" s="75"/>
      <c r="P202" s="191"/>
      <c r="Q202" s="433"/>
      <c r="R202" s="474"/>
      <c r="S202" s="57"/>
      <c r="T202" s="495"/>
      <c r="U202" s="307"/>
      <c r="V202" s="54"/>
    </row>
    <row r="203" spans="1:22" ht="16">
      <c r="A203" s="162"/>
      <c r="B203" s="132"/>
      <c r="C203" s="53"/>
      <c r="D203" s="53"/>
      <c r="E203" s="53"/>
      <c r="F203" s="53"/>
      <c r="G203" s="66"/>
      <c r="H203" s="53"/>
      <c r="I203" s="151"/>
      <c r="J203" s="75"/>
      <c r="K203" s="54"/>
      <c r="L203" s="55"/>
      <c r="M203" s="56"/>
      <c r="N203" s="57"/>
      <c r="O203" s="75"/>
      <c r="P203" s="191"/>
      <c r="Q203" s="433"/>
      <c r="R203" s="474"/>
      <c r="S203" s="57"/>
      <c r="T203" s="495"/>
      <c r="U203" s="307"/>
      <c r="V203" s="54"/>
    </row>
    <row r="204" spans="1:22" ht="16">
      <c r="A204" s="162"/>
      <c r="B204" s="132"/>
      <c r="C204" s="53"/>
      <c r="D204" s="53"/>
      <c r="E204" s="53"/>
      <c r="F204" s="53"/>
      <c r="G204" s="66"/>
      <c r="H204" s="53"/>
      <c r="I204" s="151"/>
      <c r="J204" s="75"/>
      <c r="K204" s="54"/>
      <c r="L204" s="55"/>
      <c r="M204" s="56"/>
      <c r="N204" s="57"/>
      <c r="O204" s="75"/>
      <c r="P204" s="191"/>
      <c r="Q204" s="433"/>
      <c r="R204" s="474"/>
      <c r="S204" s="57"/>
      <c r="T204" s="495"/>
      <c r="U204" s="307"/>
      <c r="V204" s="54"/>
    </row>
    <row r="205" spans="1:22" ht="16">
      <c r="A205" s="162"/>
      <c r="B205" s="132"/>
      <c r="C205" s="53"/>
      <c r="D205" s="53"/>
      <c r="E205" s="53"/>
      <c r="F205" s="53"/>
      <c r="G205" s="66"/>
      <c r="H205" s="53"/>
      <c r="I205" s="151"/>
      <c r="J205" s="75"/>
      <c r="K205" s="54"/>
      <c r="L205" s="55"/>
      <c r="M205" s="56"/>
      <c r="N205" s="57"/>
      <c r="O205" s="75"/>
      <c r="P205" s="191"/>
      <c r="Q205" s="433"/>
      <c r="R205" s="474"/>
      <c r="S205" s="57"/>
      <c r="T205" s="495"/>
      <c r="U205" s="307"/>
      <c r="V205" s="54"/>
    </row>
    <row r="206" spans="1:22" ht="16">
      <c r="A206" s="162"/>
      <c r="B206" s="132"/>
      <c r="C206" s="53"/>
      <c r="D206" s="53"/>
      <c r="E206" s="53"/>
      <c r="F206" s="53"/>
      <c r="G206" s="66"/>
      <c r="H206" s="53"/>
      <c r="I206" s="151"/>
      <c r="J206" s="75"/>
      <c r="K206" s="54"/>
      <c r="L206" s="55"/>
      <c r="M206" s="56"/>
      <c r="N206" s="57"/>
      <c r="O206" s="75"/>
      <c r="P206" s="191"/>
      <c r="Q206" s="433"/>
      <c r="R206" s="474"/>
      <c r="S206" s="57"/>
      <c r="T206" s="495"/>
      <c r="U206" s="307"/>
      <c r="V206" s="54"/>
    </row>
    <row r="207" spans="1:22" ht="16">
      <c r="A207" s="162"/>
      <c r="B207" s="132"/>
      <c r="C207" s="53"/>
      <c r="D207" s="53"/>
      <c r="E207" s="53"/>
      <c r="F207" s="53"/>
      <c r="G207" s="66"/>
      <c r="H207" s="53"/>
      <c r="I207" s="151"/>
      <c r="J207" s="75"/>
      <c r="K207" s="54"/>
      <c r="L207" s="55"/>
      <c r="M207" s="56"/>
      <c r="N207" s="57"/>
      <c r="O207" s="75"/>
      <c r="P207" s="191"/>
      <c r="Q207" s="433"/>
      <c r="R207" s="474"/>
      <c r="S207" s="57"/>
      <c r="T207" s="495"/>
      <c r="U207" s="307"/>
      <c r="V207" s="54"/>
    </row>
    <row r="208" spans="1:22" ht="16">
      <c r="A208" s="162"/>
      <c r="B208" s="132"/>
      <c r="C208" s="53"/>
      <c r="D208" s="53"/>
      <c r="E208" s="53"/>
      <c r="F208" s="53"/>
      <c r="G208" s="66"/>
      <c r="H208" s="53"/>
      <c r="I208" s="151"/>
      <c r="J208" s="75"/>
      <c r="K208" s="54"/>
      <c r="L208" s="55"/>
      <c r="M208" s="56"/>
      <c r="N208" s="57"/>
      <c r="O208" s="75"/>
      <c r="P208" s="191"/>
      <c r="Q208" s="433"/>
      <c r="R208" s="474"/>
      <c r="S208" s="57"/>
      <c r="T208" s="495"/>
      <c r="U208" s="307"/>
      <c r="V208" s="54"/>
    </row>
    <row r="209" spans="1:22" ht="16">
      <c r="A209" s="162"/>
      <c r="B209" s="132"/>
      <c r="C209" s="53"/>
      <c r="D209" s="53"/>
      <c r="E209" s="53"/>
      <c r="F209" s="53"/>
      <c r="G209" s="66"/>
      <c r="H209" s="53"/>
      <c r="I209" s="151"/>
      <c r="J209" s="75"/>
      <c r="K209" s="54"/>
      <c r="L209" s="55"/>
      <c r="M209" s="56"/>
      <c r="N209" s="57"/>
      <c r="O209" s="75"/>
      <c r="P209" s="191"/>
      <c r="Q209" s="433"/>
      <c r="R209" s="474"/>
      <c r="S209" s="57"/>
      <c r="T209" s="495"/>
      <c r="U209" s="307"/>
      <c r="V209" s="54"/>
    </row>
    <row r="210" spans="1:22" ht="16">
      <c r="A210" s="162"/>
      <c r="B210" s="132"/>
      <c r="C210" s="53"/>
      <c r="D210" s="53"/>
      <c r="E210" s="53"/>
      <c r="F210" s="53"/>
      <c r="G210" s="66"/>
      <c r="H210" s="53"/>
      <c r="I210" s="151"/>
      <c r="J210" s="75"/>
      <c r="K210" s="54"/>
      <c r="L210" s="55"/>
      <c r="M210" s="56"/>
      <c r="N210" s="57"/>
      <c r="O210" s="75"/>
      <c r="P210" s="191"/>
      <c r="Q210" s="433"/>
      <c r="R210" s="474"/>
      <c r="S210" s="57"/>
      <c r="T210" s="495"/>
      <c r="U210" s="307"/>
      <c r="V210" s="54"/>
    </row>
    <row r="211" spans="1:22" ht="16">
      <c r="A211" s="162"/>
      <c r="B211" s="132"/>
      <c r="C211" s="53"/>
      <c r="D211" s="53"/>
      <c r="E211" s="53"/>
      <c r="F211" s="53"/>
      <c r="G211" s="66"/>
      <c r="H211" s="53"/>
      <c r="I211" s="151"/>
      <c r="J211" s="75"/>
      <c r="K211" s="54"/>
      <c r="L211" s="55"/>
      <c r="M211" s="56"/>
      <c r="N211" s="57"/>
      <c r="O211" s="75"/>
      <c r="P211" s="191"/>
      <c r="Q211" s="433"/>
      <c r="R211" s="474"/>
      <c r="S211" s="57"/>
      <c r="T211" s="495"/>
      <c r="U211" s="307"/>
      <c r="V211" s="54"/>
    </row>
    <row r="212" spans="1:22" ht="16">
      <c r="A212" s="162"/>
      <c r="B212" s="132"/>
      <c r="C212" s="53"/>
      <c r="D212" s="53"/>
      <c r="E212" s="53"/>
      <c r="F212" s="53"/>
      <c r="G212" s="66"/>
      <c r="H212" s="53"/>
      <c r="I212" s="151"/>
      <c r="J212" s="75"/>
      <c r="K212" s="54"/>
      <c r="L212" s="55"/>
      <c r="M212" s="56"/>
      <c r="N212" s="57"/>
      <c r="O212" s="75"/>
      <c r="P212" s="191"/>
      <c r="Q212" s="433"/>
      <c r="R212" s="474"/>
      <c r="S212" s="57"/>
      <c r="T212" s="495"/>
      <c r="U212" s="307"/>
      <c r="V212" s="54"/>
    </row>
    <row r="213" spans="1:22" ht="16">
      <c r="A213" s="162"/>
      <c r="B213" s="132"/>
      <c r="C213" s="53"/>
      <c r="D213" s="53"/>
      <c r="E213" s="53"/>
      <c r="F213" s="53"/>
      <c r="G213" s="66"/>
      <c r="H213" s="53"/>
      <c r="I213" s="151"/>
      <c r="J213" s="75"/>
      <c r="K213" s="54"/>
      <c r="L213" s="55"/>
      <c r="M213" s="56"/>
      <c r="N213" s="57"/>
      <c r="O213" s="75"/>
      <c r="P213" s="191"/>
      <c r="Q213" s="433"/>
      <c r="R213" s="474"/>
      <c r="S213" s="57"/>
      <c r="T213" s="495"/>
      <c r="U213" s="307"/>
      <c r="V213" s="54"/>
    </row>
    <row r="214" spans="1:22" ht="16">
      <c r="A214" s="162"/>
      <c r="B214" s="132"/>
      <c r="C214" s="53"/>
      <c r="D214" s="53"/>
      <c r="E214" s="53"/>
      <c r="F214" s="53"/>
      <c r="G214" s="66"/>
      <c r="H214" s="53"/>
      <c r="I214" s="151"/>
      <c r="J214" s="75"/>
      <c r="K214" s="54"/>
      <c r="L214" s="55"/>
      <c r="M214" s="56"/>
      <c r="N214" s="57"/>
      <c r="O214" s="75"/>
      <c r="P214" s="191"/>
      <c r="Q214" s="433"/>
      <c r="R214" s="54"/>
      <c r="S214" s="57"/>
      <c r="T214" s="495"/>
      <c r="U214" s="345"/>
      <c r="V214" s="54"/>
    </row>
    <row r="215" spans="1:22" ht="16">
      <c r="A215" s="162"/>
      <c r="B215" s="132"/>
      <c r="C215" s="53"/>
      <c r="D215" s="53"/>
      <c r="E215" s="53"/>
      <c r="F215" s="53"/>
      <c r="G215" s="66"/>
      <c r="H215" s="53"/>
      <c r="I215" s="151"/>
      <c r="J215" s="75"/>
      <c r="K215" s="54"/>
      <c r="L215" s="55"/>
      <c r="M215" s="56"/>
      <c r="N215" s="57"/>
      <c r="O215" s="75"/>
      <c r="P215" s="191"/>
      <c r="Q215" s="433"/>
      <c r="R215" s="54"/>
      <c r="S215" s="57"/>
      <c r="T215" s="495"/>
      <c r="U215" s="345"/>
      <c r="V215" s="54"/>
    </row>
    <row r="216" spans="1:22" ht="16">
      <c r="A216" s="162"/>
      <c r="B216" s="132"/>
      <c r="C216" s="151"/>
      <c r="D216" s="151"/>
      <c r="E216" s="151"/>
      <c r="F216" s="151"/>
      <c r="G216" s="66"/>
      <c r="H216" s="53"/>
      <c r="I216" s="151"/>
      <c r="J216" s="75"/>
      <c r="K216" s="54"/>
      <c r="L216" s="55"/>
      <c r="M216" s="56"/>
      <c r="N216" s="57"/>
      <c r="O216" s="75"/>
      <c r="P216" s="191"/>
      <c r="Q216" s="433"/>
      <c r="R216" s="54"/>
      <c r="S216" s="57"/>
      <c r="T216" s="495"/>
      <c r="U216" s="345"/>
      <c r="V216" s="54"/>
    </row>
    <row r="217" spans="1:22" ht="16">
      <c r="A217" s="162"/>
      <c r="B217" s="132"/>
      <c r="C217" s="151"/>
      <c r="D217" s="151"/>
      <c r="E217" s="151"/>
      <c r="F217" s="151"/>
      <c r="G217" s="66"/>
      <c r="H217" s="53"/>
      <c r="I217" s="151"/>
      <c r="J217" s="75"/>
      <c r="K217" s="54"/>
      <c r="L217" s="55"/>
      <c r="M217" s="56"/>
      <c r="N217" s="57"/>
      <c r="O217" s="75"/>
      <c r="P217" s="191"/>
      <c r="Q217" s="433"/>
      <c r="R217" s="54"/>
      <c r="S217" s="57"/>
      <c r="T217" s="495"/>
      <c r="U217" s="345"/>
      <c r="V217" s="54"/>
    </row>
    <row r="218" spans="1:22" ht="16">
      <c r="A218" s="162"/>
      <c r="B218" s="132"/>
      <c r="C218" s="151"/>
      <c r="D218" s="151"/>
      <c r="E218" s="151"/>
      <c r="F218" s="151"/>
      <c r="G218" s="66"/>
      <c r="H218" s="53"/>
      <c r="I218" s="151"/>
      <c r="J218" s="75"/>
      <c r="K218" s="54"/>
      <c r="L218" s="55"/>
      <c r="M218" s="56"/>
      <c r="N218" s="57"/>
      <c r="O218" s="75"/>
      <c r="P218" s="191"/>
      <c r="Q218" s="433"/>
      <c r="R218" s="54"/>
      <c r="S218" s="57"/>
      <c r="T218" s="495"/>
      <c r="U218" s="345"/>
      <c r="V218" s="54"/>
    </row>
    <row r="219" spans="1:22" ht="16">
      <c r="A219" s="162"/>
      <c r="B219" s="132"/>
      <c r="C219" s="53"/>
      <c r="D219" s="53"/>
      <c r="E219" s="53"/>
      <c r="F219" s="53"/>
      <c r="G219" s="66"/>
      <c r="H219" s="53"/>
      <c r="I219" s="151"/>
      <c r="J219" s="75"/>
      <c r="K219" s="54"/>
      <c r="L219" s="55"/>
      <c r="M219" s="56"/>
      <c r="N219" s="57"/>
      <c r="O219" s="75"/>
      <c r="P219" s="191"/>
      <c r="Q219" s="433"/>
      <c r="R219" s="54"/>
      <c r="S219" s="57"/>
      <c r="T219" s="495"/>
      <c r="U219" s="345"/>
      <c r="V219" s="54"/>
    </row>
    <row r="220" spans="1:22" ht="16">
      <c r="A220" s="162"/>
      <c r="B220" s="132"/>
      <c r="C220" s="53"/>
      <c r="D220" s="53"/>
      <c r="E220" s="53"/>
      <c r="F220" s="53"/>
      <c r="G220" s="66"/>
      <c r="H220" s="53"/>
      <c r="I220" s="151"/>
      <c r="J220" s="75"/>
      <c r="K220" s="54"/>
      <c r="L220" s="55"/>
      <c r="M220" s="56"/>
      <c r="N220" s="57"/>
      <c r="O220" s="75"/>
      <c r="P220" s="191"/>
      <c r="Q220" s="433"/>
      <c r="R220" s="54"/>
      <c r="S220" s="57"/>
      <c r="T220" s="495"/>
      <c r="U220" s="345"/>
      <c r="V220" s="54"/>
    </row>
    <row r="221" spans="1:22" ht="16">
      <c r="A221" s="162"/>
      <c r="B221" s="132"/>
      <c r="C221" s="53"/>
      <c r="D221" s="53"/>
      <c r="E221" s="53"/>
      <c r="F221" s="53"/>
      <c r="G221" s="66"/>
      <c r="H221" s="53"/>
      <c r="I221" s="151"/>
      <c r="J221" s="75"/>
      <c r="K221" s="54"/>
      <c r="L221" s="55"/>
      <c r="M221" s="56"/>
      <c r="N221" s="57"/>
      <c r="O221" s="75"/>
      <c r="P221" s="191"/>
      <c r="Q221" s="433"/>
      <c r="R221" s="54"/>
      <c r="S221" s="57"/>
      <c r="T221" s="495"/>
      <c r="U221" s="345"/>
      <c r="V221" s="54"/>
    </row>
    <row r="222" spans="1:22" ht="16">
      <c r="A222" s="162"/>
      <c r="B222" s="132"/>
      <c r="C222" s="53"/>
      <c r="D222" s="53"/>
      <c r="E222" s="53"/>
      <c r="F222" s="53"/>
      <c r="G222" s="66"/>
      <c r="H222" s="53"/>
      <c r="I222" s="151"/>
      <c r="J222" s="75"/>
      <c r="K222" s="54"/>
      <c r="L222" s="55"/>
      <c r="M222" s="56"/>
      <c r="N222" s="57"/>
      <c r="O222" s="75"/>
      <c r="P222" s="191"/>
      <c r="Q222" s="433"/>
      <c r="R222" s="54"/>
      <c r="S222" s="57"/>
      <c r="T222" s="495"/>
      <c r="U222" s="345"/>
      <c r="V222" s="54"/>
    </row>
    <row r="223" spans="1:22" ht="16">
      <c r="A223" s="162"/>
      <c r="B223" s="132"/>
      <c r="C223" s="53"/>
      <c r="D223" s="53"/>
      <c r="E223" s="53"/>
      <c r="F223" s="53"/>
      <c r="G223" s="53"/>
      <c r="H223" s="53"/>
      <c r="I223" s="151"/>
      <c r="J223" s="75"/>
      <c r="K223" s="54"/>
      <c r="L223" s="55"/>
      <c r="M223" s="56"/>
      <c r="N223" s="57"/>
      <c r="O223" s="75"/>
      <c r="P223" s="191"/>
      <c r="Q223" s="433"/>
      <c r="R223" s="54"/>
      <c r="S223" s="57"/>
      <c r="T223" s="495"/>
      <c r="U223" s="345"/>
      <c r="V223" s="54"/>
    </row>
    <row r="224" spans="1:22" ht="16">
      <c r="A224" s="162"/>
      <c r="B224" s="132"/>
      <c r="C224" s="53"/>
      <c r="D224" s="53"/>
      <c r="E224" s="53"/>
      <c r="F224" s="53"/>
      <c r="G224" s="66"/>
      <c r="H224" s="53"/>
      <c r="I224" s="151"/>
      <c r="J224" s="75"/>
      <c r="K224" s="54"/>
      <c r="L224" s="55"/>
      <c r="M224" s="56"/>
      <c r="N224" s="57"/>
      <c r="O224" s="75"/>
      <c r="P224" s="191"/>
      <c r="Q224" s="433"/>
      <c r="R224" s="54"/>
      <c r="S224" s="57"/>
      <c r="T224" s="495"/>
      <c r="U224" s="345"/>
      <c r="V224" s="54"/>
    </row>
    <row r="225" spans="1:22" ht="16">
      <c r="A225" s="162"/>
      <c r="B225" s="132"/>
      <c r="C225" s="53"/>
      <c r="D225" s="53"/>
      <c r="E225" s="53"/>
      <c r="F225" s="53"/>
      <c r="G225" s="66"/>
      <c r="H225" s="53"/>
      <c r="I225" s="53"/>
      <c r="J225" s="75"/>
      <c r="K225" s="54"/>
      <c r="L225" s="55"/>
      <c r="M225" s="56"/>
      <c r="N225" s="57"/>
      <c r="O225" s="75"/>
      <c r="P225" s="191"/>
      <c r="Q225" s="433"/>
      <c r="R225" s="54"/>
      <c r="S225" s="57"/>
      <c r="T225" s="495"/>
      <c r="U225" s="345"/>
      <c r="V225" s="54"/>
    </row>
    <row r="226" spans="1:22" ht="16">
      <c r="A226" s="162"/>
      <c r="B226" s="132"/>
      <c r="C226" s="53"/>
      <c r="D226" s="53"/>
      <c r="E226" s="53"/>
      <c r="F226" s="53"/>
      <c r="G226" s="66"/>
      <c r="H226" s="53"/>
      <c r="I226" s="53"/>
      <c r="J226" s="75"/>
      <c r="K226" s="54"/>
      <c r="L226" s="55"/>
      <c r="M226" s="56"/>
      <c r="N226" s="57"/>
      <c r="O226" s="75"/>
      <c r="P226" s="191"/>
      <c r="Q226" s="433"/>
      <c r="R226" s="54"/>
      <c r="S226" s="75"/>
      <c r="T226" s="495"/>
      <c r="U226" s="345"/>
      <c r="V226" s="296"/>
    </row>
    <row r="227" spans="1:22" ht="16">
      <c r="A227" s="162"/>
      <c r="B227" s="132"/>
      <c r="C227" s="53"/>
      <c r="D227" s="53"/>
      <c r="E227" s="53"/>
      <c r="F227" s="53"/>
      <c r="G227" s="66"/>
      <c r="H227" s="53"/>
      <c r="I227" s="53"/>
      <c r="J227" s="75"/>
      <c r="K227" s="54"/>
      <c r="L227" s="55"/>
      <c r="M227" s="56"/>
      <c r="N227" s="57"/>
      <c r="O227" s="75"/>
      <c r="P227" s="191"/>
      <c r="Q227" s="433"/>
      <c r="R227" s="54"/>
      <c r="S227" s="75"/>
      <c r="T227" s="495"/>
      <c r="U227" s="345"/>
      <c r="V227" s="54"/>
    </row>
    <row r="228" spans="1:22" ht="16">
      <c r="A228" s="162"/>
      <c r="B228" s="132"/>
      <c r="C228" s="53"/>
      <c r="D228" s="53"/>
      <c r="E228" s="53"/>
      <c r="F228" s="53"/>
      <c r="G228" s="66"/>
      <c r="H228" s="53"/>
      <c r="I228" s="53"/>
      <c r="J228" s="75"/>
      <c r="K228" s="54"/>
      <c r="L228" s="55"/>
      <c r="M228" s="56"/>
      <c r="N228" s="57"/>
      <c r="O228" s="75"/>
      <c r="P228" s="191"/>
      <c r="Q228" s="433"/>
      <c r="R228" s="54"/>
      <c r="S228" s="75"/>
      <c r="T228" s="495"/>
      <c r="U228" s="345"/>
      <c r="V228" s="54"/>
    </row>
    <row r="229" spans="1:22" ht="16">
      <c r="A229" s="162"/>
      <c r="B229" s="132"/>
      <c r="C229" s="53"/>
      <c r="D229" s="53"/>
      <c r="E229" s="53"/>
      <c r="F229" s="53"/>
      <c r="G229" s="66"/>
      <c r="H229" s="53"/>
      <c r="I229" s="53"/>
      <c r="J229" s="75"/>
      <c r="K229" s="54"/>
      <c r="L229" s="55"/>
      <c r="M229" s="56"/>
      <c r="N229" s="57"/>
      <c r="O229" s="75"/>
      <c r="P229" s="191"/>
      <c r="Q229" s="433"/>
      <c r="R229" s="54"/>
      <c r="S229" s="75"/>
      <c r="T229" s="495"/>
      <c r="U229" s="345"/>
      <c r="V229" s="54"/>
    </row>
    <row r="230" spans="1:22" ht="16">
      <c r="A230" s="162"/>
      <c r="B230" s="132"/>
      <c r="C230" s="53"/>
      <c r="D230" s="53"/>
      <c r="E230" s="53"/>
      <c r="F230" s="53"/>
      <c r="G230" s="66"/>
      <c r="H230" s="53"/>
      <c r="I230" s="53"/>
      <c r="J230" s="75"/>
      <c r="K230" s="54"/>
      <c r="L230" s="55"/>
      <c r="M230" s="56"/>
      <c r="N230" s="57"/>
      <c r="O230" s="75"/>
      <c r="P230" s="191"/>
      <c r="Q230" s="433"/>
      <c r="R230" s="54"/>
      <c r="S230" s="75"/>
      <c r="T230" s="495"/>
      <c r="U230" s="345"/>
      <c r="V230" s="54"/>
    </row>
    <row r="231" spans="1:22" ht="16">
      <c r="A231" s="162"/>
      <c r="B231" s="132"/>
      <c r="C231" s="53"/>
      <c r="D231" s="53"/>
      <c r="E231" s="53"/>
      <c r="F231" s="53"/>
      <c r="G231" s="66"/>
      <c r="H231" s="53"/>
      <c r="I231" s="53"/>
      <c r="J231" s="75"/>
      <c r="K231" s="54"/>
      <c r="L231" s="55"/>
      <c r="M231" s="56"/>
      <c r="N231" s="57"/>
      <c r="O231" s="75"/>
      <c r="P231" s="191"/>
      <c r="Q231" s="433"/>
      <c r="R231" s="54"/>
      <c r="S231" s="75"/>
      <c r="T231" s="495"/>
      <c r="U231" s="345"/>
      <c r="V231" s="54"/>
    </row>
    <row r="232" spans="1:22" ht="16">
      <c r="A232" s="162"/>
      <c r="B232" s="132"/>
      <c r="C232" s="53"/>
      <c r="D232" s="53"/>
      <c r="E232" s="53"/>
      <c r="F232" s="53"/>
      <c r="G232" s="66"/>
      <c r="H232" s="53"/>
      <c r="I232" s="53"/>
      <c r="J232" s="75"/>
      <c r="K232" s="54"/>
      <c r="L232" s="55"/>
      <c r="M232" s="56"/>
      <c r="N232" s="57"/>
      <c r="O232" s="75"/>
      <c r="P232" s="191"/>
      <c r="Q232" s="433"/>
      <c r="R232" s="54"/>
      <c r="S232" s="75"/>
      <c r="T232" s="495"/>
      <c r="U232" s="345"/>
      <c r="V232" s="54"/>
    </row>
    <row r="233" spans="1:22" ht="16">
      <c r="A233" s="162"/>
      <c r="B233" s="132"/>
      <c r="C233" s="53"/>
      <c r="D233" s="53"/>
      <c r="E233" s="53"/>
      <c r="F233" s="53"/>
      <c r="G233" s="66"/>
      <c r="H233" s="53"/>
      <c r="I233" s="53"/>
      <c r="J233" s="75"/>
      <c r="K233" s="54"/>
      <c r="L233" s="55"/>
      <c r="M233" s="56"/>
      <c r="N233" s="57"/>
      <c r="O233" s="75"/>
      <c r="P233" s="191"/>
      <c r="Q233" s="433"/>
      <c r="R233" s="54"/>
      <c r="S233" s="75"/>
      <c r="T233" s="495"/>
      <c r="U233" s="345"/>
      <c r="V233" s="54"/>
    </row>
    <row r="234" spans="1:22" ht="16">
      <c r="A234" s="162"/>
      <c r="B234" s="132"/>
      <c r="C234" s="53"/>
      <c r="D234" s="53"/>
      <c r="E234" s="53"/>
      <c r="F234" s="53"/>
      <c r="G234" s="66"/>
      <c r="H234" s="53"/>
      <c r="I234" s="53"/>
      <c r="J234" s="75"/>
      <c r="K234" s="54"/>
      <c r="L234" s="55"/>
      <c r="M234" s="56"/>
      <c r="N234" s="57"/>
      <c r="O234" s="75"/>
      <c r="P234" s="191"/>
      <c r="Q234" s="433"/>
      <c r="R234" s="54"/>
      <c r="S234" s="75"/>
      <c r="T234" s="495"/>
      <c r="U234" s="345"/>
      <c r="V234" s="54"/>
    </row>
    <row r="235" spans="1:22" ht="16">
      <c r="A235" s="162"/>
      <c r="B235" s="132"/>
      <c r="C235" s="53"/>
      <c r="D235" s="53"/>
      <c r="E235" s="53"/>
      <c r="F235" s="53"/>
      <c r="G235" s="66"/>
      <c r="H235" s="53"/>
      <c r="I235" s="53"/>
      <c r="J235" s="75"/>
      <c r="K235" s="54"/>
      <c r="L235" s="55"/>
      <c r="M235" s="56"/>
      <c r="N235" s="57"/>
      <c r="O235" s="75"/>
      <c r="P235" s="191"/>
      <c r="Q235" s="75"/>
      <c r="R235" s="54"/>
      <c r="S235" s="75"/>
      <c r="T235" s="495"/>
      <c r="U235" s="345"/>
      <c r="V235" s="54"/>
    </row>
    <row r="236" spans="1:22" ht="16">
      <c r="A236" s="162"/>
      <c r="B236" s="132"/>
      <c r="C236" s="53"/>
      <c r="D236" s="53"/>
      <c r="E236" s="53"/>
      <c r="F236" s="53"/>
      <c r="G236" s="66"/>
      <c r="H236" s="53"/>
      <c r="I236" s="53"/>
      <c r="J236" s="75"/>
      <c r="K236" s="54"/>
      <c r="L236" s="55"/>
      <c r="M236" s="56"/>
      <c r="N236" s="57"/>
      <c r="O236" s="75"/>
      <c r="P236" s="191"/>
      <c r="Q236" s="75"/>
      <c r="R236" s="54"/>
      <c r="S236" s="75"/>
      <c r="T236" s="495"/>
      <c r="U236" s="345"/>
      <c r="V236" s="54"/>
    </row>
    <row r="237" spans="1:22" ht="16">
      <c r="A237" s="162"/>
      <c r="B237" s="132"/>
      <c r="C237" s="53"/>
      <c r="D237" s="53"/>
      <c r="E237" s="53"/>
      <c r="F237" s="53"/>
      <c r="G237" s="66"/>
      <c r="H237" s="53"/>
      <c r="I237" s="53"/>
      <c r="J237" s="75"/>
      <c r="K237" s="54"/>
      <c r="L237" s="55"/>
      <c r="M237" s="56"/>
      <c r="N237" s="57"/>
      <c r="O237" s="75"/>
      <c r="P237" s="191"/>
      <c r="Q237" s="75"/>
      <c r="R237" s="54"/>
      <c r="S237" s="75"/>
      <c r="T237" s="495"/>
      <c r="U237" s="345"/>
      <c r="V237" s="54"/>
    </row>
    <row r="238" spans="1:22" ht="16">
      <c r="A238" s="162"/>
      <c r="B238" s="132"/>
      <c r="C238" s="53"/>
      <c r="D238" s="53"/>
      <c r="E238" s="53"/>
      <c r="F238" s="53"/>
      <c r="G238" s="66"/>
      <c r="H238" s="53"/>
      <c r="I238" s="53"/>
      <c r="J238" s="75"/>
      <c r="K238" s="54"/>
      <c r="L238" s="55"/>
      <c r="M238" s="56"/>
      <c r="N238" s="57"/>
      <c r="O238" s="75"/>
      <c r="P238" s="191"/>
      <c r="Q238" s="75"/>
      <c r="R238" s="54"/>
      <c r="S238" s="75"/>
      <c r="T238" s="495"/>
      <c r="U238" s="345"/>
      <c r="V238" s="54"/>
    </row>
    <row r="239" spans="1:22" ht="16">
      <c r="A239" s="162"/>
      <c r="B239" s="132"/>
      <c r="C239" s="53"/>
      <c r="D239" s="53"/>
      <c r="E239" s="53"/>
      <c r="F239" s="53"/>
      <c r="G239" s="66"/>
      <c r="H239" s="53"/>
      <c r="I239" s="53"/>
      <c r="J239" s="75"/>
      <c r="K239" s="54"/>
      <c r="L239" s="55"/>
      <c r="M239" s="56"/>
      <c r="N239" s="57"/>
      <c r="O239" s="75"/>
      <c r="P239" s="191"/>
      <c r="Q239" s="75"/>
      <c r="R239" s="54"/>
      <c r="S239" s="75"/>
      <c r="T239" s="495"/>
      <c r="U239" s="345"/>
      <c r="V239" s="54"/>
    </row>
    <row r="240" spans="1:22" ht="16">
      <c r="A240" s="162"/>
      <c r="B240" s="132"/>
      <c r="C240" s="53"/>
      <c r="D240" s="53"/>
      <c r="E240" s="53"/>
      <c r="F240" s="53"/>
      <c r="G240" s="66"/>
      <c r="H240" s="53"/>
      <c r="I240" s="53"/>
      <c r="J240" s="75"/>
      <c r="K240" s="54"/>
      <c r="L240" s="55"/>
      <c r="M240" s="56"/>
      <c r="N240" s="57"/>
      <c r="O240" s="75"/>
      <c r="P240" s="191"/>
      <c r="Q240" s="75"/>
      <c r="R240" s="54"/>
      <c r="S240" s="75"/>
      <c r="T240" s="495"/>
      <c r="U240" s="345"/>
      <c r="V240" s="54"/>
    </row>
    <row r="241" spans="1:22" ht="16">
      <c r="A241" s="162"/>
      <c r="B241" s="132"/>
      <c r="C241" s="53"/>
      <c r="D241" s="53"/>
      <c r="E241" s="53"/>
      <c r="F241" s="53"/>
      <c r="G241" s="66"/>
      <c r="H241" s="53"/>
      <c r="I241" s="53"/>
      <c r="J241" s="75"/>
      <c r="K241" s="54"/>
      <c r="L241" s="55"/>
      <c r="M241" s="56"/>
      <c r="N241" s="57"/>
      <c r="O241" s="75"/>
      <c r="P241" s="191"/>
      <c r="Q241" s="75"/>
      <c r="R241" s="54"/>
      <c r="S241" s="75"/>
      <c r="T241" s="495"/>
      <c r="U241" s="345"/>
      <c r="V241" s="54"/>
    </row>
    <row r="242" spans="1:22" ht="16">
      <c r="A242" s="162"/>
      <c r="B242" s="132"/>
      <c r="C242" s="53"/>
      <c r="D242" s="53"/>
      <c r="E242" s="53"/>
      <c r="F242" s="53"/>
      <c r="G242" s="66"/>
      <c r="H242" s="53"/>
      <c r="I242" s="53"/>
      <c r="J242" s="75"/>
      <c r="K242" s="54"/>
      <c r="L242" s="55"/>
      <c r="M242" s="56"/>
      <c r="N242" s="57"/>
      <c r="O242" s="75"/>
      <c r="P242" s="191"/>
      <c r="Q242" s="75"/>
      <c r="R242" s="54"/>
      <c r="S242" s="75"/>
      <c r="T242" s="495"/>
      <c r="U242" s="345"/>
      <c r="V242" s="54"/>
    </row>
    <row r="243" spans="1:22" ht="16">
      <c r="A243" s="162"/>
      <c r="B243" s="132"/>
      <c r="C243" s="53"/>
      <c r="D243" s="53"/>
      <c r="E243" s="53"/>
      <c r="F243" s="53"/>
      <c r="G243" s="66"/>
      <c r="H243" s="53"/>
      <c r="I243" s="53"/>
      <c r="J243" s="75"/>
      <c r="K243" s="54"/>
      <c r="L243" s="55"/>
      <c r="M243" s="56"/>
      <c r="N243" s="57"/>
      <c r="O243" s="75"/>
      <c r="P243" s="191"/>
      <c r="Q243" s="75"/>
      <c r="R243" s="54"/>
      <c r="S243" s="75"/>
      <c r="T243" s="495"/>
      <c r="U243" s="345"/>
      <c r="V243" s="54"/>
    </row>
    <row r="244" spans="1:22" ht="16">
      <c r="A244" s="162"/>
      <c r="B244" s="132"/>
      <c r="C244" s="53"/>
      <c r="D244" s="53"/>
      <c r="E244" s="53"/>
      <c r="F244" s="53"/>
      <c r="G244" s="66"/>
      <c r="H244" s="53"/>
      <c r="I244" s="53"/>
      <c r="J244" s="75"/>
      <c r="K244" s="54"/>
      <c r="L244" s="55"/>
      <c r="M244" s="56"/>
      <c r="N244" s="57"/>
      <c r="O244" s="75"/>
      <c r="P244" s="191"/>
      <c r="Q244" s="75"/>
      <c r="R244" s="54"/>
      <c r="S244" s="75"/>
      <c r="T244" s="495"/>
      <c r="U244" s="345"/>
      <c r="V244" s="54"/>
    </row>
    <row r="245" spans="1:22" ht="16">
      <c r="A245" s="162"/>
      <c r="B245" s="132"/>
      <c r="C245" s="53"/>
      <c r="D245" s="53"/>
      <c r="E245" s="53"/>
      <c r="F245" s="53"/>
      <c r="G245" s="66"/>
      <c r="H245" s="53"/>
      <c r="I245" s="53"/>
      <c r="J245" s="75"/>
      <c r="K245" s="54"/>
      <c r="L245" s="55"/>
      <c r="M245" s="56"/>
      <c r="N245" s="57"/>
      <c r="O245" s="75"/>
      <c r="P245" s="191"/>
      <c r="Q245" s="75"/>
      <c r="R245" s="54"/>
      <c r="S245" s="75"/>
      <c r="T245" s="495"/>
      <c r="U245" s="345"/>
      <c r="V245" s="54"/>
    </row>
    <row r="246" spans="1:22" ht="16">
      <c r="A246" s="162"/>
      <c r="B246" s="132"/>
      <c r="C246" s="53"/>
      <c r="D246" s="53"/>
      <c r="E246" s="53"/>
      <c r="F246" s="53"/>
      <c r="G246" s="66"/>
      <c r="H246" s="53"/>
      <c r="I246" s="53"/>
      <c r="J246" s="75"/>
      <c r="K246" s="54"/>
      <c r="L246" s="55"/>
      <c r="M246" s="56"/>
      <c r="N246" s="57"/>
      <c r="O246" s="75"/>
      <c r="P246" s="191"/>
      <c r="Q246" s="75"/>
      <c r="R246" s="54"/>
      <c r="S246" s="75"/>
      <c r="T246" s="495"/>
      <c r="U246" s="345"/>
      <c r="V246" s="54"/>
    </row>
    <row r="247" spans="1:22" ht="16">
      <c r="A247" s="162"/>
      <c r="B247" s="132"/>
      <c r="C247" s="53"/>
      <c r="D247" s="53"/>
      <c r="E247" s="53"/>
      <c r="F247" s="53"/>
      <c r="G247" s="66"/>
      <c r="H247" s="53"/>
      <c r="I247" s="53"/>
      <c r="J247" s="75"/>
      <c r="K247" s="54"/>
      <c r="L247" s="55"/>
      <c r="M247" s="56"/>
      <c r="N247" s="57"/>
      <c r="O247" s="75"/>
      <c r="P247" s="191"/>
      <c r="Q247" s="75"/>
      <c r="R247" s="54"/>
      <c r="S247" s="75"/>
      <c r="T247" s="495"/>
      <c r="U247" s="345"/>
      <c r="V247" s="54"/>
    </row>
    <row r="248" spans="1:22" ht="16">
      <c r="A248" s="162"/>
      <c r="B248" s="132"/>
      <c r="C248" s="53"/>
      <c r="D248" s="53"/>
      <c r="E248" s="53"/>
      <c r="F248" s="53"/>
      <c r="G248" s="66"/>
      <c r="H248" s="53"/>
      <c r="I248" s="53"/>
      <c r="J248" s="75"/>
      <c r="K248" s="54"/>
      <c r="L248" s="55"/>
      <c r="M248" s="56"/>
      <c r="N248" s="57"/>
      <c r="O248" s="75"/>
      <c r="P248" s="191"/>
      <c r="Q248" s="75"/>
      <c r="R248" s="54"/>
      <c r="S248" s="75"/>
      <c r="T248" s="495"/>
      <c r="U248" s="345"/>
      <c r="V248" s="54"/>
    </row>
    <row r="249" spans="1:22" ht="16">
      <c r="A249" s="162"/>
      <c r="B249" s="132"/>
      <c r="C249" s="53"/>
      <c r="D249" s="53"/>
      <c r="E249" s="53"/>
      <c r="F249" s="53"/>
      <c r="G249" s="66"/>
      <c r="H249" s="53"/>
      <c r="I249" s="53"/>
      <c r="J249" s="75"/>
      <c r="K249" s="54"/>
      <c r="L249" s="55"/>
      <c r="M249" s="56"/>
      <c r="N249" s="57"/>
      <c r="O249" s="75"/>
      <c r="P249" s="191"/>
      <c r="Q249" s="75"/>
      <c r="R249" s="54"/>
      <c r="S249" s="75"/>
      <c r="T249" s="495"/>
      <c r="U249" s="345"/>
      <c r="V249" s="54"/>
    </row>
    <row r="250" spans="1:22" ht="16">
      <c r="A250" s="162"/>
      <c r="B250" s="132"/>
      <c r="C250" s="53"/>
      <c r="D250" s="53"/>
      <c r="E250" s="53"/>
      <c r="F250" s="53"/>
      <c r="G250" s="66"/>
      <c r="H250" s="53"/>
      <c r="I250" s="53"/>
      <c r="J250" s="75"/>
      <c r="K250" s="54"/>
      <c r="L250" s="55"/>
      <c r="M250" s="56"/>
      <c r="N250" s="57"/>
      <c r="O250" s="75"/>
      <c r="P250" s="191"/>
      <c r="Q250" s="75"/>
      <c r="R250" s="54"/>
      <c r="S250" s="75"/>
      <c r="T250" s="495"/>
      <c r="U250" s="345"/>
      <c r="V250" s="54"/>
    </row>
    <row r="251" spans="1:22" ht="16">
      <c r="A251" s="162"/>
      <c r="B251" s="132"/>
      <c r="C251" s="53"/>
      <c r="D251" s="53"/>
      <c r="E251" s="53"/>
      <c r="F251" s="53"/>
      <c r="G251" s="66"/>
      <c r="H251" s="53"/>
      <c r="I251" s="53"/>
      <c r="J251" s="75"/>
      <c r="K251" s="54"/>
      <c r="L251" s="55"/>
      <c r="M251" s="56"/>
      <c r="N251" s="57"/>
      <c r="O251" s="75"/>
      <c r="P251" s="191"/>
      <c r="Q251" s="75"/>
      <c r="R251" s="54"/>
      <c r="S251" s="75"/>
      <c r="T251" s="495"/>
      <c r="U251" s="345"/>
      <c r="V251" s="54"/>
    </row>
    <row r="252" spans="1:22" ht="16">
      <c r="A252" s="162"/>
      <c r="B252" s="132"/>
      <c r="C252" s="53"/>
      <c r="D252" s="53"/>
      <c r="E252" s="53"/>
      <c r="F252" s="53"/>
      <c r="G252" s="66"/>
      <c r="H252" s="53"/>
      <c r="I252" s="53"/>
      <c r="J252" s="75"/>
      <c r="K252" s="54"/>
      <c r="L252" s="55"/>
      <c r="M252" s="56"/>
      <c r="N252" s="57"/>
      <c r="O252" s="75"/>
      <c r="P252" s="191"/>
      <c r="Q252" s="75"/>
      <c r="R252" s="54"/>
      <c r="S252" s="75"/>
      <c r="T252" s="495"/>
      <c r="U252" s="345"/>
      <c r="V252" s="54"/>
    </row>
    <row r="253" spans="1:22" ht="16">
      <c r="A253" s="162"/>
      <c r="B253" s="132"/>
      <c r="C253" s="53"/>
      <c r="D253" s="53"/>
      <c r="E253" s="53"/>
      <c r="F253" s="53"/>
      <c r="G253" s="66"/>
      <c r="H253" s="53"/>
      <c r="I253" s="53"/>
      <c r="J253" s="75"/>
      <c r="K253" s="54"/>
      <c r="L253" s="55"/>
      <c r="M253" s="56"/>
      <c r="N253" s="57"/>
      <c r="O253" s="75"/>
      <c r="P253" s="191"/>
      <c r="Q253" s="75"/>
      <c r="R253" s="54"/>
      <c r="S253" s="75"/>
      <c r="T253" s="495"/>
      <c r="U253" s="345"/>
      <c r="V253" s="54"/>
    </row>
    <row r="254" spans="1:22" ht="16">
      <c r="A254" s="162"/>
      <c r="B254" s="132"/>
      <c r="C254" s="53"/>
      <c r="D254" s="53"/>
      <c r="E254" s="53"/>
      <c r="F254" s="53"/>
      <c r="G254" s="66"/>
      <c r="H254" s="53"/>
      <c r="I254" s="53"/>
      <c r="J254" s="75"/>
      <c r="K254" s="54"/>
      <c r="L254" s="55"/>
      <c r="M254" s="56"/>
      <c r="N254" s="57"/>
      <c r="O254" s="75"/>
      <c r="P254" s="191"/>
      <c r="Q254" s="75"/>
      <c r="R254" s="54"/>
      <c r="S254" s="75"/>
      <c r="T254" s="495"/>
      <c r="U254" s="345"/>
      <c r="V254" s="54"/>
    </row>
    <row r="255" spans="1:22" ht="16">
      <c r="A255" s="162"/>
      <c r="B255" s="132"/>
      <c r="C255" s="53"/>
      <c r="D255" s="53"/>
      <c r="E255" s="53"/>
      <c r="F255" s="53"/>
      <c r="G255" s="66"/>
      <c r="H255" s="53"/>
      <c r="I255" s="53"/>
      <c r="J255" s="75"/>
      <c r="K255" s="54"/>
      <c r="L255" s="55"/>
      <c r="M255" s="56"/>
      <c r="N255" s="57"/>
      <c r="O255" s="75"/>
      <c r="P255" s="191"/>
      <c r="Q255" s="75"/>
      <c r="R255" s="54"/>
      <c r="S255" s="75"/>
      <c r="T255" s="495"/>
      <c r="U255" s="345"/>
      <c r="V255" s="54"/>
    </row>
    <row r="256" spans="1:22" ht="16">
      <c r="A256" s="162"/>
      <c r="B256" s="132"/>
      <c r="C256" s="53"/>
      <c r="D256" s="53"/>
      <c r="E256" s="53"/>
      <c r="F256" s="53"/>
      <c r="G256" s="66"/>
      <c r="H256" s="53"/>
      <c r="I256" s="53"/>
      <c r="J256" s="75"/>
      <c r="K256" s="54"/>
      <c r="L256" s="55"/>
      <c r="M256" s="56"/>
      <c r="N256" s="57"/>
      <c r="O256" s="75"/>
      <c r="P256" s="191"/>
      <c r="Q256" s="75"/>
      <c r="R256" s="54"/>
      <c r="S256" s="75"/>
      <c r="T256" s="495"/>
      <c r="U256" s="345"/>
      <c r="V256" s="54"/>
    </row>
    <row r="257" spans="1:22" ht="16">
      <c r="A257" s="162"/>
      <c r="B257" s="132"/>
      <c r="C257" s="53"/>
      <c r="D257" s="53"/>
      <c r="E257" s="53"/>
      <c r="F257" s="53"/>
      <c r="G257" s="66"/>
      <c r="H257" s="53"/>
      <c r="I257" s="53"/>
      <c r="J257" s="75"/>
      <c r="K257" s="54"/>
      <c r="L257" s="55"/>
      <c r="M257" s="56"/>
      <c r="N257" s="57"/>
      <c r="O257" s="75"/>
      <c r="P257" s="191"/>
      <c r="Q257" s="75"/>
      <c r="R257" s="54"/>
      <c r="S257" s="75"/>
      <c r="T257" s="495"/>
      <c r="U257" s="345"/>
      <c r="V257" s="54"/>
    </row>
    <row r="258" spans="1:22" ht="16">
      <c r="A258" s="162"/>
      <c r="B258" s="132"/>
      <c r="C258" s="53"/>
      <c r="D258" s="53"/>
      <c r="E258" s="53"/>
      <c r="F258" s="53"/>
      <c r="G258" s="66"/>
      <c r="H258" s="53"/>
      <c r="I258" s="53"/>
      <c r="J258" s="75"/>
      <c r="K258" s="54"/>
      <c r="L258" s="55"/>
      <c r="M258" s="56"/>
      <c r="N258" s="57"/>
      <c r="O258" s="75"/>
      <c r="P258" s="191"/>
      <c r="Q258" s="75"/>
      <c r="R258" s="54"/>
      <c r="S258" s="75"/>
      <c r="T258" s="495"/>
      <c r="U258" s="345"/>
      <c r="V258" s="54"/>
    </row>
    <row r="259" spans="1:22" ht="16">
      <c r="A259" s="162"/>
      <c r="B259" s="132"/>
      <c r="C259" s="53"/>
      <c r="D259" s="53"/>
      <c r="E259" s="53"/>
      <c r="F259" s="53"/>
      <c r="G259" s="66"/>
      <c r="H259" s="53"/>
      <c r="I259" s="53"/>
      <c r="J259" s="75"/>
      <c r="K259" s="54"/>
      <c r="L259" s="55"/>
      <c r="M259" s="56"/>
      <c r="N259" s="57"/>
      <c r="O259" s="75"/>
      <c r="P259" s="191"/>
      <c r="Q259" s="75"/>
      <c r="R259" s="54"/>
      <c r="S259" s="75"/>
      <c r="T259" s="495"/>
      <c r="U259" s="345"/>
      <c r="V259" s="54"/>
    </row>
    <row r="260" spans="1:22" ht="16">
      <c r="A260" s="162"/>
      <c r="B260" s="132"/>
      <c r="C260" s="53"/>
      <c r="D260" s="53"/>
      <c r="E260" s="53"/>
      <c r="F260" s="53"/>
      <c r="G260" s="66"/>
      <c r="H260" s="53"/>
      <c r="I260" s="53"/>
      <c r="J260" s="75"/>
      <c r="K260" s="54"/>
      <c r="L260" s="55"/>
      <c r="M260" s="56"/>
      <c r="N260" s="57"/>
      <c r="O260" s="75"/>
      <c r="P260" s="191"/>
      <c r="Q260" s="75"/>
      <c r="R260" s="54"/>
      <c r="S260" s="75"/>
      <c r="T260" s="495"/>
      <c r="U260" s="345"/>
      <c r="V260" s="54"/>
    </row>
    <row r="261" spans="1:22" ht="16">
      <c r="A261" s="162"/>
      <c r="B261" s="132"/>
      <c r="C261" s="53"/>
      <c r="D261" s="53"/>
      <c r="E261" s="53"/>
      <c r="F261" s="53"/>
      <c r="G261" s="66"/>
      <c r="H261" s="53"/>
      <c r="I261" s="53"/>
      <c r="J261" s="75"/>
      <c r="K261" s="54"/>
      <c r="L261" s="55"/>
      <c r="M261" s="56"/>
      <c r="N261" s="57"/>
      <c r="O261" s="75"/>
      <c r="P261" s="191"/>
      <c r="Q261" s="75"/>
      <c r="R261" s="54"/>
      <c r="S261" s="75"/>
      <c r="T261" s="495"/>
      <c r="U261" s="345"/>
      <c r="V261" s="54"/>
    </row>
    <row r="262" spans="1:22" ht="16">
      <c r="A262" s="162"/>
      <c r="B262" s="132"/>
      <c r="C262" s="53"/>
      <c r="D262" s="53"/>
      <c r="E262" s="53"/>
      <c r="F262" s="53"/>
      <c r="G262" s="66"/>
      <c r="H262" s="53"/>
      <c r="I262" s="53"/>
      <c r="J262" s="75"/>
      <c r="K262" s="54"/>
      <c r="L262" s="55"/>
      <c r="M262" s="56"/>
      <c r="N262" s="57"/>
      <c r="O262" s="75"/>
      <c r="P262" s="191"/>
      <c r="Q262" s="75"/>
      <c r="R262" s="54"/>
      <c r="S262" s="75"/>
      <c r="T262" s="495"/>
      <c r="U262" s="345"/>
      <c r="V262" s="54"/>
    </row>
    <row r="263" spans="1:22" ht="16">
      <c r="A263" s="162"/>
      <c r="C263" s="314"/>
      <c r="G263" s="167"/>
      <c r="J263" s="314"/>
      <c r="K263" s="54"/>
      <c r="L263" s="55"/>
      <c r="M263" s="56"/>
      <c r="N263" s="57"/>
      <c r="O263" s="75"/>
      <c r="P263" s="191"/>
      <c r="R263" s="314"/>
      <c r="T263" s="498"/>
      <c r="U263" s="315"/>
    </row>
    <row r="264" spans="1:22" ht="16">
      <c r="A264" s="162"/>
      <c r="C264" s="314"/>
      <c r="G264" s="167"/>
      <c r="J264" s="314"/>
      <c r="K264" s="54"/>
      <c r="L264" s="55"/>
      <c r="M264" s="56"/>
      <c r="N264" s="57"/>
      <c r="O264" s="75"/>
      <c r="P264" s="191"/>
      <c r="R264" s="314"/>
      <c r="T264" s="498"/>
      <c r="U264" s="315"/>
    </row>
    <row r="265" spans="1:22" ht="16">
      <c r="C265" s="314"/>
      <c r="G265" s="167"/>
      <c r="J265" s="314"/>
      <c r="K265" s="54"/>
      <c r="L265" s="55"/>
      <c r="M265" s="56"/>
      <c r="N265" s="57"/>
      <c r="O265" s="75"/>
      <c r="P265" s="191"/>
      <c r="R265" s="314"/>
      <c r="T265" s="498"/>
      <c r="U265" s="315"/>
    </row>
    <row r="266" spans="1:22" ht="16">
      <c r="C266" s="314"/>
      <c r="G266" s="167"/>
      <c r="J266" s="314"/>
      <c r="K266" s="54"/>
      <c r="L266" s="55"/>
      <c r="M266" s="56"/>
      <c r="N266" s="57"/>
      <c r="O266" s="75"/>
      <c r="P266" s="191"/>
      <c r="R266" s="314"/>
      <c r="T266" s="498"/>
      <c r="U266" s="315"/>
    </row>
    <row r="267" spans="1:22" ht="16">
      <c r="C267" s="314"/>
      <c r="G267" s="167"/>
      <c r="J267" s="314"/>
      <c r="K267" s="54"/>
      <c r="L267" s="55"/>
      <c r="M267" s="56"/>
      <c r="N267" s="57"/>
      <c r="O267" s="75"/>
      <c r="P267" s="191"/>
      <c r="R267" s="314"/>
      <c r="T267" s="498"/>
      <c r="U267" s="315"/>
    </row>
    <row r="268" spans="1:22" ht="16">
      <c r="C268" s="314"/>
      <c r="G268" s="167"/>
      <c r="J268" s="314"/>
      <c r="K268" s="54"/>
      <c r="L268" s="55"/>
      <c r="M268" s="56"/>
      <c r="N268" s="57"/>
      <c r="O268" s="75"/>
      <c r="P268" s="191"/>
      <c r="R268" s="314"/>
      <c r="T268" s="498"/>
      <c r="U268" s="315"/>
    </row>
    <row r="269" spans="1:22" ht="16">
      <c r="C269" s="314"/>
      <c r="G269" s="167"/>
      <c r="J269" s="314"/>
      <c r="K269" s="54"/>
      <c r="L269" s="55"/>
      <c r="M269" s="56"/>
      <c r="N269" s="57"/>
      <c r="O269" s="75"/>
      <c r="P269" s="191"/>
      <c r="R269" s="314"/>
      <c r="T269" s="498"/>
      <c r="U269" s="315"/>
    </row>
    <row r="270" spans="1:22" ht="16">
      <c r="C270" s="314"/>
      <c r="G270" s="167"/>
      <c r="J270" s="314"/>
      <c r="K270" s="54"/>
      <c r="L270" s="55"/>
      <c r="M270" s="56"/>
      <c r="N270" s="57"/>
      <c r="O270" s="75"/>
      <c r="P270" s="191"/>
      <c r="R270" s="314"/>
      <c r="T270" s="498"/>
      <c r="U270" s="315"/>
    </row>
    <row r="271" spans="1:22" ht="16">
      <c r="C271" s="314"/>
      <c r="G271" s="167"/>
      <c r="J271" s="314"/>
      <c r="K271" s="54"/>
      <c r="L271" s="55"/>
      <c r="M271" s="56"/>
      <c r="N271" s="57"/>
      <c r="O271" s="75"/>
      <c r="P271" s="191"/>
      <c r="R271" s="314"/>
      <c r="T271" s="498"/>
      <c r="U271" s="315"/>
    </row>
    <row r="272" spans="1:22" ht="16">
      <c r="C272" s="314"/>
      <c r="G272" s="167"/>
      <c r="J272" s="314"/>
      <c r="K272" s="54"/>
      <c r="L272" s="55"/>
      <c r="M272" s="56"/>
      <c r="N272" s="57"/>
      <c r="O272" s="75"/>
      <c r="P272" s="191"/>
      <c r="R272" s="314"/>
      <c r="T272" s="498"/>
      <c r="U272" s="315"/>
    </row>
    <row r="273" spans="3:21" ht="16">
      <c r="C273" s="314"/>
      <c r="G273" s="167"/>
      <c r="J273" s="314"/>
      <c r="K273" s="54"/>
      <c r="L273" s="55"/>
      <c r="M273" s="56"/>
      <c r="N273" s="57"/>
      <c r="O273" s="75"/>
      <c r="P273" s="191"/>
      <c r="R273" s="314"/>
      <c r="T273" s="498"/>
      <c r="U273" s="315"/>
    </row>
    <row r="274" spans="3:21" ht="16">
      <c r="C274" s="314"/>
      <c r="G274" s="167"/>
      <c r="J274" s="314"/>
      <c r="K274" s="54"/>
      <c r="L274" s="55"/>
      <c r="M274" s="56"/>
      <c r="N274" s="57"/>
      <c r="O274" s="75"/>
      <c r="P274" s="191"/>
      <c r="R274" s="314"/>
      <c r="T274" s="498"/>
      <c r="U274" s="315"/>
    </row>
    <row r="275" spans="3:21" ht="16">
      <c r="C275" s="314"/>
      <c r="G275" s="167"/>
      <c r="J275" s="314"/>
      <c r="K275" s="314"/>
      <c r="M275" s="350"/>
      <c r="O275" s="225"/>
      <c r="R275" s="314"/>
      <c r="T275" s="498"/>
      <c r="U275" s="315"/>
    </row>
    <row r="276" spans="3:21" ht="16">
      <c r="C276" s="314"/>
      <c r="G276" s="167"/>
      <c r="J276" s="314"/>
      <c r="K276" s="314"/>
      <c r="M276" s="350"/>
      <c r="O276" s="225"/>
      <c r="R276" s="314"/>
      <c r="T276" s="498"/>
      <c r="U276" s="315"/>
    </row>
    <row r="277" spans="3:21" ht="16">
      <c r="C277" s="314"/>
      <c r="G277" s="167"/>
      <c r="J277" s="314"/>
      <c r="K277" s="314"/>
      <c r="M277" s="350"/>
      <c r="O277" s="225"/>
      <c r="R277" s="314"/>
      <c r="T277" s="498"/>
      <c r="U277" s="315"/>
    </row>
    <row r="278" spans="3:21" ht="16">
      <c r="C278" s="314"/>
      <c r="G278" s="167"/>
      <c r="J278" s="314"/>
      <c r="K278" s="314"/>
      <c r="M278" s="350"/>
      <c r="O278" s="225"/>
      <c r="R278" s="314"/>
      <c r="T278" s="498"/>
      <c r="U278" s="315"/>
    </row>
    <row r="279" spans="3:21" ht="16">
      <c r="C279" s="314"/>
      <c r="G279" s="167"/>
      <c r="J279" s="314"/>
      <c r="K279" s="314"/>
      <c r="M279" s="350"/>
      <c r="O279" s="225"/>
      <c r="R279" s="314"/>
      <c r="T279" s="498"/>
      <c r="U279" s="315"/>
    </row>
    <row r="280" spans="3:21" ht="16">
      <c r="C280" s="314"/>
      <c r="G280" s="167"/>
      <c r="J280" s="314"/>
      <c r="K280" s="314"/>
      <c r="M280" s="350"/>
      <c r="O280" s="225"/>
      <c r="R280" s="314"/>
      <c r="T280" s="498"/>
      <c r="U280" s="315"/>
    </row>
    <row r="281" spans="3:21" ht="16">
      <c r="C281" s="314"/>
      <c r="G281" s="167"/>
      <c r="J281" s="314"/>
      <c r="K281" s="314"/>
      <c r="M281" s="350"/>
      <c r="O281" s="225"/>
      <c r="R281" s="314"/>
      <c r="T281" s="498"/>
      <c r="U281" s="315"/>
    </row>
    <row r="282" spans="3:21" ht="16">
      <c r="C282" s="314"/>
      <c r="G282" s="167"/>
      <c r="J282" s="314"/>
      <c r="K282" s="314"/>
      <c r="M282" s="350"/>
      <c r="O282" s="225"/>
      <c r="R282" s="314"/>
      <c r="T282" s="498"/>
      <c r="U282" s="315"/>
    </row>
    <row r="283" spans="3:21" ht="16">
      <c r="C283" s="314"/>
      <c r="G283" s="167"/>
      <c r="J283" s="314"/>
      <c r="K283" s="314"/>
      <c r="M283" s="350"/>
      <c r="O283" s="225"/>
      <c r="R283" s="314"/>
      <c r="T283" s="498"/>
      <c r="U283" s="315"/>
    </row>
    <row r="284" spans="3:21" ht="16">
      <c r="C284" s="314"/>
      <c r="G284" s="167"/>
      <c r="J284" s="314"/>
      <c r="K284" s="314"/>
      <c r="M284" s="350"/>
      <c r="O284" s="225"/>
      <c r="R284" s="314"/>
      <c r="T284" s="498"/>
      <c r="U284" s="315"/>
    </row>
    <row r="285" spans="3:21" ht="16">
      <c r="C285" s="314"/>
      <c r="G285" s="167"/>
      <c r="J285" s="314"/>
      <c r="K285" s="314"/>
      <c r="M285" s="350"/>
      <c r="O285" s="225"/>
      <c r="R285" s="314"/>
      <c r="T285" s="498"/>
      <c r="U285" s="315"/>
    </row>
    <row r="286" spans="3:21" ht="16">
      <c r="C286" s="314"/>
      <c r="G286" s="167"/>
      <c r="J286" s="314"/>
      <c r="K286" s="314"/>
      <c r="M286" s="350"/>
      <c r="O286" s="225"/>
      <c r="R286" s="314"/>
      <c r="T286" s="498"/>
      <c r="U286" s="315"/>
    </row>
    <row r="287" spans="3:21" ht="16">
      <c r="C287" s="314"/>
      <c r="G287" s="167"/>
      <c r="J287" s="314"/>
      <c r="K287" s="314"/>
      <c r="M287" s="350"/>
      <c r="O287" s="225"/>
      <c r="R287" s="314"/>
      <c r="T287" s="498"/>
      <c r="U287" s="315"/>
    </row>
    <row r="288" spans="3:21" ht="16">
      <c r="C288" s="314"/>
      <c r="G288" s="167"/>
      <c r="J288" s="314"/>
      <c r="K288" s="314"/>
      <c r="M288" s="350"/>
      <c r="O288" s="225"/>
      <c r="R288" s="314"/>
      <c r="T288" s="498"/>
      <c r="U288" s="315"/>
    </row>
    <row r="289" spans="3:21" ht="16">
      <c r="C289" s="314"/>
      <c r="G289" s="167"/>
      <c r="J289" s="314"/>
      <c r="K289" s="314"/>
      <c r="M289" s="350"/>
      <c r="O289" s="225"/>
      <c r="R289" s="314"/>
      <c r="T289" s="498"/>
      <c r="U289" s="315"/>
    </row>
    <row r="290" spans="3:21" ht="16">
      <c r="C290" s="314"/>
      <c r="G290" s="167"/>
      <c r="J290" s="314"/>
      <c r="K290" s="314"/>
      <c r="M290" s="350"/>
      <c r="O290" s="225"/>
      <c r="R290" s="314"/>
      <c r="T290" s="498"/>
      <c r="U290" s="315"/>
    </row>
    <row r="291" spans="3:21" ht="16">
      <c r="C291" s="314"/>
      <c r="G291" s="167"/>
      <c r="J291" s="314"/>
      <c r="K291" s="314"/>
      <c r="M291" s="350"/>
      <c r="O291" s="225"/>
      <c r="R291" s="314"/>
      <c r="T291" s="498"/>
      <c r="U291" s="315"/>
    </row>
    <row r="292" spans="3:21" ht="16">
      <c r="C292" s="314"/>
      <c r="G292" s="167"/>
      <c r="J292" s="314"/>
      <c r="K292" s="314"/>
      <c r="M292" s="350"/>
      <c r="O292" s="225"/>
      <c r="R292" s="314"/>
      <c r="T292" s="498"/>
      <c r="U292" s="315"/>
    </row>
    <row r="293" spans="3:21" ht="16">
      <c r="C293" s="314"/>
      <c r="G293" s="167"/>
      <c r="J293" s="314"/>
      <c r="K293" s="314"/>
      <c r="M293" s="350"/>
      <c r="O293" s="225"/>
      <c r="R293" s="314"/>
      <c r="T293" s="498"/>
      <c r="U293" s="315"/>
    </row>
    <row r="294" spans="3:21" ht="16">
      <c r="C294" s="314"/>
      <c r="G294" s="167"/>
      <c r="J294" s="314"/>
      <c r="K294" s="314"/>
      <c r="M294" s="350"/>
      <c r="O294" s="225"/>
      <c r="R294" s="314"/>
      <c r="T294" s="498"/>
      <c r="U294" s="315"/>
    </row>
    <row r="295" spans="3:21" ht="16">
      <c r="C295" s="314"/>
      <c r="G295" s="167"/>
      <c r="J295" s="314"/>
      <c r="K295" s="314"/>
      <c r="M295" s="350"/>
      <c r="O295" s="225"/>
      <c r="R295" s="314"/>
      <c r="T295" s="498"/>
      <c r="U295" s="315"/>
    </row>
    <row r="296" spans="3:21" ht="16">
      <c r="C296" s="314"/>
      <c r="G296" s="167"/>
      <c r="J296" s="314"/>
      <c r="K296" s="314"/>
      <c r="M296" s="350"/>
      <c r="O296" s="225"/>
      <c r="R296" s="314"/>
      <c r="T296" s="498"/>
      <c r="U296" s="315"/>
    </row>
    <row r="297" spans="3:21" ht="16">
      <c r="C297" s="314"/>
      <c r="G297" s="167"/>
      <c r="J297" s="314"/>
      <c r="K297" s="314"/>
      <c r="M297" s="350"/>
      <c r="O297" s="225"/>
      <c r="R297" s="314"/>
      <c r="T297" s="498"/>
      <c r="U297" s="315"/>
    </row>
    <row r="298" spans="3:21" ht="16">
      <c r="C298" s="314"/>
      <c r="G298" s="167"/>
      <c r="J298" s="314"/>
      <c r="K298" s="314"/>
      <c r="M298" s="350"/>
      <c r="O298" s="225"/>
      <c r="R298" s="314"/>
      <c r="T298" s="498"/>
      <c r="U298" s="315"/>
    </row>
    <row r="299" spans="3:21" ht="16">
      <c r="C299" s="314"/>
      <c r="G299" s="167"/>
      <c r="J299" s="314"/>
      <c r="K299" s="314"/>
      <c r="M299" s="350"/>
      <c r="O299" s="225"/>
      <c r="R299" s="314"/>
      <c r="T299" s="498"/>
      <c r="U299" s="315"/>
    </row>
    <row r="300" spans="3:21" ht="16">
      <c r="C300" s="314"/>
      <c r="G300" s="167"/>
      <c r="J300" s="314"/>
      <c r="K300" s="314"/>
      <c r="M300" s="350"/>
      <c r="O300" s="225"/>
      <c r="R300" s="314"/>
      <c r="T300" s="498"/>
      <c r="U300" s="315"/>
    </row>
    <row r="301" spans="3:21" ht="16">
      <c r="C301" s="314"/>
      <c r="G301" s="167"/>
      <c r="J301" s="314"/>
      <c r="K301" s="314"/>
      <c r="M301" s="350"/>
      <c r="O301" s="225"/>
      <c r="R301" s="314"/>
      <c r="T301" s="498"/>
      <c r="U301" s="315"/>
    </row>
    <row r="302" spans="3:21" ht="16">
      <c r="C302" s="314"/>
      <c r="G302" s="167"/>
      <c r="J302" s="314"/>
      <c r="K302" s="314"/>
      <c r="M302" s="350"/>
      <c r="O302" s="225"/>
      <c r="R302" s="314"/>
      <c r="T302" s="498"/>
      <c r="U302" s="315"/>
    </row>
    <row r="303" spans="3:21" ht="16">
      <c r="C303" s="314"/>
      <c r="G303" s="167"/>
      <c r="J303" s="314"/>
      <c r="K303" s="314"/>
      <c r="M303" s="350"/>
      <c r="O303" s="225"/>
      <c r="R303" s="314"/>
      <c r="T303" s="498"/>
      <c r="U303" s="315"/>
    </row>
    <row r="304" spans="3:21" ht="16">
      <c r="C304" s="314"/>
      <c r="G304" s="167"/>
      <c r="J304" s="314"/>
      <c r="K304" s="314"/>
      <c r="M304" s="350"/>
      <c r="O304" s="225"/>
      <c r="R304" s="314"/>
      <c r="T304" s="498"/>
      <c r="U304" s="315"/>
    </row>
    <row r="305" spans="3:21" ht="16">
      <c r="C305" s="314"/>
      <c r="G305" s="167"/>
      <c r="J305" s="314"/>
      <c r="K305" s="314"/>
      <c r="M305" s="350"/>
      <c r="O305" s="225"/>
      <c r="R305" s="314"/>
      <c r="T305" s="498"/>
      <c r="U305" s="315"/>
    </row>
    <row r="306" spans="3:21" ht="16">
      <c r="C306" s="314"/>
      <c r="G306" s="167"/>
      <c r="J306" s="314"/>
      <c r="K306" s="314"/>
      <c r="M306" s="350"/>
      <c r="O306" s="225"/>
      <c r="R306" s="314"/>
      <c r="T306" s="498"/>
      <c r="U306" s="315"/>
    </row>
    <row r="307" spans="3:21" ht="16">
      <c r="C307" s="314"/>
      <c r="G307" s="167"/>
      <c r="J307" s="314"/>
      <c r="K307" s="314"/>
      <c r="M307" s="350"/>
      <c r="O307" s="225"/>
      <c r="R307" s="314"/>
      <c r="T307" s="498"/>
      <c r="U307" s="315"/>
    </row>
    <row r="308" spans="3:21" ht="16">
      <c r="C308" s="314"/>
      <c r="G308" s="167"/>
      <c r="J308" s="314"/>
      <c r="K308" s="314"/>
      <c r="M308" s="350"/>
      <c r="O308" s="225"/>
      <c r="R308" s="314"/>
      <c r="T308" s="498"/>
      <c r="U308" s="315"/>
    </row>
    <row r="309" spans="3:21" ht="16">
      <c r="C309" s="314"/>
      <c r="G309" s="167"/>
      <c r="J309" s="314"/>
      <c r="K309" s="314"/>
      <c r="M309" s="350"/>
      <c r="O309" s="225"/>
      <c r="R309" s="314"/>
      <c r="T309" s="498"/>
      <c r="U309" s="315"/>
    </row>
    <row r="310" spans="3:21" ht="16">
      <c r="C310" s="314"/>
      <c r="G310" s="167"/>
      <c r="J310" s="314"/>
      <c r="K310" s="314"/>
      <c r="M310" s="350"/>
      <c r="O310" s="225"/>
      <c r="R310" s="314"/>
      <c r="T310" s="498"/>
      <c r="U310" s="315"/>
    </row>
    <row r="311" spans="3:21" ht="16">
      <c r="C311" s="314"/>
      <c r="G311" s="167"/>
      <c r="J311" s="314"/>
      <c r="K311" s="314"/>
      <c r="M311" s="350"/>
      <c r="O311" s="225"/>
      <c r="R311" s="314"/>
      <c r="T311" s="498"/>
      <c r="U311" s="315"/>
    </row>
    <row r="312" spans="3:21" ht="16">
      <c r="C312" s="314"/>
      <c r="G312" s="167"/>
      <c r="J312" s="314"/>
      <c r="K312" s="314"/>
      <c r="M312" s="350"/>
      <c r="O312" s="225"/>
      <c r="R312" s="314"/>
      <c r="T312" s="498"/>
      <c r="U312" s="315"/>
    </row>
    <row r="313" spans="3:21" ht="16">
      <c r="C313" s="314"/>
      <c r="G313" s="167"/>
      <c r="J313" s="314"/>
      <c r="K313" s="314"/>
      <c r="M313" s="350"/>
      <c r="O313" s="225"/>
      <c r="R313" s="314"/>
      <c r="T313" s="498"/>
      <c r="U313" s="315"/>
    </row>
    <row r="314" spans="3:21" ht="16">
      <c r="C314" s="314"/>
      <c r="G314" s="167"/>
      <c r="J314" s="314"/>
      <c r="K314" s="314"/>
      <c r="M314" s="350"/>
      <c r="O314" s="225"/>
      <c r="R314" s="314"/>
      <c r="T314" s="498"/>
      <c r="U314" s="315"/>
    </row>
    <row r="315" spans="3:21" ht="16">
      <c r="C315" s="314"/>
      <c r="G315" s="167"/>
      <c r="J315" s="314"/>
      <c r="K315" s="314"/>
      <c r="M315" s="350"/>
      <c r="O315" s="225"/>
      <c r="R315" s="314"/>
      <c r="T315" s="498"/>
      <c r="U315" s="315"/>
    </row>
    <row r="316" spans="3:21" ht="16">
      <c r="C316" s="314"/>
      <c r="G316" s="167"/>
      <c r="J316" s="314"/>
      <c r="K316" s="314"/>
      <c r="M316" s="350"/>
      <c r="O316" s="225"/>
      <c r="R316" s="314"/>
      <c r="T316" s="498"/>
      <c r="U316" s="315"/>
    </row>
    <row r="317" spans="3:21" ht="16">
      <c r="C317" s="314"/>
      <c r="G317" s="167"/>
      <c r="J317" s="314"/>
      <c r="K317" s="314"/>
      <c r="M317" s="350"/>
      <c r="O317" s="225"/>
      <c r="R317" s="314"/>
      <c r="T317" s="498"/>
      <c r="U317" s="315"/>
    </row>
    <row r="318" spans="3:21" ht="16">
      <c r="C318" s="314"/>
      <c r="G318" s="167"/>
      <c r="J318" s="314"/>
      <c r="K318" s="314"/>
      <c r="M318" s="350"/>
      <c r="O318" s="225"/>
      <c r="R318" s="314"/>
      <c r="T318" s="498"/>
      <c r="U318" s="315"/>
    </row>
    <row r="319" spans="3:21" ht="16">
      <c r="C319" s="314"/>
      <c r="G319" s="167"/>
      <c r="J319" s="314"/>
      <c r="K319" s="314"/>
      <c r="M319" s="350"/>
      <c r="O319" s="225"/>
      <c r="R319" s="314"/>
      <c r="T319" s="498"/>
      <c r="U319" s="315"/>
    </row>
    <row r="320" spans="3:21" ht="16">
      <c r="C320" s="314"/>
      <c r="G320" s="167"/>
      <c r="J320" s="314"/>
      <c r="K320" s="314"/>
      <c r="M320" s="350"/>
      <c r="O320" s="225"/>
      <c r="R320" s="314"/>
      <c r="T320" s="498"/>
      <c r="U320" s="315"/>
    </row>
    <row r="321" spans="3:21" ht="16">
      <c r="C321" s="314"/>
      <c r="G321" s="167"/>
      <c r="J321" s="314"/>
      <c r="K321" s="314"/>
      <c r="M321" s="350"/>
      <c r="O321" s="225"/>
      <c r="R321" s="314"/>
      <c r="T321" s="498"/>
      <c r="U321" s="315"/>
    </row>
    <row r="322" spans="3:21" ht="16">
      <c r="C322" s="314"/>
      <c r="G322" s="167"/>
      <c r="J322" s="314"/>
      <c r="K322" s="314"/>
      <c r="M322" s="350"/>
      <c r="O322" s="225"/>
      <c r="R322" s="314"/>
      <c r="T322" s="498"/>
      <c r="U322" s="315"/>
    </row>
    <row r="323" spans="3:21" ht="16">
      <c r="C323" s="314"/>
      <c r="G323" s="167"/>
      <c r="J323" s="314"/>
      <c r="K323" s="314"/>
      <c r="M323" s="350"/>
      <c r="O323" s="225"/>
      <c r="R323" s="314"/>
      <c r="T323" s="498"/>
      <c r="U323" s="315"/>
    </row>
    <row r="324" spans="3:21" ht="16">
      <c r="C324" s="314"/>
      <c r="G324" s="167"/>
      <c r="J324" s="314"/>
      <c r="K324" s="314"/>
      <c r="M324" s="350"/>
      <c r="O324" s="225"/>
      <c r="R324" s="314"/>
      <c r="T324" s="498"/>
      <c r="U324" s="315"/>
    </row>
    <row r="325" spans="3:21" ht="16">
      <c r="C325" s="314"/>
      <c r="G325" s="167"/>
      <c r="J325" s="314"/>
      <c r="K325" s="314"/>
      <c r="M325" s="350"/>
      <c r="O325" s="225"/>
      <c r="R325" s="314"/>
      <c r="T325" s="498"/>
      <c r="U325" s="315"/>
    </row>
    <row r="326" spans="3:21" ht="16">
      <c r="C326" s="314"/>
      <c r="G326" s="167"/>
      <c r="J326" s="314"/>
      <c r="K326" s="314"/>
      <c r="M326" s="350"/>
      <c r="O326" s="225"/>
      <c r="R326" s="314"/>
      <c r="T326" s="498"/>
      <c r="U326" s="315"/>
    </row>
    <row r="327" spans="3:21" ht="16">
      <c r="C327" s="314"/>
      <c r="G327" s="167"/>
      <c r="J327" s="314"/>
      <c r="K327" s="314"/>
      <c r="M327" s="350"/>
      <c r="O327" s="225"/>
      <c r="R327" s="314"/>
      <c r="T327" s="498"/>
      <c r="U327" s="315"/>
    </row>
    <row r="328" spans="3:21" ht="16">
      <c r="C328" s="314"/>
      <c r="G328" s="167"/>
      <c r="J328" s="314"/>
      <c r="K328" s="314"/>
      <c r="M328" s="350"/>
      <c r="O328" s="225"/>
      <c r="R328" s="314"/>
      <c r="T328" s="498"/>
      <c r="U328" s="315"/>
    </row>
    <row r="329" spans="3:21" ht="16">
      <c r="C329" s="314"/>
      <c r="G329" s="167"/>
      <c r="J329" s="314"/>
      <c r="K329" s="314"/>
      <c r="M329" s="350"/>
      <c r="O329" s="225"/>
      <c r="R329" s="314"/>
      <c r="T329" s="498"/>
      <c r="U329" s="315"/>
    </row>
    <row r="330" spans="3:21" ht="16">
      <c r="C330" s="314"/>
      <c r="G330" s="167"/>
      <c r="J330" s="314"/>
      <c r="K330" s="314"/>
      <c r="M330" s="350"/>
      <c r="O330" s="225"/>
      <c r="R330" s="314"/>
      <c r="T330" s="498"/>
      <c r="U330" s="315"/>
    </row>
    <row r="331" spans="3:21" ht="16">
      <c r="C331" s="314"/>
      <c r="G331" s="167"/>
      <c r="J331" s="314"/>
      <c r="K331" s="314"/>
      <c r="M331" s="350"/>
      <c r="O331" s="225"/>
      <c r="R331" s="314"/>
      <c r="T331" s="498"/>
      <c r="U331" s="315"/>
    </row>
    <row r="332" spans="3:21" ht="16">
      <c r="C332" s="314"/>
      <c r="G332" s="167"/>
      <c r="J332" s="314"/>
      <c r="K332" s="314"/>
      <c r="M332" s="350"/>
      <c r="O332" s="225"/>
      <c r="R332" s="314"/>
      <c r="T332" s="498"/>
      <c r="U332" s="315"/>
    </row>
    <row r="333" spans="3:21" ht="16">
      <c r="C333" s="314"/>
      <c r="G333" s="167"/>
      <c r="J333" s="314"/>
      <c r="K333" s="314"/>
      <c r="M333" s="350"/>
      <c r="O333" s="225"/>
      <c r="R333" s="314"/>
      <c r="T333" s="498"/>
      <c r="U333" s="315"/>
    </row>
    <row r="334" spans="3:21" ht="16">
      <c r="C334" s="314"/>
      <c r="G334" s="167"/>
      <c r="J334" s="314"/>
      <c r="K334" s="314"/>
      <c r="M334" s="350"/>
      <c r="O334" s="225"/>
      <c r="R334" s="314"/>
      <c r="T334" s="498"/>
      <c r="U334" s="315"/>
    </row>
    <row r="335" spans="3:21" ht="16">
      <c r="C335" s="314"/>
      <c r="G335" s="167"/>
      <c r="J335" s="314"/>
      <c r="K335" s="314"/>
      <c r="M335" s="350"/>
      <c r="O335" s="225"/>
      <c r="R335" s="314"/>
      <c r="T335" s="498"/>
      <c r="U335" s="315"/>
    </row>
    <row r="336" spans="3:21" ht="16">
      <c r="C336" s="314"/>
      <c r="G336" s="167"/>
      <c r="J336" s="314"/>
      <c r="K336" s="314"/>
      <c r="M336" s="350"/>
      <c r="O336" s="225"/>
      <c r="R336" s="314"/>
      <c r="T336" s="498"/>
      <c r="U336" s="315"/>
    </row>
    <row r="337" spans="3:21" ht="16">
      <c r="C337" s="314"/>
      <c r="G337" s="167"/>
      <c r="J337" s="314"/>
      <c r="K337" s="314"/>
      <c r="M337" s="350"/>
      <c r="O337" s="225"/>
      <c r="R337" s="314"/>
      <c r="T337" s="498"/>
      <c r="U337" s="315"/>
    </row>
    <row r="338" spans="3:21" ht="16">
      <c r="C338" s="314"/>
      <c r="G338" s="167"/>
      <c r="J338" s="314"/>
      <c r="K338" s="314"/>
      <c r="M338" s="350"/>
      <c r="O338" s="225"/>
      <c r="R338" s="314"/>
      <c r="T338" s="498"/>
      <c r="U338" s="315"/>
    </row>
    <row r="339" spans="3:21" ht="16">
      <c r="C339" s="314"/>
      <c r="G339" s="167"/>
      <c r="J339" s="314"/>
      <c r="K339" s="314"/>
      <c r="M339" s="350"/>
      <c r="O339" s="225"/>
      <c r="R339" s="314"/>
      <c r="T339" s="498"/>
      <c r="U339" s="315"/>
    </row>
    <row r="340" spans="3:21" ht="16">
      <c r="C340" s="314"/>
      <c r="G340" s="167"/>
      <c r="J340" s="314"/>
      <c r="K340" s="314"/>
      <c r="M340" s="350"/>
      <c r="O340" s="225"/>
      <c r="R340" s="314"/>
      <c r="T340" s="498"/>
      <c r="U340" s="315"/>
    </row>
    <row r="341" spans="3:21" ht="16">
      <c r="C341" s="314"/>
      <c r="G341" s="167"/>
      <c r="J341" s="314"/>
      <c r="K341" s="314"/>
      <c r="M341" s="350"/>
      <c r="O341" s="225"/>
      <c r="R341" s="314"/>
      <c r="T341" s="498"/>
      <c r="U341" s="315"/>
    </row>
    <row r="342" spans="3:21" ht="16">
      <c r="C342" s="314"/>
      <c r="G342" s="167"/>
      <c r="J342" s="314"/>
      <c r="K342" s="314"/>
      <c r="M342" s="350"/>
      <c r="O342" s="225"/>
      <c r="R342" s="314"/>
      <c r="T342" s="498"/>
      <c r="U342" s="315"/>
    </row>
    <row r="343" spans="3:21" ht="16">
      <c r="C343" s="314"/>
      <c r="G343" s="167"/>
      <c r="J343" s="314"/>
      <c r="K343" s="314"/>
      <c r="M343" s="350"/>
      <c r="O343" s="225"/>
      <c r="R343" s="314"/>
      <c r="T343" s="498"/>
      <c r="U343" s="315"/>
    </row>
    <row r="344" spans="3:21" ht="16">
      <c r="C344" s="314"/>
      <c r="G344" s="167"/>
      <c r="J344" s="314"/>
      <c r="K344" s="314"/>
      <c r="M344" s="350"/>
      <c r="O344" s="225"/>
      <c r="R344" s="314"/>
      <c r="T344" s="498"/>
      <c r="U344" s="315"/>
    </row>
    <row r="345" spans="3:21" ht="16">
      <c r="C345" s="314"/>
      <c r="G345" s="167"/>
      <c r="J345" s="314"/>
      <c r="K345" s="314"/>
      <c r="M345" s="350"/>
      <c r="O345" s="225"/>
      <c r="R345" s="314"/>
      <c r="T345" s="498"/>
      <c r="U345" s="315"/>
    </row>
    <row r="346" spans="3:21" ht="16">
      <c r="C346" s="314"/>
      <c r="G346" s="167"/>
      <c r="J346" s="314"/>
      <c r="K346" s="314"/>
      <c r="M346" s="350"/>
      <c r="O346" s="225"/>
      <c r="R346" s="314"/>
      <c r="T346" s="498"/>
      <c r="U346" s="315"/>
    </row>
    <row r="347" spans="3:21" ht="16">
      <c r="C347" s="314"/>
      <c r="G347" s="167"/>
      <c r="J347" s="314"/>
      <c r="K347" s="314"/>
      <c r="M347" s="350"/>
      <c r="O347" s="225"/>
      <c r="R347" s="314"/>
      <c r="T347" s="498"/>
      <c r="U347" s="315"/>
    </row>
    <row r="348" spans="3:21" ht="16">
      <c r="C348" s="314"/>
      <c r="G348" s="167"/>
      <c r="J348" s="314"/>
      <c r="K348" s="314"/>
      <c r="M348" s="350"/>
      <c r="O348" s="225"/>
      <c r="R348" s="314"/>
      <c r="T348" s="498"/>
      <c r="U348" s="315"/>
    </row>
    <row r="349" spans="3:21" ht="16">
      <c r="C349" s="314"/>
      <c r="G349" s="167"/>
      <c r="J349" s="314"/>
      <c r="K349" s="314"/>
      <c r="M349" s="350"/>
      <c r="O349" s="225"/>
      <c r="R349" s="314"/>
      <c r="T349" s="498"/>
      <c r="U349" s="315"/>
    </row>
    <row r="350" spans="3:21" ht="16">
      <c r="C350" s="314"/>
      <c r="G350" s="167"/>
      <c r="J350" s="314"/>
      <c r="K350" s="314"/>
      <c r="M350" s="350"/>
      <c r="O350" s="225"/>
      <c r="R350" s="314"/>
      <c r="T350" s="498"/>
      <c r="U350" s="315"/>
    </row>
    <row r="351" spans="3:21" ht="16">
      <c r="C351" s="314"/>
      <c r="G351" s="167"/>
      <c r="J351" s="314"/>
      <c r="K351" s="314"/>
      <c r="M351" s="350"/>
      <c r="O351" s="225"/>
      <c r="R351" s="314"/>
      <c r="T351" s="498"/>
      <c r="U351" s="315"/>
    </row>
    <row r="352" spans="3:21" ht="16">
      <c r="C352" s="314"/>
      <c r="G352" s="167"/>
      <c r="J352" s="314"/>
      <c r="K352" s="314"/>
      <c r="M352" s="350"/>
      <c r="O352" s="225"/>
      <c r="R352" s="314"/>
      <c r="T352" s="498"/>
      <c r="U352" s="315"/>
    </row>
    <row r="353" spans="3:21" ht="16">
      <c r="C353" s="314"/>
      <c r="G353" s="167"/>
      <c r="J353" s="314"/>
      <c r="K353" s="314"/>
      <c r="M353" s="350"/>
      <c r="O353" s="225"/>
      <c r="R353" s="314"/>
      <c r="T353" s="498"/>
      <c r="U353" s="315"/>
    </row>
    <row r="354" spans="3:21" ht="16">
      <c r="C354" s="314"/>
      <c r="G354" s="167"/>
      <c r="J354" s="314"/>
      <c r="K354" s="314"/>
      <c r="M354" s="350"/>
      <c r="O354" s="225"/>
      <c r="R354" s="314"/>
      <c r="T354" s="498"/>
      <c r="U354" s="315"/>
    </row>
    <row r="355" spans="3:21" ht="16">
      <c r="C355" s="314"/>
      <c r="G355" s="167"/>
      <c r="J355" s="314"/>
      <c r="K355" s="314"/>
      <c r="M355" s="350"/>
      <c r="O355" s="225"/>
      <c r="R355" s="314"/>
      <c r="T355" s="498"/>
      <c r="U355" s="315"/>
    </row>
    <row r="356" spans="3:21" ht="16">
      <c r="C356" s="314"/>
      <c r="G356" s="167"/>
      <c r="J356" s="314"/>
      <c r="K356" s="314"/>
      <c r="M356" s="350"/>
      <c r="O356" s="225"/>
      <c r="R356" s="314"/>
      <c r="T356" s="498"/>
      <c r="U356" s="315"/>
    </row>
    <row r="357" spans="3:21" ht="16">
      <c r="C357" s="314"/>
      <c r="G357" s="167"/>
      <c r="J357" s="314"/>
      <c r="K357" s="314"/>
      <c r="M357" s="350"/>
      <c r="O357" s="225"/>
      <c r="R357" s="314"/>
      <c r="T357" s="498"/>
      <c r="U357" s="315"/>
    </row>
    <row r="358" spans="3:21" ht="16">
      <c r="C358" s="314"/>
      <c r="G358" s="167"/>
      <c r="J358" s="314"/>
      <c r="K358" s="314"/>
      <c r="M358" s="350"/>
      <c r="O358" s="225"/>
      <c r="R358" s="314"/>
      <c r="T358" s="498"/>
      <c r="U358" s="315"/>
    </row>
    <row r="359" spans="3:21" ht="16">
      <c r="C359" s="314"/>
      <c r="G359" s="167"/>
      <c r="J359" s="314"/>
      <c r="K359" s="314"/>
      <c r="M359" s="350"/>
      <c r="O359" s="225"/>
      <c r="R359" s="314"/>
      <c r="T359" s="498"/>
      <c r="U359" s="315"/>
    </row>
    <row r="360" spans="3:21" ht="16">
      <c r="C360" s="314"/>
      <c r="G360" s="167"/>
      <c r="J360" s="314"/>
      <c r="K360" s="314"/>
      <c r="M360" s="350"/>
      <c r="O360" s="225"/>
      <c r="R360" s="314"/>
      <c r="T360" s="498"/>
      <c r="U360" s="315"/>
    </row>
    <row r="361" spans="3:21" ht="16">
      <c r="C361" s="314"/>
      <c r="G361" s="167"/>
      <c r="J361" s="314"/>
      <c r="K361" s="314"/>
      <c r="M361" s="350"/>
      <c r="O361" s="225"/>
      <c r="R361" s="314"/>
      <c r="T361" s="498"/>
      <c r="U361" s="315"/>
    </row>
    <row r="362" spans="3:21" ht="16">
      <c r="C362" s="314"/>
      <c r="G362" s="167"/>
      <c r="J362" s="314"/>
      <c r="K362" s="314"/>
      <c r="M362" s="350"/>
      <c r="O362" s="225"/>
      <c r="R362" s="314"/>
      <c r="T362" s="498"/>
      <c r="U362" s="315"/>
    </row>
    <row r="363" spans="3:21" ht="16">
      <c r="C363" s="314"/>
      <c r="G363" s="167"/>
      <c r="J363" s="314"/>
      <c r="K363" s="314"/>
      <c r="M363" s="350"/>
      <c r="O363" s="225"/>
      <c r="R363" s="314"/>
      <c r="T363" s="498"/>
      <c r="U363" s="315"/>
    </row>
    <row r="364" spans="3:21" ht="16">
      <c r="C364" s="314"/>
      <c r="G364" s="167"/>
      <c r="J364" s="314"/>
      <c r="K364" s="314"/>
      <c r="M364" s="350"/>
      <c r="O364" s="225"/>
      <c r="R364" s="314"/>
      <c r="T364" s="498"/>
      <c r="U364" s="315"/>
    </row>
    <row r="365" spans="3:21" ht="16">
      <c r="C365" s="314"/>
      <c r="G365" s="167"/>
      <c r="J365" s="314"/>
      <c r="K365" s="314"/>
      <c r="M365" s="350"/>
      <c r="O365" s="225"/>
      <c r="R365" s="314"/>
      <c r="T365" s="498"/>
      <c r="U365" s="315"/>
    </row>
    <row r="366" spans="3:21" ht="16">
      <c r="C366" s="314"/>
      <c r="G366" s="167"/>
      <c r="J366" s="314"/>
      <c r="K366" s="314"/>
      <c r="M366" s="350"/>
      <c r="O366" s="225"/>
      <c r="R366" s="314"/>
      <c r="T366" s="498"/>
      <c r="U366" s="315"/>
    </row>
    <row r="367" spans="3:21" ht="16">
      <c r="C367" s="314"/>
      <c r="G367" s="167"/>
      <c r="J367" s="314"/>
      <c r="K367" s="314"/>
      <c r="M367" s="350"/>
      <c r="O367" s="225"/>
      <c r="R367" s="314"/>
      <c r="T367" s="498"/>
      <c r="U367" s="315"/>
    </row>
    <row r="368" spans="3:21" ht="16">
      <c r="C368" s="314"/>
      <c r="G368" s="167"/>
      <c r="J368" s="314"/>
      <c r="K368" s="314"/>
      <c r="M368" s="350"/>
      <c r="O368" s="225"/>
      <c r="R368" s="314"/>
      <c r="T368" s="498"/>
      <c r="U368" s="315"/>
    </row>
    <row r="369" spans="3:21" ht="16">
      <c r="C369" s="314"/>
      <c r="G369" s="167"/>
      <c r="J369" s="314"/>
      <c r="K369" s="314"/>
      <c r="M369" s="350"/>
      <c r="O369" s="225"/>
      <c r="R369" s="314"/>
      <c r="T369" s="498"/>
      <c r="U369" s="315"/>
    </row>
    <row r="370" spans="3:21" ht="16">
      <c r="C370" s="314"/>
      <c r="G370" s="167"/>
      <c r="J370" s="314"/>
      <c r="K370" s="314"/>
      <c r="M370" s="350"/>
      <c r="O370" s="225"/>
      <c r="R370" s="314"/>
      <c r="T370" s="498"/>
      <c r="U370" s="315"/>
    </row>
    <row r="371" spans="3:21" ht="16">
      <c r="C371" s="314"/>
      <c r="G371" s="167"/>
      <c r="J371" s="314"/>
      <c r="K371" s="314"/>
      <c r="M371" s="350"/>
      <c r="O371" s="225"/>
      <c r="R371" s="314"/>
      <c r="T371" s="498"/>
      <c r="U371" s="315"/>
    </row>
    <row r="372" spans="3:21" ht="16">
      <c r="C372" s="314"/>
      <c r="G372" s="167"/>
      <c r="J372" s="314"/>
      <c r="K372" s="314"/>
      <c r="M372" s="350"/>
      <c r="O372" s="225"/>
      <c r="R372" s="314"/>
      <c r="T372" s="498"/>
      <c r="U372" s="315"/>
    </row>
    <row r="373" spans="3:21" ht="16">
      <c r="C373" s="314"/>
      <c r="G373" s="167"/>
      <c r="J373" s="314"/>
      <c r="K373" s="314"/>
      <c r="M373" s="350"/>
      <c r="O373" s="225"/>
      <c r="R373" s="314"/>
      <c r="T373" s="498"/>
      <c r="U373" s="315"/>
    </row>
    <row r="374" spans="3:21" ht="16">
      <c r="C374" s="314"/>
      <c r="G374" s="167"/>
      <c r="J374" s="314"/>
      <c r="K374" s="314"/>
      <c r="M374" s="350"/>
      <c r="O374" s="225"/>
      <c r="R374" s="314"/>
      <c r="T374" s="498"/>
      <c r="U374" s="315"/>
    </row>
    <row r="375" spans="3:21" ht="16">
      <c r="C375" s="314"/>
      <c r="G375" s="167"/>
      <c r="J375" s="314"/>
      <c r="K375" s="314"/>
      <c r="M375" s="350"/>
      <c r="O375" s="225"/>
      <c r="R375" s="314"/>
      <c r="T375" s="498"/>
      <c r="U375" s="315"/>
    </row>
    <row r="376" spans="3:21" ht="16">
      <c r="C376" s="314"/>
      <c r="G376" s="167"/>
      <c r="J376" s="314"/>
      <c r="K376" s="314"/>
      <c r="M376" s="350"/>
      <c r="O376" s="225"/>
      <c r="R376" s="314"/>
      <c r="T376" s="498"/>
      <c r="U376" s="315"/>
    </row>
    <row r="377" spans="3:21" ht="16">
      <c r="C377" s="314"/>
      <c r="G377" s="167"/>
      <c r="J377" s="314"/>
      <c r="K377" s="314"/>
      <c r="M377" s="350"/>
      <c r="O377" s="225"/>
      <c r="R377" s="314"/>
      <c r="T377" s="498"/>
      <c r="U377" s="315"/>
    </row>
    <row r="378" spans="3:21" ht="16">
      <c r="C378" s="314"/>
      <c r="G378" s="167"/>
      <c r="J378" s="314"/>
      <c r="K378" s="314"/>
      <c r="M378" s="350"/>
      <c r="O378" s="225"/>
      <c r="R378" s="314"/>
      <c r="T378" s="498"/>
      <c r="U378" s="315"/>
    </row>
    <row r="379" spans="3:21" ht="16">
      <c r="C379" s="314"/>
      <c r="G379" s="167"/>
      <c r="J379" s="314"/>
      <c r="K379" s="314"/>
      <c r="M379" s="350"/>
      <c r="O379" s="225"/>
      <c r="R379" s="314"/>
      <c r="T379" s="498"/>
      <c r="U379" s="315"/>
    </row>
    <row r="380" spans="3:21" ht="16">
      <c r="C380" s="314"/>
      <c r="G380" s="167"/>
      <c r="J380" s="314"/>
      <c r="K380" s="314"/>
      <c r="M380" s="350"/>
      <c r="O380" s="225"/>
      <c r="R380" s="314"/>
      <c r="T380" s="498"/>
      <c r="U380" s="315"/>
    </row>
    <row r="381" spans="3:21" ht="16">
      <c r="C381" s="314"/>
      <c r="G381" s="167"/>
      <c r="J381" s="314"/>
      <c r="K381" s="314"/>
      <c r="M381" s="350"/>
      <c r="O381" s="225"/>
      <c r="R381" s="314"/>
      <c r="T381" s="498"/>
      <c r="U381" s="315"/>
    </row>
    <row r="382" spans="3:21" ht="16">
      <c r="C382" s="314"/>
      <c r="G382" s="167"/>
      <c r="J382" s="314"/>
      <c r="K382" s="314"/>
      <c r="M382" s="350"/>
      <c r="O382" s="225"/>
      <c r="R382" s="314"/>
      <c r="T382" s="498"/>
      <c r="U382" s="315"/>
    </row>
    <row r="383" spans="3:21" ht="16">
      <c r="C383" s="314"/>
      <c r="G383" s="167"/>
      <c r="J383" s="314"/>
      <c r="K383" s="314"/>
      <c r="M383" s="350"/>
      <c r="O383" s="225"/>
      <c r="R383" s="314"/>
      <c r="T383" s="498"/>
      <c r="U383" s="315"/>
    </row>
    <row r="384" spans="3:21" ht="16">
      <c r="C384" s="314"/>
      <c r="G384" s="167"/>
      <c r="J384" s="314"/>
      <c r="K384" s="314"/>
      <c r="M384" s="350"/>
      <c r="O384" s="225"/>
      <c r="R384" s="314"/>
      <c r="T384" s="498"/>
      <c r="U384" s="315"/>
    </row>
    <row r="385" spans="3:21" ht="16">
      <c r="C385" s="314"/>
      <c r="G385" s="167"/>
      <c r="J385" s="314"/>
      <c r="K385" s="314"/>
      <c r="M385" s="350"/>
      <c r="O385" s="225"/>
      <c r="R385" s="314"/>
      <c r="T385" s="498"/>
      <c r="U385" s="315"/>
    </row>
    <row r="386" spans="3:21" ht="16">
      <c r="C386" s="314"/>
      <c r="G386" s="167"/>
      <c r="J386" s="314"/>
      <c r="K386" s="314"/>
      <c r="M386" s="350"/>
      <c r="O386" s="225"/>
      <c r="R386" s="314"/>
      <c r="T386" s="498"/>
      <c r="U386" s="315"/>
    </row>
    <row r="387" spans="3:21" ht="16">
      <c r="C387" s="314"/>
      <c r="G387" s="167"/>
      <c r="J387" s="314"/>
      <c r="K387" s="314"/>
      <c r="M387" s="350"/>
      <c r="O387" s="225"/>
      <c r="R387" s="314"/>
      <c r="T387" s="498"/>
      <c r="U387" s="315"/>
    </row>
    <row r="388" spans="3:21" ht="16">
      <c r="C388" s="314"/>
      <c r="G388" s="167"/>
      <c r="J388" s="314"/>
      <c r="K388" s="314"/>
      <c r="M388" s="350"/>
      <c r="O388" s="225"/>
      <c r="R388" s="314"/>
      <c r="T388" s="498"/>
      <c r="U388" s="315"/>
    </row>
    <row r="389" spans="3:21" ht="16">
      <c r="C389" s="314"/>
      <c r="G389" s="167"/>
      <c r="J389" s="314"/>
      <c r="K389" s="314"/>
      <c r="M389" s="350"/>
      <c r="O389" s="225"/>
      <c r="R389" s="314"/>
      <c r="T389" s="498"/>
      <c r="U389" s="315"/>
    </row>
    <row r="390" spans="3:21" ht="16">
      <c r="C390" s="314"/>
      <c r="G390" s="167"/>
      <c r="J390" s="314"/>
      <c r="K390" s="314"/>
      <c r="M390" s="350"/>
      <c r="O390" s="225"/>
      <c r="R390" s="314"/>
      <c r="T390" s="498"/>
      <c r="U390" s="315"/>
    </row>
    <row r="391" spans="3:21" ht="16">
      <c r="C391" s="314"/>
      <c r="G391" s="167"/>
      <c r="J391" s="314"/>
      <c r="K391" s="314"/>
      <c r="M391" s="350"/>
      <c r="O391" s="225"/>
      <c r="R391" s="314"/>
      <c r="T391" s="498"/>
      <c r="U391" s="315"/>
    </row>
    <row r="392" spans="3:21" ht="16">
      <c r="C392" s="314"/>
      <c r="G392" s="167"/>
      <c r="J392" s="314"/>
      <c r="K392" s="314"/>
      <c r="M392" s="350"/>
      <c r="O392" s="225"/>
      <c r="R392" s="314"/>
      <c r="T392" s="498"/>
      <c r="U392" s="315"/>
    </row>
    <row r="393" spans="3:21" ht="16">
      <c r="C393" s="314"/>
      <c r="G393" s="167"/>
      <c r="J393" s="314"/>
      <c r="K393" s="314"/>
      <c r="M393" s="350"/>
      <c r="O393" s="225"/>
      <c r="R393" s="314"/>
      <c r="T393" s="498"/>
      <c r="U393" s="315"/>
    </row>
    <row r="394" spans="3:21" ht="16">
      <c r="C394" s="314"/>
      <c r="G394" s="167"/>
      <c r="J394" s="314"/>
      <c r="K394" s="314"/>
      <c r="M394" s="350"/>
      <c r="O394" s="225"/>
      <c r="R394" s="314"/>
      <c r="T394" s="498"/>
      <c r="U394" s="315"/>
    </row>
    <row r="395" spans="3:21" ht="16">
      <c r="C395" s="314"/>
      <c r="G395" s="167"/>
      <c r="J395" s="314"/>
      <c r="K395" s="314"/>
      <c r="M395" s="350"/>
      <c r="O395" s="225"/>
      <c r="R395" s="314"/>
      <c r="T395" s="498"/>
      <c r="U395" s="315"/>
    </row>
    <row r="396" spans="3:21" ht="16">
      <c r="C396" s="314"/>
      <c r="G396" s="167"/>
      <c r="J396" s="314"/>
      <c r="K396" s="314"/>
      <c r="M396" s="350"/>
      <c r="O396" s="225"/>
      <c r="R396" s="314"/>
      <c r="T396" s="498"/>
      <c r="U396" s="315"/>
    </row>
    <row r="397" spans="3:21" ht="16">
      <c r="C397" s="314"/>
      <c r="G397" s="167"/>
      <c r="J397" s="314"/>
      <c r="K397" s="314"/>
      <c r="M397" s="350"/>
      <c r="O397" s="225"/>
      <c r="R397" s="314"/>
      <c r="T397" s="498"/>
      <c r="U397" s="315"/>
    </row>
    <row r="398" spans="3:21" ht="16">
      <c r="C398" s="314"/>
      <c r="G398" s="167"/>
      <c r="J398" s="314"/>
      <c r="K398" s="314"/>
      <c r="M398" s="350"/>
      <c r="O398" s="225"/>
      <c r="R398" s="314"/>
      <c r="T398" s="498"/>
      <c r="U398" s="315"/>
    </row>
    <row r="399" spans="3:21" ht="16">
      <c r="C399" s="314"/>
      <c r="G399" s="167"/>
      <c r="J399" s="314"/>
      <c r="K399" s="314"/>
      <c r="M399" s="350"/>
      <c r="O399" s="225"/>
      <c r="R399" s="314"/>
      <c r="T399" s="498"/>
      <c r="U399" s="315"/>
    </row>
    <row r="400" spans="3:21" ht="16">
      <c r="C400" s="314"/>
      <c r="G400" s="167"/>
      <c r="J400" s="314"/>
      <c r="K400" s="314"/>
      <c r="M400" s="350"/>
      <c r="O400" s="225"/>
      <c r="R400" s="314"/>
      <c r="T400" s="498"/>
      <c r="U400" s="315"/>
    </row>
    <row r="401" spans="3:21" ht="16">
      <c r="C401" s="314"/>
      <c r="G401" s="167"/>
      <c r="J401" s="314"/>
      <c r="K401" s="314"/>
      <c r="M401" s="350"/>
      <c r="O401" s="225"/>
      <c r="R401" s="314"/>
      <c r="T401" s="498"/>
      <c r="U401" s="315"/>
    </row>
    <row r="402" spans="3:21" ht="16">
      <c r="C402" s="314"/>
      <c r="G402" s="167"/>
      <c r="J402" s="314"/>
      <c r="K402" s="314"/>
      <c r="M402" s="350"/>
      <c r="O402" s="225"/>
      <c r="R402" s="314"/>
      <c r="T402" s="498"/>
      <c r="U402" s="315"/>
    </row>
    <row r="403" spans="3:21" ht="16">
      <c r="C403" s="314"/>
      <c r="G403" s="167"/>
      <c r="J403" s="314"/>
      <c r="K403" s="314"/>
      <c r="M403" s="350"/>
      <c r="O403" s="225"/>
      <c r="R403" s="314"/>
      <c r="T403" s="498"/>
      <c r="U403" s="315"/>
    </row>
    <row r="404" spans="3:21" ht="16">
      <c r="C404" s="314"/>
      <c r="G404" s="167"/>
      <c r="J404" s="314"/>
      <c r="K404" s="314"/>
      <c r="M404" s="350"/>
      <c r="O404" s="225"/>
      <c r="R404" s="314"/>
      <c r="T404" s="498"/>
      <c r="U404" s="315"/>
    </row>
    <row r="405" spans="3:21" ht="16">
      <c r="C405" s="314"/>
      <c r="G405" s="167"/>
      <c r="J405" s="314"/>
      <c r="K405" s="314"/>
      <c r="M405" s="350"/>
      <c r="O405" s="225"/>
      <c r="R405" s="314"/>
      <c r="T405" s="498"/>
      <c r="U405" s="315"/>
    </row>
    <row r="406" spans="3:21" ht="16">
      <c r="C406" s="314"/>
      <c r="G406" s="167"/>
      <c r="J406" s="314"/>
      <c r="K406" s="314"/>
      <c r="M406" s="350"/>
      <c r="O406" s="225"/>
      <c r="R406" s="314"/>
      <c r="T406" s="498"/>
      <c r="U406" s="315"/>
    </row>
    <row r="407" spans="3:21" ht="16">
      <c r="C407" s="314"/>
      <c r="G407" s="167"/>
      <c r="J407" s="314"/>
      <c r="K407" s="314"/>
      <c r="M407" s="350"/>
      <c r="O407" s="225"/>
      <c r="R407" s="314"/>
      <c r="T407" s="498"/>
      <c r="U407" s="315"/>
    </row>
    <row r="408" spans="3:21" ht="16">
      <c r="C408" s="314"/>
      <c r="G408" s="167"/>
      <c r="J408" s="314"/>
      <c r="K408" s="314"/>
      <c r="M408" s="350"/>
      <c r="O408" s="225"/>
      <c r="R408" s="314"/>
      <c r="T408" s="498"/>
      <c r="U408" s="315"/>
    </row>
    <row r="409" spans="3:21" ht="16">
      <c r="C409" s="314"/>
      <c r="G409" s="167"/>
      <c r="J409" s="314"/>
      <c r="K409" s="314"/>
      <c r="M409" s="350"/>
      <c r="O409" s="225"/>
      <c r="R409" s="314"/>
      <c r="T409" s="498"/>
      <c r="U409" s="315"/>
    </row>
    <row r="410" spans="3:21" ht="16">
      <c r="C410" s="314"/>
      <c r="G410" s="167"/>
      <c r="J410" s="314"/>
      <c r="K410" s="314"/>
      <c r="M410" s="350"/>
      <c r="O410" s="225"/>
      <c r="R410" s="314"/>
      <c r="T410" s="498"/>
      <c r="U410" s="315"/>
    </row>
    <row r="411" spans="3:21" ht="16">
      <c r="C411" s="314"/>
      <c r="G411" s="167"/>
      <c r="J411" s="314"/>
      <c r="K411" s="314"/>
      <c r="M411" s="350"/>
      <c r="O411" s="225"/>
      <c r="R411" s="314"/>
      <c r="T411" s="498"/>
      <c r="U411" s="315"/>
    </row>
    <row r="412" spans="3:21" ht="16">
      <c r="C412" s="314"/>
      <c r="G412" s="167"/>
      <c r="J412" s="314"/>
      <c r="K412" s="314"/>
      <c r="M412" s="350"/>
      <c r="O412" s="225"/>
      <c r="R412" s="314"/>
      <c r="T412" s="498"/>
      <c r="U412" s="315"/>
    </row>
    <row r="413" spans="3:21" ht="16">
      <c r="C413" s="314"/>
      <c r="G413" s="167"/>
      <c r="J413" s="314"/>
      <c r="K413" s="314"/>
      <c r="M413" s="350"/>
      <c r="O413" s="225"/>
      <c r="R413" s="314"/>
      <c r="T413" s="498"/>
      <c r="U413" s="315"/>
    </row>
    <row r="414" spans="3:21" ht="16">
      <c r="C414" s="314"/>
      <c r="G414" s="167"/>
      <c r="J414" s="314"/>
      <c r="K414" s="314"/>
      <c r="M414" s="350"/>
      <c r="O414" s="225"/>
      <c r="R414" s="314"/>
      <c r="T414" s="498"/>
      <c r="U414" s="315"/>
    </row>
    <row r="415" spans="3:21" ht="16">
      <c r="C415" s="314"/>
      <c r="G415" s="167"/>
      <c r="J415" s="314"/>
      <c r="K415" s="314"/>
      <c r="M415" s="350"/>
      <c r="O415" s="225"/>
      <c r="R415" s="314"/>
      <c r="T415" s="498"/>
      <c r="U415" s="315"/>
    </row>
    <row r="416" spans="3:21" ht="16">
      <c r="C416" s="314"/>
      <c r="G416" s="167"/>
      <c r="J416" s="314"/>
      <c r="K416" s="314"/>
      <c r="M416" s="350"/>
      <c r="O416" s="225"/>
      <c r="R416" s="314"/>
      <c r="T416" s="498"/>
      <c r="U416" s="315"/>
    </row>
    <row r="417" spans="3:21" ht="16">
      <c r="C417" s="314"/>
      <c r="G417" s="167"/>
      <c r="J417" s="314"/>
      <c r="K417" s="314"/>
      <c r="M417" s="350"/>
      <c r="O417" s="225"/>
      <c r="R417" s="314"/>
      <c r="T417" s="498"/>
      <c r="U417" s="315"/>
    </row>
    <row r="418" spans="3:21" ht="16">
      <c r="C418" s="314"/>
      <c r="G418" s="167"/>
      <c r="J418" s="314"/>
      <c r="K418" s="314"/>
      <c r="M418" s="350"/>
      <c r="O418" s="225"/>
      <c r="R418" s="314"/>
      <c r="T418" s="498"/>
      <c r="U418" s="315"/>
    </row>
    <row r="419" spans="3:21" ht="16">
      <c r="C419" s="314"/>
      <c r="G419" s="167"/>
      <c r="J419" s="314"/>
      <c r="K419" s="314"/>
      <c r="M419" s="350"/>
      <c r="O419" s="225"/>
      <c r="R419" s="314"/>
      <c r="T419" s="498"/>
      <c r="U419" s="315"/>
    </row>
    <row r="420" spans="3:21" ht="16">
      <c r="C420" s="314"/>
      <c r="G420" s="167"/>
      <c r="J420" s="314"/>
      <c r="K420" s="314"/>
      <c r="M420" s="350"/>
      <c r="O420" s="225"/>
      <c r="R420" s="314"/>
      <c r="T420" s="498"/>
      <c r="U420" s="315"/>
    </row>
    <row r="421" spans="3:21" ht="16">
      <c r="C421" s="314"/>
      <c r="G421" s="167"/>
      <c r="J421" s="314"/>
      <c r="K421" s="314"/>
      <c r="M421" s="350"/>
      <c r="O421" s="225"/>
      <c r="R421" s="314"/>
      <c r="T421" s="498"/>
      <c r="U421" s="315"/>
    </row>
    <row r="422" spans="3:21" ht="16">
      <c r="C422" s="314"/>
      <c r="G422" s="167"/>
      <c r="J422" s="314"/>
      <c r="K422" s="314"/>
      <c r="M422" s="350"/>
      <c r="O422" s="225"/>
      <c r="R422" s="314"/>
      <c r="T422" s="498"/>
      <c r="U422" s="315"/>
    </row>
    <row r="423" spans="3:21" ht="16">
      <c r="C423" s="314"/>
      <c r="G423" s="167"/>
      <c r="J423" s="314"/>
      <c r="K423" s="314"/>
      <c r="M423" s="350"/>
      <c r="O423" s="225"/>
      <c r="R423" s="314"/>
      <c r="T423" s="498"/>
      <c r="U423" s="315"/>
    </row>
    <row r="424" spans="3:21" ht="16">
      <c r="C424" s="314"/>
      <c r="G424" s="167"/>
      <c r="J424" s="314"/>
      <c r="K424" s="314"/>
      <c r="M424" s="350"/>
      <c r="O424" s="225"/>
      <c r="R424" s="314"/>
      <c r="T424" s="498"/>
      <c r="U424" s="315"/>
    </row>
    <row r="425" spans="3:21" ht="16">
      <c r="C425" s="314"/>
      <c r="G425" s="167"/>
      <c r="J425" s="314"/>
      <c r="K425" s="314"/>
      <c r="M425" s="350"/>
      <c r="O425" s="225"/>
      <c r="R425" s="314"/>
      <c r="T425" s="498"/>
      <c r="U425" s="315"/>
    </row>
    <row r="426" spans="3:21" ht="16">
      <c r="C426" s="314"/>
      <c r="G426" s="167"/>
      <c r="J426" s="314"/>
      <c r="K426" s="314"/>
      <c r="M426" s="350"/>
      <c r="O426" s="225"/>
      <c r="R426" s="314"/>
      <c r="T426" s="498"/>
      <c r="U426" s="315"/>
    </row>
    <row r="427" spans="3:21" ht="16">
      <c r="C427" s="314"/>
      <c r="G427" s="167"/>
      <c r="J427" s="314"/>
      <c r="K427" s="314"/>
      <c r="M427" s="350"/>
      <c r="O427" s="225"/>
      <c r="R427" s="314"/>
      <c r="T427" s="498"/>
      <c r="U427" s="315"/>
    </row>
    <row r="428" spans="3:21" ht="16">
      <c r="C428" s="314"/>
      <c r="G428" s="167"/>
      <c r="J428" s="314"/>
      <c r="K428" s="314"/>
      <c r="M428" s="350"/>
      <c r="O428" s="225"/>
      <c r="R428" s="314"/>
      <c r="T428" s="498"/>
      <c r="U428" s="315"/>
    </row>
    <row r="429" spans="3:21" ht="16">
      <c r="C429" s="314"/>
      <c r="G429" s="167"/>
      <c r="J429" s="314"/>
      <c r="K429" s="314"/>
      <c r="M429" s="350"/>
      <c r="O429" s="225"/>
      <c r="R429" s="314"/>
      <c r="T429" s="498"/>
      <c r="U429" s="315"/>
    </row>
    <row r="430" spans="3:21" ht="16">
      <c r="C430" s="314"/>
      <c r="G430" s="167"/>
      <c r="J430" s="314"/>
      <c r="K430" s="314"/>
      <c r="M430" s="350"/>
      <c r="O430" s="225"/>
      <c r="R430" s="314"/>
      <c r="T430" s="498"/>
      <c r="U430" s="315"/>
    </row>
    <row r="431" spans="3:21" ht="16">
      <c r="C431" s="314"/>
      <c r="G431" s="167"/>
      <c r="J431" s="314"/>
      <c r="K431" s="314"/>
      <c r="M431" s="350"/>
      <c r="O431" s="225"/>
      <c r="R431" s="314"/>
      <c r="T431" s="498"/>
      <c r="U431" s="315"/>
    </row>
    <row r="432" spans="3:21" ht="16">
      <c r="C432" s="314"/>
      <c r="G432" s="167"/>
      <c r="J432" s="314"/>
      <c r="K432" s="314"/>
      <c r="M432" s="350"/>
      <c r="O432" s="225"/>
      <c r="R432" s="314"/>
      <c r="T432" s="498"/>
      <c r="U432" s="315"/>
    </row>
    <row r="433" spans="3:21" ht="16">
      <c r="C433" s="314"/>
      <c r="G433" s="167"/>
      <c r="J433" s="314"/>
      <c r="K433" s="314"/>
      <c r="M433" s="350"/>
      <c r="O433" s="225"/>
      <c r="R433" s="314"/>
      <c r="T433" s="498"/>
      <c r="U433" s="315"/>
    </row>
    <row r="434" spans="3:21" ht="16">
      <c r="C434" s="314"/>
      <c r="G434" s="167"/>
      <c r="J434" s="314"/>
      <c r="K434" s="314"/>
      <c r="M434" s="350"/>
      <c r="O434" s="225"/>
      <c r="R434" s="314"/>
      <c r="T434" s="498"/>
      <c r="U434" s="315"/>
    </row>
    <row r="435" spans="3:21" ht="16">
      <c r="C435" s="314"/>
      <c r="G435" s="167"/>
      <c r="J435" s="314"/>
      <c r="K435" s="314"/>
      <c r="M435" s="350"/>
      <c r="O435" s="225"/>
      <c r="R435" s="314"/>
      <c r="T435" s="498"/>
      <c r="U435" s="315"/>
    </row>
    <row r="436" spans="3:21" ht="16">
      <c r="C436" s="314"/>
      <c r="G436" s="167"/>
      <c r="J436" s="314"/>
      <c r="K436" s="314"/>
      <c r="M436" s="350"/>
      <c r="O436" s="225"/>
      <c r="R436" s="314"/>
      <c r="T436" s="498"/>
      <c r="U436" s="315"/>
    </row>
    <row r="437" spans="3:21" ht="16">
      <c r="C437" s="314"/>
      <c r="G437" s="167"/>
      <c r="J437" s="314"/>
      <c r="K437" s="314"/>
      <c r="M437" s="350"/>
      <c r="O437" s="225"/>
      <c r="R437" s="314"/>
      <c r="T437" s="498"/>
      <c r="U437" s="315"/>
    </row>
    <row r="438" spans="3:21" ht="16">
      <c r="C438" s="314"/>
      <c r="G438" s="167"/>
      <c r="J438" s="314"/>
      <c r="K438" s="314"/>
      <c r="M438" s="350"/>
      <c r="O438" s="225"/>
      <c r="R438" s="314"/>
      <c r="T438" s="498"/>
      <c r="U438" s="315"/>
    </row>
    <row r="439" spans="3:21" ht="16">
      <c r="C439" s="314"/>
      <c r="G439" s="167"/>
      <c r="J439" s="314"/>
      <c r="K439" s="314"/>
      <c r="M439" s="350"/>
      <c r="O439" s="225"/>
      <c r="R439" s="314"/>
      <c r="T439" s="498"/>
      <c r="U439" s="315"/>
    </row>
    <row r="440" spans="3:21" ht="16">
      <c r="C440" s="314"/>
      <c r="G440" s="167"/>
      <c r="J440" s="314"/>
      <c r="K440" s="314"/>
      <c r="M440" s="350"/>
      <c r="O440" s="225"/>
      <c r="R440" s="314"/>
      <c r="T440" s="498"/>
      <c r="U440" s="315"/>
    </row>
    <row r="441" spans="3:21" ht="16">
      <c r="C441" s="314"/>
      <c r="G441" s="167"/>
      <c r="J441" s="314"/>
      <c r="K441" s="314"/>
      <c r="M441" s="350"/>
      <c r="O441" s="225"/>
      <c r="R441" s="314"/>
      <c r="T441" s="498"/>
      <c r="U441" s="315"/>
    </row>
    <row r="442" spans="3:21" ht="16">
      <c r="C442" s="314"/>
      <c r="G442" s="167"/>
      <c r="J442" s="314"/>
      <c r="K442" s="314"/>
      <c r="M442" s="350"/>
      <c r="O442" s="225"/>
      <c r="R442" s="314"/>
      <c r="T442" s="498"/>
      <c r="U442" s="315"/>
    </row>
    <row r="443" spans="3:21" ht="16">
      <c r="C443" s="314"/>
      <c r="G443" s="167"/>
      <c r="J443" s="314"/>
      <c r="K443" s="314"/>
      <c r="M443" s="350"/>
      <c r="O443" s="225"/>
      <c r="R443" s="314"/>
      <c r="T443" s="498"/>
      <c r="U443" s="315"/>
    </row>
    <row r="444" spans="3:21" ht="16">
      <c r="C444" s="314"/>
      <c r="G444" s="167"/>
      <c r="J444" s="314"/>
      <c r="K444" s="314"/>
      <c r="M444" s="350"/>
      <c r="O444" s="225"/>
      <c r="R444" s="314"/>
      <c r="T444" s="498"/>
      <c r="U444" s="315"/>
    </row>
    <row r="445" spans="3:21" ht="16">
      <c r="C445" s="314"/>
      <c r="G445" s="167"/>
      <c r="J445" s="314"/>
      <c r="K445" s="314"/>
      <c r="M445" s="350"/>
      <c r="O445" s="225"/>
      <c r="R445" s="314"/>
      <c r="T445" s="498"/>
      <c r="U445" s="315"/>
    </row>
    <row r="446" spans="3:21" ht="16">
      <c r="C446" s="314"/>
      <c r="G446" s="167"/>
      <c r="J446" s="314"/>
      <c r="K446" s="314"/>
      <c r="M446" s="350"/>
      <c r="O446" s="225"/>
      <c r="R446" s="314"/>
      <c r="T446" s="498"/>
      <c r="U446" s="315"/>
    </row>
    <row r="447" spans="3:21" ht="16">
      <c r="C447" s="314"/>
      <c r="G447" s="167"/>
      <c r="J447" s="314"/>
      <c r="K447" s="314"/>
      <c r="M447" s="350"/>
      <c r="O447" s="225"/>
      <c r="R447" s="314"/>
      <c r="T447" s="498"/>
      <c r="U447" s="315"/>
    </row>
    <row r="448" spans="3:21" ht="16">
      <c r="C448" s="314"/>
      <c r="G448" s="167"/>
      <c r="J448" s="314"/>
      <c r="K448" s="314"/>
      <c r="M448" s="350"/>
      <c r="O448" s="225"/>
      <c r="R448" s="314"/>
      <c r="T448" s="498"/>
      <c r="U448" s="315"/>
    </row>
    <row r="449" spans="3:21" ht="16">
      <c r="C449" s="314"/>
      <c r="G449" s="167"/>
      <c r="J449" s="314"/>
      <c r="K449" s="314"/>
      <c r="M449" s="350"/>
      <c r="O449" s="225"/>
      <c r="R449" s="314"/>
      <c r="T449" s="498"/>
      <c r="U449" s="315"/>
    </row>
    <row r="450" spans="3:21" ht="16">
      <c r="C450" s="314"/>
      <c r="G450" s="167"/>
      <c r="J450" s="314"/>
      <c r="K450" s="314"/>
      <c r="M450" s="350"/>
      <c r="O450" s="225"/>
      <c r="R450" s="314"/>
      <c r="T450" s="498"/>
      <c r="U450" s="315"/>
    </row>
    <row r="451" spans="3:21" ht="16">
      <c r="C451" s="314"/>
      <c r="G451" s="167"/>
      <c r="J451" s="314"/>
      <c r="K451" s="314"/>
      <c r="M451" s="350"/>
      <c r="O451" s="225"/>
      <c r="R451" s="314"/>
      <c r="T451" s="498"/>
      <c r="U451" s="315"/>
    </row>
    <row r="452" spans="3:21" ht="16">
      <c r="C452" s="314"/>
      <c r="G452" s="167"/>
      <c r="J452" s="314"/>
      <c r="K452" s="314"/>
      <c r="M452" s="350"/>
      <c r="O452" s="225"/>
      <c r="R452" s="314"/>
      <c r="T452" s="498"/>
      <c r="U452" s="315"/>
    </row>
    <row r="453" spans="3:21" ht="16">
      <c r="C453" s="314"/>
      <c r="G453" s="167"/>
      <c r="J453" s="314"/>
      <c r="K453" s="314"/>
      <c r="M453" s="350"/>
      <c r="O453" s="225"/>
      <c r="R453" s="314"/>
      <c r="T453" s="498"/>
      <c r="U453" s="315"/>
    </row>
    <row r="454" spans="3:21" ht="16">
      <c r="C454" s="314"/>
      <c r="G454" s="167"/>
      <c r="J454" s="314"/>
      <c r="K454" s="314"/>
      <c r="M454" s="350"/>
      <c r="O454" s="225"/>
      <c r="R454" s="314"/>
      <c r="T454" s="498"/>
      <c r="U454" s="315"/>
    </row>
    <row r="455" spans="3:21" ht="16">
      <c r="C455" s="314"/>
      <c r="G455" s="167"/>
      <c r="J455" s="314"/>
      <c r="K455" s="314"/>
      <c r="M455" s="350"/>
      <c r="O455" s="225"/>
      <c r="R455" s="314"/>
      <c r="T455" s="498"/>
      <c r="U455" s="315"/>
    </row>
    <row r="456" spans="3:21" ht="16">
      <c r="C456" s="314"/>
      <c r="G456" s="167"/>
      <c r="J456" s="314"/>
      <c r="K456" s="314"/>
      <c r="M456" s="350"/>
      <c r="O456" s="225"/>
      <c r="R456" s="314"/>
      <c r="T456" s="498"/>
      <c r="U456" s="315"/>
    </row>
    <row r="457" spans="3:21" ht="16">
      <c r="C457" s="314"/>
      <c r="G457" s="167"/>
      <c r="J457" s="314"/>
      <c r="K457" s="314"/>
      <c r="M457" s="350"/>
      <c r="O457" s="225"/>
      <c r="R457" s="314"/>
      <c r="T457" s="498"/>
      <c r="U457" s="315"/>
    </row>
    <row r="458" spans="3:21" ht="16">
      <c r="C458" s="314"/>
      <c r="G458" s="167"/>
      <c r="J458" s="314"/>
      <c r="K458" s="314"/>
      <c r="M458" s="350"/>
      <c r="O458" s="225"/>
      <c r="R458" s="314"/>
      <c r="T458" s="498"/>
      <c r="U458" s="315"/>
    </row>
    <row r="459" spans="3:21" ht="16">
      <c r="C459" s="314"/>
      <c r="G459" s="167"/>
      <c r="J459" s="314"/>
      <c r="K459" s="314"/>
      <c r="M459" s="350"/>
      <c r="O459" s="225"/>
      <c r="R459" s="314"/>
      <c r="T459" s="498"/>
      <c r="U459" s="315"/>
    </row>
    <row r="460" spans="3:21" ht="16">
      <c r="C460" s="314"/>
      <c r="G460" s="167"/>
      <c r="J460" s="314"/>
      <c r="K460" s="314"/>
      <c r="M460" s="350"/>
      <c r="O460" s="225"/>
      <c r="R460" s="314"/>
      <c r="T460" s="498"/>
      <c r="U460" s="315"/>
    </row>
    <row r="461" spans="3:21" ht="16">
      <c r="C461" s="314"/>
      <c r="G461" s="167"/>
      <c r="J461" s="314"/>
      <c r="K461" s="314"/>
      <c r="M461" s="350"/>
      <c r="O461" s="225"/>
      <c r="R461" s="314"/>
      <c r="T461" s="498"/>
      <c r="U461" s="315"/>
    </row>
    <row r="462" spans="3:21" ht="16">
      <c r="C462" s="314"/>
      <c r="G462" s="167"/>
      <c r="J462" s="314"/>
      <c r="K462" s="314"/>
      <c r="M462" s="350"/>
      <c r="O462" s="225"/>
      <c r="R462" s="314"/>
      <c r="T462" s="498"/>
      <c r="U462" s="315"/>
    </row>
    <row r="463" spans="3:21" ht="16">
      <c r="C463" s="314"/>
      <c r="G463" s="167"/>
      <c r="J463" s="314"/>
      <c r="K463" s="314"/>
      <c r="M463" s="350"/>
      <c r="O463" s="225"/>
      <c r="R463" s="314"/>
      <c r="T463" s="498"/>
      <c r="U463" s="315"/>
    </row>
    <row r="464" spans="3:21" ht="16">
      <c r="C464" s="314"/>
      <c r="G464" s="167"/>
      <c r="J464" s="314"/>
      <c r="K464" s="314"/>
      <c r="M464" s="350"/>
      <c r="O464" s="225"/>
      <c r="R464" s="314"/>
      <c r="T464" s="498"/>
      <c r="U464" s="315"/>
    </row>
    <row r="465" spans="3:21" ht="16">
      <c r="C465" s="314"/>
      <c r="G465" s="167"/>
      <c r="J465" s="314"/>
      <c r="K465" s="314"/>
      <c r="M465" s="350"/>
      <c r="O465" s="225"/>
      <c r="R465" s="314"/>
      <c r="T465" s="498"/>
      <c r="U465" s="315"/>
    </row>
    <row r="466" spans="3:21" ht="16">
      <c r="C466" s="314"/>
      <c r="G466" s="167"/>
      <c r="J466" s="314"/>
      <c r="K466" s="314"/>
      <c r="M466" s="350"/>
      <c r="O466" s="225"/>
      <c r="R466" s="314"/>
      <c r="T466" s="498"/>
      <c r="U466" s="315"/>
    </row>
    <row r="467" spans="3:21" ht="16">
      <c r="C467" s="314"/>
      <c r="G467" s="167"/>
      <c r="J467" s="314"/>
      <c r="K467" s="314"/>
      <c r="M467" s="350"/>
      <c r="O467" s="225"/>
      <c r="R467" s="314"/>
      <c r="T467" s="498"/>
      <c r="U467" s="315"/>
    </row>
    <row r="468" spans="3:21" ht="16">
      <c r="C468" s="314"/>
      <c r="G468" s="167"/>
      <c r="J468" s="314"/>
      <c r="K468" s="314"/>
      <c r="M468" s="350"/>
      <c r="O468" s="225"/>
      <c r="R468" s="314"/>
      <c r="T468" s="498"/>
      <c r="U468" s="315"/>
    </row>
    <row r="469" spans="3:21" ht="16">
      <c r="C469" s="314"/>
      <c r="G469" s="167"/>
      <c r="J469" s="314"/>
      <c r="K469" s="314"/>
      <c r="M469" s="350"/>
      <c r="O469" s="225"/>
      <c r="R469" s="314"/>
      <c r="T469" s="498"/>
      <c r="U469" s="315"/>
    </row>
    <row r="470" spans="3:21" ht="16">
      <c r="C470" s="314"/>
      <c r="G470" s="167"/>
      <c r="J470" s="314"/>
      <c r="K470" s="314"/>
      <c r="M470" s="350"/>
      <c r="O470" s="225"/>
      <c r="R470" s="314"/>
      <c r="T470" s="498"/>
      <c r="U470" s="315"/>
    </row>
    <row r="471" spans="3:21" ht="16">
      <c r="C471" s="314"/>
      <c r="G471" s="167"/>
      <c r="J471" s="314"/>
      <c r="K471" s="314"/>
      <c r="M471" s="350"/>
      <c r="O471" s="225"/>
      <c r="R471" s="314"/>
      <c r="T471" s="498"/>
      <c r="U471" s="315"/>
    </row>
    <row r="472" spans="3:21" ht="16">
      <c r="C472" s="314"/>
      <c r="G472" s="167"/>
      <c r="J472" s="314"/>
      <c r="K472" s="314"/>
      <c r="M472" s="350"/>
      <c r="O472" s="225"/>
      <c r="R472" s="314"/>
      <c r="T472" s="498"/>
      <c r="U472" s="315"/>
    </row>
    <row r="473" spans="3:21" ht="16">
      <c r="C473" s="314"/>
      <c r="G473" s="167"/>
      <c r="J473" s="314"/>
      <c r="K473" s="314"/>
      <c r="M473" s="350"/>
      <c r="O473" s="225"/>
      <c r="R473" s="314"/>
      <c r="T473" s="498"/>
      <c r="U473" s="315"/>
    </row>
    <row r="474" spans="3:21" ht="16">
      <c r="C474" s="314"/>
      <c r="G474" s="167"/>
      <c r="J474" s="314"/>
      <c r="K474" s="314"/>
      <c r="M474" s="350"/>
      <c r="O474" s="225"/>
      <c r="R474" s="314"/>
      <c r="T474" s="498"/>
      <c r="U474" s="315"/>
    </row>
    <row r="475" spans="3:21" ht="16">
      <c r="C475" s="314"/>
      <c r="G475" s="167"/>
      <c r="J475" s="314"/>
      <c r="K475" s="314"/>
      <c r="M475" s="350"/>
      <c r="O475" s="225"/>
      <c r="R475" s="314"/>
      <c r="T475" s="498"/>
      <c r="U475" s="315"/>
    </row>
    <row r="476" spans="3:21" ht="16">
      <c r="C476" s="314"/>
      <c r="G476" s="167"/>
      <c r="J476" s="314"/>
      <c r="K476" s="314"/>
      <c r="M476" s="350"/>
      <c r="O476" s="225"/>
      <c r="R476" s="314"/>
      <c r="T476" s="498"/>
      <c r="U476" s="315"/>
    </row>
    <row r="477" spans="3:21" ht="16">
      <c r="C477" s="314"/>
      <c r="G477" s="167"/>
      <c r="J477" s="314"/>
      <c r="K477" s="314"/>
      <c r="M477" s="350"/>
      <c r="O477" s="225"/>
      <c r="R477" s="314"/>
      <c r="T477" s="498"/>
      <c r="U477" s="315"/>
    </row>
    <row r="478" spans="3:21" ht="16">
      <c r="C478" s="314"/>
      <c r="G478" s="167"/>
      <c r="J478" s="314"/>
      <c r="K478" s="314"/>
      <c r="M478" s="350"/>
      <c r="O478" s="225"/>
      <c r="R478" s="314"/>
      <c r="T478" s="498"/>
      <c r="U478" s="315"/>
    </row>
    <row r="479" spans="3:21" ht="16">
      <c r="C479" s="314"/>
      <c r="G479" s="167"/>
      <c r="J479" s="314"/>
      <c r="K479" s="314"/>
      <c r="M479" s="350"/>
      <c r="O479" s="225"/>
      <c r="R479" s="314"/>
      <c r="T479" s="498"/>
      <c r="U479" s="315"/>
    </row>
    <row r="480" spans="3:21" ht="16">
      <c r="C480" s="314"/>
      <c r="G480" s="167"/>
      <c r="J480" s="314"/>
      <c r="K480" s="314"/>
      <c r="M480" s="350"/>
      <c r="O480" s="225"/>
      <c r="R480" s="314"/>
      <c r="T480" s="498"/>
      <c r="U480" s="315"/>
    </row>
    <row r="481" spans="3:21" ht="16">
      <c r="C481" s="314"/>
      <c r="G481" s="167"/>
      <c r="J481" s="314"/>
      <c r="K481" s="314"/>
      <c r="M481" s="350"/>
      <c r="O481" s="225"/>
      <c r="R481" s="314"/>
      <c r="T481" s="498"/>
      <c r="U481" s="315"/>
    </row>
    <row r="482" spans="3:21" ht="16">
      <c r="C482" s="314"/>
      <c r="G482" s="167"/>
      <c r="J482" s="314"/>
      <c r="K482" s="314"/>
      <c r="M482" s="350"/>
      <c r="O482" s="225"/>
      <c r="R482" s="314"/>
      <c r="T482" s="498"/>
      <c r="U482" s="315"/>
    </row>
    <row r="483" spans="3:21" ht="16">
      <c r="C483" s="314"/>
      <c r="G483" s="167"/>
      <c r="J483" s="314"/>
      <c r="K483" s="314"/>
      <c r="M483" s="350"/>
      <c r="O483" s="225"/>
      <c r="R483" s="314"/>
      <c r="T483" s="498"/>
      <c r="U483" s="315"/>
    </row>
    <row r="484" spans="3:21" ht="16">
      <c r="C484" s="314"/>
      <c r="G484" s="167"/>
      <c r="J484" s="314"/>
      <c r="K484" s="314"/>
      <c r="M484" s="350"/>
      <c r="O484" s="225"/>
      <c r="R484" s="314"/>
      <c r="T484" s="498"/>
      <c r="U484" s="315"/>
    </row>
    <row r="485" spans="3:21" ht="16">
      <c r="C485" s="314"/>
      <c r="G485" s="167"/>
      <c r="J485" s="314"/>
      <c r="K485" s="314"/>
      <c r="M485" s="350"/>
      <c r="O485" s="225"/>
      <c r="R485" s="314"/>
      <c r="T485" s="498"/>
      <c r="U485" s="315"/>
    </row>
    <row r="486" spans="3:21" ht="16">
      <c r="C486" s="314"/>
      <c r="G486" s="167"/>
      <c r="J486" s="314"/>
      <c r="K486" s="314"/>
      <c r="M486" s="350"/>
      <c r="O486" s="225"/>
      <c r="R486" s="314"/>
      <c r="T486" s="498"/>
      <c r="U486" s="315"/>
    </row>
    <row r="487" spans="3:21" ht="16">
      <c r="C487" s="314"/>
      <c r="G487" s="167"/>
      <c r="J487" s="314"/>
      <c r="K487" s="314"/>
      <c r="M487" s="350"/>
      <c r="O487" s="225"/>
      <c r="R487" s="314"/>
      <c r="T487" s="498"/>
      <c r="U487" s="315"/>
    </row>
    <row r="488" spans="3:21" ht="16">
      <c r="C488" s="314"/>
      <c r="G488" s="167"/>
      <c r="J488" s="314"/>
      <c r="K488" s="314"/>
      <c r="M488" s="350"/>
      <c r="O488" s="225"/>
      <c r="R488" s="314"/>
      <c r="T488" s="498"/>
      <c r="U488" s="315"/>
    </row>
    <row r="489" spans="3:21" ht="16">
      <c r="C489" s="314"/>
      <c r="G489" s="167"/>
      <c r="J489" s="314"/>
      <c r="K489" s="314"/>
      <c r="M489" s="350"/>
      <c r="O489" s="225"/>
      <c r="R489" s="314"/>
      <c r="T489" s="498"/>
      <c r="U489" s="315"/>
    </row>
    <row r="490" spans="3:21" ht="16">
      <c r="C490" s="314"/>
      <c r="G490" s="167"/>
      <c r="J490" s="314"/>
      <c r="K490" s="314"/>
      <c r="M490" s="350"/>
      <c r="O490" s="225"/>
      <c r="R490" s="314"/>
      <c r="T490" s="498"/>
      <c r="U490" s="315"/>
    </row>
    <row r="491" spans="3:21" ht="16">
      <c r="C491" s="314"/>
      <c r="G491" s="167"/>
      <c r="J491" s="314"/>
      <c r="K491" s="314"/>
      <c r="M491" s="350"/>
      <c r="O491" s="225"/>
      <c r="R491" s="314"/>
      <c r="T491" s="498"/>
      <c r="U491" s="315"/>
    </row>
    <row r="492" spans="3:21" ht="16">
      <c r="C492" s="314"/>
      <c r="G492" s="167"/>
      <c r="J492" s="314"/>
      <c r="K492" s="314"/>
      <c r="M492" s="350"/>
      <c r="O492" s="225"/>
      <c r="R492" s="314"/>
      <c r="T492" s="498"/>
      <c r="U492" s="315"/>
    </row>
    <row r="493" spans="3:21" ht="16">
      <c r="C493" s="314"/>
      <c r="G493" s="167"/>
      <c r="J493" s="314"/>
      <c r="K493" s="314"/>
      <c r="M493" s="350"/>
      <c r="O493" s="225"/>
      <c r="R493" s="314"/>
      <c r="T493" s="498"/>
      <c r="U493" s="315"/>
    </row>
    <row r="494" spans="3:21" ht="16">
      <c r="C494" s="314"/>
      <c r="G494" s="167"/>
      <c r="J494" s="314"/>
      <c r="K494" s="314"/>
      <c r="M494" s="350"/>
      <c r="O494" s="225"/>
      <c r="R494" s="314"/>
      <c r="T494" s="498"/>
      <c r="U494" s="315"/>
    </row>
    <row r="495" spans="3:21" ht="16">
      <c r="C495" s="314"/>
      <c r="G495" s="167"/>
      <c r="J495" s="314"/>
      <c r="K495" s="314"/>
      <c r="M495" s="350"/>
      <c r="O495" s="225"/>
      <c r="R495" s="314"/>
      <c r="T495" s="498"/>
      <c r="U495" s="315"/>
    </row>
    <row r="496" spans="3:21" ht="16">
      <c r="C496" s="314"/>
      <c r="G496" s="167"/>
      <c r="J496" s="314"/>
      <c r="K496" s="314"/>
      <c r="M496" s="350"/>
      <c r="O496" s="225"/>
      <c r="R496" s="314"/>
      <c r="T496" s="498"/>
      <c r="U496" s="315"/>
    </row>
    <row r="497" spans="3:21" ht="16">
      <c r="C497" s="314"/>
      <c r="G497" s="167"/>
      <c r="J497" s="314"/>
      <c r="K497" s="314"/>
      <c r="M497" s="350"/>
      <c r="O497" s="225"/>
      <c r="R497" s="314"/>
      <c r="T497" s="498"/>
      <c r="U497" s="315"/>
    </row>
    <row r="498" spans="3:21" ht="16">
      <c r="C498" s="314"/>
      <c r="G498" s="167"/>
      <c r="J498" s="314"/>
      <c r="K498" s="314"/>
      <c r="M498" s="350"/>
      <c r="O498" s="225"/>
      <c r="R498" s="314"/>
      <c r="T498" s="498"/>
      <c r="U498" s="315"/>
    </row>
    <row r="499" spans="3:21" ht="16">
      <c r="C499" s="314"/>
      <c r="G499" s="167"/>
      <c r="J499" s="314"/>
      <c r="K499" s="314"/>
      <c r="M499" s="350"/>
      <c r="O499" s="225"/>
      <c r="R499" s="314"/>
      <c r="T499" s="498"/>
      <c r="U499" s="315"/>
    </row>
    <row r="500" spans="3:21" ht="16">
      <c r="C500" s="314"/>
      <c r="G500" s="167"/>
      <c r="J500" s="314"/>
      <c r="K500" s="314"/>
      <c r="M500" s="350"/>
      <c r="O500" s="225"/>
      <c r="R500" s="314"/>
      <c r="T500" s="498"/>
      <c r="U500" s="315"/>
    </row>
    <row r="501" spans="3:21" ht="16">
      <c r="C501" s="314"/>
      <c r="G501" s="167"/>
      <c r="J501" s="314"/>
      <c r="K501" s="314"/>
      <c r="M501" s="350"/>
      <c r="O501" s="225"/>
      <c r="R501" s="314"/>
      <c r="T501" s="498"/>
      <c r="U501" s="315"/>
    </row>
    <row r="502" spans="3:21" ht="16">
      <c r="C502" s="314"/>
      <c r="G502" s="167"/>
      <c r="J502" s="314"/>
      <c r="K502" s="314"/>
      <c r="M502" s="350"/>
      <c r="O502" s="225"/>
      <c r="R502" s="314"/>
      <c r="T502" s="498"/>
      <c r="U502" s="315"/>
    </row>
    <row r="503" spans="3:21" ht="16">
      <c r="C503" s="314"/>
      <c r="G503" s="167"/>
      <c r="J503" s="314"/>
      <c r="K503" s="314"/>
      <c r="M503" s="350"/>
      <c r="O503" s="225"/>
      <c r="R503" s="314"/>
      <c r="T503" s="498"/>
      <c r="U503" s="315"/>
    </row>
    <row r="504" spans="3:21" ht="16">
      <c r="C504" s="314"/>
      <c r="G504" s="167"/>
      <c r="J504" s="314"/>
      <c r="K504" s="314"/>
      <c r="M504" s="350"/>
      <c r="O504" s="225"/>
      <c r="R504" s="314"/>
      <c r="T504" s="498"/>
      <c r="U504" s="315"/>
    </row>
    <row r="505" spans="3:21" ht="16">
      <c r="C505" s="314"/>
      <c r="G505" s="167"/>
      <c r="J505" s="314"/>
      <c r="K505" s="314"/>
      <c r="M505" s="350"/>
      <c r="O505" s="225"/>
      <c r="R505" s="314"/>
      <c r="T505" s="498"/>
      <c r="U505" s="315"/>
    </row>
    <row r="506" spans="3:21" ht="16">
      <c r="C506" s="314"/>
      <c r="G506" s="167"/>
      <c r="J506" s="314"/>
      <c r="K506" s="314"/>
      <c r="M506" s="350"/>
      <c r="O506" s="225"/>
      <c r="R506" s="314"/>
      <c r="T506" s="498"/>
      <c r="U506" s="315"/>
    </row>
    <row r="507" spans="3:21" ht="16">
      <c r="C507" s="314"/>
      <c r="G507" s="167"/>
      <c r="J507" s="314"/>
      <c r="K507" s="314"/>
      <c r="M507" s="350"/>
      <c r="O507" s="225"/>
      <c r="R507" s="314"/>
      <c r="T507" s="498"/>
      <c r="U507" s="315"/>
    </row>
    <row r="508" spans="3:21" ht="16">
      <c r="C508" s="314"/>
      <c r="G508" s="167"/>
      <c r="J508" s="314"/>
      <c r="K508" s="314"/>
      <c r="M508" s="350"/>
      <c r="O508" s="225"/>
      <c r="R508" s="314"/>
      <c r="T508" s="498"/>
      <c r="U508" s="315"/>
    </row>
    <row r="509" spans="3:21" ht="16">
      <c r="C509" s="314"/>
      <c r="G509" s="167"/>
      <c r="J509" s="314"/>
      <c r="K509" s="314"/>
      <c r="M509" s="350"/>
      <c r="O509" s="225"/>
      <c r="R509" s="314"/>
      <c r="T509" s="498"/>
      <c r="U509" s="315"/>
    </row>
    <row r="510" spans="3:21" ht="16">
      <c r="C510" s="314"/>
      <c r="G510" s="167"/>
      <c r="J510" s="314"/>
      <c r="K510" s="314"/>
      <c r="M510" s="350"/>
      <c r="O510" s="225"/>
      <c r="R510" s="314"/>
      <c r="T510" s="498"/>
      <c r="U510" s="315"/>
    </row>
    <row r="511" spans="3:21" ht="16">
      <c r="C511" s="314"/>
      <c r="G511" s="167"/>
      <c r="J511" s="314"/>
      <c r="K511" s="314"/>
      <c r="M511" s="350"/>
      <c r="O511" s="225"/>
      <c r="R511" s="314"/>
      <c r="T511" s="498"/>
      <c r="U511" s="315"/>
    </row>
    <row r="512" spans="3:21" ht="16">
      <c r="C512" s="314"/>
      <c r="G512" s="167"/>
      <c r="J512" s="314"/>
      <c r="K512" s="314"/>
      <c r="M512" s="350"/>
      <c r="O512" s="225"/>
      <c r="R512" s="314"/>
      <c r="T512" s="498"/>
      <c r="U512" s="315"/>
    </row>
    <row r="513" spans="3:21" ht="16">
      <c r="C513" s="314"/>
      <c r="G513" s="167"/>
      <c r="J513" s="314"/>
      <c r="K513" s="314"/>
      <c r="M513" s="350"/>
      <c r="O513" s="225"/>
      <c r="R513" s="314"/>
      <c r="T513" s="498"/>
      <c r="U513" s="315"/>
    </row>
    <row r="514" spans="3:21" ht="16">
      <c r="C514" s="314"/>
      <c r="G514" s="167"/>
      <c r="J514" s="314"/>
      <c r="K514" s="314"/>
      <c r="M514" s="350"/>
      <c r="O514" s="225"/>
      <c r="R514" s="314"/>
      <c r="T514" s="498"/>
      <c r="U514" s="315"/>
    </row>
    <row r="515" spans="3:21" ht="16">
      <c r="C515" s="314"/>
      <c r="G515" s="167"/>
      <c r="J515" s="314"/>
      <c r="K515" s="314"/>
      <c r="M515" s="350"/>
      <c r="O515" s="225"/>
      <c r="R515" s="314"/>
      <c r="T515" s="498"/>
      <c r="U515" s="315"/>
    </row>
    <row r="516" spans="3:21" ht="16">
      <c r="C516" s="314"/>
      <c r="G516" s="167"/>
      <c r="J516" s="314"/>
      <c r="K516" s="314"/>
      <c r="M516" s="350"/>
      <c r="O516" s="225"/>
      <c r="R516" s="314"/>
      <c r="T516" s="498"/>
      <c r="U516" s="315"/>
    </row>
    <row r="517" spans="3:21" ht="16">
      <c r="C517" s="314"/>
      <c r="G517" s="167"/>
      <c r="J517" s="314"/>
      <c r="K517" s="314"/>
      <c r="M517" s="350"/>
      <c r="O517" s="225"/>
      <c r="R517" s="314"/>
      <c r="T517" s="498"/>
      <c r="U517" s="315"/>
    </row>
    <row r="518" spans="3:21" ht="16">
      <c r="C518" s="314"/>
      <c r="G518" s="167"/>
      <c r="J518" s="314"/>
      <c r="K518" s="314"/>
      <c r="M518" s="350"/>
      <c r="O518" s="225"/>
      <c r="R518" s="314"/>
      <c r="T518" s="498"/>
      <c r="U518" s="315"/>
    </row>
    <row r="519" spans="3:21" ht="16">
      <c r="C519" s="314"/>
      <c r="G519" s="167"/>
      <c r="J519" s="314"/>
      <c r="K519" s="314"/>
      <c r="M519" s="350"/>
      <c r="O519" s="225"/>
      <c r="R519" s="314"/>
      <c r="T519" s="498"/>
      <c r="U519" s="315"/>
    </row>
    <row r="520" spans="3:21" ht="16">
      <c r="C520" s="314"/>
      <c r="G520" s="167"/>
      <c r="J520" s="314"/>
      <c r="K520" s="314"/>
      <c r="M520" s="350"/>
      <c r="O520" s="225"/>
      <c r="R520" s="314"/>
      <c r="T520" s="498"/>
      <c r="U520" s="315"/>
    </row>
    <row r="521" spans="3:21" ht="16">
      <c r="C521" s="314"/>
      <c r="G521" s="167"/>
      <c r="J521" s="314"/>
      <c r="K521" s="314"/>
      <c r="M521" s="350"/>
      <c r="O521" s="225"/>
      <c r="R521" s="314"/>
      <c r="T521" s="498"/>
      <c r="U521" s="315"/>
    </row>
    <row r="522" spans="3:21" ht="16">
      <c r="C522" s="314"/>
      <c r="G522" s="167"/>
      <c r="J522" s="314"/>
      <c r="K522" s="314"/>
      <c r="M522" s="350"/>
      <c r="O522" s="225"/>
      <c r="R522" s="314"/>
      <c r="T522" s="498"/>
      <c r="U522" s="315"/>
    </row>
    <row r="523" spans="3:21" ht="16">
      <c r="C523" s="314"/>
      <c r="G523" s="167"/>
      <c r="J523" s="314"/>
      <c r="K523" s="314"/>
      <c r="M523" s="350"/>
      <c r="O523" s="225"/>
      <c r="R523" s="314"/>
      <c r="T523" s="498"/>
      <c r="U523" s="315"/>
    </row>
    <row r="524" spans="3:21" ht="16">
      <c r="C524" s="314"/>
      <c r="G524" s="167"/>
      <c r="J524" s="314"/>
      <c r="K524" s="314"/>
      <c r="M524" s="350"/>
      <c r="O524" s="225"/>
      <c r="R524" s="314"/>
      <c r="T524" s="498"/>
      <c r="U524" s="315"/>
    </row>
    <row r="525" spans="3:21" ht="16">
      <c r="C525" s="314"/>
      <c r="G525" s="167"/>
      <c r="J525" s="314"/>
      <c r="K525" s="314"/>
      <c r="M525" s="350"/>
      <c r="O525" s="225"/>
      <c r="R525" s="314"/>
      <c r="T525" s="498"/>
      <c r="U525" s="315"/>
    </row>
    <row r="526" spans="3:21" ht="16">
      <c r="C526" s="314"/>
      <c r="G526" s="167"/>
      <c r="J526" s="314"/>
      <c r="K526" s="314"/>
      <c r="M526" s="350"/>
      <c r="O526" s="225"/>
      <c r="R526" s="314"/>
      <c r="T526" s="498"/>
      <c r="U526" s="315"/>
    </row>
    <row r="527" spans="3:21" ht="16">
      <c r="C527" s="314"/>
      <c r="G527" s="167"/>
      <c r="J527" s="314"/>
      <c r="K527" s="314"/>
      <c r="M527" s="350"/>
      <c r="O527" s="225"/>
      <c r="R527" s="314"/>
      <c r="T527" s="498"/>
      <c r="U527" s="315"/>
    </row>
    <row r="528" spans="3:21" ht="16">
      <c r="C528" s="314"/>
      <c r="G528" s="167"/>
      <c r="J528" s="314"/>
      <c r="K528" s="314"/>
      <c r="M528" s="350"/>
      <c r="O528" s="225"/>
      <c r="R528" s="314"/>
      <c r="T528" s="498"/>
      <c r="U528" s="315"/>
    </row>
    <row r="529" spans="3:21" ht="16">
      <c r="C529" s="314"/>
      <c r="G529" s="167"/>
      <c r="J529" s="314"/>
      <c r="K529" s="314"/>
      <c r="M529" s="350"/>
      <c r="O529" s="225"/>
      <c r="R529" s="314"/>
      <c r="T529" s="498"/>
      <c r="U529" s="315"/>
    </row>
    <row r="530" spans="3:21" ht="16">
      <c r="C530" s="314"/>
      <c r="G530" s="167"/>
      <c r="J530" s="314"/>
      <c r="K530" s="314"/>
      <c r="M530" s="350"/>
      <c r="O530" s="225"/>
      <c r="R530" s="314"/>
      <c r="T530" s="498"/>
      <c r="U530" s="315"/>
    </row>
    <row r="531" spans="3:21" ht="16">
      <c r="C531" s="314"/>
      <c r="G531" s="167"/>
      <c r="J531" s="314"/>
      <c r="K531" s="314"/>
      <c r="M531" s="350"/>
      <c r="O531" s="225"/>
      <c r="R531" s="314"/>
      <c r="T531" s="498"/>
      <c r="U531" s="315"/>
    </row>
    <row r="532" spans="3:21" ht="16">
      <c r="C532" s="314"/>
      <c r="G532" s="167"/>
      <c r="J532" s="314"/>
      <c r="K532" s="314"/>
      <c r="M532" s="350"/>
      <c r="O532" s="225"/>
      <c r="R532" s="314"/>
      <c r="T532" s="498"/>
      <c r="U532" s="315"/>
    </row>
    <row r="533" spans="3:21" ht="16">
      <c r="C533" s="314"/>
      <c r="G533" s="167"/>
      <c r="J533" s="314"/>
      <c r="K533" s="314"/>
      <c r="M533" s="350"/>
      <c r="O533" s="225"/>
      <c r="R533" s="314"/>
      <c r="T533" s="498"/>
      <c r="U533" s="315"/>
    </row>
    <row r="534" spans="3:21" ht="16">
      <c r="C534" s="314"/>
      <c r="G534" s="167"/>
      <c r="J534" s="314"/>
      <c r="K534" s="314"/>
      <c r="M534" s="350"/>
      <c r="O534" s="225"/>
      <c r="R534" s="314"/>
      <c r="T534" s="498"/>
      <c r="U534" s="315"/>
    </row>
    <row r="535" spans="3:21" ht="16">
      <c r="C535" s="314"/>
      <c r="G535" s="167"/>
      <c r="J535" s="314"/>
      <c r="K535" s="314"/>
      <c r="M535" s="350"/>
      <c r="O535" s="225"/>
      <c r="R535" s="314"/>
      <c r="T535" s="498"/>
      <c r="U535" s="315"/>
    </row>
    <row r="536" spans="3:21" ht="16">
      <c r="C536" s="314"/>
      <c r="G536" s="167"/>
      <c r="J536" s="314"/>
      <c r="K536" s="314"/>
      <c r="M536" s="350"/>
      <c r="O536" s="225"/>
      <c r="R536" s="314"/>
      <c r="T536" s="498"/>
      <c r="U536" s="315"/>
    </row>
    <row r="537" spans="3:21" ht="16">
      <c r="C537" s="314"/>
      <c r="G537" s="167"/>
      <c r="J537" s="314"/>
      <c r="K537" s="314"/>
      <c r="M537" s="350"/>
      <c r="O537" s="225"/>
      <c r="R537" s="314"/>
      <c r="T537" s="498"/>
      <c r="U537" s="315"/>
    </row>
    <row r="538" spans="3:21" ht="16">
      <c r="C538" s="314"/>
      <c r="G538" s="167"/>
      <c r="J538" s="314"/>
      <c r="K538" s="314"/>
      <c r="M538" s="350"/>
      <c r="O538" s="225"/>
      <c r="R538" s="314"/>
      <c r="T538" s="498"/>
      <c r="U538" s="315"/>
    </row>
    <row r="539" spans="3:21" ht="16">
      <c r="C539" s="314"/>
      <c r="G539" s="167"/>
      <c r="J539" s="314"/>
      <c r="K539" s="314"/>
      <c r="M539" s="350"/>
      <c r="O539" s="225"/>
      <c r="R539" s="314"/>
      <c r="T539" s="498"/>
      <c r="U539" s="315"/>
    </row>
    <row r="540" spans="3:21" ht="16">
      <c r="C540" s="314"/>
      <c r="G540" s="167"/>
      <c r="J540" s="314"/>
      <c r="K540" s="314"/>
      <c r="M540" s="350"/>
      <c r="O540" s="225"/>
      <c r="R540" s="314"/>
      <c r="T540" s="498"/>
      <c r="U540" s="315"/>
    </row>
    <row r="541" spans="3:21" ht="16">
      <c r="C541" s="314"/>
      <c r="G541" s="167"/>
      <c r="J541" s="314"/>
      <c r="K541" s="314"/>
      <c r="M541" s="350"/>
      <c r="O541" s="225"/>
      <c r="R541" s="314"/>
      <c r="T541" s="498"/>
      <c r="U541" s="315"/>
    </row>
    <row r="542" spans="3:21" ht="16">
      <c r="C542" s="314"/>
      <c r="G542" s="167"/>
      <c r="J542" s="314"/>
      <c r="K542" s="314"/>
      <c r="M542" s="350"/>
      <c r="O542" s="225"/>
      <c r="R542" s="314"/>
      <c r="T542" s="498"/>
      <c r="U542" s="315"/>
    </row>
    <row r="543" spans="3:21" ht="16">
      <c r="C543" s="314"/>
      <c r="G543" s="167"/>
      <c r="J543" s="314"/>
      <c r="K543" s="314"/>
      <c r="M543" s="350"/>
      <c r="O543" s="225"/>
      <c r="R543" s="314"/>
      <c r="T543" s="498"/>
      <c r="U543" s="315"/>
    </row>
    <row r="544" spans="3:21" ht="16">
      <c r="C544" s="314"/>
      <c r="G544" s="167"/>
      <c r="J544" s="314"/>
      <c r="K544" s="314"/>
      <c r="M544" s="350"/>
      <c r="O544" s="225"/>
      <c r="R544" s="314"/>
      <c r="T544" s="498"/>
      <c r="U544" s="315"/>
    </row>
    <row r="545" spans="3:21" ht="16">
      <c r="C545" s="314"/>
      <c r="G545" s="167"/>
      <c r="J545" s="314"/>
      <c r="K545" s="314"/>
      <c r="M545" s="350"/>
      <c r="O545" s="225"/>
      <c r="R545" s="314"/>
      <c r="T545" s="498"/>
      <c r="U545" s="315"/>
    </row>
    <row r="546" spans="3:21" ht="16">
      <c r="C546" s="314"/>
      <c r="G546" s="167"/>
      <c r="J546" s="314"/>
      <c r="K546" s="314"/>
      <c r="M546" s="350"/>
      <c r="O546" s="225"/>
      <c r="R546" s="314"/>
      <c r="T546" s="498"/>
      <c r="U546" s="315"/>
    </row>
    <row r="547" spans="3:21" ht="16">
      <c r="C547" s="314"/>
      <c r="G547" s="167"/>
      <c r="J547" s="314"/>
      <c r="K547" s="314"/>
      <c r="M547" s="350"/>
      <c r="O547" s="225"/>
      <c r="R547" s="314"/>
      <c r="T547" s="498"/>
      <c r="U547" s="315"/>
    </row>
    <row r="548" spans="3:21" ht="16">
      <c r="C548" s="314"/>
      <c r="G548" s="167"/>
      <c r="J548" s="314"/>
      <c r="K548" s="314"/>
      <c r="M548" s="350"/>
      <c r="O548" s="225"/>
      <c r="R548" s="314"/>
      <c r="T548" s="498"/>
      <c r="U548" s="315"/>
    </row>
    <row r="549" spans="3:21" ht="16">
      <c r="C549" s="314"/>
      <c r="G549" s="167"/>
      <c r="J549" s="314"/>
      <c r="K549" s="314"/>
      <c r="M549" s="350"/>
      <c r="O549" s="225"/>
      <c r="R549" s="314"/>
      <c r="T549" s="498"/>
      <c r="U549" s="315"/>
    </row>
    <row r="550" spans="3:21" ht="16">
      <c r="C550" s="314"/>
      <c r="G550" s="167"/>
      <c r="J550" s="314"/>
      <c r="K550" s="314"/>
      <c r="M550" s="350"/>
      <c r="O550" s="225"/>
      <c r="R550" s="314"/>
      <c r="T550" s="498"/>
      <c r="U550" s="315"/>
    </row>
    <row r="551" spans="3:21" ht="16">
      <c r="C551" s="314"/>
      <c r="G551" s="167"/>
      <c r="J551" s="314"/>
      <c r="K551" s="314"/>
      <c r="M551" s="350"/>
      <c r="O551" s="225"/>
      <c r="R551" s="314"/>
      <c r="T551" s="498"/>
      <c r="U551" s="315"/>
    </row>
    <row r="552" spans="3:21" ht="16">
      <c r="C552" s="314"/>
      <c r="G552" s="167"/>
      <c r="J552" s="314"/>
      <c r="K552" s="314"/>
      <c r="M552" s="350"/>
      <c r="O552" s="225"/>
      <c r="R552" s="314"/>
      <c r="T552" s="498"/>
      <c r="U552" s="315"/>
    </row>
    <row r="553" spans="3:21" ht="16">
      <c r="C553" s="314"/>
      <c r="G553" s="167"/>
      <c r="J553" s="314"/>
      <c r="K553" s="314"/>
      <c r="M553" s="350"/>
      <c r="O553" s="225"/>
      <c r="R553" s="314"/>
      <c r="T553" s="498"/>
      <c r="U553" s="315"/>
    </row>
    <row r="554" spans="3:21" ht="16">
      <c r="C554" s="314"/>
      <c r="G554" s="167"/>
      <c r="J554" s="314"/>
      <c r="K554" s="314"/>
      <c r="M554" s="350"/>
      <c r="O554" s="225"/>
      <c r="R554" s="314"/>
      <c r="T554" s="498"/>
      <c r="U554" s="315"/>
    </row>
    <row r="555" spans="3:21" ht="16">
      <c r="C555" s="314"/>
      <c r="G555" s="167"/>
      <c r="J555" s="314"/>
      <c r="K555" s="314"/>
      <c r="M555" s="350"/>
      <c r="O555" s="225"/>
      <c r="R555" s="314"/>
      <c r="T555" s="498"/>
      <c r="U555" s="315"/>
    </row>
    <row r="556" spans="3:21" ht="16">
      <c r="C556" s="314"/>
      <c r="G556" s="167"/>
      <c r="J556" s="314"/>
      <c r="K556" s="314"/>
      <c r="M556" s="350"/>
      <c r="O556" s="225"/>
      <c r="R556" s="314"/>
      <c r="T556" s="498"/>
      <c r="U556" s="315"/>
    </row>
    <row r="557" spans="3:21" ht="16">
      <c r="C557" s="314"/>
      <c r="G557" s="167"/>
      <c r="J557" s="314"/>
      <c r="K557" s="314"/>
      <c r="M557" s="350"/>
      <c r="O557" s="225"/>
      <c r="R557" s="314"/>
      <c r="T557" s="498"/>
      <c r="U557" s="315"/>
    </row>
    <row r="558" spans="3:21" ht="16">
      <c r="C558" s="314"/>
      <c r="G558" s="167"/>
      <c r="J558" s="314"/>
      <c r="K558" s="314"/>
      <c r="M558" s="350"/>
      <c r="O558" s="225"/>
      <c r="R558" s="314"/>
      <c r="T558" s="498"/>
      <c r="U558" s="315"/>
    </row>
    <row r="559" spans="3:21" ht="16">
      <c r="C559" s="314"/>
      <c r="G559" s="167"/>
      <c r="J559" s="314"/>
      <c r="K559" s="314"/>
      <c r="M559" s="350"/>
      <c r="O559" s="225"/>
      <c r="R559" s="314"/>
      <c r="T559" s="498"/>
      <c r="U559" s="315"/>
    </row>
    <row r="560" spans="3:21" ht="16">
      <c r="C560" s="314"/>
      <c r="G560" s="167"/>
      <c r="J560" s="314"/>
      <c r="K560" s="314"/>
      <c r="M560" s="350"/>
      <c r="O560" s="225"/>
      <c r="R560" s="314"/>
      <c r="T560" s="498"/>
      <c r="U560" s="315"/>
    </row>
    <row r="561" spans="3:21" ht="16">
      <c r="C561" s="314"/>
      <c r="G561" s="167"/>
      <c r="J561" s="314"/>
      <c r="K561" s="314"/>
      <c r="M561" s="350"/>
      <c r="O561" s="225"/>
      <c r="R561" s="314"/>
      <c r="T561" s="498"/>
      <c r="U561" s="315"/>
    </row>
    <row r="562" spans="3:21" ht="16">
      <c r="C562" s="314"/>
      <c r="G562" s="167"/>
      <c r="J562" s="314"/>
      <c r="K562" s="314"/>
      <c r="M562" s="350"/>
      <c r="O562" s="225"/>
      <c r="R562" s="314"/>
      <c r="T562" s="498"/>
      <c r="U562" s="315"/>
    </row>
    <row r="563" spans="3:21" ht="16">
      <c r="C563" s="314"/>
      <c r="G563" s="167"/>
      <c r="J563" s="314"/>
      <c r="K563" s="314"/>
      <c r="M563" s="350"/>
      <c r="O563" s="225"/>
      <c r="R563" s="314"/>
      <c r="T563" s="498"/>
      <c r="U563" s="315"/>
    </row>
    <row r="564" spans="3:21" ht="16">
      <c r="C564" s="314"/>
      <c r="G564" s="167"/>
      <c r="J564" s="314"/>
      <c r="K564" s="314"/>
      <c r="M564" s="350"/>
      <c r="O564" s="225"/>
      <c r="R564" s="314"/>
      <c r="T564" s="498"/>
      <c r="U564" s="315"/>
    </row>
    <row r="565" spans="3:21" ht="16">
      <c r="C565" s="314"/>
      <c r="G565" s="167"/>
      <c r="J565" s="314"/>
      <c r="K565" s="314"/>
      <c r="M565" s="350"/>
      <c r="O565" s="225"/>
      <c r="R565" s="314"/>
      <c r="T565" s="498"/>
      <c r="U565" s="315"/>
    </row>
    <row r="566" spans="3:21" ht="16">
      <c r="C566" s="314"/>
      <c r="G566" s="167"/>
      <c r="J566" s="314"/>
      <c r="K566" s="314"/>
      <c r="M566" s="350"/>
      <c r="O566" s="225"/>
      <c r="R566" s="314"/>
      <c r="T566" s="498"/>
      <c r="U566" s="315"/>
    </row>
    <row r="567" spans="3:21" ht="16">
      <c r="C567" s="314"/>
      <c r="G567" s="167"/>
      <c r="J567" s="314"/>
      <c r="K567" s="314"/>
      <c r="M567" s="350"/>
      <c r="O567" s="225"/>
      <c r="R567" s="314"/>
      <c r="T567" s="498"/>
      <c r="U567" s="315"/>
    </row>
    <row r="568" spans="3:21" ht="16">
      <c r="C568" s="314"/>
      <c r="G568" s="167"/>
      <c r="J568" s="314"/>
      <c r="K568" s="314"/>
      <c r="M568" s="350"/>
      <c r="O568" s="225"/>
      <c r="R568" s="314"/>
      <c r="T568" s="498"/>
      <c r="U568" s="315"/>
    </row>
    <row r="569" spans="3:21" ht="16">
      <c r="C569" s="314"/>
      <c r="G569" s="167"/>
      <c r="J569" s="314"/>
      <c r="K569" s="314"/>
      <c r="M569" s="350"/>
      <c r="O569" s="225"/>
      <c r="R569" s="314"/>
      <c r="T569" s="498"/>
      <c r="U569" s="315"/>
    </row>
    <row r="570" spans="3:21" ht="16">
      <c r="C570" s="314"/>
      <c r="G570" s="167"/>
      <c r="J570" s="314"/>
      <c r="K570" s="314"/>
      <c r="M570" s="350"/>
      <c r="O570" s="225"/>
      <c r="R570" s="314"/>
      <c r="T570" s="498"/>
      <c r="U570" s="315"/>
    </row>
    <row r="571" spans="3:21" ht="16">
      <c r="C571" s="314"/>
      <c r="G571" s="167"/>
      <c r="J571" s="314"/>
      <c r="K571" s="314"/>
      <c r="M571" s="350"/>
      <c r="O571" s="225"/>
      <c r="R571" s="314"/>
      <c r="T571" s="498"/>
      <c r="U571" s="315"/>
    </row>
    <row r="572" spans="3:21" ht="16">
      <c r="C572" s="314"/>
      <c r="G572" s="167"/>
      <c r="J572" s="314"/>
      <c r="K572" s="314"/>
      <c r="M572" s="350"/>
      <c r="O572" s="225"/>
      <c r="R572" s="314"/>
      <c r="T572" s="498"/>
      <c r="U572" s="315"/>
    </row>
    <row r="573" spans="3:21" ht="16">
      <c r="C573" s="314"/>
      <c r="G573" s="167"/>
      <c r="J573" s="314"/>
      <c r="K573" s="314"/>
      <c r="M573" s="350"/>
      <c r="O573" s="225"/>
      <c r="R573" s="314"/>
      <c r="T573" s="498"/>
      <c r="U573" s="315"/>
    </row>
    <row r="574" spans="3:21" ht="16">
      <c r="C574" s="314"/>
      <c r="G574" s="167"/>
      <c r="J574" s="314"/>
      <c r="K574" s="314"/>
      <c r="M574" s="350"/>
      <c r="O574" s="225"/>
      <c r="R574" s="314"/>
      <c r="T574" s="498"/>
      <c r="U574" s="315"/>
    </row>
    <row r="575" spans="3:21" ht="16">
      <c r="C575" s="314"/>
      <c r="G575" s="167"/>
      <c r="J575" s="314"/>
      <c r="K575" s="314"/>
      <c r="M575" s="350"/>
      <c r="O575" s="225"/>
      <c r="R575" s="314"/>
      <c r="T575" s="498"/>
      <c r="U575" s="315"/>
    </row>
    <row r="576" spans="3:21" ht="16">
      <c r="C576" s="314"/>
      <c r="G576" s="167"/>
      <c r="J576" s="314"/>
      <c r="K576" s="314"/>
      <c r="M576" s="350"/>
      <c r="O576" s="225"/>
      <c r="R576" s="314"/>
      <c r="T576" s="498"/>
      <c r="U576" s="315"/>
    </row>
    <row r="577" spans="3:21" ht="16">
      <c r="C577" s="314"/>
      <c r="G577" s="167"/>
      <c r="J577" s="314"/>
      <c r="K577" s="314"/>
      <c r="M577" s="350"/>
      <c r="O577" s="225"/>
      <c r="R577" s="314"/>
      <c r="T577" s="498"/>
      <c r="U577" s="315"/>
    </row>
    <row r="578" spans="3:21" ht="16">
      <c r="C578" s="314"/>
      <c r="G578" s="167"/>
      <c r="J578" s="314"/>
      <c r="K578" s="314"/>
      <c r="M578" s="350"/>
      <c r="O578" s="225"/>
      <c r="R578" s="314"/>
      <c r="T578" s="498"/>
      <c r="U578" s="315"/>
    </row>
    <row r="579" spans="3:21" ht="16">
      <c r="C579" s="314"/>
      <c r="G579" s="167"/>
      <c r="J579" s="314"/>
      <c r="K579" s="314"/>
      <c r="M579" s="350"/>
      <c r="O579" s="225"/>
      <c r="R579" s="314"/>
      <c r="T579" s="498"/>
      <c r="U579" s="315"/>
    </row>
    <row r="580" spans="3:21" ht="16">
      <c r="C580" s="314"/>
      <c r="G580" s="167"/>
      <c r="J580" s="314"/>
      <c r="K580" s="314"/>
      <c r="M580" s="350"/>
      <c r="O580" s="225"/>
      <c r="R580" s="314"/>
      <c r="T580" s="498"/>
      <c r="U580" s="315"/>
    </row>
    <row r="581" spans="3:21" ht="16">
      <c r="C581" s="314"/>
      <c r="G581" s="167"/>
      <c r="J581" s="314"/>
      <c r="K581" s="314"/>
      <c r="M581" s="350"/>
      <c r="O581" s="225"/>
      <c r="R581" s="314"/>
      <c r="T581" s="498"/>
      <c r="U581" s="315"/>
    </row>
    <row r="582" spans="3:21" ht="16">
      <c r="C582" s="314"/>
      <c r="G582" s="167"/>
      <c r="J582" s="314"/>
      <c r="K582" s="314"/>
      <c r="M582" s="350"/>
      <c r="O582" s="225"/>
      <c r="R582" s="314"/>
      <c r="T582" s="498"/>
      <c r="U582" s="315"/>
    </row>
    <row r="583" spans="3:21" ht="16">
      <c r="C583" s="314"/>
      <c r="G583" s="167"/>
      <c r="J583" s="314"/>
      <c r="K583" s="314"/>
      <c r="M583" s="350"/>
      <c r="O583" s="225"/>
      <c r="R583" s="314"/>
      <c r="T583" s="498"/>
      <c r="U583" s="315"/>
    </row>
    <row r="584" spans="3:21" ht="16">
      <c r="C584" s="314"/>
      <c r="G584" s="167"/>
      <c r="J584" s="314"/>
      <c r="K584" s="314"/>
      <c r="M584" s="350"/>
      <c r="O584" s="225"/>
      <c r="R584" s="314"/>
      <c r="T584" s="498"/>
      <c r="U584" s="315"/>
    </row>
    <row r="585" spans="3:21" ht="16">
      <c r="C585" s="314"/>
      <c r="G585" s="167"/>
      <c r="J585" s="314"/>
      <c r="K585" s="314"/>
      <c r="M585" s="350"/>
      <c r="O585" s="225"/>
      <c r="R585" s="314"/>
      <c r="T585" s="498"/>
      <c r="U585" s="315"/>
    </row>
    <row r="586" spans="3:21" ht="16">
      <c r="C586" s="314"/>
      <c r="G586" s="167"/>
      <c r="J586" s="314"/>
      <c r="K586" s="314"/>
      <c r="M586" s="350"/>
      <c r="O586" s="225"/>
      <c r="R586" s="314"/>
      <c r="T586" s="498"/>
      <c r="U586" s="315"/>
    </row>
    <row r="587" spans="3:21" ht="16">
      <c r="C587" s="314"/>
      <c r="G587" s="167"/>
      <c r="J587" s="314"/>
      <c r="K587" s="314"/>
      <c r="M587" s="350"/>
      <c r="O587" s="225"/>
      <c r="R587" s="314"/>
      <c r="T587" s="498"/>
      <c r="U587" s="315"/>
    </row>
    <row r="588" spans="3:21" ht="16">
      <c r="C588" s="314"/>
      <c r="G588" s="167"/>
      <c r="J588" s="314"/>
      <c r="K588" s="314"/>
      <c r="M588" s="350"/>
      <c r="O588" s="225"/>
      <c r="R588" s="314"/>
      <c r="T588" s="498"/>
      <c r="U588" s="315"/>
    </row>
    <row r="589" spans="3:21" ht="16">
      <c r="C589" s="314"/>
      <c r="G589" s="167"/>
      <c r="J589" s="314"/>
      <c r="K589" s="314"/>
      <c r="M589" s="350"/>
      <c r="O589" s="225"/>
      <c r="R589" s="314"/>
      <c r="T589" s="498"/>
      <c r="U589" s="315"/>
    </row>
    <row r="590" spans="3:21" ht="16">
      <c r="C590" s="314"/>
      <c r="G590" s="167"/>
      <c r="J590" s="314"/>
      <c r="K590" s="314"/>
      <c r="M590" s="350"/>
      <c r="O590" s="225"/>
      <c r="R590" s="314"/>
      <c r="T590" s="498"/>
      <c r="U590" s="315"/>
    </row>
    <row r="591" spans="3:21" ht="16">
      <c r="C591" s="314"/>
      <c r="G591" s="167"/>
      <c r="J591" s="314"/>
      <c r="K591" s="314"/>
      <c r="M591" s="350"/>
      <c r="O591" s="225"/>
      <c r="R591" s="314"/>
      <c r="T591" s="498"/>
      <c r="U591" s="315"/>
    </row>
    <row r="592" spans="3:21" ht="16">
      <c r="C592" s="314"/>
      <c r="G592" s="167"/>
      <c r="J592" s="314"/>
      <c r="K592" s="314"/>
      <c r="M592" s="350"/>
      <c r="O592" s="225"/>
      <c r="R592" s="314"/>
      <c r="T592" s="498"/>
      <c r="U592" s="315"/>
    </row>
    <row r="593" spans="3:21" ht="16">
      <c r="C593" s="314"/>
      <c r="G593" s="167"/>
      <c r="J593" s="314"/>
      <c r="K593" s="314"/>
      <c r="M593" s="350"/>
      <c r="O593" s="225"/>
      <c r="R593" s="314"/>
      <c r="T593" s="498"/>
      <c r="U593" s="315"/>
    </row>
    <row r="594" spans="3:21" ht="16">
      <c r="C594" s="314"/>
      <c r="G594" s="167"/>
      <c r="J594" s="314"/>
      <c r="K594" s="314"/>
      <c r="M594" s="350"/>
      <c r="O594" s="225"/>
      <c r="R594" s="314"/>
      <c r="T594" s="498"/>
      <c r="U594" s="315"/>
    </row>
    <row r="595" spans="3:21" ht="16">
      <c r="C595" s="314"/>
      <c r="G595" s="167"/>
      <c r="J595" s="314"/>
      <c r="K595" s="314"/>
      <c r="M595" s="350"/>
      <c r="O595" s="225"/>
      <c r="R595" s="314"/>
      <c r="T595" s="498"/>
      <c r="U595" s="315"/>
    </row>
    <row r="596" spans="3:21" ht="16">
      <c r="C596" s="314"/>
      <c r="G596" s="167"/>
      <c r="J596" s="314"/>
      <c r="K596" s="314"/>
      <c r="M596" s="350"/>
      <c r="O596" s="225"/>
      <c r="R596" s="314"/>
      <c r="T596" s="498"/>
      <c r="U596" s="315"/>
    </row>
    <row r="597" spans="3:21" ht="16">
      <c r="C597" s="314"/>
      <c r="G597" s="167"/>
      <c r="J597" s="314"/>
      <c r="K597" s="314"/>
      <c r="M597" s="350"/>
      <c r="O597" s="225"/>
      <c r="R597" s="314"/>
      <c r="T597" s="498"/>
      <c r="U597" s="315"/>
    </row>
    <row r="598" spans="3:21" ht="16">
      <c r="C598" s="314"/>
      <c r="G598" s="167"/>
      <c r="J598" s="314"/>
      <c r="K598" s="314"/>
      <c r="M598" s="350"/>
      <c r="O598" s="225"/>
      <c r="R598" s="314"/>
      <c r="T598" s="498"/>
      <c r="U598" s="315"/>
    </row>
    <row r="599" spans="3:21" ht="16">
      <c r="C599" s="314"/>
      <c r="G599" s="167"/>
      <c r="J599" s="314"/>
      <c r="K599" s="314"/>
      <c r="M599" s="350"/>
      <c r="O599" s="225"/>
      <c r="R599" s="314"/>
      <c r="T599" s="498"/>
      <c r="U599" s="315"/>
    </row>
    <row r="600" spans="3:21" ht="16">
      <c r="C600" s="314"/>
      <c r="G600" s="167"/>
      <c r="J600" s="314"/>
      <c r="K600" s="314"/>
      <c r="M600" s="350"/>
      <c r="O600" s="225"/>
      <c r="R600" s="314"/>
      <c r="T600" s="498"/>
      <c r="U600" s="315"/>
    </row>
    <row r="601" spans="3:21" ht="16">
      <c r="C601" s="314"/>
      <c r="G601" s="167"/>
      <c r="J601" s="314"/>
      <c r="K601" s="314"/>
      <c r="M601" s="350"/>
      <c r="O601" s="225"/>
      <c r="R601" s="314"/>
      <c r="T601" s="498"/>
      <c r="U601" s="315"/>
    </row>
    <row r="602" spans="3:21" ht="16">
      <c r="C602" s="314"/>
      <c r="G602" s="167"/>
      <c r="J602" s="314"/>
      <c r="K602" s="314"/>
      <c r="M602" s="350"/>
      <c r="O602" s="225"/>
      <c r="R602" s="314"/>
      <c r="T602" s="498"/>
      <c r="U602" s="315"/>
    </row>
    <row r="603" spans="3:21" ht="16">
      <c r="C603" s="314"/>
      <c r="G603" s="167"/>
      <c r="J603" s="314"/>
      <c r="K603" s="314"/>
      <c r="M603" s="350"/>
      <c r="O603" s="225"/>
      <c r="R603" s="314"/>
      <c r="T603" s="498"/>
      <c r="U603" s="315"/>
    </row>
    <row r="604" spans="3:21" ht="16">
      <c r="C604" s="314"/>
      <c r="G604" s="167"/>
      <c r="J604" s="314"/>
      <c r="K604" s="314"/>
      <c r="M604" s="350"/>
      <c r="O604" s="225"/>
      <c r="R604" s="314"/>
      <c r="T604" s="498"/>
      <c r="U604" s="315"/>
    </row>
    <row r="605" spans="3:21" ht="16">
      <c r="C605" s="314"/>
      <c r="G605" s="167"/>
      <c r="J605" s="314"/>
      <c r="K605" s="314"/>
      <c r="M605" s="350"/>
      <c r="O605" s="225"/>
      <c r="R605" s="314"/>
      <c r="T605" s="498"/>
      <c r="U605" s="315"/>
    </row>
    <row r="606" spans="3:21" ht="16">
      <c r="C606" s="314"/>
      <c r="G606" s="167"/>
      <c r="J606" s="314"/>
      <c r="K606" s="314"/>
      <c r="M606" s="350"/>
      <c r="O606" s="225"/>
      <c r="R606" s="314"/>
      <c r="T606" s="498"/>
      <c r="U606" s="315"/>
    </row>
    <row r="607" spans="3:21" ht="16">
      <c r="C607" s="314"/>
      <c r="G607" s="167"/>
      <c r="J607" s="314"/>
      <c r="K607" s="314"/>
      <c r="M607" s="350"/>
      <c r="O607" s="225"/>
      <c r="R607" s="314"/>
      <c r="T607" s="498"/>
      <c r="U607" s="315"/>
    </row>
    <row r="608" spans="3:21" ht="16">
      <c r="C608" s="314"/>
      <c r="G608" s="167"/>
      <c r="J608" s="314"/>
      <c r="K608" s="314"/>
      <c r="M608" s="350"/>
      <c r="O608" s="225"/>
      <c r="R608" s="314"/>
      <c r="T608" s="498"/>
      <c r="U608" s="315"/>
    </row>
    <row r="609" spans="3:21" ht="16">
      <c r="C609" s="314"/>
      <c r="G609" s="167"/>
      <c r="J609" s="314"/>
      <c r="K609" s="314"/>
      <c r="M609" s="350"/>
      <c r="O609" s="225"/>
      <c r="R609" s="314"/>
      <c r="T609" s="498"/>
      <c r="U609" s="315"/>
    </row>
    <row r="610" spans="3:21" ht="16">
      <c r="C610" s="314"/>
      <c r="G610" s="167"/>
      <c r="J610" s="314"/>
      <c r="K610" s="314"/>
      <c r="M610" s="350"/>
      <c r="O610" s="225"/>
      <c r="R610" s="314"/>
      <c r="T610" s="498"/>
      <c r="U610" s="315"/>
    </row>
    <row r="611" spans="3:21" ht="16">
      <c r="C611" s="314"/>
      <c r="G611" s="167"/>
      <c r="J611" s="314"/>
      <c r="K611" s="314"/>
      <c r="M611" s="350"/>
      <c r="O611" s="225"/>
      <c r="R611" s="314"/>
      <c r="T611" s="498"/>
      <c r="U611" s="315"/>
    </row>
    <row r="612" spans="3:21" ht="16">
      <c r="C612" s="314"/>
      <c r="G612" s="167"/>
      <c r="J612" s="314"/>
      <c r="K612" s="314"/>
      <c r="M612" s="350"/>
      <c r="O612" s="225"/>
      <c r="R612" s="314"/>
      <c r="T612" s="498"/>
      <c r="U612" s="315"/>
    </row>
    <row r="613" spans="3:21" ht="16">
      <c r="C613" s="314"/>
      <c r="G613" s="167"/>
      <c r="J613" s="314"/>
      <c r="K613" s="314"/>
      <c r="M613" s="350"/>
      <c r="O613" s="225"/>
      <c r="R613" s="314"/>
      <c r="T613" s="498"/>
      <c r="U613" s="315"/>
    </row>
    <row r="614" spans="3:21" ht="16">
      <c r="C614" s="314"/>
      <c r="G614" s="167"/>
      <c r="J614" s="314"/>
      <c r="K614" s="314"/>
      <c r="M614" s="350"/>
      <c r="O614" s="225"/>
      <c r="R614" s="314"/>
      <c r="T614" s="498"/>
      <c r="U614" s="315"/>
    </row>
    <row r="615" spans="3:21" ht="16">
      <c r="C615" s="314"/>
      <c r="G615" s="167"/>
      <c r="J615" s="314"/>
      <c r="K615" s="314"/>
      <c r="M615" s="350"/>
      <c r="O615" s="225"/>
      <c r="R615" s="314"/>
      <c r="T615" s="498"/>
      <c r="U615" s="315"/>
    </row>
    <row r="616" spans="3:21" ht="16">
      <c r="C616" s="314"/>
      <c r="G616" s="167"/>
      <c r="J616" s="314"/>
      <c r="K616" s="314"/>
      <c r="M616" s="350"/>
      <c r="O616" s="225"/>
      <c r="R616" s="314"/>
      <c r="T616" s="498"/>
      <c r="U616" s="315"/>
    </row>
    <row r="617" spans="3:21" ht="16">
      <c r="C617" s="314"/>
      <c r="G617" s="167"/>
      <c r="J617" s="314"/>
      <c r="K617" s="314"/>
      <c r="M617" s="350"/>
      <c r="O617" s="225"/>
      <c r="R617" s="314"/>
      <c r="T617" s="498"/>
      <c r="U617" s="315"/>
    </row>
    <row r="618" spans="3:21" ht="16">
      <c r="C618" s="314"/>
      <c r="G618" s="167"/>
      <c r="J618" s="314"/>
      <c r="K618" s="314"/>
      <c r="M618" s="350"/>
      <c r="O618" s="225"/>
      <c r="R618" s="314"/>
      <c r="T618" s="498"/>
      <c r="U618" s="315"/>
    </row>
    <row r="619" spans="3:21" ht="16">
      <c r="C619" s="314"/>
      <c r="G619" s="167"/>
      <c r="J619" s="314"/>
      <c r="K619" s="314"/>
      <c r="M619" s="350"/>
      <c r="O619" s="225"/>
      <c r="R619" s="314"/>
      <c r="T619" s="498"/>
      <c r="U619" s="315"/>
    </row>
    <row r="620" spans="3:21" ht="16">
      <c r="C620" s="314"/>
      <c r="G620" s="167"/>
      <c r="J620" s="314"/>
      <c r="K620" s="314"/>
      <c r="M620" s="350"/>
      <c r="O620" s="225"/>
      <c r="R620" s="314"/>
      <c r="T620" s="498"/>
      <c r="U620" s="315"/>
    </row>
    <row r="621" spans="3:21" ht="16">
      <c r="C621" s="314"/>
      <c r="G621" s="167"/>
      <c r="J621" s="314"/>
      <c r="K621" s="314"/>
      <c r="M621" s="350"/>
      <c r="O621" s="225"/>
      <c r="R621" s="314"/>
      <c r="T621" s="498"/>
      <c r="U621" s="315"/>
    </row>
    <row r="622" spans="3:21" ht="16">
      <c r="C622" s="314"/>
      <c r="G622" s="167"/>
      <c r="J622" s="314"/>
      <c r="K622" s="314"/>
      <c r="M622" s="350"/>
      <c r="O622" s="225"/>
      <c r="R622" s="314"/>
      <c r="T622" s="498"/>
      <c r="U622" s="315"/>
    </row>
    <row r="623" spans="3:21" ht="16">
      <c r="C623" s="314"/>
      <c r="G623" s="167"/>
      <c r="J623" s="314"/>
      <c r="K623" s="314"/>
      <c r="M623" s="350"/>
      <c r="O623" s="225"/>
      <c r="R623" s="314"/>
      <c r="T623" s="498"/>
      <c r="U623" s="315"/>
    </row>
    <row r="624" spans="3:21" ht="16">
      <c r="C624" s="314"/>
      <c r="G624" s="167"/>
      <c r="J624" s="314"/>
      <c r="K624" s="314"/>
      <c r="M624" s="350"/>
      <c r="O624" s="225"/>
      <c r="R624" s="314"/>
      <c r="T624" s="498"/>
      <c r="U624" s="315"/>
    </row>
    <row r="625" spans="3:21" ht="16">
      <c r="C625" s="314"/>
      <c r="G625" s="167"/>
      <c r="J625" s="314"/>
      <c r="K625" s="314"/>
      <c r="M625" s="350"/>
      <c r="O625" s="225"/>
      <c r="R625" s="314"/>
      <c r="T625" s="498"/>
      <c r="U625" s="315"/>
    </row>
    <row r="626" spans="3:21" ht="16">
      <c r="C626" s="314"/>
      <c r="G626" s="167"/>
      <c r="J626" s="314"/>
      <c r="K626" s="314"/>
      <c r="M626" s="350"/>
      <c r="O626" s="225"/>
      <c r="R626" s="314"/>
      <c r="T626" s="498"/>
      <c r="U626" s="315"/>
    </row>
    <row r="627" spans="3:21" ht="16">
      <c r="C627" s="314"/>
      <c r="G627" s="167"/>
      <c r="J627" s="314"/>
      <c r="K627" s="314"/>
      <c r="M627" s="350"/>
      <c r="O627" s="225"/>
      <c r="R627" s="314"/>
      <c r="T627" s="498"/>
      <c r="U627" s="315"/>
    </row>
    <row r="628" spans="3:21" ht="16">
      <c r="C628" s="314"/>
      <c r="G628" s="167"/>
      <c r="J628" s="314"/>
      <c r="K628" s="314"/>
      <c r="M628" s="350"/>
      <c r="O628" s="225"/>
      <c r="R628" s="314"/>
      <c r="T628" s="498"/>
      <c r="U628" s="315"/>
    </row>
    <row r="629" spans="3:21" ht="16">
      <c r="C629" s="314"/>
      <c r="G629" s="167"/>
      <c r="J629" s="314"/>
      <c r="K629" s="314"/>
      <c r="M629" s="350"/>
      <c r="O629" s="225"/>
      <c r="R629" s="314"/>
      <c r="T629" s="498"/>
      <c r="U629" s="315"/>
    </row>
    <row r="630" spans="3:21" ht="16">
      <c r="C630" s="314"/>
      <c r="G630" s="167"/>
      <c r="J630" s="314"/>
      <c r="K630" s="314"/>
      <c r="M630" s="350"/>
      <c r="O630" s="225"/>
      <c r="R630" s="314"/>
      <c r="T630" s="498"/>
      <c r="U630" s="315"/>
    </row>
    <row r="631" spans="3:21" ht="16">
      <c r="C631" s="314"/>
      <c r="G631" s="167"/>
      <c r="J631" s="314"/>
      <c r="K631" s="314"/>
      <c r="M631" s="350"/>
      <c r="O631" s="225"/>
      <c r="R631" s="314"/>
      <c r="T631" s="498"/>
      <c r="U631" s="315"/>
    </row>
    <row r="632" spans="3:21" ht="16">
      <c r="C632" s="314"/>
      <c r="G632" s="167"/>
      <c r="J632" s="314"/>
      <c r="K632" s="314"/>
      <c r="M632" s="350"/>
      <c r="O632" s="225"/>
      <c r="R632" s="314"/>
      <c r="T632" s="498"/>
      <c r="U632" s="315"/>
    </row>
    <row r="633" spans="3:21" ht="16">
      <c r="C633" s="314"/>
      <c r="G633" s="167"/>
      <c r="J633" s="314"/>
      <c r="K633" s="314"/>
      <c r="M633" s="350"/>
      <c r="O633" s="225"/>
      <c r="R633" s="314"/>
      <c r="T633" s="498"/>
      <c r="U633" s="315"/>
    </row>
    <row r="634" spans="3:21" ht="16">
      <c r="C634" s="314"/>
      <c r="G634" s="167"/>
      <c r="J634" s="314"/>
      <c r="K634" s="314"/>
      <c r="M634" s="350"/>
      <c r="O634" s="225"/>
      <c r="R634" s="314"/>
      <c r="T634" s="498"/>
      <c r="U634" s="315"/>
    </row>
    <row r="635" spans="3:21" ht="16">
      <c r="C635" s="314"/>
      <c r="G635" s="167"/>
      <c r="J635" s="314"/>
      <c r="K635" s="314"/>
      <c r="M635" s="350"/>
      <c r="O635" s="225"/>
      <c r="R635" s="314"/>
      <c r="T635" s="498"/>
      <c r="U635" s="315"/>
    </row>
    <row r="636" spans="3:21" ht="16">
      <c r="C636" s="314"/>
      <c r="G636" s="167"/>
      <c r="J636" s="314"/>
      <c r="K636" s="314"/>
      <c r="M636" s="350"/>
      <c r="O636" s="225"/>
      <c r="R636" s="314"/>
      <c r="T636" s="498"/>
      <c r="U636" s="315"/>
    </row>
    <row r="637" spans="3:21" ht="16">
      <c r="C637" s="314"/>
      <c r="G637" s="167"/>
      <c r="J637" s="314"/>
      <c r="K637" s="314"/>
      <c r="M637" s="350"/>
      <c r="O637" s="225"/>
      <c r="R637" s="314"/>
      <c r="T637" s="498"/>
      <c r="U637" s="315"/>
    </row>
    <row r="638" spans="3:21" ht="16">
      <c r="C638" s="314"/>
      <c r="G638" s="167"/>
      <c r="J638" s="314"/>
      <c r="K638" s="314"/>
      <c r="M638" s="350"/>
      <c r="O638" s="225"/>
      <c r="R638" s="314"/>
      <c r="T638" s="498"/>
      <c r="U638" s="315"/>
    </row>
    <row r="639" spans="3:21" ht="16">
      <c r="C639" s="314"/>
      <c r="G639" s="167"/>
      <c r="J639" s="314"/>
      <c r="K639" s="314"/>
      <c r="M639" s="350"/>
      <c r="O639" s="225"/>
      <c r="R639" s="314"/>
      <c r="T639" s="498"/>
      <c r="U639" s="315"/>
    </row>
    <row r="640" spans="3:21" ht="16">
      <c r="C640" s="314"/>
      <c r="G640" s="167"/>
      <c r="J640" s="314"/>
      <c r="K640" s="314"/>
      <c r="M640" s="350"/>
      <c r="O640" s="225"/>
      <c r="R640" s="314"/>
      <c r="T640" s="498"/>
      <c r="U640" s="315"/>
    </row>
    <row r="641" spans="3:21" ht="16">
      <c r="C641" s="314"/>
      <c r="G641" s="167"/>
      <c r="J641" s="314"/>
      <c r="K641" s="314"/>
      <c r="M641" s="350"/>
      <c r="O641" s="225"/>
      <c r="R641" s="314"/>
      <c r="T641" s="498"/>
      <c r="U641" s="315"/>
    </row>
    <row r="642" spans="3:21" ht="16">
      <c r="C642" s="314"/>
      <c r="G642" s="167"/>
      <c r="J642" s="314"/>
      <c r="K642" s="314"/>
      <c r="M642" s="350"/>
      <c r="O642" s="225"/>
      <c r="R642" s="314"/>
      <c r="T642" s="498"/>
      <c r="U642" s="315"/>
    </row>
    <row r="643" spans="3:21" ht="16">
      <c r="C643" s="314"/>
      <c r="G643" s="167"/>
      <c r="J643" s="314"/>
      <c r="K643" s="314"/>
      <c r="M643" s="350"/>
      <c r="O643" s="225"/>
      <c r="R643" s="314"/>
      <c r="T643" s="498"/>
      <c r="U643" s="315"/>
    </row>
    <row r="644" spans="3:21" ht="16">
      <c r="C644" s="314"/>
      <c r="G644" s="167"/>
      <c r="J644" s="314"/>
      <c r="K644" s="314"/>
      <c r="M644" s="350"/>
      <c r="O644" s="225"/>
      <c r="R644" s="314"/>
      <c r="T644" s="498"/>
      <c r="U644" s="315"/>
    </row>
    <row r="645" spans="3:21" ht="16">
      <c r="C645" s="314"/>
      <c r="G645" s="167"/>
      <c r="J645" s="314"/>
      <c r="K645" s="314"/>
      <c r="M645" s="350"/>
      <c r="O645" s="225"/>
      <c r="R645" s="314"/>
      <c r="T645" s="498"/>
      <c r="U645" s="315"/>
    </row>
    <row r="646" spans="3:21" ht="16">
      <c r="C646" s="314"/>
      <c r="G646" s="167"/>
      <c r="J646" s="314"/>
      <c r="K646" s="314"/>
      <c r="M646" s="350"/>
      <c r="O646" s="225"/>
      <c r="R646" s="314"/>
      <c r="T646" s="498"/>
      <c r="U646" s="315"/>
    </row>
    <row r="647" spans="3:21" ht="16">
      <c r="C647" s="314"/>
      <c r="G647" s="167"/>
      <c r="J647" s="314"/>
      <c r="K647" s="314"/>
      <c r="M647" s="350"/>
      <c r="O647" s="225"/>
      <c r="R647" s="314"/>
      <c r="T647" s="498"/>
      <c r="U647" s="315"/>
    </row>
    <row r="648" spans="3:21" ht="16">
      <c r="C648" s="314"/>
      <c r="G648" s="167"/>
      <c r="J648" s="314"/>
      <c r="K648" s="314"/>
      <c r="M648" s="350"/>
      <c r="O648" s="225"/>
      <c r="R648" s="314"/>
      <c r="T648" s="498"/>
      <c r="U648" s="315"/>
    </row>
    <row r="649" spans="3:21" ht="16">
      <c r="C649" s="314"/>
      <c r="G649" s="167"/>
      <c r="J649" s="314"/>
      <c r="K649" s="314"/>
      <c r="M649" s="350"/>
      <c r="O649" s="225"/>
      <c r="R649" s="314"/>
      <c r="T649" s="498"/>
      <c r="U649" s="315"/>
    </row>
    <row r="650" spans="3:21" ht="16">
      <c r="C650" s="314"/>
      <c r="G650" s="167"/>
      <c r="J650" s="314"/>
      <c r="K650" s="314"/>
      <c r="M650" s="350"/>
      <c r="O650" s="225"/>
      <c r="R650" s="314"/>
      <c r="T650" s="498"/>
      <c r="U650" s="315"/>
    </row>
    <row r="651" spans="3:21" ht="16">
      <c r="C651" s="314"/>
      <c r="G651" s="167"/>
      <c r="J651" s="314"/>
      <c r="K651" s="314"/>
      <c r="M651" s="350"/>
      <c r="O651" s="225"/>
      <c r="R651" s="314"/>
      <c r="T651" s="498"/>
      <c r="U651" s="315"/>
    </row>
    <row r="652" spans="3:21" ht="16">
      <c r="C652" s="314"/>
      <c r="G652" s="167"/>
      <c r="J652" s="314"/>
      <c r="K652" s="314"/>
      <c r="M652" s="350"/>
      <c r="O652" s="225"/>
      <c r="R652" s="314"/>
      <c r="T652" s="498"/>
      <c r="U652" s="315"/>
    </row>
    <row r="653" spans="3:21" ht="16">
      <c r="C653" s="314"/>
      <c r="G653" s="167"/>
      <c r="J653" s="314"/>
      <c r="K653" s="314"/>
      <c r="M653" s="350"/>
      <c r="O653" s="225"/>
      <c r="R653" s="314"/>
      <c r="T653" s="498"/>
      <c r="U653" s="315"/>
    </row>
    <row r="654" spans="3:21" ht="16">
      <c r="C654" s="314"/>
      <c r="G654" s="167"/>
      <c r="J654" s="314"/>
      <c r="K654" s="314"/>
      <c r="M654" s="350"/>
      <c r="O654" s="225"/>
      <c r="R654" s="314"/>
      <c r="T654" s="498"/>
      <c r="U654" s="315"/>
    </row>
    <row r="655" spans="3:21" ht="16">
      <c r="C655" s="314"/>
      <c r="G655" s="167"/>
      <c r="J655" s="314"/>
      <c r="K655" s="314"/>
      <c r="M655" s="350"/>
      <c r="O655" s="225"/>
      <c r="R655" s="314"/>
      <c r="T655" s="498"/>
      <c r="U655" s="315"/>
    </row>
    <row r="656" spans="3:21" ht="16">
      <c r="C656" s="314"/>
      <c r="G656" s="167"/>
      <c r="J656" s="314"/>
      <c r="K656" s="314"/>
      <c r="M656" s="350"/>
      <c r="O656" s="225"/>
      <c r="R656" s="314"/>
      <c r="T656" s="498"/>
      <c r="U656" s="315"/>
    </row>
    <row r="657" spans="3:21" ht="16">
      <c r="C657" s="314"/>
      <c r="G657" s="167"/>
      <c r="J657" s="314"/>
      <c r="K657" s="314"/>
      <c r="M657" s="350"/>
      <c r="O657" s="225"/>
      <c r="R657" s="314"/>
      <c r="T657" s="498"/>
      <c r="U657" s="315"/>
    </row>
    <row r="658" spans="3:21" ht="16">
      <c r="C658" s="314"/>
      <c r="G658" s="167"/>
      <c r="J658" s="314"/>
      <c r="K658" s="314"/>
      <c r="M658" s="350"/>
      <c r="O658" s="225"/>
      <c r="R658" s="314"/>
      <c r="T658" s="498"/>
      <c r="U658" s="315"/>
    </row>
    <row r="659" spans="3:21" ht="16">
      <c r="C659" s="314"/>
      <c r="G659" s="167"/>
      <c r="J659" s="314"/>
      <c r="K659" s="314"/>
      <c r="M659" s="350"/>
      <c r="O659" s="225"/>
      <c r="R659" s="314"/>
      <c r="T659" s="498"/>
      <c r="U659" s="315"/>
    </row>
    <row r="660" spans="3:21" ht="16">
      <c r="C660" s="314"/>
      <c r="G660" s="167"/>
      <c r="J660" s="314"/>
      <c r="K660" s="314"/>
      <c r="M660" s="350"/>
      <c r="O660" s="225"/>
      <c r="R660" s="314"/>
      <c r="T660" s="498"/>
      <c r="U660" s="315"/>
    </row>
    <row r="661" spans="3:21" ht="16">
      <c r="C661" s="314"/>
      <c r="G661" s="167"/>
      <c r="J661" s="314"/>
      <c r="K661" s="314"/>
      <c r="M661" s="350"/>
      <c r="O661" s="225"/>
      <c r="R661" s="314"/>
      <c r="T661" s="498"/>
      <c r="U661" s="315"/>
    </row>
    <row r="662" spans="3:21" ht="16">
      <c r="C662" s="314"/>
      <c r="G662" s="167"/>
      <c r="J662" s="314"/>
      <c r="K662" s="314"/>
      <c r="M662" s="350"/>
      <c r="O662" s="225"/>
      <c r="R662" s="314"/>
      <c r="T662" s="498"/>
      <c r="U662" s="315"/>
    </row>
    <row r="663" spans="3:21" ht="16">
      <c r="C663" s="314"/>
      <c r="G663" s="167"/>
      <c r="J663" s="314"/>
      <c r="K663" s="314"/>
      <c r="M663" s="350"/>
      <c r="O663" s="225"/>
      <c r="R663" s="314"/>
      <c r="T663" s="498"/>
      <c r="U663" s="315"/>
    </row>
    <row r="664" spans="3:21" ht="16">
      <c r="C664" s="314"/>
      <c r="G664" s="167"/>
      <c r="J664" s="314"/>
      <c r="K664" s="314"/>
      <c r="M664" s="350"/>
      <c r="O664" s="225"/>
      <c r="R664" s="314"/>
      <c r="T664" s="498"/>
      <c r="U664" s="315"/>
    </row>
    <row r="665" spans="3:21" ht="16">
      <c r="C665" s="314"/>
      <c r="G665" s="167"/>
      <c r="J665" s="314"/>
      <c r="K665" s="314"/>
      <c r="M665" s="350"/>
      <c r="O665" s="225"/>
      <c r="R665" s="314"/>
      <c r="T665" s="498"/>
      <c r="U665" s="315"/>
    </row>
    <row r="666" spans="3:21" ht="16">
      <c r="C666" s="314"/>
      <c r="G666" s="167"/>
      <c r="J666" s="314"/>
      <c r="K666" s="314"/>
      <c r="M666" s="350"/>
      <c r="O666" s="225"/>
      <c r="R666" s="314"/>
      <c r="T666" s="498"/>
      <c r="U666" s="315"/>
    </row>
    <row r="667" spans="3:21" ht="16">
      <c r="C667" s="314"/>
      <c r="G667" s="167"/>
      <c r="J667" s="314"/>
      <c r="K667" s="314"/>
      <c r="M667" s="350"/>
      <c r="O667" s="225"/>
      <c r="R667" s="314"/>
      <c r="T667" s="498"/>
      <c r="U667" s="315"/>
    </row>
    <row r="668" spans="3:21" ht="16">
      <c r="C668" s="314"/>
      <c r="G668" s="167"/>
      <c r="J668" s="314"/>
      <c r="K668" s="314"/>
      <c r="M668" s="350"/>
      <c r="O668" s="225"/>
      <c r="R668" s="314"/>
      <c r="T668" s="498"/>
      <c r="U668" s="315"/>
    </row>
    <row r="669" spans="3:21" ht="16">
      <c r="C669" s="314"/>
      <c r="G669" s="167"/>
      <c r="J669" s="314"/>
      <c r="K669" s="314"/>
      <c r="M669" s="350"/>
      <c r="O669" s="225"/>
      <c r="R669" s="314"/>
      <c r="T669" s="498"/>
      <c r="U669" s="315"/>
    </row>
    <row r="670" spans="3:21" ht="16">
      <c r="C670" s="314"/>
      <c r="G670" s="167"/>
      <c r="J670" s="314"/>
      <c r="K670" s="314"/>
      <c r="M670" s="350"/>
      <c r="O670" s="225"/>
      <c r="R670" s="314"/>
      <c r="T670" s="498"/>
      <c r="U670" s="315"/>
    </row>
    <row r="671" spans="3:21" ht="16">
      <c r="C671" s="314"/>
      <c r="G671" s="167"/>
      <c r="J671" s="314"/>
      <c r="K671" s="314"/>
      <c r="M671" s="350"/>
      <c r="O671" s="225"/>
      <c r="R671" s="314"/>
      <c r="T671" s="498"/>
      <c r="U671" s="315"/>
    </row>
    <row r="672" spans="3:21" ht="16">
      <c r="C672" s="314"/>
      <c r="G672" s="167"/>
      <c r="J672" s="314"/>
      <c r="K672" s="314"/>
      <c r="M672" s="350"/>
      <c r="O672" s="225"/>
      <c r="R672" s="314"/>
      <c r="T672" s="498"/>
      <c r="U672" s="315"/>
    </row>
    <row r="673" spans="3:21" ht="16">
      <c r="C673" s="314"/>
      <c r="G673" s="167"/>
      <c r="J673" s="314"/>
      <c r="K673" s="314"/>
      <c r="M673" s="350"/>
      <c r="O673" s="225"/>
      <c r="R673" s="314"/>
      <c r="T673" s="498"/>
      <c r="U673" s="315"/>
    </row>
    <row r="674" spans="3:21" ht="16">
      <c r="C674" s="314"/>
      <c r="G674" s="167"/>
      <c r="J674" s="314"/>
      <c r="K674" s="314"/>
      <c r="M674" s="350"/>
      <c r="O674" s="225"/>
      <c r="R674" s="314"/>
      <c r="T674" s="498"/>
      <c r="U674" s="315"/>
    </row>
    <row r="675" spans="3:21" ht="16">
      <c r="C675" s="314"/>
      <c r="G675" s="167"/>
      <c r="J675" s="314"/>
      <c r="K675" s="314"/>
      <c r="M675" s="350"/>
      <c r="O675" s="225"/>
      <c r="R675" s="314"/>
      <c r="T675" s="498"/>
      <c r="U675" s="315"/>
    </row>
    <row r="676" spans="3:21" ht="16">
      <c r="C676" s="314"/>
      <c r="G676" s="167"/>
      <c r="J676" s="314"/>
      <c r="K676" s="314"/>
      <c r="M676" s="350"/>
      <c r="O676" s="225"/>
      <c r="R676" s="314"/>
      <c r="T676" s="498"/>
      <c r="U676" s="315"/>
    </row>
    <row r="677" spans="3:21" ht="16">
      <c r="C677" s="314"/>
      <c r="G677" s="167"/>
      <c r="J677" s="314"/>
      <c r="K677" s="314"/>
      <c r="M677" s="350"/>
      <c r="O677" s="225"/>
      <c r="R677" s="314"/>
      <c r="T677" s="498"/>
      <c r="U677" s="315"/>
    </row>
    <row r="678" spans="3:21" ht="16">
      <c r="C678" s="314"/>
      <c r="G678" s="167"/>
      <c r="J678" s="314"/>
      <c r="K678" s="314"/>
      <c r="M678" s="350"/>
      <c r="O678" s="225"/>
      <c r="R678" s="314"/>
      <c r="T678" s="498"/>
      <c r="U678" s="315"/>
    </row>
    <row r="679" spans="3:21" ht="16">
      <c r="C679" s="314"/>
      <c r="G679" s="167"/>
      <c r="J679" s="314"/>
      <c r="K679" s="314"/>
      <c r="M679" s="350"/>
      <c r="O679" s="225"/>
      <c r="R679" s="314"/>
      <c r="T679" s="498"/>
      <c r="U679" s="315"/>
    </row>
    <row r="680" spans="3:21" ht="16">
      <c r="C680" s="314"/>
      <c r="G680" s="167"/>
      <c r="J680" s="314"/>
      <c r="K680" s="314"/>
      <c r="M680" s="350"/>
      <c r="O680" s="225"/>
      <c r="R680" s="314"/>
      <c r="T680" s="498"/>
      <c r="U680" s="315"/>
    </row>
    <row r="681" spans="3:21" ht="16">
      <c r="C681" s="314"/>
      <c r="G681" s="167"/>
      <c r="J681" s="314"/>
      <c r="K681" s="314"/>
      <c r="M681" s="350"/>
      <c r="O681" s="225"/>
      <c r="R681" s="314"/>
      <c r="T681" s="498"/>
      <c r="U681" s="315"/>
    </row>
    <row r="682" spans="3:21" ht="16">
      <c r="C682" s="314"/>
      <c r="G682" s="167"/>
      <c r="J682" s="314"/>
      <c r="K682" s="314"/>
      <c r="M682" s="350"/>
      <c r="O682" s="225"/>
      <c r="R682" s="314"/>
      <c r="T682" s="498"/>
      <c r="U682" s="315"/>
    </row>
    <row r="683" spans="3:21" ht="16">
      <c r="C683" s="314"/>
      <c r="G683" s="167"/>
      <c r="J683" s="314"/>
      <c r="K683" s="314"/>
      <c r="M683" s="350"/>
      <c r="O683" s="225"/>
      <c r="R683" s="314"/>
      <c r="T683" s="498"/>
      <c r="U683" s="315"/>
    </row>
    <row r="684" spans="3:21" ht="16">
      <c r="C684" s="314"/>
      <c r="G684" s="167"/>
      <c r="J684" s="314"/>
      <c r="K684" s="314"/>
      <c r="M684" s="350"/>
      <c r="O684" s="225"/>
      <c r="R684" s="314"/>
      <c r="T684" s="498"/>
      <c r="U684" s="315"/>
    </row>
    <row r="685" spans="3:21" ht="16">
      <c r="C685" s="314"/>
      <c r="G685" s="167"/>
      <c r="J685" s="314"/>
      <c r="K685" s="314"/>
      <c r="M685" s="350"/>
      <c r="O685" s="225"/>
      <c r="R685" s="314"/>
      <c r="T685" s="498"/>
      <c r="U685" s="315"/>
    </row>
    <row r="686" spans="3:21" ht="16">
      <c r="C686" s="314"/>
      <c r="G686" s="167"/>
      <c r="J686" s="314"/>
      <c r="K686" s="314"/>
      <c r="M686" s="350"/>
      <c r="O686" s="225"/>
      <c r="R686" s="314"/>
      <c r="T686" s="498"/>
      <c r="U686" s="315"/>
    </row>
    <row r="687" spans="3:21" ht="16">
      <c r="C687" s="314"/>
      <c r="G687" s="167"/>
      <c r="J687" s="314"/>
      <c r="K687" s="314"/>
      <c r="M687" s="350"/>
      <c r="O687" s="225"/>
      <c r="R687" s="314"/>
      <c r="T687" s="498"/>
      <c r="U687" s="315"/>
    </row>
    <row r="688" spans="3:21" ht="16">
      <c r="C688" s="314"/>
      <c r="G688" s="167"/>
      <c r="J688" s="314"/>
      <c r="K688" s="314"/>
      <c r="M688" s="350"/>
      <c r="O688" s="225"/>
      <c r="R688" s="314"/>
      <c r="T688" s="498"/>
      <c r="U688" s="315"/>
    </row>
    <row r="689" spans="3:21" ht="16">
      <c r="C689" s="314"/>
      <c r="G689" s="167"/>
      <c r="J689" s="314"/>
      <c r="K689" s="314"/>
      <c r="M689" s="350"/>
      <c r="O689" s="225"/>
      <c r="R689" s="314"/>
      <c r="T689" s="498"/>
      <c r="U689" s="315"/>
    </row>
    <row r="690" spans="3:21" ht="16">
      <c r="C690" s="314"/>
      <c r="G690" s="167"/>
      <c r="J690" s="314"/>
      <c r="K690" s="314"/>
      <c r="M690" s="350"/>
      <c r="O690" s="225"/>
      <c r="R690" s="314"/>
      <c r="T690" s="498"/>
      <c r="U690" s="315"/>
    </row>
    <row r="691" spans="3:21" ht="16">
      <c r="C691" s="314"/>
      <c r="G691" s="167"/>
      <c r="J691" s="314"/>
      <c r="K691" s="314"/>
      <c r="M691" s="350"/>
      <c r="O691" s="225"/>
      <c r="R691" s="314"/>
      <c r="T691" s="498"/>
      <c r="U691" s="315"/>
    </row>
    <row r="692" spans="3:21" ht="16">
      <c r="C692" s="314"/>
      <c r="G692" s="167"/>
      <c r="J692" s="314"/>
      <c r="K692" s="314"/>
      <c r="M692" s="350"/>
      <c r="O692" s="225"/>
      <c r="R692" s="314"/>
      <c r="T692" s="498"/>
      <c r="U692" s="315"/>
    </row>
    <row r="693" spans="3:21" ht="16">
      <c r="C693" s="314"/>
      <c r="G693" s="167"/>
      <c r="J693" s="314"/>
      <c r="K693" s="314"/>
      <c r="M693" s="350"/>
      <c r="O693" s="225"/>
      <c r="R693" s="314"/>
      <c r="T693" s="498"/>
      <c r="U693" s="315"/>
    </row>
    <row r="694" spans="3:21" ht="16">
      <c r="C694" s="314"/>
      <c r="G694" s="167"/>
      <c r="J694" s="314"/>
      <c r="K694" s="314"/>
      <c r="M694" s="350"/>
      <c r="O694" s="225"/>
      <c r="R694" s="314"/>
      <c r="T694" s="498"/>
      <c r="U694" s="315"/>
    </row>
    <row r="695" spans="3:21" ht="16">
      <c r="C695" s="314"/>
      <c r="G695" s="167"/>
      <c r="J695" s="314"/>
      <c r="K695" s="314"/>
      <c r="M695" s="350"/>
      <c r="O695" s="225"/>
      <c r="R695" s="314"/>
      <c r="T695" s="498"/>
      <c r="U695" s="315"/>
    </row>
    <row r="696" spans="3:21" ht="16">
      <c r="C696" s="314"/>
      <c r="G696" s="167"/>
      <c r="J696" s="314"/>
      <c r="K696" s="314"/>
      <c r="M696" s="350"/>
      <c r="O696" s="225"/>
      <c r="R696" s="314"/>
      <c r="T696" s="498"/>
      <c r="U696" s="315"/>
    </row>
    <row r="697" spans="3:21" ht="16">
      <c r="C697" s="314"/>
      <c r="G697" s="167"/>
      <c r="J697" s="314"/>
      <c r="K697" s="314"/>
      <c r="M697" s="350"/>
      <c r="O697" s="225"/>
      <c r="R697" s="314"/>
      <c r="T697" s="498"/>
      <c r="U697" s="315"/>
    </row>
    <row r="698" spans="3:21" ht="16">
      <c r="C698" s="314"/>
      <c r="G698" s="167"/>
      <c r="J698" s="314"/>
      <c r="K698" s="314"/>
      <c r="M698" s="350"/>
      <c r="O698" s="225"/>
      <c r="R698" s="314"/>
      <c r="T698" s="498"/>
      <c r="U698" s="315"/>
    </row>
    <row r="699" spans="3:21" ht="16">
      <c r="C699" s="314"/>
      <c r="G699" s="167"/>
      <c r="J699" s="314"/>
      <c r="K699" s="314"/>
      <c r="M699" s="350"/>
      <c r="O699" s="225"/>
      <c r="R699" s="314"/>
      <c r="T699" s="498"/>
      <c r="U699" s="315"/>
    </row>
    <row r="700" spans="3:21" ht="16">
      <c r="C700" s="314"/>
      <c r="G700" s="167"/>
      <c r="J700" s="314"/>
      <c r="K700" s="314"/>
      <c r="M700" s="350"/>
      <c r="O700" s="225"/>
      <c r="R700" s="314"/>
      <c r="T700" s="498"/>
      <c r="U700" s="315"/>
    </row>
    <row r="701" spans="3:21" ht="16">
      <c r="C701" s="314"/>
      <c r="G701" s="167"/>
      <c r="J701" s="314"/>
      <c r="K701" s="314"/>
      <c r="M701" s="350"/>
      <c r="O701" s="225"/>
      <c r="R701" s="314"/>
      <c r="T701" s="498"/>
      <c r="U701" s="315"/>
    </row>
    <row r="702" spans="3:21" ht="16">
      <c r="C702" s="314"/>
      <c r="G702" s="167"/>
      <c r="J702" s="314"/>
      <c r="K702" s="314"/>
      <c r="M702" s="350"/>
      <c r="O702" s="225"/>
      <c r="R702" s="314"/>
      <c r="T702" s="498"/>
      <c r="U702" s="315"/>
    </row>
    <row r="703" spans="3:21" ht="16">
      <c r="C703" s="314"/>
      <c r="G703" s="167"/>
      <c r="J703" s="314"/>
      <c r="K703" s="314"/>
      <c r="M703" s="350"/>
      <c r="O703" s="225"/>
      <c r="R703" s="314"/>
      <c r="T703" s="498"/>
      <c r="U703" s="315"/>
    </row>
    <row r="704" spans="3:21" ht="16">
      <c r="C704" s="314"/>
      <c r="G704" s="167"/>
      <c r="J704" s="314"/>
      <c r="K704" s="314"/>
      <c r="M704" s="350"/>
      <c r="O704" s="225"/>
      <c r="R704" s="314"/>
      <c r="T704" s="498"/>
      <c r="U704" s="315"/>
    </row>
    <row r="705" spans="3:21" ht="16">
      <c r="C705" s="314"/>
      <c r="G705" s="167"/>
      <c r="J705" s="314"/>
      <c r="K705" s="314"/>
      <c r="M705" s="350"/>
      <c r="O705" s="225"/>
      <c r="R705" s="314"/>
      <c r="T705" s="498"/>
      <c r="U705" s="315"/>
    </row>
    <row r="706" spans="3:21" ht="16">
      <c r="C706" s="314"/>
      <c r="G706" s="167"/>
      <c r="J706" s="314"/>
      <c r="K706" s="314"/>
      <c r="M706" s="350"/>
      <c r="O706" s="225"/>
      <c r="R706" s="314"/>
      <c r="T706" s="498"/>
      <c r="U706" s="315"/>
    </row>
    <row r="707" spans="3:21" ht="16">
      <c r="C707" s="314"/>
      <c r="G707" s="167"/>
      <c r="J707" s="314"/>
      <c r="K707" s="314"/>
      <c r="M707" s="350"/>
      <c r="O707" s="225"/>
      <c r="R707" s="314"/>
      <c r="T707" s="498"/>
      <c r="U707" s="315"/>
    </row>
    <row r="708" spans="3:21" ht="16">
      <c r="C708" s="314"/>
      <c r="G708" s="167"/>
      <c r="J708" s="314"/>
      <c r="K708" s="314"/>
      <c r="M708" s="350"/>
      <c r="O708" s="225"/>
      <c r="R708" s="314"/>
      <c r="T708" s="498"/>
      <c r="U708" s="315"/>
    </row>
    <row r="709" spans="3:21" ht="16">
      <c r="C709" s="314"/>
      <c r="G709" s="167"/>
      <c r="J709" s="314"/>
      <c r="K709" s="314"/>
      <c r="M709" s="350"/>
      <c r="O709" s="225"/>
      <c r="R709" s="314"/>
      <c r="T709" s="498"/>
      <c r="U709" s="315"/>
    </row>
    <row r="710" spans="3:21" ht="16">
      <c r="C710" s="314"/>
      <c r="G710" s="167"/>
      <c r="J710" s="314"/>
      <c r="K710" s="314"/>
      <c r="M710" s="350"/>
      <c r="O710" s="225"/>
      <c r="R710" s="314"/>
      <c r="T710" s="498"/>
      <c r="U710" s="315"/>
    </row>
    <row r="711" spans="3:21" ht="16">
      <c r="C711" s="314"/>
      <c r="G711" s="167"/>
      <c r="J711" s="314"/>
      <c r="K711" s="314"/>
      <c r="M711" s="350"/>
      <c r="O711" s="225"/>
      <c r="R711" s="314"/>
      <c r="T711" s="498"/>
      <c r="U711" s="315"/>
    </row>
    <row r="712" spans="3:21" ht="16">
      <c r="C712" s="314"/>
      <c r="G712" s="167"/>
      <c r="J712" s="314"/>
      <c r="K712" s="314"/>
      <c r="M712" s="350"/>
      <c r="O712" s="225"/>
      <c r="R712" s="314"/>
      <c r="T712" s="498"/>
      <c r="U712" s="315"/>
    </row>
    <row r="713" spans="3:21" ht="16">
      <c r="C713" s="314"/>
      <c r="G713" s="167"/>
      <c r="J713" s="314"/>
      <c r="K713" s="314"/>
      <c r="M713" s="350"/>
      <c r="O713" s="225"/>
      <c r="R713" s="314"/>
      <c r="T713" s="498"/>
      <c r="U713" s="315"/>
    </row>
    <row r="714" spans="3:21" ht="16">
      <c r="C714" s="314"/>
      <c r="G714" s="167"/>
      <c r="J714" s="314"/>
      <c r="K714" s="314"/>
      <c r="M714" s="350"/>
      <c r="O714" s="225"/>
      <c r="R714" s="314"/>
      <c r="T714" s="498"/>
      <c r="U714" s="315"/>
    </row>
    <row r="715" spans="3:21" ht="16">
      <c r="C715" s="314"/>
      <c r="G715" s="167"/>
      <c r="J715" s="314"/>
      <c r="K715" s="314"/>
      <c r="M715" s="350"/>
      <c r="O715" s="225"/>
      <c r="R715" s="314"/>
      <c r="T715" s="498"/>
      <c r="U715" s="315"/>
    </row>
    <row r="716" spans="3:21" ht="16">
      <c r="C716" s="314"/>
      <c r="G716" s="167"/>
      <c r="J716" s="314"/>
      <c r="K716" s="314"/>
      <c r="M716" s="350"/>
      <c r="O716" s="225"/>
      <c r="R716" s="314"/>
      <c r="T716" s="498"/>
      <c r="U716" s="315"/>
    </row>
    <row r="717" spans="3:21" ht="16">
      <c r="C717" s="314"/>
      <c r="G717" s="167"/>
      <c r="J717" s="314"/>
      <c r="K717" s="314"/>
      <c r="M717" s="350"/>
      <c r="O717" s="225"/>
      <c r="R717" s="314"/>
      <c r="T717" s="498"/>
      <c r="U717" s="315"/>
    </row>
    <row r="718" spans="3:21" ht="16">
      <c r="C718" s="314"/>
      <c r="G718" s="167"/>
      <c r="J718" s="314"/>
      <c r="K718" s="314"/>
      <c r="M718" s="350"/>
      <c r="O718" s="225"/>
      <c r="R718" s="314"/>
      <c r="T718" s="498"/>
      <c r="U718" s="315"/>
    </row>
    <row r="719" spans="3:21" ht="16">
      <c r="C719" s="314"/>
      <c r="G719" s="167"/>
      <c r="J719" s="314"/>
      <c r="K719" s="314"/>
      <c r="M719" s="350"/>
      <c r="O719" s="225"/>
      <c r="R719" s="314"/>
      <c r="T719" s="498"/>
      <c r="U719" s="315"/>
    </row>
    <row r="720" spans="3:21" ht="16">
      <c r="C720" s="314"/>
      <c r="G720" s="167"/>
      <c r="J720" s="314"/>
      <c r="K720" s="314"/>
      <c r="M720" s="350"/>
      <c r="O720" s="225"/>
      <c r="R720" s="314"/>
      <c r="T720" s="498"/>
      <c r="U720" s="315"/>
    </row>
    <row r="721" spans="3:21" ht="16">
      <c r="C721" s="314"/>
      <c r="G721" s="167"/>
      <c r="J721" s="314"/>
      <c r="K721" s="314"/>
      <c r="M721" s="350"/>
      <c r="O721" s="225"/>
      <c r="R721" s="314"/>
      <c r="T721" s="498"/>
      <c r="U721" s="315"/>
    </row>
    <row r="722" spans="3:21" ht="16">
      <c r="C722" s="314"/>
      <c r="G722" s="167"/>
      <c r="J722" s="314"/>
      <c r="K722" s="314"/>
      <c r="M722" s="350"/>
      <c r="O722" s="225"/>
      <c r="R722" s="314"/>
      <c r="T722" s="498"/>
      <c r="U722" s="315"/>
    </row>
    <row r="723" spans="3:21" ht="16">
      <c r="C723" s="314"/>
      <c r="G723" s="167"/>
      <c r="J723" s="314"/>
      <c r="K723" s="314"/>
      <c r="M723" s="350"/>
      <c r="O723" s="225"/>
      <c r="R723" s="314"/>
      <c r="T723" s="498"/>
      <c r="U723" s="315"/>
    </row>
    <row r="724" spans="3:21" ht="16">
      <c r="C724" s="314"/>
      <c r="G724" s="167"/>
      <c r="J724" s="314"/>
      <c r="K724" s="314"/>
      <c r="M724" s="350"/>
      <c r="O724" s="225"/>
      <c r="R724" s="314"/>
      <c r="T724" s="498"/>
      <c r="U724" s="315"/>
    </row>
    <row r="725" spans="3:21" ht="16">
      <c r="C725" s="314"/>
      <c r="G725" s="167"/>
      <c r="J725" s="314"/>
      <c r="K725" s="314"/>
      <c r="M725" s="350"/>
      <c r="O725" s="225"/>
      <c r="R725" s="314"/>
      <c r="T725" s="498"/>
      <c r="U725" s="315"/>
    </row>
    <row r="726" spans="3:21" ht="16">
      <c r="C726" s="314"/>
      <c r="G726" s="167"/>
      <c r="J726" s="314"/>
      <c r="K726" s="314"/>
      <c r="M726" s="350"/>
      <c r="O726" s="225"/>
      <c r="R726" s="314"/>
      <c r="T726" s="498"/>
      <c r="U726" s="315"/>
    </row>
    <row r="727" spans="3:21" ht="16">
      <c r="C727" s="314"/>
      <c r="G727" s="167"/>
      <c r="J727" s="314"/>
      <c r="K727" s="314"/>
      <c r="M727" s="350"/>
      <c r="O727" s="225"/>
      <c r="R727" s="314"/>
      <c r="T727" s="498"/>
      <c r="U727" s="315"/>
    </row>
    <row r="728" spans="3:21" ht="16">
      <c r="C728" s="314"/>
      <c r="G728" s="167"/>
      <c r="J728" s="314"/>
      <c r="K728" s="314"/>
      <c r="M728" s="350"/>
      <c r="O728" s="225"/>
      <c r="R728" s="314"/>
      <c r="T728" s="498"/>
      <c r="U728" s="315"/>
    </row>
    <row r="729" spans="3:21" ht="16">
      <c r="C729" s="314"/>
      <c r="G729" s="167"/>
      <c r="J729" s="314"/>
      <c r="K729" s="314"/>
      <c r="M729" s="350"/>
      <c r="O729" s="225"/>
      <c r="R729" s="314"/>
      <c r="T729" s="498"/>
      <c r="U729" s="315"/>
    </row>
    <row r="730" spans="3:21" ht="16">
      <c r="C730" s="314"/>
      <c r="G730" s="167"/>
      <c r="J730" s="314"/>
      <c r="K730" s="314"/>
      <c r="M730" s="350"/>
      <c r="O730" s="225"/>
      <c r="R730" s="314"/>
      <c r="T730" s="498"/>
      <c r="U730" s="315"/>
    </row>
    <row r="731" spans="3:21" ht="16">
      <c r="C731" s="314"/>
      <c r="G731" s="167"/>
      <c r="J731" s="314"/>
      <c r="K731" s="314"/>
      <c r="M731" s="350"/>
      <c r="O731" s="225"/>
      <c r="R731" s="314"/>
      <c r="T731" s="498"/>
      <c r="U731" s="315"/>
    </row>
    <row r="732" spans="3:21" ht="16">
      <c r="C732" s="314"/>
      <c r="G732" s="167"/>
      <c r="J732" s="314"/>
      <c r="K732" s="314"/>
      <c r="M732" s="350"/>
      <c r="O732" s="225"/>
      <c r="R732" s="314"/>
      <c r="T732" s="498"/>
      <c r="U732" s="315"/>
    </row>
    <row r="733" spans="3:21" ht="16">
      <c r="C733" s="314"/>
      <c r="G733" s="167"/>
      <c r="J733" s="314"/>
      <c r="K733" s="314"/>
      <c r="M733" s="350"/>
      <c r="O733" s="225"/>
      <c r="R733" s="314"/>
      <c r="T733" s="498"/>
      <c r="U733" s="315"/>
    </row>
    <row r="734" spans="3:21" ht="16">
      <c r="C734" s="314"/>
      <c r="G734" s="167"/>
      <c r="J734" s="314"/>
      <c r="K734" s="314"/>
      <c r="M734" s="350"/>
      <c r="O734" s="225"/>
      <c r="R734" s="314"/>
      <c r="T734" s="498"/>
      <c r="U734" s="315"/>
    </row>
    <row r="735" spans="3:21" ht="16">
      <c r="C735" s="314"/>
      <c r="G735" s="167"/>
      <c r="J735" s="314"/>
      <c r="K735" s="314"/>
      <c r="M735" s="350"/>
      <c r="O735" s="225"/>
      <c r="R735" s="314"/>
      <c r="T735" s="498"/>
      <c r="U735" s="315"/>
    </row>
    <row r="736" spans="3:21" ht="16">
      <c r="C736" s="314"/>
      <c r="G736" s="167"/>
      <c r="J736" s="314"/>
      <c r="K736" s="314"/>
      <c r="M736" s="350"/>
      <c r="O736" s="225"/>
      <c r="R736" s="314"/>
      <c r="T736" s="498"/>
      <c r="U736" s="315"/>
    </row>
    <row r="737" spans="3:21" ht="16">
      <c r="C737" s="314"/>
      <c r="G737" s="167"/>
      <c r="J737" s="314"/>
      <c r="K737" s="314"/>
      <c r="M737" s="350"/>
      <c r="O737" s="225"/>
      <c r="R737" s="314"/>
      <c r="T737" s="498"/>
      <c r="U737" s="315"/>
    </row>
    <row r="738" spans="3:21" ht="16">
      <c r="C738" s="314"/>
      <c r="G738" s="167"/>
      <c r="J738" s="314"/>
      <c r="K738" s="314"/>
      <c r="M738" s="350"/>
      <c r="O738" s="225"/>
      <c r="R738" s="314"/>
      <c r="T738" s="498"/>
      <c r="U738" s="315"/>
    </row>
    <row r="739" spans="3:21" ht="16">
      <c r="C739" s="314"/>
      <c r="G739" s="167"/>
      <c r="J739" s="314"/>
      <c r="K739" s="314"/>
      <c r="M739" s="350"/>
      <c r="O739" s="225"/>
      <c r="R739" s="314"/>
      <c r="T739" s="498"/>
      <c r="U739" s="315"/>
    </row>
    <row r="740" spans="3:21" ht="16">
      <c r="C740" s="314"/>
      <c r="G740" s="167"/>
      <c r="J740" s="314"/>
      <c r="K740" s="314"/>
      <c r="M740" s="350"/>
      <c r="O740" s="225"/>
      <c r="R740" s="314"/>
      <c r="T740" s="498"/>
      <c r="U740" s="315"/>
    </row>
    <row r="741" spans="3:21" ht="16">
      <c r="C741" s="314"/>
      <c r="G741" s="167"/>
      <c r="J741" s="314"/>
      <c r="K741" s="314"/>
      <c r="M741" s="350"/>
      <c r="O741" s="225"/>
      <c r="R741" s="314"/>
      <c r="T741" s="498"/>
      <c r="U741" s="315"/>
    </row>
    <row r="742" spans="3:21" ht="16">
      <c r="C742" s="314"/>
      <c r="G742" s="167"/>
      <c r="J742" s="314"/>
      <c r="K742" s="314"/>
      <c r="M742" s="350"/>
      <c r="O742" s="225"/>
      <c r="R742" s="314"/>
      <c r="T742" s="498"/>
      <c r="U742" s="315"/>
    </row>
    <row r="743" spans="3:21" ht="16">
      <c r="C743" s="314"/>
      <c r="G743" s="167"/>
      <c r="J743" s="314"/>
      <c r="K743" s="314"/>
      <c r="M743" s="350"/>
      <c r="O743" s="225"/>
      <c r="R743" s="314"/>
      <c r="T743" s="498"/>
      <c r="U743" s="315"/>
    </row>
    <row r="744" spans="3:21" ht="16">
      <c r="C744" s="314"/>
      <c r="G744" s="167"/>
      <c r="J744" s="314"/>
      <c r="K744" s="314"/>
      <c r="M744" s="350"/>
      <c r="O744" s="225"/>
      <c r="R744" s="314"/>
      <c r="T744" s="498"/>
      <c r="U744" s="315"/>
    </row>
    <row r="745" spans="3:21" ht="16">
      <c r="C745" s="314"/>
      <c r="G745" s="167"/>
      <c r="J745" s="314"/>
      <c r="K745" s="314"/>
      <c r="M745" s="350"/>
      <c r="O745" s="225"/>
      <c r="R745" s="314"/>
      <c r="T745" s="498"/>
      <c r="U745" s="315"/>
    </row>
    <row r="746" spans="3:21" ht="16">
      <c r="C746" s="314"/>
      <c r="G746" s="167"/>
      <c r="J746" s="314"/>
      <c r="K746" s="314"/>
      <c r="M746" s="350"/>
      <c r="O746" s="225"/>
      <c r="R746" s="314"/>
      <c r="T746" s="498"/>
      <c r="U746" s="315"/>
    </row>
    <row r="747" spans="3:21" ht="16">
      <c r="C747" s="314"/>
      <c r="G747" s="167"/>
      <c r="J747" s="314"/>
      <c r="K747" s="314"/>
      <c r="M747" s="350"/>
      <c r="O747" s="225"/>
      <c r="R747" s="314"/>
      <c r="T747" s="498"/>
      <c r="U747" s="315"/>
    </row>
    <row r="748" spans="3:21" ht="16">
      <c r="C748" s="314"/>
      <c r="G748" s="167"/>
      <c r="J748" s="314"/>
      <c r="K748" s="314"/>
      <c r="M748" s="350"/>
      <c r="O748" s="225"/>
      <c r="R748" s="314"/>
      <c r="T748" s="498"/>
      <c r="U748" s="315"/>
    </row>
    <row r="749" spans="3:21" ht="16">
      <c r="C749" s="314"/>
      <c r="G749" s="167"/>
      <c r="J749" s="314"/>
      <c r="K749" s="314"/>
      <c r="M749" s="350"/>
      <c r="O749" s="225"/>
      <c r="R749" s="314"/>
      <c r="T749" s="498"/>
      <c r="U749" s="315"/>
    </row>
    <row r="750" spans="3:21" ht="16">
      <c r="C750" s="314"/>
      <c r="G750" s="167"/>
      <c r="J750" s="314"/>
      <c r="K750" s="314"/>
      <c r="M750" s="350"/>
      <c r="O750" s="225"/>
      <c r="R750" s="314"/>
      <c r="T750" s="498"/>
      <c r="U750" s="315"/>
    </row>
    <row r="751" spans="3:21" ht="16">
      <c r="C751" s="314"/>
      <c r="G751" s="167"/>
      <c r="J751" s="314"/>
      <c r="K751" s="314"/>
      <c r="M751" s="350"/>
      <c r="O751" s="225"/>
      <c r="R751" s="314"/>
      <c r="T751" s="498"/>
      <c r="U751" s="315"/>
    </row>
    <row r="752" spans="3:21" ht="16">
      <c r="C752" s="314"/>
      <c r="G752" s="167"/>
      <c r="J752" s="314"/>
      <c r="K752" s="314"/>
      <c r="M752" s="350"/>
      <c r="O752" s="225"/>
      <c r="R752" s="314"/>
      <c r="T752" s="498"/>
      <c r="U752" s="315"/>
    </row>
    <row r="753" spans="3:21" ht="16">
      <c r="C753" s="314"/>
      <c r="G753" s="167"/>
      <c r="J753" s="314"/>
      <c r="K753" s="314"/>
      <c r="M753" s="350"/>
      <c r="O753" s="225"/>
      <c r="R753" s="314"/>
      <c r="T753" s="498"/>
      <c r="U753" s="315"/>
    </row>
    <row r="754" spans="3:21" ht="16">
      <c r="C754" s="314"/>
      <c r="G754" s="167"/>
      <c r="J754" s="314"/>
      <c r="K754" s="314"/>
      <c r="M754" s="350"/>
      <c r="O754" s="225"/>
      <c r="R754" s="314"/>
      <c r="T754" s="498"/>
      <c r="U754" s="315"/>
    </row>
    <row r="755" spans="3:21" ht="16">
      <c r="C755" s="314"/>
      <c r="G755" s="167"/>
      <c r="J755" s="314"/>
      <c r="K755" s="314"/>
      <c r="M755" s="350"/>
      <c r="O755" s="225"/>
      <c r="R755" s="314"/>
      <c r="T755" s="498"/>
      <c r="U755" s="315"/>
    </row>
    <row r="756" spans="3:21" ht="16">
      <c r="C756" s="314"/>
      <c r="G756" s="167"/>
      <c r="J756" s="314"/>
      <c r="K756" s="314"/>
      <c r="M756" s="350"/>
      <c r="O756" s="225"/>
      <c r="R756" s="314"/>
      <c r="T756" s="498"/>
      <c r="U756" s="315"/>
    </row>
    <row r="757" spans="3:21" ht="16">
      <c r="C757" s="314"/>
      <c r="G757" s="167"/>
      <c r="J757" s="314"/>
      <c r="K757" s="314"/>
      <c r="M757" s="350"/>
      <c r="O757" s="225"/>
      <c r="R757" s="314"/>
      <c r="T757" s="498"/>
      <c r="U757" s="315"/>
    </row>
    <row r="758" spans="3:21" ht="16">
      <c r="C758" s="314"/>
      <c r="G758" s="167"/>
      <c r="J758" s="314"/>
      <c r="K758" s="314"/>
      <c r="M758" s="350"/>
      <c r="O758" s="225"/>
      <c r="R758" s="314"/>
      <c r="T758" s="498"/>
      <c r="U758" s="315"/>
    </row>
    <row r="759" spans="3:21" ht="16">
      <c r="C759" s="314"/>
      <c r="G759" s="167"/>
      <c r="J759" s="314"/>
      <c r="K759" s="314"/>
      <c r="M759" s="350"/>
      <c r="O759" s="225"/>
      <c r="R759" s="314"/>
      <c r="T759" s="498"/>
      <c r="U759" s="315"/>
    </row>
    <row r="760" spans="3:21" ht="16">
      <c r="C760" s="314"/>
      <c r="G760" s="167"/>
      <c r="J760" s="314"/>
      <c r="K760" s="314"/>
      <c r="M760" s="350"/>
      <c r="O760" s="225"/>
      <c r="R760" s="314"/>
      <c r="T760" s="498"/>
      <c r="U760" s="315"/>
    </row>
    <row r="761" spans="3:21" ht="16">
      <c r="C761" s="314"/>
      <c r="G761" s="167"/>
      <c r="J761" s="314"/>
      <c r="K761" s="314"/>
      <c r="M761" s="350"/>
      <c r="O761" s="225"/>
      <c r="R761" s="314"/>
      <c r="T761" s="498"/>
      <c r="U761" s="315"/>
    </row>
    <row r="762" spans="3:21" ht="16">
      <c r="C762" s="314"/>
      <c r="G762" s="167"/>
      <c r="J762" s="314"/>
      <c r="K762" s="314"/>
      <c r="M762" s="350"/>
      <c r="O762" s="225"/>
      <c r="R762" s="314"/>
      <c r="T762" s="498"/>
      <c r="U762" s="315"/>
    </row>
    <row r="763" spans="3:21" ht="16">
      <c r="C763" s="314"/>
      <c r="G763" s="167"/>
      <c r="J763" s="314"/>
      <c r="K763" s="314"/>
      <c r="M763" s="350"/>
      <c r="O763" s="225"/>
      <c r="R763" s="314"/>
      <c r="T763" s="498"/>
      <c r="U763" s="315"/>
    </row>
    <row r="764" spans="3:21" ht="16">
      <c r="C764" s="314"/>
      <c r="G764" s="167"/>
      <c r="J764" s="314"/>
      <c r="K764" s="314"/>
      <c r="M764" s="350"/>
      <c r="O764" s="225"/>
      <c r="R764" s="314"/>
      <c r="T764" s="498"/>
      <c r="U764" s="315"/>
    </row>
    <row r="765" spans="3:21" ht="16">
      <c r="C765" s="314"/>
      <c r="G765" s="167"/>
      <c r="J765" s="314"/>
      <c r="K765" s="314"/>
      <c r="M765" s="350"/>
      <c r="O765" s="225"/>
      <c r="R765" s="314"/>
      <c r="T765" s="498"/>
      <c r="U765" s="315"/>
    </row>
    <row r="766" spans="3:21" ht="16">
      <c r="C766" s="314"/>
      <c r="G766" s="167"/>
      <c r="J766" s="314"/>
      <c r="K766" s="314"/>
      <c r="M766" s="350"/>
      <c r="O766" s="225"/>
      <c r="R766" s="314"/>
      <c r="T766" s="498"/>
      <c r="U766" s="315"/>
    </row>
    <row r="767" spans="3:21" ht="16">
      <c r="C767" s="314"/>
      <c r="G767" s="167"/>
      <c r="J767" s="314"/>
      <c r="K767" s="314"/>
      <c r="M767" s="350"/>
      <c r="O767" s="225"/>
      <c r="R767" s="314"/>
      <c r="T767" s="498"/>
      <c r="U767" s="315"/>
    </row>
    <row r="768" spans="3:21" ht="16">
      <c r="C768" s="314"/>
      <c r="G768" s="167"/>
      <c r="J768" s="314"/>
      <c r="K768" s="314"/>
      <c r="M768" s="350"/>
      <c r="O768" s="225"/>
      <c r="R768" s="314"/>
      <c r="T768" s="498"/>
      <c r="U768" s="315"/>
    </row>
    <row r="769" spans="3:21" ht="16">
      <c r="C769" s="314"/>
      <c r="G769" s="167"/>
      <c r="J769" s="314"/>
      <c r="K769" s="314"/>
      <c r="M769" s="350"/>
      <c r="O769" s="225"/>
      <c r="R769" s="314"/>
      <c r="T769" s="498"/>
      <c r="U769" s="315"/>
    </row>
    <row r="770" spans="3:21" ht="16">
      <c r="C770" s="314"/>
      <c r="G770" s="167"/>
      <c r="J770" s="314"/>
      <c r="K770" s="314"/>
      <c r="M770" s="350"/>
      <c r="O770" s="225"/>
      <c r="R770" s="314"/>
      <c r="T770" s="498"/>
      <c r="U770" s="315"/>
    </row>
    <row r="771" spans="3:21" ht="16">
      <c r="C771" s="314"/>
      <c r="G771" s="167"/>
      <c r="J771" s="314"/>
      <c r="K771" s="314"/>
      <c r="M771" s="350"/>
      <c r="O771" s="225"/>
      <c r="R771" s="314"/>
      <c r="T771" s="498"/>
      <c r="U771" s="315"/>
    </row>
    <row r="772" spans="3:21" ht="16">
      <c r="C772" s="314"/>
      <c r="G772" s="167"/>
      <c r="J772" s="314"/>
      <c r="K772" s="314"/>
      <c r="M772" s="350"/>
      <c r="O772" s="225"/>
      <c r="R772" s="314"/>
      <c r="T772" s="498"/>
      <c r="U772" s="315"/>
    </row>
    <row r="773" spans="3:21" ht="16">
      <c r="C773" s="314"/>
      <c r="G773" s="167"/>
      <c r="J773" s="314"/>
      <c r="K773" s="314"/>
      <c r="M773" s="350"/>
      <c r="O773" s="225"/>
      <c r="R773" s="314"/>
      <c r="T773" s="498"/>
      <c r="U773" s="315"/>
    </row>
    <row r="774" spans="3:21" ht="16">
      <c r="C774" s="314"/>
      <c r="G774" s="167"/>
      <c r="J774" s="314"/>
      <c r="K774" s="314"/>
      <c r="M774" s="350"/>
      <c r="O774" s="225"/>
      <c r="R774" s="314"/>
      <c r="T774" s="498"/>
      <c r="U774" s="315"/>
    </row>
    <row r="775" spans="3:21" ht="16">
      <c r="C775" s="314"/>
      <c r="G775" s="167"/>
      <c r="J775" s="314"/>
      <c r="K775" s="314"/>
      <c r="M775" s="350"/>
      <c r="O775" s="225"/>
      <c r="R775" s="314"/>
      <c r="T775" s="498"/>
      <c r="U775" s="315"/>
    </row>
    <row r="776" spans="3:21" ht="16">
      <c r="C776" s="314"/>
      <c r="G776" s="167"/>
      <c r="J776" s="314"/>
      <c r="K776" s="314"/>
      <c r="M776" s="350"/>
      <c r="O776" s="225"/>
      <c r="R776" s="314"/>
      <c r="T776" s="498"/>
      <c r="U776" s="315"/>
    </row>
    <row r="777" spans="3:21" ht="16">
      <c r="C777" s="314"/>
      <c r="G777" s="167"/>
      <c r="J777" s="314"/>
      <c r="K777" s="314"/>
      <c r="M777" s="350"/>
      <c r="O777" s="225"/>
      <c r="R777" s="314"/>
      <c r="T777" s="498"/>
      <c r="U777" s="315"/>
    </row>
    <row r="778" spans="3:21" ht="16">
      <c r="C778" s="314"/>
      <c r="G778" s="167"/>
      <c r="J778" s="314"/>
      <c r="K778" s="314"/>
      <c r="M778" s="350"/>
      <c r="O778" s="225"/>
      <c r="R778" s="314"/>
      <c r="T778" s="498"/>
      <c r="U778" s="315"/>
    </row>
    <row r="779" spans="3:21" ht="16">
      <c r="C779" s="314"/>
      <c r="G779" s="167"/>
      <c r="J779" s="314"/>
      <c r="K779" s="314"/>
      <c r="M779" s="350"/>
      <c r="O779" s="225"/>
      <c r="R779" s="314"/>
      <c r="T779" s="498"/>
      <c r="U779" s="315"/>
    </row>
    <row r="780" spans="3:21" ht="16">
      <c r="C780" s="314"/>
      <c r="G780" s="167"/>
      <c r="J780" s="314"/>
      <c r="K780" s="314"/>
      <c r="M780" s="350"/>
      <c r="O780" s="225"/>
      <c r="R780" s="314"/>
      <c r="T780" s="498"/>
      <c r="U780" s="315"/>
    </row>
    <row r="781" spans="3:21" ht="16">
      <c r="C781" s="314"/>
      <c r="G781" s="167"/>
      <c r="J781" s="314"/>
      <c r="K781" s="314"/>
      <c r="M781" s="350"/>
      <c r="O781" s="225"/>
      <c r="R781" s="314"/>
      <c r="T781" s="498"/>
      <c r="U781" s="315"/>
    </row>
    <row r="782" spans="3:21" ht="16">
      <c r="C782" s="314"/>
      <c r="G782" s="167"/>
      <c r="J782" s="314"/>
      <c r="K782" s="314"/>
      <c r="M782" s="350"/>
      <c r="O782" s="225"/>
      <c r="R782" s="314"/>
      <c r="T782" s="498"/>
      <c r="U782" s="315"/>
    </row>
    <row r="783" spans="3:21" ht="16">
      <c r="C783" s="314"/>
      <c r="G783" s="167"/>
      <c r="J783" s="314"/>
      <c r="K783" s="314"/>
      <c r="M783" s="350"/>
      <c r="O783" s="225"/>
      <c r="R783" s="314"/>
      <c r="T783" s="498"/>
      <c r="U783" s="315"/>
    </row>
    <row r="784" spans="3:21" ht="16">
      <c r="C784" s="314"/>
      <c r="G784" s="167"/>
      <c r="J784" s="314"/>
      <c r="K784" s="314"/>
      <c r="M784" s="350"/>
      <c r="O784" s="225"/>
      <c r="R784" s="314"/>
      <c r="T784" s="498"/>
      <c r="U784" s="315"/>
    </row>
    <row r="785" spans="3:21" ht="16">
      <c r="C785" s="314"/>
      <c r="G785" s="167"/>
      <c r="J785" s="314"/>
      <c r="K785" s="314"/>
      <c r="M785" s="350"/>
      <c r="O785" s="225"/>
      <c r="R785" s="314"/>
      <c r="T785" s="498"/>
      <c r="U785" s="315"/>
    </row>
    <row r="786" spans="3:21" ht="16">
      <c r="C786" s="314"/>
      <c r="G786" s="167"/>
      <c r="J786" s="314"/>
      <c r="K786" s="314"/>
      <c r="M786" s="350"/>
      <c r="O786" s="225"/>
      <c r="R786" s="314"/>
      <c r="T786" s="498"/>
      <c r="U786" s="315"/>
    </row>
    <row r="787" spans="3:21" ht="16">
      <c r="C787" s="314"/>
      <c r="G787" s="167"/>
      <c r="J787" s="314"/>
      <c r="K787" s="314"/>
      <c r="M787" s="350"/>
      <c r="O787" s="225"/>
      <c r="R787" s="314"/>
      <c r="T787" s="498"/>
      <c r="U787" s="315"/>
    </row>
    <row r="788" spans="3:21" ht="16">
      <c r="C788" s="314"/>
      <c r="G788" s="167"/>
      <c r="J788" s="314"/>
      <c r="K788" s="314"/>
      <c r="M788" s="350"/>
      <c r="O788" s="225"/>
      <c r="R788" s="314"/>
      <c r="T788" s="498"/>
      <c r="U788" s="315"/>
    </row>
    <row r="789" spans="3:21" ht="16">
      <c r="C789" s="314"/>
      <c r="G789" s="167"/>
      <c r="J789" s="314"/>
      <c r="K789" s="314"/>
      <c r="M789" s="350"/>
      <c r="O789" s="225"/>
      <c r="R789" s="314"/>
      <c r="T789" s="498"/>
      <c r="U789" s="315"/>
    </row>
    <row r="790" spans="3:21" ht="16">
      <c r="C790" s="314"/>
      <c r="G790" s="167"/>
      <c r="J790" s="314"/>
      <c r="K790" s="314"/>
      <c r="M790" s="350"/>
      <c r="O790" s="225"/>
      <c r="R790" s="314"/>
      <c r="T790" s="498"/>
      <c r="U790" s="315"/>
    </row>
    <row r="791" spans="3:21" ht="16">
      <c r="C791" s="314"/>
      <c r="G791" s="167"/>
      <c r="J791" s="314"/>
      <c r="K791" s="314"/>
      <c r="M791" s="350"/>
      <c r="O791" s="225"/>
      <c r="R791" s="314"/>
      <c r="T791" s="498"/>
      <c r="U791" s="315"/>
    </row>
    <row r="792" spans="3:21" ht="16">
      <c r="C792" s="314"/>
      <c r="G792" s="167"/>
      <c r="J792" s="314"/>
      <c r="K792" s="314"/>
      <c r="M792" s="350"/>
      <c r="O792" s="225"/>
      <c r="R792" s="314"/>
      <c r="T792" s="498"/>
      <c r="U792" s="315"/>
    </row>
    <row r="793" spans="3:21" ht="16">
      <c r="C793" s="314"/>
      <c r="G793" s="167"/>
      <c r="J793" s="314"/>
      <c r="K793" s="314"/>
      <c r="M793" s="350"/>
      <c r="O793" s="225"/>
      <c r="R793" s="314"/>
      <c r="T793" s="498"/>
      <c r="U793" s="315"/>
    </row>
    <row r="794" spans="3:21" ht="16">
      <c r="C794" s="314"/>
      <c r="G794" s="167"/>
      <c r="J794" s="314"/>
      <c r="K794" s="314"/>
      <c r="M794" s="350"/>
      <c r="O794" s="225"/>
      <c r="R794" s="314"/>
      <c r="T794" s="498"/>
      <c r="U794" s="315"/>
    </row>
    <row r="795" spans="3:21" ht="16">
      <c r="C795" s="314"/>
      <c r="G795" s="167"/>
      <c r="J795" s="314"/>
      <c r="K795" s="314"/>
      <c r="M795" s="350"/>
      <c r="O795" s="225"/>
      <c r="R795" s="314"/>
      <c r="T795" s="498"/>
      <c r="U795" s="315"/>
    </row>
    <row r="796" spans="3:21" ht="16">
      <c r="C796" s="314"/>
      <c r="G796" s="167"/>
      <c r="J796" s="314"/>
      <c r="K796" s="314"/>
      <c r="M796" s="350"/>
      <c r="O796" s="225"/>
      <c r="R796" s="314"/>
      <c r="T796" s="498"/>
      <c r="U796" s="315"/>
    </row>
    <row r="797" spans="3:21" ht="16">
      <c r="C797" s="314"/>
      <c r="G797" s="167"/>
      <c r="J797" s="314"/>
      <c r="K797" s="314"/>
      <c r="M797" s="350"/>
      <c r="O797" s="225"/>
      <c r="R797" s="314"/>
      <c r="T797" s="498"/>
      <c r="U797" s="315"/>
    </row>
    <row r="798" spans="3:21" ht="16">
      <c r="C798" s="314"/>
      <c r="G798" s="167"/>
      <c r="J798" s="314"/>
      <c r="K798" s="314"/>
      <c r="M798" s="350"/>
      <c r="O798" s="225"/>
      <c r="R798" s="314"/>
      <c r="T798" s="498"/>
      <c r="U798" s="315"/>
    </row>
    <row r="799" spans="3:21" ht="16">
      <c r="C799" s="314"/>
      <c r="G799" s="167"/>
      <c r="J799" s="314"/>
      <c r="K799" s="314"/>
      <c r="M799" s="350"/>
      <c r="O799" s="225"/>
      <c r="R799" s="314"/>
      <c r="T799" s="498"/>
      <c r="U799" s="315"/>
    </row>
    <row r="800" spans="3:21" ht="16">
      <c r="C800" s="314"/>
      <c r="G800" s="167"/>
      <c r="J800" s="314"/>
      <c r="K800" s="314"/>
      <c r="M800" s="350"/>
      <c r="O800" s="225"/>
      <c r="R800" s="314"/>
      <c r="T800" s="498"/>
      <c r="U800" s="315"/>
    </row>
    <row r="801" spans="3:21" ht="16">
      <c r="C801" s="314"/>
      <c r="G801" s="167"/>
      <c r="J801" s="314"/>
      <c r="K801" s="314"/>
      <c r="M801" s="350"/>
      <c r="O801" s="225"/>
      <c r="R801" s="314"/>
      <c r="T801" s="498"/>
      <c r="U801" s="315"/>
    </row>
    <row r="802" spans="3:21" ht="16">
      <c r="C802" s="314"/>
      <c r="G802" s="167"/>
      <c r="J802" s="314"/>
      <c r="K802" s="314"/>
      <c r="M802" s="350"/>
      <c r="O802" s="225"/>
      <c r="R802" s="314"/>
      <c r="T802" s="498"/>
      <c r="U802" s="315"/>
    </row>
    <row r="803" spans="3:21" ht="16">
      <c r="C803" s="314"/>
      <c r="G803" s="167"/>
      <c r="J803" s="314"/>
      <c r="K803" s="314"/>
      <c r="M803" s="350"/>
      <c r="O803" s="225"/>
      <c r="R803" s="314"/>
      <c r="T803" s="498"/>
      <c r="U803" s="315"/>
    </row>
    <row r="804" spans="3:21" ht="16">
      <c r="C804" s="314"/>
      <c r="G804" s="167"/>
      <c r="J804" s="314"/>
      <c r="K804" s="314"/>
      <c r="M804" s="350"/>
      <c r="O804" s="225"/>
      <c r="R804" s="314"/>
      <c r="T804" s="498"/>
      <c r="U804" s="315"/>
    </row>
    <row r="805" spans="3:21" ht="16">
      <c r="C805" s="314"/>
      <c r="G805" s="167"/>
      <c r="J805" s="314"/>
      <c r="K805" s="314"/>
      <c r="M805" s="350"/>
      <c r="O805" s="225"/>
      <c r="R805" s="314"/>
      <c r="T805" s="498"/>
      <c r="U805" s="315"/>
    </row>
    <row r="806" spans="3:21" ht="16">
      <c r="C806" s="314"/>
      <c r="G806" s="167"/>
      <c r="J806" s="314"/>
      <c r="K806" s="314"/>
      <c r="M806" s="350"/>
      <c r="O806" s="225"/>
      <c r="R806" s="314"/>
      <c r="T806" s="498"/>
      <c r="U806" s="315"/>
    </row>
    <row r="807" spans="3:21" ht="16">
      <c r="C807" s="314"/>
      <c r="G807" s="167"/>
      <c r="J807" s="314"/>
      <c r="K807" s="314"/>
      <c r="M807" s="350"/>
      <c r="O807" s="225"/>
      <c r="R807" s="314"/>
      <c r="T807" s="498"/>
      <c r="U807" s="315"/>
    </row>
    <row r="808" spans="3:21" ht="16">
      <c r="C808" s="314"/>
      <c r="G808" s="167"/>
      <c r="J808" s="314"/>
      <c r="K808" s="314"/>
      <c r="M808" s="350"/>
      <c r="O808" s="225"/>
      <c r="R808" s="314"/>
      <c r="T808" s="498"/>
      <c r="U808" s="315"/>
    </row>
    <row r="809" spans="3:21" ht="16">
      <c r="C809" s="314"/>
      <c r="G809" s="167"/>
      <c r="J809" s="314"/>
      <c r="K809" s="314"/>
      <c r="M809" s="350"/>
      <c r="O809" s="225"/>
      <c r="R809" s="314"/>
      <c r="T809" s="498"/>
      <c r="U809" s="315"/>
    </row>
    <row r="810" spans="3:21" ht="16">
      <c r="C810" s="314"/>
      <c r="G810" s="167"/>
      <c r="J810" s="314"/>
      <c r="K810" s="314"/>
      <c r="M810" s="350"/>
      <c r="O810" s="225"/>
      <c r="R810" s="314"/>
      <c r="T810" s="498"/>
      <c r="U810" s="315"/>
    </row>
    <row r="811" spans="3:21" ht="16">
      <c r="C811" s="314"/>
      <c r="G811" s="167"/>
      <c r="J811" s="314"/>
      <c r="K811" s="314"/>
      <c r="M811" s="350"/>
      <c r="O811" s="225"/>
      <c r="R811" s="314"/>
      <c r="T811" s="498"/>
      <c r="U811" s="315"/>
    </row>
    <row r="812" spans="3:21" ht="16">
      <c r="C812" s="314"/>
      <c r="G812" s="167"/>
      <c r="J812" s="314"/>
      <c r="K812" s="314"/>
      <c r="M812" s="350"/>
      <c r="O812" s="225"/>
      <c r="R812" s="314"/>
      <c r="T812" s="498"/>
      <c r="U812" s="315"/>
    </row>
    <row r="813" spans="3:21" ht="16">
      <c r="C813" s="314"/>
      <c r="G813" s="167"/>
      <c r="J813" s="314"/>
      <c r="K813" s="314"/>
      <c r="M813" s="350"/>
      <c r="O813" s="225"/>
      <c r="R813" s="314"/>
      <c r="T813" s="498"/>
      <c r="U813" s="315"/>
    </row>
    <row r="814" spans="3:21" ht="16">
      <c r="C814" s="314"/>
      <c r="G814" s="167"/>
      <c r="J814" s="314"/>
      <c r="K814" s="314"/>
      <c r="M814" s="350"/>
      <c r="O814" s="225"/>
      <c r="R814" s="314"/>
      <c r="T814" s="498"/>
      <c r="U814" s="315"/>
    </row>
    <row r="815" spans="3:21" ht="16">
      <c r="C815" s="314"/>
      <c r="G815" s="167"/>
      <c r="J815" s="314"/>
      <c r="K815" s="314"/>
      <c r="M815" s="350"/>
      <c r="O815" s="225"/>
      <c r="R815" s="314"/>
      <c r="T815" s="498"/>
      <c r="U815" s="315"/>
    </row>
    <row r="816" spans="3:21" ht="16">
      <c r="C816" s="314"/>
      <c r="G816" s="167"/>
      <c r="J816" s="314"/>
      <c r="K816" s="314"/>
      <c r="M816" s="350"/>
      <c r="O816" s="225"/>
      <c r="R816" s="314"/>
      <c r="T816" s="498"/>
      <c r="U816" s="315"/>
    </row>
    <row r="817" spans="3:21" ht="16">
      <c r="C817" s="314"/>
      <c r="G817" s="167"/>
      <c r="J817" s="314"/>
      <c r="K817" s="314"/>
      <c r="M817" s="350"/>
      <c r="O817" s="225"/>
      <c r="R817" s="314"/>
      <c r="T817" s="498"/>
      <c r="U817" s="315"/>
    </row>
    <row r="818" spans="3:21" ht="16">
      <c r="C818" s="314"/>
      <c r="G818" s="167"/>
      <c r="J818" s="314"/>
      <c r="K818" s="314"/>
      <c r="M818" s="350"/>
      <c r="O818" s="225"/>
      <c r="R818" s="314"/>
      <c r="T818" s="498"/>
      <c r="U818" s="315"/>
    </row>
    <row r="819" spans="3:21" ht="16">
      <c r="C819" s="314"/>
      <c r="G819" s="167"/>
      <c r="J819" s="314"/>
      <c r="K819" s="314"/>
      <c r="M819" s="350"/>
      <c r="O819" s="225"/>
      <c r="R819" s="314"/>
      <c r="T819" s="498"/>
      <c r="U819" s="315"/>
    </row>
    <row r="820" spans="3:21" ht="16">
      <c r="C820" s="314"/>
      <c r="G820" s="167"/>
      <c r="J820" s="314"/>
      <c r="K820" s="314"/>
      <c r="M820" s="350"/>
      <c r="O820" s="225"/>
      <c r="R820" s="314"/>
      <c r="T820" s="498"/>
      <c r="U820" s="315"/>
    </row>
    <row r="821" spans="3:21" ht="16">
      <c r="C821" s="314"/>
      <c r="G821" s="167"/>
      <c r="J821" s="314"/>
      <c r="K821" s="314"/>
      <c r="M821" s="350"/>
      <c r="O821" s="225"/>
      <c r="R821" s="314"/>
      <c r="T821" s="498"/>
      <c r="U821" s="315"/>
    </row>
    <row r="822" spans="3:21" ht="16">
      <c r="C822" s="314"/>
      <c r="G822" s="167"/>
      <c r="J822" s="314"/>
      <c r="K822" s="314"/>
      <c r="M822" s="350"/>
      <c r="O822" s="225"/>
      <c r="R822" s="314"/>
      <c r="T822" s="498"/>
      <c r="U822" s="315"/>
    </row>
    <row r="823" spans="3:21" ht="16">
      <c r="C823" s="314"/>
      <c r="G823" s="167"/>
      <c r="J823" s="314"/>
      <c r="K823" s="314"/>
      <c r="M823" s="350"/>
      <c r="O823" s="225"/>
      <c r="R823" s="314"/>
      <c r="T823" s="498"/>
      <c r="U823" s="315"/>
    </row>
    <row r="824" spans="3:21" ht="16">
      <c r="C824" s="314"/>
      <c r="G824" s="167"/>
      <c r="J824" s="314"/>
      <c r="K824" s="314"/>
      <c r="M824" s="350"/>
      <c r="O824" s="225"/>
      <c r="R824" s="314"/>
      <c r="T824" s="498"/>
      <c r="U824" s="315"/>
    </row>
    <row r="825" spans="3:21" ht="16">
      <c r="C825" s="314"/>
      <c r="G825" s="167"/>
      <c r="J825" s="314"/>
      <c r="K825" s="314"/>
      <c r="M825" s="350"/>
      <c r="O825" s="225"/>
      <c r="R825" s="314"/>
      <c r="T825" s="498"/>
      <c r="U825" s="315"/>
    </row>
    <row r="826" spans="3:21" ht="16">
      <c r="C826" s="314"/>
      <c r="G826" s="167"/>
      <c r="J826" s="314"/>
      <c r="K826" s="314"/>
      <c r="M826" s="350"/>
      <c r="O826" s="225"/>
      <c r="R826" s="314"/>
      <c r="T826" s="498"/>
      <c r="U826" s="315"/>
    </row>
    <row r="827" spans="3:21" ht="16">
      <c r="C827" s="314"/>
      <c r="G827" s="167"/>
      <c r="J827" s="314"/>
      <c r="K827" s="314"/>
      <c r="M827" s="350"/>
      <c r="O827" s="225"/>
      <c r="R827" s="314"/>
      <c r="T827" s="498"/>
      <c r="U827" s="315"/>
    </row>
    <row r="828" spans="3:21" ht="16">
      <c r="C828" s="314"/>
      <c r="G828" s="167"/>
      <c r="J828" s="314"/>
      <c r="K828" s="314"/>
      <c r="M828" s="350"/>
      <c r="O828" s="225"/>
      <c r="R828" s="314"/>
      <c r="T828" s="498"/>
      <c r="U828" s="315"/>
    </row>
    <row r="829" spans="3:21" ht="16">
      <c r="C829" s="314"/>
      <c r="G829" s="167"/>
      <c r="J829" s="314"/>
      <c r="K829" s="314"/>
      <c r="M829" s="350"/>
      <c r="O829" s="225"/>
      <c r="R829" s="314"/>
      <c r="T829" s="498"/>
      <c r="U829" s="315"/>
    </row>
    <row r="830" spans="3:21" ht="16">
      <c r="C830" s="314"/>
      <c r="G830" s="167"/>
      <c r="J830" s="314"/>
      <c r="K830" s="314"/>
      <c r="M830" s="350"/>
      <c r="O830" s="225"/>
      <c r="R830" s="314"/>
      <c r="T830" s="498"/>
      <c r="U830" s="315"/>
    </row>
    <row r="831" spans="3:21" ht="16">
      <c r="C831" s="314"/>
      <c r="G831" s="167"/>
      <c r="J831" s="314"/>
      <c r="K831" s="314"/>
      <c r="M831" s="350"/>
      <c r="O831" s="225"/>
      <c r="R831" s="314"/>
      <c r="T831" s="498"/>
      <c r="U831" s="315"/>
    </row>
    <row r="832" spans="3:21" ht="16">
      <c r="C832" s="314"/>
      <c r="G832" s="167"/>
      <c r="J832" s="314"/>
      <c r="K832" s="314"/>
      <c r="M832" s="350"/>
      <c r="O832" s="225"/>
      <c r="R832" s="314"/>
      <c r="T832" s="498"/>
      <c r="U832" s="315"/>
    </row>
    <row r="833" spans="3:21" ht="16">
      <c r="C833" s="314"/>
      <c r="G833" s="167"/>
      <c r="J833" s="314"/>
      <c r="K833" s="314"/>
      <c r="M833" s="350"/>
      <c r="O833" s="225"/>
      <c r="R833" s="314"/>
      <c r="T833" s="498"/>
      <c r="U833" s="315"/>
    </row>
    <row r="834" spans="3:21" ht="16">
      <c r="C834" s="314"/>
      <c r="G834" s="167"/>
      <c r="J834" s="314"/>
      <c r="K834" s="314"/>
      <c r="M834" s="350"/>
      <c r="O834" s="225"/>
      <c r="R834" s="314"/>
      <c r="T834" s="498"/>
      <c r="U834" s="315"/>
    </row>
    <row r="835" spans="3:21" ht="16">
      <c r="C835" s="314"/>
      <c r="G835" s="167"/>
      <c r="J835" s="314"/>
      <c r="K835" s="314"/>
      <c r="M835" s="350"/>
      <c r="O835" s="225"/>
      <c r="R835" s="314"/>
      <c r="T835" s="498"/>
      <c r="U835" s="315"/>
    </row>
    <row r="836" spans="3:21" ht="16">
      <c r="C836" s="314"/>
      <c r="G836" s="167"/>
      <c r="J836" s="314"/>
      <c r="K836" s="314"/>
      <c r="M836" s="350"/>
      <c r="O836" s="225"/>
      <c r="R836" s="314"/>
      <c r="T836" s="498"/>
      <c r="U836" s="315"/>
    </row>
    <row r="837" spans="3:21" ht="16">
      <c r="C837" s="314"/>
      <c r="G837" s="167"/>
      <c r="J837" s="314"/>
      <c r="K837" s="314"/>
      <c r="M837" s="350"/>
      <c r="O837" s="225"/>
      <c r="R837" s="314"/>
      <c r="T837" s="498"/>
      <c r="U837" s="315"/>
    </row>
    <row r="838" spans="3:21" ht="16">
      <c r="C838" s="314"/>
      <c r="G838" s="167"/>
      <c r="J838" s="314"/>
      <c r="K838" s="314"/>
      <c r="M838" s="350"/>
      <c r="O838" s="225"/>
      <c r="R838" s="314"/>
      <c r="T838" s="498"/>
      <c r="U838" s="315"/>
    </row>
    <row r="839" spans="3:21" ht="16">
      <c r="C839" s="314"/>
      <c r="G839" s="167"/>
      <c r="J839" s="314"/>
      <c r="K839" s="314"/>
      <c r="M839" s="350"/>
      <c r="O839" s="225"/>
      <c r="R839" s="314"/>
      <c r="T839" s="498"/>
      <c r="U839" s="315"/>
    </row>
    <row r="840" spans="3:21" ht="16">
      <c r="C840" s="314"/>
      <c r="G840" s="167"/>
      <c r="J840" s="314"/>
      <c r="K840" s="314"/>
      <c r="M840" s="350"/>
      <c r="O840" s="225"/>
      <c r="R840" s="314"/>
      <c r="T840" s="498"/>
      <c r="U840" s="315"/>
    </row>
    <row r="841" spans="3:21" ht="16">
      <c r="C841" s="314"/>
      <c r="G841" s="167"/>
      <c r="J841" s="314"/>
      <c r="K841" s="314"/>
      <c r="M841" s="350"/>
      <c r="O841" s="225"/>
      <c r="R841" s="314"/>
      <c r="T841" s="498"/>
      <c r="U841" s="315"/>
    </row>
    <row r="842" spans="3:21" ht="16">
      <c r="C842" s="314"/>
      <c r="G842" s="167"/>
      <c r="J842" s="314"/>
      <c r="K842" s="314"/>
      <c r="M842" s="350"/>
      <c r="O842" s="225"/>
      <c r="R842" s="314"/>
      <c r="T842" s="498"/>
      <c r="U842" s="315"/>
    </row>
    <row r="843" spans="3:21" ht="16">
      <c r="C843" s="314"/>
      <c r="G843" s="167"/>
      <c r="J843" s="314"/>
      <c r="K843" s="314"/>
      <c r="M843" s="350"/>
      <c r="O843" s="225"/>
      <c r="R843" s="314"/>
      <c r="T843" s="498"/>
      <c r="U843" s="315"/>
    </row>
    <row r="844" spans="3:21" ht="16">
      <c r="C844" s="314"/>
      <c r="G844" s="167"/>
      <c r="J844" s="314"/>
      <c r="K844" s="314"/>
      <c r="M844" s="350"/>
      <c r="O844" s="225"/>
      <c r="R844" s="314"/>
      <c r="T844" s="498"/>
      <c r="U844" s="315"/>
    </row>
    <row r="845" spans="3:21" ht="16">
      <c r="C845" s="314"/>
      <c r="G845" s="167"/>
      <c r="J845" s="314"/>
      <c r="K845" s="314"/>
      <c r="M845" s="350"/>
      <c r="O845" s="225"/>
      <c r="R845" s="314"/>
      <c r="T845" s="498"/>
      <c r="U845" s="315"/>
    </row>
    <row r="846" spans="3:21" ht="16">
      <c r="C846" s="314"/>
      <c r="G846" s="167"/>
      <c r="J846" s="314"/>
      <c r="K846" s="314"/>
      <c r="M846" s="350"/>
      <c r="O846" s="225"/>
      <c r="R846" s="314"/>
      <c r="T846" s="498"/>
      <c r="U846" s="315"/>
    </row>
    <row r="847" spans="3:21" ht="16">
      <c r="C847" s="314"/>
      <c r="G847" s="167"/>
      <c r="J847" s="314"/>
      <c r="K847" s="314"/>
      <c r="M847" s="350"/>
      <c r="O847" s="225"/>
      <c r="R847" s="314"/>
      <c r="T847" s="498"/>
      <c r="U847" s="315"/>
    </row>
    <row r="848" spans="3:21" ht="16">
      <c r="C848" s="314"/>
      <c r="G848" s="167"/>
      <c r="J848" s="314"/>
      <c r="K848" s="314"/>
      <c r="M848" s="350"/>
      <c r="O848" s="225"/>
      <c r="R848" s="314"/>
      <c r="T848" s="498"/>
      <c r="U848" s="315"/>
    </row>
    <row r="849" spans="3:21" ht="16">
      <c r="C849" s="314"/>
      <c r="G849" s="167"/>
      <c r="J849" s="314"/>
      <c r="K849" s="314"/>
      <c r="M849" s="350"/>
      <c r="O849" s="225"/>
      <c r="R849" s="314"/>
      <c r="T849" s="498"/>
      <c r="U849" s="315"/>
    </row>
    <row r="850" spans="3:21" ht="16">
      <c r="C850" s="314"/>
      <c r="G850" s="167"/>
      <c r="J850" s="314"/>
      <c r="K850" s="314"/>
      <c r="M850" s="350"/>
      <c r="O850" s="225"/>
      <c r="R850" s="314"/>
      <c r="T850" s="498"/>
      <c r="U850" s="315"/>
    </row>
    <row r="851" spans="3:21" ht="16">
      <c r="C851" s="314"/>
      <c r="G851" s="167"/>
      <c r="J851" s="314"/>
      <c r="K851" s="314"/>
      <c r="M851" s="350"/>
      <c r="O851" s="225"/>
      <c r="R851" s="314"/>
      <c r="T851" s="498"/>
      <c r="U851" s="315"/>
    </row>
    <row r="852" spans="3:21" ht="16">
      <c r="C852" s="314"/>
      <c r="G852" s="167"/>
      <c r="J852" s="314"/>
      <c r="K852" s="314"/>
      <c r="M852" s="350"/>
      <c r="O852" s="225"/>
      <c r="R852" s="314"/>
      <c r="T852" s="498"/>
      <c r="U852" s="315"/>
    </row>
    <row r="853" spans="3:21" ht="16">
      <c r="C853" s="314"/>
      <c r="G853" s="167"/>
      <c r="J853" s="314"/>
      <c r="K853" s="314"/>
      <c r="M853" s="350"/>
      <c r="O853" s="225"/>
      <c r="R853" s="314"/>
      <c r="T853" s="498"/>
      <c r="U853" s="315"/>
    </row>
    <row r="854" spans="3:21" ht="16">
      <c r="C854" s="314"/>
      <c r="G854" s="167"/>
      <c r="J854" s="314"/>
      <c r="K854" s="314"/>
      <c r="M854" s="350"/>
      <c r="O854" s="225"/>
      <c r="R854" s="314"/>
      <c r="T854" s="498"/>
      <c r="U854" s="315"/>
    </row>
    <row r="855" spans="3:21" ht="16">
      <c r="C855" s="314"/>
      <c r="G855" s="167"/>
      <c r="J855" s="314"/>
      <c r="K855" s="314"/>
      <c r="M855" s="350"/>
      <c r="O855" s="225"/>
      <c r="R855" s="314"/>
      <c r="T855" s="498"/>
      <c r="U855" s="315"/>
    </row>
    <row r="856" spans="3:21" ht="16">
      <c r="C856" s="314"/>
      <c r="G856" s="167"/>
      <c r="J856" s="314"/>
      <c r="K856" s="314"/>
      <c r="M856" s="350"/>
      <c r="O856" s="225"/>
      <c r="R856" s="314"/>
      <c r="T856" s="498"/>
      <c r="U856" s="315"/>
    </row>
    <row r="857" spans="3:21" ht="16">
      <c r="C857" s="314"/>
      <c r="G857" s="167"/>
      <c r="J857" s="314"/>
      <c r="K857" s="314"/>
      <c r="M857" s="350"/>
      <c r="O857" s="225"/>
      <c r="R857" s="314"/>
      <c r="T857" s="498"/>
      <c r="U857" s="315"/>
    </row>
    <row r="858" spans="3:21" ht="16">
      <c r="C858" s="314"/>
      <c r="G858" s="167"/>
      <c r="J858" s="314"/>
      <c r="K858" s="314"/>
      <c r="M858" s="350"/>
      <c r="O858" s="225"/>
      <c r="R858" s="314"/>
      <c r="T858" s="498"/>
      <c r="U858" s="315"/>
    </row>
    <row r="859" spans="3:21" ht="16">
      <c r="C859" s="314"/>
      <c r="G859" s="167"/>
      <c r="J859" s="314"/>
      <c r="K859" s="314"/>
      <c r="M859" s="350"/>
      <c r="O859" s="225"/>
      <c r="R859" s="314"/>
      <c r="T859" s="498"/>
      <c r="U859" s="315"/>
    </row>
    <row r="860" spans="3:21" ht="16">
      <c r="C860" s="314"/>
      <c r="G860" s="167"/>
      <c r="J860" s="314"/>
      <c r="K860" s="314"/>
      <c r="M860" s="350"/>
      <c r="O860" s="225"/>
      <c r="R860" s="314"/>
      <c r="T860" s="498"/>
      <c r="U860" s="315"/>
    </row>
    <row r="861" spans="3:21" ht="16">
      <c r="C861" s="314"/>
      <c r="G861" s="167"/>
      <c r="J861" s="314"/>
      <c r="K861" s="314"/>
      <c r="M861" s="350"/>
      <c r="O861" s="225"/>
      <c r="R861" s="314"/>
      <c r="T861" s="498"/>
      <c r="U861" s="315"/>
    </row>
    <row r="862" spans="3:21" ht="16">
      <c r="C862" s="314"/>
      <c r="G862" s="167"/>
      <c r="J862" s="314"/>
      <c r="K862" s="314"/>
      <c r="M862" s="350"/>
      <c r="O862" s="225"/>
      <c r="R862" s="314"/>
      <c r="T862" s="498"/>
      <c r="U862" s="315"/>
    </row>
    <row r="863" spans="3:21" ht="16">
      <c r="C863" s="314"/>
      <c r="G863" s="167"/>
      <c r="J863" s="314"/>
      <c r="K863" s="314"/>
      <c r="M863" s="350"/>
      <c r="O863" s="225"/>
      <c r="R863" s="314"/>
      <c r="T863" s="498"/>
      <c r="U863" s="315"/>
    </row>
    <row r="864" spans="3:21" ht="16">
      <c r="C864" s="314"/>
      <c r="G864" s="167"/>
      <c r="J864" s="314"/>
      <c r="K864" s="314"/>
      <c r="M864" s="350"/>
      <c r="O864" s="225"/>
      <c r="R864" s="314"/>
      <c r="T864" s="498"/>
      <c r="U864" s="315"/>
    </row>
    <row r="865" spans="3:21" ht="16">
      <c r="C865" s="314"/>
      <c r="G865" s="167"/>
      <c r="J865" s="314"/>
      <c r="K865" s="314"/>
      <c r="M865" s="350"/>
      <c r="O865" s="225"/>
      <c r="R865" s="314"/>
      <c r="T865" s="498"/>
      <c r="U865" s="315"/>
    </row>
    <row r="866" spans="3:21" ht="16">
      <c r="C866" s="314"/>
      <c r="G866" s="167"/>
      <c r="J866" s="314"/>
      <c r="K866" s="314"/>
      <c r="M866" s="350"/>
      <c r="O866" s="225"/>
      <c r="R866" s="314"/>
      <c r="T866" s="498"/>
      <c r="U866" s="315"/>
    </row>
    <row r="867" spans="3:21" ht="16">
      <c r="C867" s="314"/>
      <c r="G867" s="167"/>
      <c r="J867" s="314"/>
      <c r="K867" s="314"/>
      <c r="M867" s="350"/>
      <c r="O867" s="225"/>
      <c r="R867" s="314"/>
      <c r="T867" s="498"/>
      <c r="U867" s="315"/>
    </row>
    <row r="868" spans="3:21" ht="16">
      <c r="C868" s="314"/>
      <c r="G868" s="167"/>
      <c r="J868" s="314"/>
      <c r="K868" s="314"/>
      <c r="M868" s="350"/>
      <c r="O868" s="225"/>
      <c r="R868" s="314"/>
      <c r="T868" s="498"/>
      <c r="U868" s="315"/>
    </row>
    <row r="869" spans="3:21" ht="16">
      <c r="C869" s="314"/>
      <c r="G869" s="167"/>
      <c r="J869" s="314"/>
      <c r="K869" s="314"/>
      <c r="M869" s="350"/>
      <c r="O869" s="225"/>
      <c r="R869" s="314"/>
      <c r="T869" s="498"/>
      <c r="U869" s="315"/>
    </row>
    <row r="870" spans="3:21" ht="16">
      <c r="C870" s="314"/>
      <c r="G870" s="167"/>
      <c r="J870" s="314"/>
      <c r="K870" s="314"/>
      <c r="M870" s="350"/>
      <c r="O870" s="225"/>
      <c r="R870" s="314"/>
      <c r="T870" s="498"/>
      <c r="U870" s="315"/>
    </row>
    <row r="871" spans="3:21" ht="16">
      <c r="C871" s="314"/>
      <c r="G871" s="167"/>
      <c r="J871" s="314"/>
      <c r="K871" s="314"/>
      <c r="M871" s="350"/>
      <c r="O871" s="225"/>
      <c r="R871" s="314"/>
      <c r="T871" s="498"/>
      <c r="U871" s="315"/>
    </row>
    <row r="872" spans="3:21" ht="16">
      <c r="C872" s="314"/>
      <c r="G872" s="167"/>
      <c r="J872" s="314"/>
      <c r="K872" s="314"/>
      <c r="M872" s="350"/>
      <c r="O872" s="225"/>
      <c r="R872" s="314"/>
      <c r="T872" s="498"/>
      <c r="U872" s="315"/>
    </row>
    <row r="873" spans="3:21" ht="16">
      <c r="C873" s="314"/>
      <c r="G873" s="167"/>
      <c r="J873" s="314"/>
      <c r="K873" s="314"/>
      <c r="M873" s="350"/>
      <c r="O873" s="225"/>
      <c r="R873" s="314"/>
      <c r="T873" s="498"/>
      <c r="U873" s="315"/>
    </row>
    <row r="874" spans="3:21" ht="16">
      <c r="C874" s="314"/>
      <c r="G874" s="167"/>
      <c r="J874" s="314"/>
      <c r="K874" s="314"/>
      <c r="M874" s="350"/>
      <c r="O874" s="225"/>
      <c r="R874" s="314"/>
      <c r="T874" s="498"/>
      <c r="U874" s="315"/>
    </row>
    <row r="875" spans="3:21" ht="16">
      <c r="C875" s="314"/>
      <c r="G875" s="167"/>
      <c r="J875" s="314"/>
      <c r="K875" s="314"/>
      <c r="M875" s="350"/>
      <c r="O875" s="225"/>
      <c r="R875" s="314"/>
      <c r="T875" s="498"/>
      <c r="U875" s="315"/>
    </row>
    <row r="876" spans="3:21" ht="16">
      <c r="C876" s="314"/>
      <c r="G876" s="167"/>
      <c r="J876" s="314"/>
      <c r="K876" s="314"/>
      <c r="M876" s="350"/>
      <c r="O876" s="225"/>
      <c r="R876" s="314"/>
      <c r="T876" s="498"/>
      <c r="U876" s="315"/>
    </row>
    <row r="877" spans="3:21" ht="16">
      <c r="C877" s="314"/>
      <c r="G877" s="167"/>
      <c r="J877" s="314"/>
      <c r="K877" s="314"/>
      <c r="M877" s="350"/>
      <c r="O877" s="225"/>
      <c r="R877" s="314"/>
      <c r="T877" s="498"/>
      <c r="U877" s="315"/>
    </row>
    <row r="878" spans="3:21" ht="16">
      <c r="C878" s="314"/>
      <c r="G878" s="167"/>
      <c r="J878" s="314"/>
      <c r="K878" s="314"/>
      <c r="M878" s="350"/>
      <c r="O878" s="225"/>
      <c r="R878" s="314"/>
      <c r="T878" s="498"/>
      <c r="U878" s="315"/>
    </row>
    <row r="879" spans="3:21" ht="16">
      <c r="C879" s="314"/>
      <c r="G879" s="167"/>
      <c r="J879" s="314"/>
      <c r="K879" s="314"/>
      <c r="M879" s="350"/>
      <c r="O879" s="225"/>
      <c r="R879" s="314"/>
      <c r="T879" s="498"/>
      <c r="U879" s="315"/>
    </row>
    <row r="880" spans="3:21" ht="16">
      <c r="C880" s="314"/>
      <c r="G880" s="167"/>
      <c r="J880" s="314"/>
      <c r="K880" s="314"/>
      <c r="M880" s="350"/>
      <c r="O880" s="225"/>
      <c r="R880" s="314"/>
      <c r="T880" s="498"/>
      <c r="U880" s="315"/>
    </row>
    <row r="881" spans="3:21" ht="16">
      <c r="C881" s="314"/>
      <c r="G881" s="167"/>
      <c r="J881" s="314"/>
      <c r="K881" s="314"/>
      <c r="M881" s="350"/>
      <c r="O881" s="225"/>
      <c r="R881" s="314"/>
      <c r="T881" s="498"/>
      <c r="U881" s="315"/>
    </row>
    <row r="882" spans="3:21" ht="16">
      <c r="C882" s="314"/>
      <c r="G882" s="167"/>
      <c r="J882" s="314"/>
      <c r="K882" s="314"/>
      <c r="M882" s="350"/>
      <c r="O882" s="225"/>
      <c r="R882" s="314"/>
      <c r="T882" s="498"/>
      <c r="U882" s="315"/>
    </row>
    <row r="883" spans="3:21" ht="16">
      <c r="C883" s="314"/>
      <c r="G883" s="167"/>
      <c r="J883" s="314"/>
      <c r="K883" s="314"/>
      <c r="M883" s="350"/>
      <c r="O883" s="225"/>
      <c r="R883" s="314"/>
      <c r="T883" s="498"/>
      <c r="U883" s="315"/>
    </row>
    <row r="884" spans="3:21" ht="16">
      <c r="C884" s="314"/>
      <c r="G884" s="167"/>
      <c r="J884" s="314"/>
      <c r="K884" s="314"/>
      <c r="M884" s="350"/>
      <c r="O884" s="225"/>
      <c r="R884" s="314"/>
      <c r="T884" s="498"/>
      <c r="U884" s="315"/>
    </row>
    <row r="885" spans="3:21" ht="16">
      <c r="C885" s="314"/>
      <c r="G885" s="167"/>
      <c r="J885" s="314"/>
      <c r="K885" s="314"/>
      <c r="M885" s="350"/>
      <c r="O885" s="225"/>
      <c r="R885" s="314"/>
      <c r="T885" s="498"/>
      <c r="U885" s="315"/>
    </row>
    <row r="886" spans="3:21" ht="16">
      <c r="C886" s="314"/>
      <c r="G886" s="167"/>
      <c r="J886" s="314"/>
      <c r="K886" s="314"/>
      <c r="M886" s="350"/>
      <c r="O886" s="225"/>
      <c r="R886" s="314"/>
      <c r="T886" s="498"/>
      <c r="U886" s="315"/>
    </row>
    <row r="887" spans="3:21" ht="16">
      <c r="C887" s="314"/>
      <c r="G887" s="167"/>
      <c r="J887" s="314"/>
      <c r="K887" s="314"/>
      <c r="M887" s="350"/>
      <c r="O887" s="225"/>
      <c r="R887" s="314"/>
      <c r="T887" s="498"/>
      <c r="U887" s="315"/>
    </row>
    <row r="888" spans="3:21" ht="16">
      <c r="C888" s="314"/>
      <c r="G888" s="167"/>
      <c r="J888" s="314"/>
      <c r="K888" s="314"/>
      <c r="M888" s="350"/>
      <c r="O888" s="225"/>
      <c r="R888" s="314"/>
      <c r="T888" s="498"/>
      <c r="U888" s="315"/>
    </row>
    <row r="889" spans="3:21" ht="16">
      <c r="C889" s="314"/>
      <c r="G889" s="167"/>
      <c r="J889" s="314"/>
      <c r="K889" s="314"/>
      <c r="M889" s="350"/>
      <c r="O889" s="225"/>
      <c r="R889" s="314"/>
      <c r="T889" s="498"/>
      <c r="U889" s="315"/>
    </row>
    <row r="890" spans="3:21" ht="16">
      <c r="C890" s="314"/>
      <c r="G890" s="167"/>
      <c r="J890" s="314"/>
      <c r="K890" s="314"/>
      <c r="M890" s="350"/>
      <c r="O890" s="225"/>
      <c r="R890" s="314"/>
      <c r="T890" s="498"/>
      <c r="U890" s="315"/>
    </row>
    <row r="891" spans="3:21" ht="16">
      <c r="C891" s="314"/>
      <c r="G891" s="167"/>
      <c r="J891" s="314"/>
      <c r="K891" s="314"/>
      <c r="M891" s="350"/>
      <c r="O891" s="225"/>
      <c r="R891" s="314"/>
      <c r="T891" s="498"/>
      <c r="U891" s="315"/>
    </row>
    <row r="892" spans="3:21" ht="16">
      <c r="C892" s="314"/>
      <c r="G892" s="167"/>
      <c r="J892" s="314"/>
      <c r="K892" s="314"/>
      <c r="M892" s="350"/>
      <c r="O892" s="225"/>
      <c r="R892" s="314"/>
      <c r="T892" s="498"/>
      <c r="U892" s="315"/>
    </row>
    <row r="893" spans="3:21" ht="16">
      <c r="C893" s="314"/>
      <c r="G893" s="167"/>
      <c r="J893" s="314"/>
      <c r="K893" s="314"/>
      <c r="M893" s="350"/>
      <c r="O893" s="225"/>
      <c r="R893" s="314"/>
      <c r="T893" s="498"/>
      <c r="U893" s="315"/>
    </row>
    <row r="894" spans="3:21" ht="16">
      <c r="C894" s="314"/>
      <c r="G894" s="167"/>
      <c r="J894" s="314"/>
      <c r="K894" s="314"/>
      <c r="M894" s="350"/>
      <c r="O894" s="225"/>
      <c r="R894" s="314"/>
      <c r="T894" s="498"/>
      <c r="U894" s="315"/>
    </row>
    <row r="895" spans="3:21" ht="16">
      <c r="C895" s="314"/>
      <c r="G895" s="167"/>
      <c r="J895" s="314"/>
      <c r="K895" s="314"/>
      <c r="M895" s="350"/>
      <c r="O895" s="225"/>
      <c r="R895" s="314"/>
      <c r="T895" s="498"/>
      <c r="U895" s="315"/>
    </row>
    <row r="896" spans="3:21" ht="16">
      <c r="C896" s="314"/>
      <c r="G896" s="167"/>
      <c r="J896" s="314"/>
      <c r="K896" s="314"/>
      <c r="M896" s="350"/>
      <c r="O896" s="225"/>
      <c r="R896" s="314"/>
      <c r="T896" s="498"/>
      <c r="U896" s="315"/>
    </row>
    <row r="897" spans="3:21" ht="16">
      <c r="C897" s="314"/>
      <c r="G897" s="167"/>
      <c r="J897" s="314"/>
      <c r="K897" s="314"/>
      <c r="M897" s="350"/>
      <c r="O897" s="225"/>
      <c r="R897" s="314"/>
      <c r="T897" s="498"/>
      <c r="U897" s="315"/>
    </row>
    <row r="898" spans="3:21" ht="16">
      <c r="C898" s="314"/>
      <c r="G898" s="167"/>
      <c r="J898" s="314"/>
      <c r="K898" s="314"/>
      <c r="M898" s="350"/>
      <c r="O898" s="225"/>
      <c r="R898" s="314"/>
      <c r="T898" s="498"/>
      <c r="U898" s="315"/>
    </row>
    <row r="899" spans="3:21" ht="16">
      <c r="C899" s="314"/>
      <c r="G899" s="167"/>
      <c r="J899" s="314"/>
      <c r="K899" s="314"/>
      <c r="M899" s="350"/>
      <c r="O899" s="225"/>
      <c r="R899" s="314"/>
      <c r="T899" s="498"/>
      <c r="U899" s="315"/>
    </row>
    <row r="900" spans="3:21" ht="16">
      <c r="C900" s="314"/>
      <c r="G900" s="167"/>
      <c r="J900" s="314"/>
      <c r="K900" s="314"/>
      <c r="M900" s="350"/>
      <c r="O900" s="225"/>
      <c r="R900" s="314"/>
      <c r="T900" s="498"/>
      <c r="U900" s="315"/>
    </row>
    <row r="901" spans="3:21" ht="16">
      <c r="C901" s="314"/>
      <c r="G901" s="167"/>
      <c r="J901" s="314"/>
      <c r="K901" s="314"/>
      <c r="M901" s="350"/>
      <c r="O901" s="225"/>
      <c r="R901" s="314"/>
      <c r="T901" s="498"/>
      <c r="U901" s="315"/>
    </row>
    <row r="902" spans="3:21" ht="16">
      <c r="C902" s="314"/>
      <c r="G902" s="167"/>
      <c r="J902" s="314"/>
      <c r="K902" s="314"/>
      <c r="M902" s="350"/>
      <c r="O902" s="225"/>
      <c r="R902" s="314"/>
      <c r="T902" s="498"/>
      <c r="U902" s="315"/>
    </row>
    <row r="903" spans="3:21" ht="16">
      <c r="C903" s="314"/>
      <c r="G903" s="167"/>
      <c r="J903" s="314"/>
      <c r="K903" s="314"/>
      <c r="M903" s="350"/>
      <c r="O903" s="225"/>
      <c r="R903" s="314"/>
      <c r="T903" s="498"/>
      <c r="U903" s="315"/>
    </row>
    <row r="904" spans="3:21" ht="16">
      <c r="C904" s="314"/>
      <c r="G904" s="167"/>
      <c r="J904" s="314"/>
      <c r="K904" s="314"/>
      <c r="M904" s="350"/>
      <c r="O904" s="225"/>
      <c r="R904" s="314"/>
      <c r="T904" s="498"/>
      <c r="U904" s="315"/>
    </row>
    <row r="905" spans="3:21" ht="16">
      <c r="C905" s="314"/>
      <c r="G905" s="167"/>
      <c r="J905" s="314"/>
      <c r="K905" s="314"/>
      <c r="M905" s="350"/>
      <c r="O905" s="225"/>
      <c r="R905" s="314"/>
      <c r="T905" s="498"/>
      <c r="U905" s="315"/>
    </row>
    <row r="906" spans="3:21" ht="16">
      <c r="C906" s="314"/>
      <c r="G906" s="167"/>
      <c r="J906" s="314"/>
      <c r="K906" s="314"/>
      <c r="M906" s="350"/>
      <c r="O906" s="225"/>
      <c r="R906" s="314"/>
      <c r="T906" s="498"/>
      <c r="U906" s="315"/>
    </row>
    <row r="907" spans="3:21" ht="16">
      <c r="C907" s="314"/>
      <c r="G907" s="167"/>
      <c r="J907" s="314"/>
      <c r="K907" s="314"/>
      <c r="M907" s="350"/>
      <c r="O907" s="225"/>
      <c r="R907" s="314"/>
      <c r="T907" s="498"/>
      <c r="U907" s="315"/>
    </row>
    <row r="908" spans="3:21" ht="16">
      <c r="C908" s="314"/>
      <c r="G908" s="167"/>
      <c r="J908" s="314"/>
      <c r="K908" s="314"/>
      <c r="M908" s="350"/>
      <c r="O908" s="225"/>
      <c r="R908" s="314"/>
      <c r="T908" s="498"/>
      <c r="U908" s="315"/>
    </row>
    <row r="909" spans="3:21" ht="16">
      <c r="C909" s="314"/>
      <c r="G909" s="167"/>
      <c r="J909" s="314"/>
      <c r="K909" s="314"/>
      <c r="M909" s="350"/>
      <c r="O909" s="225"/>
      <c r="R909" s="314"/>
      <c r="T909" s="498"/>
      <c r="U909" s="315"/>
    </row>
    <row r="910" spans="3:21" ht="16">
      <c r="C910" s="314"/>
      <c r="G910" s="167"/>
      <c r="J910" s="314"/>
      <c r="K910" s="314"/>
      <c r="M910" s="350"/>
      <c r="O910" s="225"/>
      <c r="R910" s="314"/>
      <c r="T910" s="498"/>
      <c r="U910" s="315"/>
    </row>
    <row r="911" spans="3:21" ht="16">
      <c r="C911" s="314"/>
      <c r="G911" s="167"/>
      <c r="J911" s="314"/>
      <c r="K911" s="314"/>
      <c r="M911" s="350"/>
      <c r="O911" s="225"/>
      <c r="R911" s="314"/>
      <c r="T911" s="498"/>
      <c r="U911" s="315"/>
    </row>
    <row r="912" spans="3:21" ht="16">
      <c r="C912" s="314"/>
      <c r="G912" s="167"/>
      <c r="J912" s="314"/>
      <c r="K912" s="314"/>
      <c r="M912" s="350"/>
      <c r="O912" s="225"/>
      <c r="R912" s="314"/>
      <c r="T912" s="498"/>
      <c r="U912" s="315"/>
    </row>
    <row r="913" spans="3:21" ht="16">
      <c r="C913" s="314"/>
      <c r="G913" s="167"/>
      <c r="J913" s="314"/>
      <c r="K913" s="314"/>
      <c r="M913" s="350"/>
      <c r="O913" s="225"/>
      <c r="R913" s="314"/>
      <c r="T913" s="498"/>
      <c r="U913" s="315"/>
    </row>
    <row r="914" spans="3:21" ht="16">
      <c r="C914" s="314"/>
      <c r="G914" s="167"/>
      <c r="J914" s="314"/>
      <c r="K914" s="314"/>
      <c r="M914" s="350"/>
      <c r="O914" s="225"/>
      <c r="R914" s="314"/>
      <c r="T914" s="498"/>
      <c r="U914" s="315"/>
    </row>
    <row r="915" spans="3:21" ht="16">
      <c r="C915" s="314"/>
      <c r="G915" s="167"/>
      <c r="J915" s="314"/>
      <c r="K915" s="314"/>
      <c r="M915" s="350"/>
      <c r="O915" s="225"/>
      <c r="R915" s="314"/>
      <c r="T915" s="498"/>
      <c r="U915" s="315"/>
    </row>
    <row r="916" spans="3:21" ht="16">
      <c r="C916" s="314"/>
      <c r="G916" s="167"/>
      <c r="J916" s="314"/>
      <c r="K916" s="314"/>
      <c r="M916" s="350"/>
      <c r="O916" s="225"/>
      <c r="R916" s="314"/>
      <c r="T916" s="498"/>
      <c r="U916" s="315"/>
    </row>
    <row r="917" spans="3:21" ht="16">
      <c r="C917" s="314"/>
      <c r="G917" s="167"/>
      <c r="J917" s="314"/>
      <c r="K917" s="314"/>
      <c r="M917" s="350"/>
      <c r="O917" s="225"/>
      <c r="R917" s="314"/>
      <c r="T917" s="498"/>
      <c r="U917" s="315"/>
    </row>
    <row r="918" spans="3:21" ht="16">
      <c r="C918" s="314"/>
      <c r="G918" s="167"/>
      <c r="J918" s="314"/>
      <c r="K918" s="314"/>
      <c r="M918" s="350"/>
      <c r="O918" s="225"/>
      <c r="R918" s="314"/>
      <c r="T918" s="498"/>
      <c r="U918" s="315"/>
    </row>
    <row r="919" spans="3:21" ht="16">
      <c r="C919" s="314"/>
      <c r="G919" s="167"/>
      <c r="J919" s="314"/>
      <c r="K919" s="314"/>
      <c r="M919" s="350"/>
      <c r="O919" s="225"/>
      <c r="R919" s="314"/>
      <c r="T919" s="498"/>
      <c r="U919" s="315"/>
    </row>
    <row r="920" spans="3:21" ht="16">
      <c r="C920" s="314"/>
      <c r="G920" s="167"/>
      <c r="J920" s="314"/>
      <c r="K920" s="314"/>
      <c r="M920" s="350"/>
      <c r="O920" s="225"/>
      <c r="R920" s="314"/>
      <c r="T920" s="498"/>
      <c r="U920" s="315"/>
    </row>
    <row r="921" spans="3:21" ht="16">
      <c r="C921" s="314"/>
      <c r="G921" s="167"/>
      <c r="J921" s="314"/>
      <c r="K921" s="314"/>
      <c r="M921" s="350"/>
      <c r="O921" s="225"/>
      <c r="R921" s="314"/>
      <c r="T921" s="498"/>
      <c r="U921" s="315"/>
    </row>
    <row r="922" spans="3:21" ht="16">
      <c r="C922" s="314"/>
      <c r="G922" s="167"/>
      <c r="J922" s="314"/>
      <c r="K922" s="314"/>
      <c r="M922" s="350"/>
      <c r="O922" s="225"/>
      <c r="R922" s="314"/>
      <c r="T922" s="498"/>
      <c r="U922" s="315"/>
    </row>
    <row r="923" spans="3:21" ht="16">
      <c r="C923" s="314"/>
      <c r="G923" s="167"/>
      <c r="J923" s="314"/>
      <c r="K923" s="314"/>
      <c r="M923" s="350"/>
      <c r="O923" s="225"/>
      <c r="R923" s="314"/>
      <c r="T923" s="498"/>
      <c r="U923" s="315"/>
    </row>
    <row r="924" spans="3:21" ht="16">
      <c r="C924" s="314"/>
      <c r="G924" s="167"/>
      <c r="J924" s="314"/>
      <c r="K924" s="314"/>
      <c r="M924" s="350"/>
      <c r="O924" s="225"/>
      <c r="R924" s="314"/>
      <c r="T924" s="498"/>
      <c r="U924" s="315"/>
    </row>
    <row r="925" spans="3:21" ht="16">
      <c r="C925" s="314"/>
      <c r="G925" s="167"/>
      <c r="J925" s="314"/>
      <c r="K925" s="314"/>
      <c r="M925" s="350"/>
      <c r="O925" s="225"/>
      <c r="R925" s="314"/>
      <c r="T925" s="498"/>
      <c r="U925" s="315"/>
    </row>
    <row r="926" spans="3:21" ht="16">
      <c r="C926" s="314"/>
      <c r="G926" s="167"/>
      <c r="J926" s="314"/>
      <c r="K926" s="314"/>
      <c r="M926" s="350"/>
      <c r="O926" s="225"/>
      <c r="R926" s="314"/>
      <c r="T926" s="498"/>
      <c r="U926" s="315"/>
    </row>
    <row r="927" spans="3:21" ht="16">
      <c r="C927" s="314"/>
      <c r="G927" s="167"/>
      <c r="J927" s="314"/>
      <c r="K927" s="314"/>
      <c r="M927" s="350"/>
      <c r="O927" s="225"/>
      <c r="R927" s="314"/>
      <c r="T927" s="498"/>
      <c r="U927" s="315"/>
    </row>
    <row r="928" spans="3:21" ht="16">
      <c r="C928" s="314"/>
      <c r="G928" s="167"/>
      <c r="J928" s="314"/>
      <c r="K928" s="314"/>
      <c r="M928" s="350"/>
      <c r="O928" s="225"/>
      <c r="R928" s="314"/>
      <c r="T928" s="498"/>
      <c r="U928" s="315"/>
    </row>
    <row r="929" spans="3:21" ht="16">
      <c r="C929" s="314"/>
      <c r="G929" s="167"/>
      <c r="J929" s="314"/>
      <c r="K929" s="314"/>
      <c r="M929" s="350"/>
      <c r="O929" s="225"/>
      <c r="R929" s="314"/>
      <c r="T929" s="498"/>
      <c r="U929" s="315"/>
    </row>
    <row r="930" spans="3:21" ht="16">
      <c r="C930" s="314"/>
      <c r="G930" s="167"/>
      <c r="J930" s="314"/>
      <c r="K930" s="314"/>
      <c r="M930" s="350"/>
      <c r="O930" s="225"/>
      <c r="R930" s="314"/>
      <c r="T930" s="498"/>
      <c r="U930" s="315"/>
    </row>
    <row r="931" spans="3:21" ht="16">
      <c r="C931" s="314"/>
      <c r="G931" s="167"/>
      <c r="J931" s="314"/>
      <c r="K931" s="314"/>
      <c r="M931" s="350"/>
      <c r="O931" s="225"/>
      <c r="R931" s="314"/>
      <c r="T931" s="498"/>
      <c r="U931" s="315"/>
    </row>
    <row r="932" spans="3:21" ht="16">
      <c r="C932" s="314"/>
      <c r="G932" s="167"/>
      <c r="J932" s="314"/>
      <c r="K932" s="314"/>
      <c r="M932" s="350"/>
      <c r="O932" s="225"/>
      <c r="R932" s="314"/>
      <c r="T932" s="498"/>
      <c r="U932" s="315"/>
    </row>
    <row r="933" spans="3:21" ht="16">
      <c r="C933" s="314"/>
      <c r="G933" s="167"/>
      <c r="J933" s="314"/>
      <c r="K933" s="314"/>
      <c r="M933" s="350"/>
      <c r="O933" s="225"/>
      <c r="R933" s="314"/>
      <c r="T933" s="498"/>
      <c r="U933" s="315"/>
    </row>
    <row r="934" spans="3:21" ht="16">
      <c r="C934" s="314"/>
      <c r="G934" s="167"/>
      <c r="J934" s="314"/>
      <c r="K934" s="314"/>
      <c r="M934" s="350"/>
      <c r="O934" s="225"/>
      <c r="R934" s="314"/>
      <c r="T934" s="498"/>
      <c r="U934" s="315"/>
    </row>
    <row r="935" spans="3:21" ht="16">
      <c r="C935" s="314"/>
      <c r="G935" s="167"/>
      <c r="J935" s="314"/>
      <c r="K935" s="314"/>
      <c r="M935" s="350"/>
      <c r="O935" s="225"/>
      <c r="R935" s="314"/>
      <c r="T935" s="498"/>
      <c r="U935" s="315"/>
    </row>
    <row r="936" spans="3:21" ht="16">
      <c r="C936" s="314"/>
      <c r="G936" s="167"/>
      <c r="J936" s="314"/>
      <c r="K936" s="314"/>
      <c r="M936" s="350"/>
      <c r="O936" s="225"/>
      <c r="R936" s="314"/>
      <c r="T936" s="498"/>
      <c r="U936" s="315"/>
    </row>
    <row r="937" spans="3:21" ht="16">
      <c r="C937" s="314"/>
      <c r="G937" s="167"/>
      <c r="J937" s="314"/>
      <c r="K937" s="314"/>
      <c r="M937" s="350"/>
      <c r="O937" s="225"/>
      <c r="R937" s="314"/>
      <c r="T937" s="498"/>
      <c r="U937" s="315"/>
    </row>
    <row r="938" spans="3:21" ht="16">
      <c r="C938" s="314"/>
      <c r="G938" s="167"/>
      <c r="J938" s="314"/>
      <c r="K938" s="314"/>
      <c r="M938" s="350"/>
      <c r="O938" s="225"/>
      <c r="R938" s="314"/>
      <c r="T938" s="498"/>
      <c r="U938" s="315"/>
    </row>
    <row r="939" spans="3:21" ht="16">
      <c r="C939" s="314"/>
      <c r="G939" s="167"/>
      <c r="J939" s="314"/>
      <c r="K939" s="314"/>
      <c r="M939" s="350"/>
      <c r="O939" s="225"/>
      <c r="R939" s="314"/>
      <c r="T939" s="498"/>
      <c r="U939" s="315"/>
    </row>
    <row r="940" spans="3:21" ht="16">
      <c r="C940" s="314"/>
      <c r="G940" s="167"/>
      <c r="J940" s="314"/>
      <c r="K940" s="314"/>
      <c r="M940" s="350"/>
      <c r="O940" s="225"/>
      <c r="R940" s="314"/>
      <c r="T940" s="498"/>
      <c r="U940" s="315"/>
    </row>
    <row r="941" spans="3:21" ht="16">
      <c r="C941" s="314"/>
      <c r="G941" s="167"/>
      <c r="J941" s="314"/>
      <c r="K941" s="314"/>
      <c r="M941" s="350"/>
      <c r="O941" s="225"/>
      <c r="R941" s="314"/>
      <c r="T941" s="498"/>
      <c r="U941" s="315"/>
    </row>
    <row r="942" spans="3:21" ht="16">
      <c r="C942" s="314"/>
      <c r="G942" s="167"/>
      <c r="J942" s="314"/>
      <c r="K942" s="314"/>
      <c r="M942" s="350"/>
      <c r="O942" s="225"/>
      <c r="R942" s="314"/>
      <c r="T942" s="498"/>
      <c r="U942" s="315"/>
    </row>
    <row r="943" spans="3:21" ht="16">
      <c r="C943" s="314"/>
      <c r="G943" s="167"/>
      <c r="J943" s="314"/>
      <c r="K943" s="314"/>
      <c r="M943" s="350"/>
      <c r="O943" s="225"/>
      <c r="R943" s="314"/>
      <c r="T943" s="498"/>
      <c r="U943" s="315"/>
    </row>
    <row r="944" spans="3:21" ht="16">
      <c r="C944" s="314"/>
      <c r="G944" s="167"/>
      <c r="J944" s="314"/>
      <c r="K944" s="314"/>
      <c r="M944" s="350"/>
      <c r="O944" s="225"/>
      <c r="R944" s="314"/>
      <c r="T944" s="498"/>
      <c r="U944" s="315"/>
    </row>
    <row r="945" spans="3:21" ht="16">
      <c r="C945" s="314"/>
      <c r="G945" s="167"/>
      <c r="J945" s="314"/>
      <c r="K945" s="314"/>
      <c r="M945" s="350"/>
      <c r="O945" s="225"/>
      <c r="R945" s="314"/>
      <c r="T945" s="498"/>
      <c r="U945" s="315"/>
    </row>
    <row r="946" spans="3:21" ht="16">
      <c r="C946" s="314"/>
      <c r="G946" s="167"/>
      <c r="J946" s="314"/>
      <c r="K946" s="314"/>
      <c r="M946" s="350"/>
      <c r="O946" s="225"/>
      <c r="R946" s="314"/>
      <c r="T946" s="498"/>
      <c r="U946" s="315"/>
    </row>
    <row r="947" spans="3:21" ht="16">
      <c r="C947" s="314"/>
      <c r="G947" s="167"/>
      <c r="J947" s="314"/>
      <c r="K947" s="314"/>
      <c r="M947" s="350"/>
      <c r="O947" s="225"/>
      <c r="R947" s="314"/>
      <c r="T947" s="498"/>
      <c r="U947" s="315"/>
    </row>
    <row r="948" spans="3:21" ht="16">
      <c r="C948" s="314"/>
      <c r="G948" s="167"/>
      <c r="J948" s="314"/>
      <c r="K948" s="314"/>
      <c r="M948" s="350"/>
      <c r="O948" s="225"/>
      <c r="R948" s="314"/>
      <c r="T948" s="498"/>
      <c r="U948" s="315"/>
    </row>
    <row r="949" spans="3:21" ht="16">
      <c r="C949" s="314"/>
      <c r="G949" s="167"/>
      <c r="J949" s="314"/>
      <c r="K949" s="314"/>
      <c r="M949" s="350"/>
      <c r="O949" s="225"/>
      <c r="R949" s="314"/>
      <c r="T949" s="498"/>
      <c r="U949" s="315"/>
    </row>
    <row r="950" spans="3:21" ht="16">
      <c r="C950" s="314"/>
      <c r="G950" s="167"/>
      <c r="J950" s="314"/>
      <c r="K950" s="314"/>
      <c r="M950" s="350"/>
      <c r="O950" s="225"/>
      <c r="R950" s="314"/>
      <c r="T950" s="498"/>
      <c r="U950" s="315"/>
    </row>
    <row r="951" spans="3:21" ht="16">
      <c r="C951" s="314"/>
      <c r="G951" s="167"/>
      <c r="J951" s="314"/>
      <c r="K951" s="314"/>
      <c r="M951" s="350"/>
      <c r="O951" s="225"/>
      <c r="R951" s="314"/>
      <c r="T951" s="498"/>
      <c r="U951" s="315"/>
    </row>
    <row r="952" spans="3:21" ht="16">
      <c r="C952" s="314"/>
      <c r="G952" s="167"/>
      <c r="J952" s="314"/>
      <c r="K952" s="314"/>
      <c r="M952" s="350"/>
      <c r="O952" s="225"/>
      <c r="R952" s="314"/>
      <c r="T952" s="498"/>
      <c r="U952" s="315"/>
    </row>
    <row r="953" spans="3:21" ht="16">
      <c r="C953" s="314"/>
      <c r="G953" s="167"/>
      <c r="J953" s="314"/>
      <c r="K953" s="314"/>
      <c r="M953" s="350"/>
      <c r="O953" s="225"/>
      <c r="R953" s="314"/>
      <c r="T953" s="498"/>
      <c r="U953" s="315"/>
    </row>
    <row r="954" spans="3:21" ht="16">
      <c r="C954" s="314"/>
      <c r="G954" s="167"/>
      <c r="J954" s="314"/>
      <c r="K954" s="314"/>
      <c r="M954" s="350"/>
      <c r="O954" s="225"/>
      <c r="R954" s="314"/>
      <c r="T954" s="498"/>
      <c r="U954" s="315"/>
    </row>
    <row r="955" spans="3:21" ht="16">
      <c r="C955" s="314"/>
      <c r="G955" s="167"/>
      <c r="J955" s="314"/>
      <c r="K955" s="314"/>
      <c r="M955" s="350"/>
      <c r="O955" s="225"/>
      <c r="R955" s="314"/>
      <c r="T955" s="498"/>
      <c r="U955" s="315"/>
    </row>
    <row r="956" spans="3:21" ht="16">
      <c r="C956" s="314"/>
      <c r="G956" s="167"/>
      <c r="J956" s="314"/>
      <c r="K956" s="314"/>
      <c r="M956" s="350"/>
      <c r="O956" s="225"/>
      <c r="R956" s="314"/>
      <c r="T956" s="498"/>
      <c r="U956" s="315"/>
    </row>
    <row r="957" spans="3:21" ht="16">
      <c r="C957" s="314"/>
      <c r="G957" s="167"/>
      <c r="J957" s="314"/>
      <c r="K957" s="314"/>
      <c r="M957" s="350"/>
      <c r="O957" s="225"/>
      <c r="R957" s="314"/>
      <c r="T957" s="498"/>
      <c r="U957" s="315"/>
    </row>
    <row r="958" spans="3:21" ht="16">
      <c r="C958" s="314"/>
      <c r="G958" s="167"/>
      <c r="J958" s="314"/>
      <c r="K958" s="314"/>
      <c r="M958" s="350"/>
      <c r="O958" s="225"/>
      <c r="R958" s="314"/>
      <c r="T958" s="498"/>
      <c r="U958" s="315"/>
    </row>
    <row r="959" spans="3:21" ht="16">
      <c r="C959" s="314"/>
      <c r="G959" s="167"/>
      <c r="J959" s="314"/>
      <c r="K959" s="314"/>
      <c r="M959" s="350"/>
      <c r="O959" s="225"/>
      <c r="R959" s="314"/>
      <c r="T959" s="498"/>
      <c r="U959" s="315"/>
    </row>
    <row r="960" spans="3:21" ht="16">
      <c r="C960" s="314"/>
      <c r="G960" s="167"/>
      <c r="J960" s="314"/>
      <c r="K960" s="314"/>
      <c r="M960" s="350"/>
      <c r="O960" s="225"/>
      <c r="R960" s="314"/>
      <c r="T960" s="498"/>
      <c r="U960" s="315"/>
    </row>
    <row r="961" spans="3:21" ht="16">
      <c r="C961" s="314"/>
      <c r="G961" s="167"/>
      <c r="J961" s="314"/>
      <c r="K961" s="314"/>
      <c r="M961" s="350"/>
      <c r="O961" s="225"/>
      <c r="R961" s="314"/>
      <c r="T961" s="498"/>
      <c r="U961" s="315"/>
    </row>
    <row r="962" spans="3:21" ht="16">
      <c r="C962" s="314"/>
      <c r="G962" s="167"/>
      <c r="J962" s="314"/>
      <c r="K962" s="314"/>
      <c r="M962" s="350"/>
      <c r="O962" s="225"/>
      <c r="R962" s="314"/>
      <c r="T962" s="498"/>
      <c r="U962" s="315"/>
    </row>
    <row r="963" spans="3:21" ht="16">
      <c r="C963" s="314"/>
      <c r="G963" s="167"/>
      <c r="J963" s="314"/>
      <c r="K963" s="314"/>
      <c r="M963" s="350"/>
      <c r="O963" s="225"/>
      <c r="R963" s="314"/>
      <c r="T963" s="498"/>
      <c r="U963" s="315"/>
    </row>
    <row r="964" spans="3:21" ht="16">
      <c r="C964" s="314"/>
      <c r="G964" s="167"/>
      <c r="J964" s="314"/>
      <c r="K964" s="314"/>
      <c r="M964" s="350"/>
      <c r="O964" s="225"/>
      <c r="R964" s="314"/>
      <c r="T964" s="498"/>
      <c r="U964" s="315"/>
    </row>
    <row r="965" spans="3:21" ht="16">
      <c r="C965" s="314"/>
      <c r="G965" s="167"/>
      <c r="J965" s="314"/>
      <c r="K965" s="314"/>
      <c r="M965" s="350"/>
      <c r="O965" s="225"/>
      <c r="R965" s="314"/>
      <c r="T965" s="498"/>
      <c r="U965" s="315"/>
    </row>
    <row r="966" spans="3:21" ht="16">
      <c r="C966" s="314"/>
      <c r="G966" s="167"/>
      <c r="J966" s="314"/>
      <c r="K966" s="314"/>
      <c r="M966" s="350"/>
      <c r="O966" s="225"/>
      <c r="R966" s="314"/>
      <c r="T966" s="498"/>
      <c r="U966" s="315"/>
    </row>
    <row r="967" spans="3:21" ht="16">
      <c r="C967" s="314"/>
      <c r="G967" s="167"/>
      <c r="J967" s="314"/>
      <c r="K967" s="314"/>
      <c r="M967" s="350"/>
      <c r="O967" s="225"/>
      <c r="R967" s="314"/>
      <c r="T967" s="498"/>
      <c r="U967" s="315"/>
    </row>
    <row r="968" spans="3:21" ht="16">
      <c r="C968" s="314"/>
      <c r="G968" s="167"/>
      <c r="J968" s="314"/>
      <c r="K968" s="314"/>
      <c r="M968" s="350"/>
      <c r="O968" s="225"/>
      <c r="R968" s="314"/>
      <c r="T968" s="498"/>
      <c r="U968" s="315"/>
    </row>
    <row r="969" spans="3:21" ht="16">
      <c r="C969" s="314"/>
      <c r="G969" s="167"/>
      <c r="J969" s="314"/>
      <c r="K969" s="314"/>
      <c r="M969" s="350"/>
      <c r="O969" s="225"/>
      <c r="R969" s="314"/>
      <c r="T969" s="498"/>
      <c r="U969" s="315"/>
    </row>
    <row r="970" spans="3:21" ht="16">
      <c r="C970" s="314"/>
      <c r="G970" s="167"/>
      <c r="J970" s="314"/>
      <c r="K970" s="314"/>
      <c r="M970" s="350"/>
      <c r="O970" s="225"/>
      <c r="R970" s="314"/>
      <c r="T970" s="498"/>
      <c r="U970" s="315"/>
    </row>
    <row r="971" spans="3:21" ht="16">
      <c r="C971" s="314"/>
      <c r="G971" s="167"/>
      <c r="J971" s="314"/>
      <c r="K971" s="314"/>
      <c r="M971" s="350"/>
      <c r="O971" s="225"/>
      <c r="R971" s="314"/>
      <c r="T971" s="498"/>
      <c r="U971" s="315"/>
    </row>
    <row r="972" spans="3:21" ht="16">
      <c r="C972" s="314"/>
      <c r="G972" s="167"/>
      <c r="J972" s="314"/>
      <c r="K972" s="314"/>
      <c r="M972" s="350"/>
      <c r="O972" s="225"/>
      <c r="R972" s="314"/>
      <c r="T972" s="498"/>
      <c r="U972" s="315"/>
    </row>
    <row r="973" spans="3:21" ht="16">
      <c r="C973" s="314"/>
      <c r="G973" s="167"/>
      <c r="J973" s="314"/>
      <c r="K973" s="314"/>
      <c r="M973" s="350"/>
      <c r="O973" s="225"/>
      <c r="R973" s="314"/>
      <c r="T973" s="498"/>
      <c r="U973" s="315"/>
    </row>
    <row r="974" spans="3:21" ht="16">
      <c r="C974" s="314"/>
      <c r="G974" s="167"/>
      <c r="J974" s="314"/>
      <c r="K974" s="314"/>
      <c r="M974" s="350"/>
      <c r="O974" s="225"/>
      <c r="R974" s="314"/>
      <c r="T974" s="498"/>
      <c r="U974" s="315"/>
    </row>
    <row r="975" spans="3:21" ht="16">
      <c r="C975" s="314"/>
      <c r="G975" s="167"/>
      <c r="J975" s="314"/>
      <c r="K975" s="314"/>
      <c r="M975" s="350"/>
      <c r="O975" s="225"/>
      <c r="R975" s="314"/>
      <c r="T975" s="498"/>
      <c r="U975" s="315"/>
    </row>
    <row r="976" spans="3:21" ht="16">
      <c r="C976" s="314"/>
      <c r="G976" s="167"/>
      <c r="J976" s="314"/>
      <c r="K976" s="314"/>
      <c r="M976" s="350"/>
      <c r="O976" s="225"/>
      <c r="R976" s="314"/>
      <c r="T976" s="498"/>
      <c r="U976" s="315"/>
    </row>
    <row r="977" spans="3:21" ht="16">
      <c r="C977" s="314"/>
      <c r="G977" s="167"/>
      <c r="J977" s="314"/>
      <c r="K977" s="314"/>
      <c r="M977" s="350"/>
      <c r="O977" s="225"/>
      <c r="R977" s="314"/>
      <c r="T977" s="498"/>
      <c r="U977" s="315"/>
    </row>
    <row r="978" spans="3:21" ht="16">
      <c r="C978" s="314"/>
      <c r="G978" s="167"/>
      <c r="J978" s="314"/>
      <c r="K978" s="314"/>
      <c r="M978" s="350"/>
      <c r="O978" s="225"/>
      <c r="R978" s="314"/>
      <c r="T978" s="498"/>
      <c r="U978" s="315"/>
    </row>
    <row r="979" spans="3:21" ht="16">
      <c r="C979" s="314"/>
      <c r="G979" s="167"/>
      <c r="J979" s="314"/>
      <c r="K979" s="314"/>
      <c r="M979" s="350"/>
      <c r="O979" s="225"/>
      <c r="R979" s="314"/>
      <c r="T979" s="498"/>
      <c r="U979" s="315"/>
    </row>
    <row r="980" spans="3:21" ht="16">
      <c r="C980" s="314"/>
      <c r="G980" s="167"/>
      <c r="J980" s="314"/>
      <c r="K980" s="314"/>
      <c r="M980" s="350"/>
      <c r="O980" s="225"/>
      <c r="R980" s="314"/>
      <c r="T980" s="498"/>
      <c r="U980" s="315"/>
    </row>
    <row r="981" spans="3:21" ht="16">
      <c r="C981" s="314"/>
      <c r="G981" s="167"/>
      <c r="J981" s="314"/>
      <c r="K981" s="314"/>
      <c r="M981" s="350"/>
      <c r="O981" s="225"/>
      <c r="R981" s="314"/>
      <c r="T981" s="498"/>
      <c r="U981" s="315"/>
    </row>
    <row r="982" spans="3:21" ht="16">
      <c r="C982" s="314"/>
      <c r="G982" s="167"/>
      <c r="J982" s="314"/>
      <c r="K982" s="314"/>
      <c r="M982" s="350"/>
      <c r="O982" s="225"/>
      <c r="R982" s="314"/>
      <c r="T982" s="498"/>
      <c r="U982" s="315"/>
    </row>
    <row r="983" spans="3:21" ht="16">
      <c r="C983" s="314"/>
      <c r="G983" s="167"/>
      <c r="J983" s="314"/>
      <c r="K983" s="314"/>
      <c r="M983" s="350"/>
      <c r="O983" s="225"/>
      <c r="R983" s="314"/>
      <c r="T983" s="498"/>
      <c r="U983" s="315"/>
    </row>
    <row r="984" spans="3:21" ht="16">
      <c r="C984" s="314"/>
      <c r="G984" s="167"/>
      <c r="J984" s="314"/>
      <c r="K984" s="314"/>
      <c r="M984" s="350"/>
      <c r="O984" s="225"/>
      <c r="R984" s="314"/>
      <c r="T984" s="498"/>
      <c r="U984" s="315"/>
    </row>
    <row r="985" spans="3:21" ht="16">
      <c r="C985" s="314"/>
      <c r="G985" s="167"/>
      <c r="J985" s="314"/>
      <c r="K985" s="314"/>
      <c r="M985" s="350"/>
      <c r="O985" s="225"/>
      <c r="R985" s="314"/>
      <c r="T985" s="498"/>
      <c r="U985" s="315"/>
    </row>
    <row r="986" spans="3:21" ht="16">
      <c r="C986" s="314"/>
      <c r="G986" s="167"/>
      <c r="J986" s="314"/>
      <c r="K986" s="314"/>
      <c r="M986" s="350"/>
      <c r="O986" s="225"/>
      <c r="R986" s="314"/>
      <c r="T986" s="498"/>
      <c r="U986" s="315"/>
    </row>
    <row r="987" spans="3:21" ht="16">
      <c r="C987" s="314"/>
      <c r="G987" s="167"/>
      <c r="J987" s="314"/>
      <c r="K987" s="314"/>
      <c r="M987" s="350"/>
      <c r="O987" s="225"/>
      <c r="R987" s="314"/>
      <c r="T987" s="498"/>
      <c r="U987" s="315"/>
    </row>
    <row r="988" spans="3:21" ht="16">
      <c r="C988" s="314"/>
      <c r="G988" s="167"/>
      <c r="J988" s="314"/>
      <c r="K988" s="314"/>
      <c r="M988" s="350"/>
      <c r="O988" s="225"/>
      <c r="R988" s="314"/>
      <c r="T988" s="498"/>
      <c r="U988" s="315"/>
    </row>
    <row r="989" spans="3:21" ht="16">
      <c r="C989" s="314"/>
      <c r="G989" s="167"/>
      <c r="J989" s="314"/>
      <c r="K989" s="314"/>
      <c r="M989" s="350"/>
      <c r="O989" s="225"/>
      <c r="R989" s="314"/>
      <c r="T989" s="498"/>
      <c r="U989" s="315"/>
    </row>
    <row r="990" spans="3:21" ht="16">
      <c r="C990" s="314"/>
      <c r="G990" s="167"/>
      <c r="J990" s="314"/>
      <c r="K990" s="314"/>
      <c r="M990" s="350"/>
      <c r="O990" s="225"/>
      <c r="R990" s="314"/>
      <c r="T990" s="498"/>
      <c r="U990" s="315"/>
    </row>
    <row r="991" spans="3:21" ht="16">
      <c r="C991" s="314"/>
      <c r="G991" s="167"/>
      <c r="J991" s="314"/>
      <c r="K991" s="314"/>
      <c r="M991" s="350"/>
      <c r="O991" s="225"/>
      <c r="R991" s="314"/>
      <c r="T991" s="498"/>
      <c r="U991" s="315"/>
    </row>
    <row r="992" spans="3:21" ht="16">
      <c r="C992" s="314"/>
      <c r="G992" s="167"/>
      <c r="J992" s="314"/>
      <c r="K992" s="314"/>
      <c r="M992" s="350"/>
      <c r="O992" s="225"/>
      <c r="R992" s="314"/>
      <c r="T992" s="498"/>
      <c r="U992" s="315"/>
    </row>
    <row r="993" spans="3:21" ht="16">
      <c r="C993" s="314"/>
      <c r="G993" s="167"/>
      <c r="J993" s="314"/>
      <c r="K993" s="314"/>
      <c r="M993" s="350"/>
      <c r="O993" s="225"/>
      <c r="R993" s="314"/>
      <c r="T993" s="498"/>
      <c r="U993" s="315"/>
    </row>
    <row r="994" spans="3:21" ht="16">
      <c r="C994" s="314"/>
      <c r="G994" s="167"/>
      <c r="J994" s="314"/>
      <c r="K994" s="314"/>
      <c r="M994" s="350"/>
      <c r="O994" s="225"/>
      <c r="R994" s="314"/>
      <c r="T994" s="498"/>
      <c r="U994" s="315"/>
    </row>
    <row r="995" spans="3:21" ht="16">
      <c r="C995" s="314"/>
      <c r="G995" s="167"/>
      <c r="J995" s="314"/>
      <c r="K995" s="314"/>
      <c r="M995" s="350"/>
      <c r="O995" s="225"/>
      <c r="R995" s="314"/>
      <c r="T995" s="498"/>
      <c r="U995" s="315"/>
    </row>
    <row r="996" spans="3:21" ht="16">
      <c r="C996" s="314"/>
      <c r="G996" s="167"/>
      <c r="J996" s="314"/>
      <c r="K996" s="314"/>
      <c r="M996" s="350"/>
      <c r="O996" s="225"/>
      <c r="R996" s="314"/>
      <c r="T996" s="498"/>
      <c r="U996" s="315"/>
    </row>
    <row r="997" spans="3:21" ht="16">
      <c r="C997" s="314"/>
      <c r="G997" s="167"/>
      <c r="J997" s="314"/>
      <c r="K997" s="314"/>
      <c r="M997" s="350"/>
      <c r="O997" s="225"/>
      <c r="R997" s="314"/>
      <c r="T997" s="498"/>
      <c r="U997" s="315"/>
    </row>
    <row r="998" spans="3:21" ht="16">
      <c r="C998" s="314"/>
      <c r="G998" s="167"/>
      <c r="J998" s="314"/>
      <c r="K998" s="314"/>
      <c r="M998" s="350"/>
      <c r="O998" s="225"/>
      <c r="R998" s="314"/>
      <c r="T998" s="498"/>
      <c r="U998" s="315"/>
    </row>
    <row r="999" spans="3:21" ht="16">
      <c r="C999" s="314"/>
      <c r="G999" s="167"/>
      <c r="J999" s="314"/>
      <c r="K999" s="314"/>
      <c r="M999" s="350"/>
      <c r="O999" s="225"/>
      <c r="R999" s="314"/>
      <c r="T999" s="498"/>
      <c r="U999" s="315"/>
    </row>
    <row r="1000" spans="3:21" ht="16">
      <c r="C1000" s="314"/>
      <c r="G1000" s="167"/>
      <c r="J1000" s="314"/>
      <c r="K1000" s="314"/>
      <c r="M1000" s="350"/>
      <c r="O1000" s="225"/>
      <c r="R1000" s="314"/>
      <c r="T1000" s="498"/>
      <c r="U1000" s="315"/>
    </row>
    <row r="1001" spans="3:21" ht="16">
      <c r="C1001" s="314"/>
      <c r="G1001" s="167"/>
      <c r="J1001" s="314"/>
      <c r="K1001" s="314"/>
      <c r="M1001" s="350"/>
      <c r="O1001" s="225"/>
      <c r="R1001" s="314"/>
      <c r="T1001" s="498"/>
      <c r="U1001" s="315"/>
    </row>
    <row r="1002" spans="3:21" ht="16">
      <c r="C1002" s="314"/>
      <c r="G1002" s="167"/>
      <c r="J1002" s="314"/>
      <c r="K1002" s="314"/>
      <c r="M1002" s="350"/>
      <c r="O1002" s="225"/>
      <c r="R1002" s="314"/>
      <c r="T1002" s="498"/>
      <c r="U1002" s="315"/>
    </row>
    <row r="1003" spans="3:21" ht="16">
      <c r="C1003" s="314"/>
      <c r="G1003" s="167"/>
      <c r="J1003" s="314"/>
      <c r="K1003" s="314"/>
      <c r="M1003" s="350"/>
      <c r="O1003" s="225"/>
      <c r="R1003" s="314"/>
      <c r="T1003" s="498"/>
      <c r="U1003" s="315"/>
    </row>
    <row r="1004" spans="3:21" ht="16">
      <c r="C1004" s="314"/>
      <c r="G1004" s="167"/>
      <c r="J1004" s="314"/>
      <c r="K1004" s="314"/>
      <c r="M1004" s="350"/>
      <c r="O1004" s="225"/>
      <c r="R1004" s="314"/>
      <c r="T1004" s="498"/>
      <c r="U1004" s="315"/>
    </row>
    <row r="1005" spans="3:21" ht="16">
      <c r="C1005" s="314"/>
      <c r="G1005" s="167"/>
      <c r="J1005" s="314"/>
      <c r="K1005" s="314"/>
      <c r="M1005" s="350"/>
      <c r="O1005" s="225"/>
      <c r="R1005" s="314"/>
      <c r="T1005" s="498"/>
      <c r="U1005" s="315"/>
    </row>
    <row r="1006" spans="3:21" ht="16">
      <c r="C1006" s="314"/>
      <c r="G1006" s="167"/>
      <c r="J1006" s="314"/>
      <c r="K1006" s="314"/>
      <c r="M1006" s="350"/>
      <c r="O1006" s="225"/>
      <c r="R1006" s="314"/>
      <c r="T1006" s="498"/>
      <c r="U1006" s="315"/>
    </row>
    <row r="1007" spans="3:21" ht="16">
      <c r="C1007" s="314"/>
      <c r="G1007" s="167"/>
      <c r="J1007" s="314"/>
      <c r="K1007" s="314"/>
      <c r="M1007" s="350"/>
      <c r="O1007" s="225"/>
      <c r="R1007" s="314"/>
      <c r="T1007" s="498"/>
      <c r="U1007" s="315"/>
    </row>
    <row r="1008" spans="3:21" ht="16">
      <c r="C1008" s="314"/>
      <c r="G1008" s="167"/>
      <c r="J1008" s="314"/>
      <c r="K1008" s="314"/>
      <c r="M1008" s="350"/>
      <c r="O1008" s="225"/>
      <c r="R1008" s="314"/>
      <c r="T1008" s="498"/>
      <c r="U1008" s="315"/>
    </row>
    <row r="1009" spans="3:21" ht="16">
      <c r="C1009" s="314"/>
      <c r="G1009" s="167"/>
      <c r="J1009" s="314"/>
      <c r="K1009" s="314"/>
      <c r="M1009" s="350"/>
      <c r="O1009" s="225"/>
      <c r="R1009" s="314"/>
      <c r="T1009" s="498"/>
      <c r="U1009" s="315"/>
    </row>
    <row r="1010" spans="3:21" ht="16">
      <c r="C1010" s="314"/>
      <c r="G1010" s="167"/>
      <c r="J1010" s="314"/>
      <c r="K1010" s="314"/>
      <c r="M1010" s="350"/>
      <c r="O1010" s="225"/>
      <c r="R1010" s="314"/>
      <c r="T1010" s="498"/>
      <c r="U1010" s="315"/>
    </row>
    <row r="1011" spans="3:21" ht="16">
      <c r="C1011" s="314"/>
      <c r="G1011" s="167"/>
      <c r="J1011" s="314"/>
      <c r="K1011" s="314"/>
      <c r="M1011" s="350"/>
      <c r="O1011" s="225"/>
      <c r="R1011" s="314"/>
      <c r="T1011" s="498"/>
      <c r="U1011" s="315"/>
    </row>
    <row r="1012" spans="3:21" ht="16">
      <c r="C1012" s="314"/>
      <c r="G1012" s="167"/>
      <c r="J1012" s="314"/>
      <c r="K1012" s="314"/>
      <c r="M1012" s="350"/>
      <c r="O1012" s="225"/>
      <c r="R1012" s="314"/>
      <c r="T1012" s="498"/>
      <c r="U1012" s="315"/>
    </row>
    <row r="1013" spans="3:21" ht="16">
      <c r="C1013" s="314"/>
      <c r="G1013" s="167"/>
      <c r="J1013" s="314"/>
      <c r="K1013" s="314"/>
      <c r="M1013" s="350"/>
      <c r="O1013" s="225"/>
      <c r="R1013" s="314"/>
      <c r="T1013" s="498"/>
      <c r="U1013" s="315"/>
    </row>
    <row r="1014" spans="3:21" ht="16">
      <c r="C1014" s="314"/>
      <c r="G1014" s="167"/>
      <c r="J1014" s="314"/>
      <c r="K1014" s="314"/>
      <c r="M1014" s="350"/>
      <c r="O1014" s="225"/>
      <c r="R1014" s="314"/>
      <c r="T1014" s="498"/>
      <c r="U1014" s="315"/>
    </row>
    <row r="1015" spans="3:21" ht="16">
      <c r="C1015" s="314"/>
      <c r="G1015" s="167"/>
      <c r="J1015" s="314"/>
      <c r="K1015" s="314"/>
      <c r="M1015" s="350"/>
      <c r="O1015" s="225"/>
      <c r="R1015" s="314"/>
      <c r="T1015" s="498"/>
      <c r="U1015" s="315"/>
    </row>
    <row r="1016" spans="3:21" ht="16">
      <c r="C1016" s="314"/>
      <c r="G1016" s="167"/>
      <c r="J1016" s="314"/>
      <c r="K1016" s="314"/>
      <c r="M1016" s="350"/>
      <c r="O1016" s="225"/>
      <c r="R1016" s="314"/>
      <c r="T1016" s="498"/>
      <c r="U1016" s="315"/>
    </row>
    <row r="1017" spans="3:21" ht="16">
      <c r="C1017" s="314"/>
      <c r="G1017" s="167"/>
      <c r="J1017" s="314"/>
      <c r="K1017" s="314"/>
      <c r="M1017" s="350"/>
      <c r="O1017" s="225"/>
      <c r="R1017" s="314"/>
      <c r="T1017" s="498"/>
      <c r="U1017" s="315"/>
    </row>
    <row r="1018" spans="3:21" ht="16">
      <c r="C1018" s="314"/>
      <c r="G1018" s="167"/>
      <c r="J1018" s="314"/>
      <c r="K1018" s="314"/>
      <c r="M1018" s="350"/>
      <c r="O1018" s="225"/>
      <c r="R1018" s="314"/>
      <c r="T1018" s="498"/>
      <c r="U1018" s="315"/>
    </row>
    <row r="1019" spans="3:21" ht="16">
      <c r="C1019" s="314"/>
      <c r="G1019" s="167"/>
      <c r="J1019" s="314"/>
      <c r="K1019" s="314"/>
      <c r="M1019" s="350"/>
      <c r="O1019" s="225"/>
      <c r="R1019" s="314"/>
      <c r="T1019" s="498"/>
      <c r="U1019" s="315"/>
    </row>
    <row r="1020" spans="3:21" ht="16">
      <c r="C1020" s="314"/>
      <c r="G1020" s="167"/>
      <c r="J1020" s="314"/>
      <c r="K1020" s="314"/>
      <c r="M1020" s="350"/>
      <c r="O1020" s="225"/>
      <c r="R1020" s="314"/>
      <c r="T1020" s="498"/>
      <c r="U1020" s="315"/>
    </row>
    <row r="1021" spans="3:21" ht="16">
      <c r="C1021" s="314"/>
      <c r="G1021" s="167"/>
      <c r="J1021" s="314"/>
      <c r="K1021" s="314"/>
      <c r="M1021" s="350"/>
      <c r="O1021" s="225"/>
      <c r="R1021" s="314"/>
      <c r="T1021" s="498"/>
      <c r="U1021" s="315"/>
    </row>
    <row r="1022" spans="3:21" ht="16">
      <c r="C1022" s="314"/>
      <c r="G1022" s="167"/>
      <c r="J1022" s="314"/>
      <c r="K1022" s="314"/>
      <c r="M1022" s="350"/>
      <c r="O1022" s="225"/>
      <c r="R1022" s="314"/>
      <c r="T1022" s="498"/>
      <c r="U1022" s="315"/>
    </row>
    <row r="1023" spans="3:21" ht="16">
      <c r="C1023" s="314"/>
      <c r="G1023" s="167"/>
      <c r="J1023" s="314"/>
      <c r="K1023" s="314"/>
      <c r="M1023" s="350"/>
      <c r="O1023" s="225"/>
      <c r="R1023" s="314"/>
      <c r="T1023" s="498"/>
      <c r="U1023" s="315"/>
    </row>
    <row r="1024" spans="3:21" ht="16">
      <c r="C1024" s="314"/>
      <c r="G1024" s="167"/>
      <c r="J1024" s="314"/>
      <c r="K1024" s="314"/>
      <c r="M1024" s="350"/>
      <c r="O1024" s="225"/>
      <c r="R1024" s="314"/>
      <c r="T1024" s="498"/>
      <c r="U1024" s="315"/>
    </row>
    <row r="1025" spans="3:21" ht="16">
      <c r="C1025" s="314"/>
      <c r="G1025" s="167"/>
      <c r="J1025" s="314"/>
      <c r="K1025" s="314"/>
      <c r="M1025" s="350"/>
      <c r="O1025" s="225"/>
      <c r="R1025" s="314"/>
      <c r="T1025" s="498"/>
      <c r="U1025" s="315"/>
    </row>
    <row r="1026" spans="3:21" ht="16">
      <c r="C1026" s="314"/>
      <c r="G1026" s="167"/>
      <c r="J1026" s="314"/>
      <c r="K1026" s="314"/>
      <c r="M1026" s="350"/>
      <c r="O1026" s="225"/>
      <c r="R1026" s="314"/>
      <c r="T1026" s="498"/>
      <c r="U1026" s="315"/>
    </row>
    <row r="1027" spans="3:21" ht="16">
      <c r="C1027" s="314"/>
      <c r="G1027" s="167"/>
      <c r="J1027" s="314"/>
      <c r="K1027" s="314"/>
      <c r="M1027" s="350"/>
      <c r="O1027" s="225"/>
      <c r="R1027" s="314"/>
      <c r="T1027" s="498"/>
      <c r="U1027" s="315"/>
    </row>
    <row r="1028" spans="3:21" ht="16">
      <c r="C1028" s="314"/>
      <c r="G1028" s="167"/>
      <c r="J1028" s="314"/>
      <c r="K1028" s="314"/>
      <c r="M1028" s="350"/>
      <c r="O1028" s="225"/>
      <c r="R1028" s="314"/>
      <c r="T1028" s="498"/>
      <c r="U1028" s="315"/>
    </row>
    <row r="1029" spans="3:21" ht="16">
      <c r="C1029" s="314"/>
      <c r="G1029" s="167"/>
      <c r="J1029" s="314"/>
      <c r="K1029" s="314"/>
      <c r="M1029" s="350"/>
      <c r="O1029" s="225"/>
      <c r="R1029" s="314"/>
      <c r="T1029" s="498"/>
      <c r="U1029" s="315"/>
    </row>
    <row r="1030" spans="3:21" ht="16">
      <c r="C1030" s="314"/>
      <c r="G1030" s="167"/>
      <c r="J1030" s="314"/>
      <c r="K1030" s="314"/>
      <c r="M1030" s="350"/>
      <c r="O1030" s="225"/>
      <c r="R1030" s="314"/>
      <c r="T1030" s="498"/>
      <c r="U1030" s="315"/>
    </row>
    <row r="1031" spans="3:21" ht="16">
      <c r="C1031" s="314"/>
      <c r="G1031" s="167"/>
      <c r="J1031" s="314"/>
      <c r="K1031" s="314"/>
      <c r="M1031" s="350"/>
      <c r="O1031" s="225"/>
      <c r="R1031" s="314"/>
      <c r="T1031" s="498"/>
      <c r="U1031" s="315"/>
    </row>
    <row r="1032" spans="3:21" ht="16">
      <c r="C1032" s="314"/>
      <c r="G1032" s="167"/>
      <c r="J1032" s="314"/>
      <c r="K1032" s="314"/>
      <c r="M1032" s="350"/>
      <c r="O1032" s="225"/>
      <c r="R1032" s="314"/>
      <c r="T1032" s="498"/>
      <c r="U1032" s="315"/>
    </row>
    <row r="1033" spans="3:21" ht="16">
      <c r="C1033" s="314"/>
      <c r="G1033" s="167"/>
      <c r="J1033" s="314"/>
      <c r="K1033" s="314"/>
      <c r="M1033" s="350"/>
      <c r="O1033" s="225"/>
      <c r="R1033" s="314"/>
      <c r="T1033" s="498"/>
      <c r="U1033" s="315"/>
    </row>
    <row r="1034" spans="3:21" ht="16">
      <c r="C1034" s="314"/>
      <c r="G1034" s="167"/>
      <c r="J1034" s="314"/>
      <c r="K1034" s="314"/>
      <c r="M1034" s="350"/>
      <c r="O1034" s="225"/>
      <c r="R1034" s="314"/>
      <c r="T1034" s="498"/>
      <c r="U1034" s="315"/>
    </row>
    <row r="1035" spans="3:21" ht="16">
      <c r="C1035" s="314"/>
      <c r="G1035" s="167"/>
      <c r="J1035" s="314"/>
      <c r="K1035" s="314"/>
      <c r="M1035" s="350"/>
      <c r="R1035" s="314"/>
      <c r="T1035" s="499"/>
      <c r="U1035" s="316"/>
    </row>
    <row r="1036" spans="3:21" ht="16">
      <c r="C1036" s="314"/>
      <c r="G1036" s="167"/>
      <c r="J1036" s="314"/>
      <c r="K1036" s="314"/>
      <c r="M1036" s="350"/>
      <c r="R1036" s="314"/>
      <c r="T1036" s="499"/>
      <c r="U1036" s="316"/>
    </row>
    <row r="1037" spans="3:21" ht="16">
      <c r="C1037" s="314"/>
      <c r="G1037" s="167"/>
      <c r="J1037" s="314"/>
      <c r="K1037" s="314"/>
      <c r="M1037" s="350"/>
      <c r="R1037" s="314"/>
      <c r="T1037" s="499"/>
      <c r="U1037" s="316"/>
    </row>
    <row r="1038" spans="3:21" ht="16">
      <c r="C1038" s="314"/>
      <c r="G1038" s="167"/>
      <c r="J1038" s="314"/>
      <c r="K1038" s="314"/>
      <c r="M1038" s="350"/>
      <c r="R1038" s="314"/>
      <c r="T1038" s="499"/>
      <c r="U1038" s="316"/>
    </row>
    <row r="1039" spans="3:21">
      <c r="C1039" s="314"/>
    </row>
    <row r="1040" spans="3:21">
      <c r="C1040" s="314"/>
    </row>
  </sheetData>
  <mergeCells count="3">
    <mergeCell ref="B1:E1"/>
    <mergeCell ref="B6:F6"/>
    <mergeCell ref="H7:I7"/>
  </mergeCells>
  <conditionalFormatting sqref="E2">
    <cfRule type="notContainsBlanks" dxfId="2" priority="1">
      <formula>LEN(TRIM(E2))&gt;0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Y1051"/>
  <sheetViews>
    <sheetView workbookViewId="0">
      <pane ySplit="6" topLeftCell="A25" activePane="bottomLeft" state="frozen"/>
      <selection pane="bottomLeft" activeCell="C41" sqref="C41"/>
    </sheetView>
  </sheetViews>
  <sheetFormatPr baseColWidth="10" defaultColWidth="14.5" defaultRowHeight="15" customHeight="1"/>
  <cols>
    <col min="1" max="1" width="2.83203125" customWidth="1"/>
    <col min="2" max="2" width="13.6640625" customWidth="1"/>
    <col min="3" max="3" width="14.6640625" customWidth="1"/>
    <col min="4" max="4" width="12.33203125" customWidth="1"/>
    <col min="5" max="5" width="15.1640625" customWidth="1"/>
    <col min="6" max="6" width="16.83203125" customWidth="1"/>
    <col min="7" max="7" width="84.5" customWidth="1"/>
    <col min="8" max="8" width="6.83203125" customWidth="1"/>
    <col min="9" max="9" width="5.5" customWidth="1"/>
    <col min="10" max="11" width="13" customWidth="1"/>
    <col min="12" max="12" width="4.5" customWidth="1"/>
    <col min="13" max="13" width="13.5" customWidth="1"/>
    <col min="14" max="14" width="4.6640625" customWidth="1"/>
    <col min="15" max="15" width="6.83203125" customWidth="1"/>
    <col min="16" max="16" width="4.83203125" customWidth="1"/>
    <col min="17" max="17" width="18.83203125" customWidth="1"/>
    <col min="18" max="18" width="20.6640625" customWidth="1"/>
    <col min="19" max="19" width="6.1640625" customWidth="1"/>
    <col min="20" max="20" width="26.1640625" customWidth="1"/>
    <col min="21" max="21" width="34.6640625" customWidth="1"/>
  </cols>
  <sheetData>
    <row r="1" spans="1:22" ht="63.75" customHeight="1">
      <c r="A1" s="465" t="s">
        <v>6382</v>
      </c>
      <c r="B1" s="550"/>
      <c r="C1" s="543"/>
      <c r="D1" s="543"/>
      <c r="E1" s="543"/>
      <c r="G1" s="166"/>
      <c r="H1" s="297"/>
      <c r="I1" s="297"/>
      <c r="J1" s="314"/>
      <c r="K1" s="8"/>
      <c r="L1" s="297"/>
      <c r="M1" s="297"/>
      <c r="N1" s="297"/>
      <c r="O1" s="297"/>
      <c r="P1" s="297"/>
      <c r="Q1" s="297"/>
      <c r="R1" s="314"/>
      <c r="S1" s="297"/>
      <c r="T1" s="466"/>
      <c r="V1" s="1"/>
    </row>
    <row r="2" spans="1:22" ht="16">
      <c r="A2" s="1"/>
      <c r="B2" s="318" t="s">
        <v>1</v>
      </c>
      <c r="C2" s="319">
        <v>1275000</v>
      </c>
      <c r="D2" s="319"/>
      <c r="E2" s="320">
        <f>C3/C2</f>
        <v>0.85636862745098041</v>
      </c>
      <c r="F2" s="49"/>
      <c r="G2" s="49"/>
      <c r="H2" s="90"/>
      <c r="I2" s="90"/>
      <c r="J2" s="300"/>
      <c r="K2" s="300"/>
      <c r="L2" s="90"/>
      <c r="M2" s="321"/>
      <c r="N2" s="90"/>
      <c r="O2" s="90"/>
      <c r="P2" s="90"/>
      <c r="Q2" s="90"/>
      <c r="R2" s="300"/>
      <c r="S2" s="90"/>
      <c r="T2" s="467"/>
      <c r="U2" s="199"/>
      <c r="V2" s="1"/>
    </row>
    <row r="3" spans="1:22" ht="16">
      <c r="A3" s="1"/>
      <c r="B3" s="322" t="s">
        <v>2</v>
      </c>
      <c r="C3" s="319">
        <f>SUM(K8:K183)</f>
        <v>1091870</v>
      </c>
      <c r="D3" s="319"/>
      <c r="E3" s="323" t="s">
        <v>3</v>
      </c>
      <c r="F3" s="324"/>
      <c r="G3" s="431"/>
      <c r="H3" s="299"/>
      <c r="I3" s="90"/>
      <c r="J3" s="500">
        <v>115</v>
      </c>
      <c r="K3" s="468"/>
      <c r="L3" s="299"/>
      <c r="M3" s="325"/>
      <c r="N3" s="299"/>
      <c r="O3" s="299"/>
      <c r="P3" s="299"/>
      <c r="Q3" s="299"/>
      <c r="R3" s="468"/>
      <c r="S3" s="299"/>
      <c r="T3" s="469"/>
      <c r="U3" s="299"/>
      <c r="V3" s="1"/>
    </row>
    <row r="4" spans="1:22">
      <c r="A4" s="1"/>
      <c r="B4" s="326" t="s">
        <v>2218</v>
      </c>
      <c r="C4" s="326">
        <f ca="1">(E5-TODAY())</f>
        <v>-4</v>
      </c>
      <c r="D4" s="326"/>
      <c r="E4" s="17"/>
      <c r="F4" s="327"/>
      <c r="G4" s="431"/>
      <c r="H4" s="90"/>
      <c r="J4" s="300"/>
      <c r="K4" s="314"/>
      <c r="L4" s="90"/>
      <c r="M4" s="321">
        <v>4650</v>
      </c>
      <c r="N4" s="90"/>
      <c r="O4" s="90"/>
      <c r="P4" s="90"/>
      <c r="Q4" s="90"/>
      <c r="R4" s="300"/>
      <c r="S4" s="90"/>
      <c r="T4" s="467"/>
      <c r="U4" s="90"/>
      <c r="V4" s="1"/>
    </row>
    <row r="5" spans="1:22" ht="16">
      <c r="A5" s="1"/>
      <c r="B5" s="328" t="s">
        <v>6</v>
      </c>
      <c r="C5" s="329">
        <f ca="1">TODAY()</f>
        <v>46026</v>
      </c>
      <c r="D5" s="328"/>
      <c r="E5" s="330">
        <v>46022</v>
      </c>
      <c r="F5" s="90"/>
      <c r="G5" s="299"/>
      <c r="H5" s="90"/>
      <c r="I5" s="90"/>
      <c r="J5" s="300"/>
      <c r="K5" s="300"/>
      <c r="L5" s="90"/>
      <c r="M5" s="321"/>
      <c r="N5" s="301"/>
      <c r="O5" s="303"/>
      <c r="P5" s="90"/>
      <c r="Q5" s="304"/>
      <c r="R5" s="300"/>
      <c r="S5" s="90"/>
      <c r="T5" s="61"/>
      <c r="U5" s="305"/>
      <c r="V5" s="1"/>
    </row>
    <row r="6" spans="1:22" ht="26.25" customHeight="1">
      <c r="A6" s="1"/>
      <c r="B6" s="549" t="s">
        <v>2734</v>
      </c>
      <c r="C6" s="537"/>
      <c r="D6" s="537"/>
      <c r="E6" s="537"/>
      <c r="F6" s="537"/>
      <c r="G6" s="26"/>
      <c r="H6" s="23"/>
      <c r="I6" s="23"/>
      <c r="J6" s="23"/>
      <c r="K6" s="23"/>
      <c r="L6" s="23"/>
      <c r="M6" s="331"/>
      <c r="N6" s="23"/>
      <c r="O6" s="211"/>
      <c r="P6" s="23"/>
      <c r="Q6" s="332"/>
      <c r="R6" s="25"/>
      <c r="S6" s="26"/>
      <c r="T6" s="470"/>
      <c r="U6" s="306"/>
      <c r="V6" s="1"/>
    </row>
    <row r="7" spans="1:22" ht="14.25" customHeight="1">
      <c r="A7" s="98"/>
      <c r="B7" s="38" t="s">
        <v>18</v>
      </c>
      <c r="C7" s="38" t="s">
        <v>3442</v>
      </c>
      <c r="D7" s="38" t="s">
        <v>19</v>
      </c>
      <c r="E7" s="38" t="s">
        <v>20</v>
      </c>
      <c r="F7" s="38" t="s">
        <v>21</v>
      </c>
      <c r="G7" s="39" t="s">
        <v>2018</v>
      </c>
      <c r="H7" s="538" t="s">
        <v>22</v>
      </c>
      <c r="I7" s="528"/>
      <c r="J7" s="40" t="s">
        <v>4046</v>
      </c>
      <c r="K7" s="41" t="s">
        <v>23</v>
      </c>
      <c r="L7" s="501" t="b">
        <v>1</v>
      </c>
      <c r="M7" s="502" t="s">
        <v>6079</v>
      </c>
      <c r="N7" s="43"/>
      <c r="O7" s="213"/>
      <c r="P7" s="45"/>
      <c r="Q7" s="342" t="s">
        <v>6383</v>
      </c>
      <c r="R7" s="503" t="s">
        <v>6080</v>
      </c>
      <c r="S7" s="47"/>
      <c r="T7" s="309" t="s">
        <v>6081</v>
      </c>
      <c r="U7" s="307"/>
      <c r="V7" s="100" t="s">
        <v>24</v>
      </c>
    </row>
    <row r="8" spans="1:22" ht="15" customHeight="1">
      <c r="A8" s="1"/>
      <c r="B8" s="71" t="s">
        <v>6384</v>
      </c>
      <c r="C8" s="53" t="s">
        <v>3552</v>
      </c>
      <c r="D8" s="151" t="s">
        <v>51</v>
      </c>
      <c r="E8" s="53" t="s">
        <v>66</v>
      </c>
      <c r="F8" s="53" t="s">
        <v>6385</v>
      </c>
      <c r="G8" s="66" t="s">
        <v>3642</v>
      </c>
      <c r="H8" s="131" t="s">
        <v>30</v>
      </c>
      <c r="I8" s="66">
        <v>37</v>
      </c>
      <c r="J8" s="472">
        <v>270</v>
      </c>
      <c r="K8" s="472">
        <f t="shared" ref="K8:K69" si="0">(I8*J8)</f>
        <v>9990</v>
      </c>
      <c r="L8" s="501" t="b">
        <v>1</v>
      </c>
      <c r="M8" s="504" t="s">
        <v>6386</v>
      </c>
      <c r="N8" s="57" t="s">
        <v>3300</v>
      </c>
      <c r="O8" s="226"/>
      <c r="P8" s="191" t="b">
        <v>1</v>
      </c>
      <c r="Q8" s="342" t="s">
        <v>3684</v>
      </c>
      <c r="R8" s="505" t="s">
        <v>6387</v>
      </c>
      <c r="S8" s="57" t="b">
        <v>1</v>
      </c>
      <c r="T8" s="309" t="s">
        <v>6388</v>
      </c>
      <c r="U8" s="227"/>
      <c r="V8" s="54"/>
    </row>
    <row r="9" spans="1:22" ht="15" customHeight="1">
      <c r="A9" s="1"/>
      <c r="B9" s="71" t="s">
        <v>6384</v>
      </c>
      <c r="C9" s="53" t="s">
        <v>3552</v>
      </c>
      <c r="D9" s="151" t="s">
        <v>51</v>
      </c>
      <c r="E9" s="53" t="s">
        <v>66</v>
      </c>
      <c r="F9" s="53" t="s">
        <v>6385</v>
      </c>
      <c r="G9" s="66" t="s">
        <v>3642</v>
      </c>
      <c r="H9" s="131" t="s">
        <v>30</v>
      </c>
      <c r="I9" s="66">
        <v>63</v>
      </c>
      <c r="J9" s="472">
        <v>270</v>
      </c>
      <c r="K9" s="472">
        <f t="shared" si="0"/>
        <v>17010</v>
      </c>
      <c r="L9" s="501" t="b">
        <v>1</v>
      </c>
      <c r="M9" s="504" t="s">
        <v>6386</v>
      </c>
      <c r="N9" s="57" t="s">
        <v>3300</v>
      </c>
      <c r="O9" s="226"/>
      <c r="P9" s="191" t="b">
        <v>0</v>
      </c>
      <c r="Q9" s="433"/>
      <c r="R9" s="506"/>
      <c r="S9" s="57" t="b">
        <v>0</v>
      </c>
      <c r="T9" s="507"/>
      <c r="U9" s="227"/>
      <c r="V9" s="54"/>
    </row>
    <row r="10" spans="1:22" ht="15" customHeight="1">
      <c r="A10" s="18"/>
      <c r="B10" s="71" t="s">
        <v>6384</v>
      </c>
      <c r="C10" s="151" t="s">
        <v>4330</v>
      </c>
      <c r="D10" s="151" t="s">
        <v>212</v>
      </c>
      <c r="E10" s="151" t="s">
        <v>213</v>
      </c>
      <c r="F10" s="151" t="s">
        <v>4331</v>
      </c>
      <c r="G10" s="151" t="s">
        <v>183</v>
      </c>
      <c r="H10" s="131" t="s">
        <v>30</v>
      </c>
      <c r="I10" s="151">
        <v>12</v>
      </c>
      <c r="J10" s="496">
        <v>325</v>
      </c>
      <c r="K10" s="472">
        <f t="shared" si="0"/>
        <v>3900</v>
      </c>
      <c r="L10" s="501" t="b">
        <v>1</v>
      </c>
      <c r="M10" s="504" t="s">
        <v>6389</v>
      </c>
      <c r="N10" s="348"/>
      <c r="O10" s="477"/>
      <c r="P10" s="191" t="b">
        <v>1</v>
      </c>
      <c r="Q10" s="342" t="s">
        <v>3684</v>
      </c>
      <c r="R10" s="505" t="s">
        <v>6390</v>
      </c>
      <c r="S10" s="57" t="b">
        <v>1</v>
      </c>
      <c r="T10" s="309" t="s">
        <v>6391</v>
      </c>
      <c r="U10" s="345"/>
      <c r="V10" s="54"/>
    </row>
    <row r="11" spans="1:22" ht="15" customHeight="1">
      <c r="A11" s="18"/>
      <c r="B11" s="71" t="s">
        <v>6384</v>
      </c>
      <c r="C11" s="151" t="s">
        <v>4268</v>
      </c>
      <c r="D11" s="151" t="s">
        <v>345</v>
      </c>
      <c r="E11" s="151" t="s">
        <v>1756</v>
      </c>
      <c r="F11" s="151" t="s">
        <v>5953</v>
      </c>
      <c r="G11" s="151" t="s">
        <v>6392</v>
      </c>
      <c r="H11" s="131" t="s">
        <v>30</v>
      </c>
      <c r="I11" s="151">
        <v>5</v>
      </c>
      <c r="J11" s="472">
        <v>165</v>
      </c>
      <c r="K11" s="472">
        <f t="shared" si="0"/>
        <v>825</v>
      </c>
      <c r="L11" s="501" t="b">
        <v>1</v>
      </c>
      <c r="M11" s="504">
        <v>11220252319</v>
      </c>
      <c r="N11" s="348"/>
      <c r="O11" s="508"/>
      <c r="P11" s="191" t="b">
        <v>1</v>
      </c>
      <c r="Q11" s="342" t="s">
        <v>3684</v>
      </c>
      <c r="R11" s="509" t="s">
        <v>6393</v>
      </c>
      <c r="S11" s="57" t="b">
        <v>1</v>
      </c>
      <c r="T11" s="309" t="s">
        <v>6394</v>
      </c>
      <c r="U11" s="345"/>
      <c r="V11" s="54"/>
    </row>
    <row r="12" spans="1:22" ht="15" customHeight="1">
      <c r="A12" s="162"/>
      <c r="B12" s="71" t="s">
        <v>6384</v>
      </c>
      <c r="C12" s="151" t="s">
        <v>4268</v>
      </c>
      <c r="D12" s="151" t="s">
        <v>26</v>
      </c>
      <c r="E12" s="151" t="s">
        <v>1976</v>
      </c>
      <c r="F12" s="151" t="s">
        <v>2124</v>
      </c>
      <c r="G12" s="151" t="s">
        <v>68</v>
      </c>
      <c r="H12" s="334" t="s">
        <v>30</v>
      </c>
      <c r="I12" s="151">
        <v>3</v>
      </c>
      <c r="J12" s="496">
        <v>2350</v>
      </c>
      <c r="K12" s="472">
        <f t="shared" si="0"/>
        <v>7050</v>
      </c>
      <c r="L12" s="501" t="b">
        <v>1</v>
      </c>
      <c r="M12" s="510">
        <v>11220252319</v>
      </c>
      <c r="N12" s="348"/>
      <c r="O12" s="477"/>
      <c r="P12" s="191" t="b">
        <v>1</v>
      </c>
      <c r="Q12" s="342" t="s">
        <v>3684</v>
      </c>
      <c r="R12" s="509" t="s">
        <v>6395</v>
      </c>
      <c r="S12" s="57" t="b">
        <v>1</v>
      </c>
      <c r="T12" s="309" t="s">
        <v>6396</v>
      </c>
      <c r="U12" s="345"/>
      <c r="V12" s="54"/>
    </row>
    <row r="13" spans="1:22" ht="15" customHeight="1">
      <c r="A13" s="162"/>
      <c r="B13" s="343" t="s">
        <v>6384</v>
      </c>
      <c r="C13" s="151" t="s">
        <v>3483</v>
      </c>
      <c r="D13" s="151" t="s">
        <v>26</v>
      </c>
      <c r="E13" s="151" t="s">
        <v>1976</v>
      </c>
      <c r="F13" s="151" t="s">
        <v>2124</v>
      </c>
      <c r="G13" s="151" t="s">
        <v>6397</v>
      </c>
      <c r="H13" s="334" t="s">
        <v>30</v>
      </c>
      <c r="I13" s="151">
        <v>3</v>
      </c>
      <c r="J13" s="496">
        <v>1875</v>
      </c>
      <c r="K13" s="472">
        <f t="shared" si="0"/>
        <v>5625</v>
      </c>
      <c r="L13" s="501" t="b">
        <v>1</v>
      </c>
      <c r="M13" s="510">
        <v>11220252319</v>
      </c>
      <c r="N13" s="348"/>
      <c r="O13" s="477"/>
      <c r="P13" s="191" t="b">
        <v>1</v>
      </c>
      <c r="Q13" s="342" t="s">
        <v>3684</v>
      </c>
      <c r="R13" s="509" t="s">
        <v>6398</v>
      </c>
      <c r="S13" s="57" t="b">
        <v>1</v>
      </c>
      <c r="T13" s="309" t="s">
        <v>6399</v>
      </c>
      <c r="U13" s="345"/>
      <c r="V13" s="54"/>
    </row>
    <row r="14" spans="1:22" ht="15" customHeight="1">
      <c r="A14" s="162"/>
      <c r="B14" s="343" t="s">
        <v>6384</v>
      </c>
      <c r="C14" s="151" t="s">
        <v>3445</v>
      </c>
      <c r="D14" s="151" t="s">
        <v>262</v>
      </c>
      <c r="E14" s="151" t="s">
        <v>3446</v>
      </c>
      <c r="F14" s="151" t="s">
        <v>3447</v>
      </c>
      <c r="G14" s="151" t="s">
        <v>6400</v>
      </c>
      <c r="H14" s="334" t="s">
        <v>30</v>
      </c>
      <c r="I14" s="151">
        <v>4</v>
      </c>
      <c r="J14" s="496">
        <v>750</v>
      </c>
      <c r="K14" s="472">
        <f t="shared" si="0"/>
        <v>3000</v>
      </c>
      <c r="L14" s="501" t="b">
        <v>1</v>
      </c>
      <c r="M14" s="510">
        <v>11220252326</v>
      </c>
      <c r="N14" s="348"/>
      <c r="O14" s="477"/>
      <c r="P14" s="191" t="b">
        <v>1</v>
      </c>
      <c r="Q14" s="342" t="s">
        <v>3684</v>
      </c>
      <c r="R14" s="509" t="s">
        <v>6401</v>
      </c>
      <c r="S14" s="57" t="b">
        <v>1</v>
      </c>
      <c r="T14" s="309" t="s">
        <v>6402</v>
      </c>
      <c r="U14" s="345"/>
      <c r="V14" s="54"/>
    </row>
    <row r="15" spans="1:22" ht="15" customHeight="1">
      <c r="A15" s="162"/>
      <c r="B15" s="343" t="s">
        <v>6384</v>
      </c>
      <c r="C15" s="151" t="s">
        <v>3445</v>
      </c>
      <c r="D15" s="151" t="s">
        <v>262</v>
      </c>
      <c r="E15" s="151" t="s">
        <v>3446</v>
      </c>
      <c r="F15" s="151" t="s">
        <v>3447</v>
      </c>
      <c r="G15" s="151" t="s">
        <v>6403</v>
      </c>
      <c r="H15" s="334" t="s">
        <v>30</v>
      </c>
      <c r="I15" s="151">
        <v>3</v>
      </c>
      <c r="J15" s="496">
        <v>850</v>
      </c>
      <c r="K15" s="472">
        <f t="shared" si="0"/>
        <v>2550</v>
      </c>
      <c r="L15" s="501" t="b">
        <v>1</v>
      </c>
      <c r="M15" s="510">
        <v>11220252326</v>
      </c>
      <c r="N15" s="348"/>
      <c r="O15" s="477"/>
      <c r="P15" s="191" t="b">
        <v>1</v>
      </c>
      <c r="Q15" s="342" t="s">
        <v>3684</v>
      </c>
      <c r="R15" s="509" t="s">
        <v>6401</v>
      </c>
      <c r="S15" s="57" t="b">
        <v>1</v>
      </c>
      <c r="T15" s="309" t="s">
        <v>6402</v>
      </c>
      <c r="U15" s="345"/>
      <c r="V15" s="54"/>
    </row>
    <row r="16" spans="1:22" ht="15" customHeight="1">
      <c r="A16" s="162"/>
      <c r="B16" s="343" t="s">
        <v>6384</v>
      </c>
      <c r="C16" s="151" t="s">
        <v>3445</v>
      </c>
      <c r="D16" s="151" t="s">
        <v>262</v>
      </c>
      <c r="E16" s="151" t="s">
        <v>3446</v>
      </c>
      <c r="F16" s="151" t="s">
        <v>3447</v>
      </c>
      <c r="G16" s="151" t="s">
        <v>6404</v>
      </c>
      <c r="H16" s="334" t="s">
        <v>30</v>
      </c>
      <c r="I16" s="151">
        <v>3</v>
      </c>
      <c r="J16" s="496">
        <v>700</v>
      </c>
      <c r="K16" s="472">
        <f t="shared" si="0"/>
        <v>2100</v>
      </c>
      <c r="L16" s="501" t="b">
        <v>1</v>
      </c>
      <c r="M16" s="510">
        <v>11220252326</v>
      </c>
      <c r="N16" s="348"/>
      <c r="O16" s="477"/>
      <c r="P16" s="191" t="b">
        <v>1</v>
      </c>
      <c r="Q16" s="342" t="s">
        <v>3684</v>
      </c>
      <c r="R16" s="509" t="s">
        <v>6401</v>
      </c>
      <c r="S16" s="57" t="b">
        <v>1</v>
      </c>
      <c r="T16" s="309" t="s">
        <v>6402</v>
      </c>
      <c r="U16" s="345"/>
      <c r="V16" s="54"/>
    </row>
    <row r="17" spans="1:25" ht="15" customHeight="1">
      <c r="A17" s="162"/>
      <c r="B17" s="343" t="s">
        <v>6384</v>
      </c>
      <c r="C17" s="151" t="s">
        <v>3445</v>
      </c>
      <c r="D17" s="151" t="s">
        <v>262</v>
      </c>
      <c r="E17" s="151" t="s">
        <v>3446</v>
      </c>
      <c r="F17" s="151" t="s">
        <v>3447</v>
      </c>
      <c r="G17" s="151" t="s">
        <v>6405</v>
      </c>
      <c r="H17" s="334" t="s">
        <v>30</v>
      </c>
      <c r="I17" s="151">
        <v>2</v>
      </c>
      <c r="J17" s="496">
        <v>725</v>
      </c>
      <c r="K17" s="472">
        <f t="shared" si="0"/>
        <v>1450</v>
      </c>
      <c r="L17" s="501" t="b">
        <v>1</v>
      </c>
      <c r="M17" s="510">
        <v>11220252326</v>
      </c>
      <c r="N17" s="348"/>
      <c r="O17" s="477"/>
      <c r="P17" s="191" t="b">
        <v>1</v>
      </c>
      <c r="Q17" s="342" t="s">
        <v>3684</v>
      </c>
      <c r="R17" s="509" t="s">
        <v>6401</v>
      </c>
      <c r="S17" s="57" t="b">
        <v>1</v>
      </c>
      <c r="T17" s="309" t="s">
        <v>6402</v>
      </c>
      <c r="U17" s="345"/>
      <c r="V17" s="54"/>
    </row>
    <row r="18" spans="1:25" ht="15" customHeight="1">
      <c r="A18" s="162"/>
      <c r="B18" s="343" t="s">
        <v>6384</v>
      </c>
      <c r="C18" s="151" t="s">
        <v>3445</v>
      </c>
      <c r="D18" s="151" t="s">
        <v>262</v>
      </c>
      <c r="E18" s="151" t="s">
        <v>3446</v>
      </c>
      <c r="F18" s="151" t="s">
        <v>3447</v>
      </c>
      <c r="G18" s="151" t="s">
        <v>6406</v>
      </c>
      <c r="H18" s="334" t="s">
        <v>30</v>
      </c>
      <c r="I18" s="151">
        <v>2</v>
      </c>
      <c r="J18" s="496">
        <v>650</v>
      </c>
      <c r="K18" s="472">
        <f t="shared" si="0"/>
        <v>1300</v>
      </c>
      <c r="L18" s="501" t="b">
        <v>1</v>
      </c>
      <c r="M18" s="510">
        <v>11220252326</v>
      </c>
      <c r="N18" s="348"/>
      <c r="O18" s="477"/>
      <c r="P18" s="191" t="b">
        <v>1</v>
      </c>
      <c r="Q18" s="342" t="s">
        <v>3684</v>
      </c>
      <c r="R18" s="509" t="s">
        <v>6401</v>
      </c>
      <c r="S18" s="57" t="b">
        <v>1</v>
      </c>
      <c r="T18" s="309" t="s">
        <v>6402</v>
      </c>
      <c r="U18" s="345"/>
      <c r="V18" s="54"/>
    </row>
    <row r="19" spans="1:25" ht="15" customHeight="1">
      <c r="A19" s="162"/>
      <c r="B19" s="343" t="s">
        <v>6384</v>
      </c>
      <c r="C19" s="151" t="s">
        <v>3445</v>
      </c>
      <c r="D19" s="151" t="s">
        <v>262</v>
      </c>
      <c r="E19" s="151" t="s">
        <v>3446</v>
      </c>
      <c r="F19" s="151" t="s">
        <v>3447</v>
      </c>
      <c r="G19" s="151" t="s">
        <v>6407</v>
      </c>
      <c r="H19" s="334" t="s">
        <v>30</v>
      </c>
      <c r="I19" s="151">
        <v>4</v>
      </c>
      <c r="J19" s="496">
        <v>600</v>
      </c>
      <c r="K19" s="472">
        <f t="shared" si="0"/>
        <v>2400</v>
      </c>
      <c r="L19" s="501" t="b">
        <v>1</v>
      </c>
      <c r="M19" s="510">
        <v>11220252326</v>
      </c>
      <c r="N19" s="348"/>
      <c r="O19" s="477"/>
      <c r="P19" s="191" t="b">
        <v>1</v>
      </c>
      <c r="Q19" s="342" t="s">
        <v>3684</v>
      </c>
      <c r="R19" s="505"/>
      <c r="S19" s="57" t="b">
        <v>1</v>
      </c>
      <c r="T19" s="309" t="s">
        <v>6408</v>
      </c>
      <c r="U19" s="345"/>
      <c r="V19" s="54"/>
    </row>
    <row r="20" spans="1:25" ht="15" customHeight="1">
      <c r="A20" s="162"/>
      <c r="B20" s="343" t="s">
        <v>6409</v>
      </c>
      <c r="C20" s="151" t="s">
        <v>4095</v>
      </c>
      <c r="D20" s="151" t="s">
        <v>345</v>
      </c>
      <c r="E20" s="151" t="s">
        <v>342</v>
      </c>
      <c r="F20" s="151" t="s">
        <v>2823</v>
      </c>
      <c r="G20" s="151" t="s">
        <v>68</v>
      </c>
      <c r="H20" s="334" t="s">
        <v>30</v>
      </c>
      <c r="I20" s="151">
        <v>3</v>
      </c>
      <c r="J20" s="496">
        <v>2350</v>
      </c>
      <c r="K20" s="472">
        <f t="shared" si="0"/>
        <v>7050</v>
      </c>
      <c r="L20" s="501" t="b">
        <v>1</v>
      </c>
      <c r="M20" s="510">
        <v>21220250951</v>
      </c>
      <c r="N20" s="348"/>
      <c r="O20" s="477"/>
      <c r="P20" s="191" t="b">
        <v>1</v>
      </c>
      <c r="Q20" s="342" t="s">
        <v>3684</v>
      </c>
      <c r="R20" s="509" t="s">
        <v>6410</v>
      </c>
      <c r="S20" s="57" t="b">
        <v>1</v>
      </c>
      <c r="T20" s="309" t="s">
        <v>6411</v>
      </c>
      <c r="U20" s="345"/>
      <c r="V20" s="54"/>
    </row>
    <row r="21" spans="1:25" ht="15" customHeight="1">
      <c r="A21" s="162"/>
      <c r="B21" s="343" t="s">
        <v>6409</v>
      </c>
      <c r="C21" s="151" t="s">
        <v>4292</v>
      </c>
      <c r="D21" s="151" t="s">
        <v>98</v>
      </c>
      <c r="E21" s="151" t="s">
        <v>99</v>
      </c>
      <c r="F21" s="151" t="s">
        <v>2768</v>
      </c>
      <c r="G21" s="151" t="s">
        <v>6412</v>
      </c>
      <c r="H21" s="334" t="s">
        <v>30</v>
      </c>
      <c r="I21" s="151">
        <v>2</v>
      </c>
      <c r="J21" s="496">
        <v>2750</v>
      </c>
      <c r="K21" s="472">
        <f t="shared" si="0"/>
        <v>5500</v>
      </c>
      <c r="L21" s="501" t="b">
        <v>1</v>
      </c>
      <c r="M21" s="510">
        <v>21220250951</v>
      </c>
      <c r="N21" s="348"/>
      <c r="O21" s="508"/>
      <c r="P21" s="191" t="b">
        <v>0</v>
      </c>
      <c r="Q21" s="342" t="s">
        <v>3684</v>
      </c>
      <c r="R21" s="509" t="s">
        <v>6413</v>
      </c>
      <c r="S21" s="57" t="b">
        <v>1</v>
      </c>
      <c r="T21" s="309" t="s">
        <v>6414</v>
      </c>
      <c r="U21" s="345"/>
      <c r="V21" s="54"/>
    </row>
    <row r="22" spans="1:25" ht="15" customHeight="1">
      <c r="A22" s="162"/>
      <c r="B22" s="343" t="s">
        <v>6409</v>
      </c>
      <c r="C22" s="151" t="s">
        <v>4292</v>
      </c>
      <c r="D22" s="151" t="s">
        <v>98</v>
      </c>
      <c r="E22" s="151" t="s">
        <v>99</v>
      </c>
      <c r="F22" s="151" t="s">
        <v>2768</v>
      </c>
      <c r="G22" s="151" t="s">
        <v>6415</v>
      </c>
      <c r="H22" s="334" t="s">
        <v>30</v>
      </c>
      <c r="I22" s="151">
        <v>3</v>
      </c>
      <c r="J22" s="496">
        <v>2850</v>
      </c>
      <c r="K22" s="472">
        <f t="shared" si="0"/>
        <v>8550</v>
      </c>
      <c r="L22" s="501" t="b">
        <v>1</v>
      </c>
      <c r="M22" s="510">
        <v>21220250951</v>
      </c>
      <c r="N22" s="348"/>
      <c r="O22" s="477"/>
      <c r="P22" s="191" t="b">
        <v>0</v>
      </c>
      <c r="Q22" s="433" t="s">
        <v>6416</v>
      </c>
      <c r="R22" s="509" t="s">
        <v>6413</v>
      </c>
      <c r="S22" s="57" t="b">
        <v>1</v>
      </c>
      <c r="T22" s="309" t="s">
        <v>6414</v>
      </c>
      <c r="U22" s="345"/>
      <c r="V22" s="54"/>
    </row>
    <row r="23" spans="1:25" ht="15" customHeight="1">
      <c r="A23" s="162"/>
      <c r="B23" s="343" t="s">
        <v>6409</v>
      </c>
      <c r="C23" s="151" t="s">
        <v>4292</v>
      </c>
      <c r="D23" s="151" t="s">
        <v>98</v>
      </c>
      <c r="E23" s="151" t="s">
        <v>99</v>
      </c>
      <c r="F23" s="151" t="s">
        <v>2768</v>
      </c>
      <c r="G23" s="151" t="s">
        <v>6417</v>
      </c>
      <c r="H23" s="334" t="s">
        <v>30</v>
      </c>
      <c r="I23" s="151">
        <v>3</v>
      </c>
      <c r="J23" s="496">
        <v>975</v>
      </c>
      <c r="K23" s="472">
        <f t="shared" si="0"/>
        <v>2925</v>
      </c>
      <c r="L23" s="501" t="b">
        <v>1</v>
      </c>
      <c r="M23" s="510">
        <v>21220250956</v>
      </c>
      <c r="N23" s="348"/>
      <c r="O23" s="508"/>
      <c r="P23" s="191" t="b">
        <v>0</v>
      </c>
      <c r="Q23" s="342" t="s">
        <v>3684</v>
      </c>
      <c r="R23" s="509" t="s">
        <v>6413</v>
      </c>
      <c r="S23" s="57" t="b">
        <v>1</v>
      </c>
      <c r="T23" s="309" t="s">
        <v>6414</v>
      </c>
      <c r="U23" s="345"/>
      <c r="V23" s="54"/>
    </row>
    <row r="24" spans="1:25" ht="15" customHeight="1">
      <c r="A24" s="162"/>
      <c r="B24" s="343" t="s">
        <v>6409</v>
      </c>
      <c r="C24" s="151" t="s">
        <v>4229</v>
      </c>
      <c r="D24" s="151" t="s">
        <v>418</v>
      </c>
      <c r="E24" s="151" t="s">
        <v>42</v>
      </c>
      <c r="F24" s="151" t="s">
        <v>209</v>
      </c>
      <c r="G24" s="151" t="s">
        <v>746</v>
      </c>
      <c r="H24" s="334" t="s">
        <v>30</v>
      </c>
      <c r="I24" s="151">
        <v>10</v>
      </c>
      <c r="J24" s="496">
        <v>975</v>
      </c>
      <c r="K24" s="472">
        <f t="shared" si="0"/>
        <v>9750</v>
      </c>
      <c r="L24" s="501" t="b">
        <v>1</v>
      </c>
      <c r="M24" s="510">
        <v>21220252148</v>
      </c>
      <c r="N24" s="348"/>
      <c r="O24" s="508"/>
      <c r="P24" s="191" t="b">
        <v>1</v>
      </c>
      <c r="Q24" s="342" t="s">
        <v>3684</v>
      </c>
      <c r="R24" s="509" t="s">
        <v>6418</v>
      </c>
      <c r="S24" s="57" t="b">
        <v>1</v>
      </c>
      <c r="T24" s="309" t="s">
        <v>6419</v>
      </c>
      <c r="U24" s="345"/>
      <c r="V24" s="54"/>
    </row>
    <row r="25" spans="1:25" ht="15" customHeight="1">
      <c r="A25" s="162"/>
      <c r="B25" s="343" t="s">
        <v>6409</v>
      </c>
      <c r="C25" s="151" t="s">
        <v>3480</v>
      </c>
      <c r="D25" s="151" t="s">
        <v>418</v>
      </c>
      <c r="E25" s="151" t="s">
        <v>565</v>
      </c>
      <c r="F25" s="151" t="s">
        <v>6420</v>
      </c>
      <c r="G25" s="151" t="s">
        <v>308</v>
      </c>
      <c r="H25" s="334" t="s">
        <v>30</v>
      </c>
      <c r="I25" s="151">
        <v>7</v>
      </c>
      <c r="J25" s="496">
        <v>895</v>
      </c>
      <c r="K25" s="472">
        <f t="shared" si="0"/>
        <v>6265</v>
      </c>
      <c r="L25" s="501" t="b">
        <v>1</v>
      </c>
      <c r="M25" s="510">
        <v>21220252148</v>
      </c>
      <c r="N25" s="348"/>
      <c r="O25" s="508"/>
      <c r="P25" s="191" t="b">
        <v>1</v>
      </c>
      <c r="Q25" s="342" t="s">
        <v>3684</v>
      </c>
      <c r="R25" s="509" t="s">
        <v>6421</v>
      </c>
      <c r="S25" s="57" t="b">
        <v>1</v>
      </c>
      <c r="T25" s="309" t="s">
        <v>6422</v>
      </c>
      <c r="U25" s="511" t="s">
        <v>6423</v>
      </c>
      <c r="V25" s="54"/>
    </row>
    <row r="26" spans="1:25" ht="15" customHeight="1">
      <c r="A26" s="475"/>
      <c r="B26" s="343" t="s">
        <v>6409</v>
      </c>
      <c r="C26" s="151" t="s">
        <v>3483</v>
      </c>
      <c r="D26" s="151" t="s">
        <v>26</v>
      </c>
      <c r="E26" s="151" t="s">
        <v>1976</v>
      </c>
      <c r="F26" s="151" t="s">
        <v>2124</v>
      </c>
      <c r="G26" s="151" t="s">
        <v>80</v>
      </c>
      <c r="H26" s="334" t="s">
        <v>30</v>
      </c>
      <c r="I26" s="151">
        <v>25</v>
      </c>
      <c r="J26" s="496">
        <v>300</v>
      </c>
      <c r="K26" s="472">
        <f t="shared" si="0"/>
        <v>7500</v>
      </c>
      <c r="L26" s="501" t="b">
        <v>1</v>
      </c>
      <c r="M26" s="510">
        <v>21220262153</v>
      </c>
      <c r="N26" s="348"/>
      <c r="O26" s="508"/>
      <c r="P26" s="191" t="b">
        <v>1</v>
      </c>
      <c r="Q26" s="342" t="s">
        <v>3684</v>
      </c>
      <c r="R26" s="509" t="s">
        <v>6424</v>
      </c>
      <c r="S26" s="57" t="b">
        <v>1</v>
      </c>
      <c r="T26" s="309" t="s">
        <v>6425</v>
      </c>
      <c r="U26" s="345"/>
      <c r="V26" s="364"/>
    </row>
    <row r="27" spans="1:25" ht="15" customHeight="1">
      <c r="A27" s="162"/>
      <c r="B27" s="343" t="s">
        <v>6409</v>
      </c>
      <c r="C27" s="151" t="s">
        <v>3483</v>
      </c>
      <c r="D27" s="151" t="s">
        <v>26</v>
      </c>
      <c r="E27" s="151" t="s">
        <v>1976</v>
      </c>
      <c r="F27" s="151" t="s">
        <v>2124</v>
      </c>
      <c r="G27" s="151" t="s">
        <v>1181</v>
      </c>
      <c r="H27" s="334" t="s">
        <v>30</v>
      </c>
      <c r="I27" s="151">
        <v>25</v>
      </c>
      <c r="J27" s="496">
        <v>150</v>
      </c>
      <c r="K27" s="472">
        <f t="shared" si="0"/>
        <v>3750</v>
      </c>
      <c r="L27" s="501" t="b">
        <v>1</v>
      </c>
      <c r="M27" s="510">
        <v>21220262153</v>
      </c>
      <c r="N27" s="348"/>
      <c r="O27" s="508"/>
      <c r="P27" s="191" t="b">
        <v>1</v>
      </c>
      <c r="Q27" s="342" t="s">
        <v>3684</v>
      </c>
      <c r="R27" s="509" t="s">
        <v>6424</v>
      </c>
      <c r="S27" s="57" t="b">
        <v>1</v>
      </c>
      <c r="T27" s="309" t="s">
        <v>6425</v>
      </c>
      <c r="U27" s="345"/>
      <c r="V27" s="54"/>
    </row>
    <row r="28" spans="1:25" ht="15" customHeight="1">
      <c r="A28" s="162"/>
      <c r="B28" s="343" t="s">
        <v>6409</v>
      </c>
      <c r="C28" s="151" t="s">
        <v>3527</v>
      </c>
      <c r="D28" s="151" t="s">
        <v>51</v>
      </c>
      <c r="E28" s="151" t="s">
        <v>338</v>
      </c>
      <c r="F28" s="151" t="s">
        <v>6426</v>
      </c>
      <c r="G28" s="151" t="s">
        <v>6427</v>
      </c>
      <c r="H28" s="334" t="s">
        <v>30</v>
      </c>
      <c r="I28" s="151">
        <v>426</v>
      </c>
      <c r="J28" s="496">
        <v>47</v>
      </c>
      <c r="K28" s="472">
        <f t="shared" si="0"/>
        <v>20022</v>
      </c>
      <c r="L28" s="501" t="b">
        <v>1</v>
      </c>
      <c r="M28" s="510">
        <v>21220262153</v>
      </c>
      <c r="N28" s="348"/>
      <c r="O28" s="508"/>
      <c r="P28" s="191" t="b">
        <v>1</v>
      </c>
      <c r="Q28" s="342" t="s">
        <v>3684</v>
      </c>
      <c r="R28" s="505"/>
      <c r="S28" s="57" t="b">
        <v>1</v>
      </c>
      <c r="T28" s="309" t="s">
        <v>6428</v>
      </c>
      <c r="U28" s="345"/>
      <c r="V28" s="54"/>
    </row>
    <row r="29" spans="1:25" ht="15" customHeight="1">
      <c r="A29" s="162"/>
      <c r="B29" s="343" t="s">
        <v>6409</v>
      </c>
      <c r="C29" s="151" t="s">
        <v>3527</v>
      </c>
      <c r="D29" s="151" t="s">
        <v>51</v>
      </c>
      <c r="E29" s="151" t="s">
        <v>338</v>
      </c>
      <c r="F29" s="151" t="s">
        <v>6426</v>
      </c>
      <c r="G29" s="151" t="s">
        <v>6429</v>
      </c>
      <c r="H29" s="334" t="s">
        <v>30</v>
      </c>
      <c r="I29" s="151">
        <v>1</v>
      </c>
      <c r="J29" s="496">
        <v>4500</v>
      </c>
      <c r="K29" s="472">
        <f t="shared" si="0"/>
        <v>4500</v>
      </c>
      <c r="L29" s="501" t="b">
        <v>1</v>
      </c>
      <c r="M29" s="510">
        <v>21220262153</v>
      </c>
      <c r="N29" s="348"/>
      <c r="O29" s="508"/>
      <c r="P29" s="191" t="b">
        <v>1</v>
      </c>
      <c r="Q29" s="342" t="s">
        <v>3684</v>
      </c>
      <c r="R29" s="505"/>
      <c r="S29" s="57" t="b">
        <v>1</v>
      </c>
      <c r="T29" s="309" t="s">
        <v>6430</v>
      </c>
      <c r="U29" s="345"/>
      <c r="V29" s="54"/>
    </row>
    <row r="30" spans="1:25" ht="15" customHeight="1">
      <c r="A30" s="101"/>
      <c r="B30" s="343" t="s">
        <v>6431</v>
      </c>
      <c r="C30" s="151" t="s">
        <v>4095</v>
      </c>
      <c r="D30" s="151" t="s">
        <v>345</v>
      </c>
      <c r="E30" s="151" t="s">
        <v>342</v>
      </c>
      <c r="F30" s="151" t="s">
        <v>343</v>
      </c>
      <c r="G30" s="151" t="s">
        <v>58</v>
      </c>
      <c r="H30" s="334" t="s">
        <v>30</v>
      </c>
      <c r="I30" s="151">
        <v>84</v>
      </c>
      <c r="J30" s="496">
        <v>45</v>
      </c>
      <c r="K30" s="472">
        <f t="shared" si="0"/>
        <v>3780</v>
      </c>
      <c r="L30" s="501" t="b">
        <v>1</v>
      </c>
      <c r="M30" s="510">
        <v>31220251840</v>
      </c>
      <c r="N30" s="348"/>
      <c r="O30" s="508"/>
      <c r="P30" s="191" t="b">
        <v>1</v>
      </c>
      <c r="Q30" s="342" t="s">
        <v>3684</v>
      </c>
      <c r="R30" s="509" t="s">
        <v>6432</v>
      </c>
      <c r="S30" s="57" t="b">
        <v>1</v>
      </c>
      <c r="T30" s="309" t="s">
        <v>6433</v>
      </c>
      <c r="U30" s="345"/>
      <c r="V30" s="54"/>
      <c r="X30" s="193"/>
      <c r="Y30" s="193"/>
    </row>
    <row r="31" spans="1:25" ht="15" customHeight="1">
      <c r="A31" s="101"/>
      <c r="B31" s="343" t="s">
        <v>6431</v>
      </c>
      <c r="C31" s="151" t="s">
        <v>4095</v>
      </c>
      <c r="D31" s="151" t="s">
        <v>345</v>
      </c>
      <c r="E31" s="151" t="s">
        <v>342</v>
      </c>
      <c r="F31" s="151" t="s">
        <v>343</v>
      </c>
      <c r="G31" s="151" t="s">
        <v>3448</v>
      </c>
      <c r="H31" s="334" t="s">
        <v>30</v>
      </c>
      <c r="I31" s="151">
        <v>10</v>
      </c>
      <c r="J31" s="496">
        <v>795</v>
      </c>
      <c r="K31" s="472">
        <f t="shared" si="0"/>
        <v>7950</v>
      </c>
      <c r="L31" s="501" t="b">
        <v>1</v>
      </c>
      <c r="M31" s="510">
        <v>31220251840</v>
      </c>
      <c r="N31" s="348" t="s">
        <v>39</v>
      </c>
      <c r="O31" s="508"/>
      <c r="P31" s="191" t="b">
        <v>1</v>
      </c>
      <c r="Q31" s="342" t="s">
        <v>3684</v>
      </c>
      <c r="R31" s="505"/>
      <c r="S31" s="57" t="b">
        <v>1</v>
      </c>
      <c r="T31" s="309" t="s">
        <v>6434</v>
      </c>
      <c r="U31" s="345"/>
      <c r="V31" s="54"/>
      <c r="X31" s="193"/>
      <c r="Y31" s="193"/>
    </row>
    <row r="32" spans="1:25" ht="15" customHeight="1">
      <c r="A32" s="162"/>
      <c r="B32" s="343" t="s">
        <v>6431</v>
      </c>
      <c r="C32" s="151" t="s">
        <v>4095</v>
      </c>
      <c r="D32" s="151" t="s">
        <v>345</v>
      </c>
      <c r="E32" s="151" t="s">
        <v>342</v>
      </c>
      <c r="F32" s="151" t="s">
        <v>343</v>
      </c>
      <c r="G32" s="151" t="s">
        <v>1024</v>
      </c>
      <c r="H32" s="334" t="s">
        <v>30</v>
      </c>
      <c r="I32" s="151">
        <v>5</v>
      </c>
      <c r="J32" s="496">
        <v>165</v>
      </c>
      <c r="K32" s="472">
        <f t="shared" si="0"/>
        <v>825</v>
      </c>
      <c r="L32" s="501" t="b">
        <v>1</v>
      </c>
      <c r="M32" s="510">
        <v>31220251840</v>
      </c>
      <c r="N32" s="348"/>
      <c r="O32" s="508"/>
      <c r="P32" s="191" t="b">
        <v>1</v>
      </c>
      <c r="Q32" s="342" t="s">
        <v>3684</v>
      </c>
      <c r="R32" s="509" t="s">
        <v>6435</v>
      </c>
      <c r="S32" s="57" t="b">
        <v>1</v>
      </c>
      <c r="T32" s="309" t="s">
        <v>6436</v>
      </c>
      <c r="U32" s="345"/>
      <c r="V32" s="54"/>
    </row>
    <row r="33" spans="1:22" ht="15" customHeight="1">
      <c r="A33" s="162"/>
      <c r="B33" s="343" t="s">
        <v>6431</v>
      </c>
      <c r="C33" s="151" t="s">
        <v>4095</v>
      </c>
      <c r="D33" s="151" t="s">
        <v>345</v>
      </c>
      <c r="E33" s="151" t="s">
        <v>342</v>
      </c>
      <c r="F33" s="151" t="s">
        <v>343</v>
      </c>
      <c r="G33" s="151" t="s">
        <v>3288</v>
      </c>
      <c r="H33" s="334" t="s">
        <v>30</v>
      </c>
      <c r="I33" s="151">
        <v>1</v>
      </c>
      <c r="J33" s="496">
        <v>2200</v>
      </c>
      <c r="K33" s="472">
        <f t="shared" si="0"/>
        <v>2200</v>
      </c>
      <c r="L33" s="501" t="b">
        <v>1</v>
      </c>
      <c r="M33" s="510">
        <v>31220251840</v>
      </c>
      <c r="N33" s="348"/>
      <c r="O33" s="508"/>
      <c r="P33" s="191" t="b">
        <v>1</v>
      </c>
      <c r="Q33" s="342" t="s">
        <v>3684</v>
      </c>
      <c r="R33" s="509" t="s">
        <v>6435</v>
      </c>
      <c r="S33" s="57" t="b">
        <v>1</v>
      </c>
      <c r="T33" s="309" t="s">
        <v>6436</v>
      </c>
      <c r="U33" s="345"/>
      <c r="V33" s="54"/>
    </row>
    <row r="34" spans="1:22" ht="15" customHeight="1">
      <c r="A34" s="162"/>
      <c r="B34" s="343" t="s">
        <v>6431</v>
      </c>
      <c r="C34" s="151" t="s">
        <v>4800</v>
      </c>
      <c r="D34" s="151" t="s">
        <v>433</v>
      </c>
      <c r="E34" s="151" t="s">
        <v>706</v>
      </c>
      <c r="F34" s="151" t="s">
        <v>707</v>
      </c>
      <c r="G34" s="151" t="s">
        <v>3448</v>
      </c>
      <c r="H34" s="334" t="s">
        <v>30</v>
      </c>
      <c r="I34" s="151">
        <v>10</v>
      </c>
      <c r="J34" s="496">
        <v>795</v>
      </c>
      <c r="K34" s="472">
        <f t="shared" si="0"/>
        <v>7950</v>
      </c>
      <c r="L34" s="501" t="b">
        <v>1</v>
      </c>
      <c r="M34" s="510">
        <v>31220251840</v>
      </c>
      <c r="N34" s="348" t="s">
        <v>39</v>
      </c>
      <c r="O34" s="508"/>
      <c r="P34" s="191" t="b">
        <v>1</v>
      </c>
      <c r="Q34" s="342" t="s">
        <v>3684</v>
      </c>
      <c r="R34" s="505"/>
      <c r="S34" s="57" t="b">
        <v>1</v>
      </c>
      <c r="T34" s="309" t="s">
        <v>6437</v>
      </c>
      <c r="U34" s="345"/>
      <c r="V34" s="54"/>
    </row>
    <row r="35" spans="1:22" ht="15" customHeight="1">
      <c r="A35" s="162"/>
      <c r="B35" s="343" t="s">
        <v>6431</v>
      </c>
      <c r="C35" s="151" t="s">
        <v>3480</v>
      </c>
      <c r="D35" s="151" t="s">
        <v>418</v>
      </c>
      <c r="E35" s="151" t="s">
        <v>565</v>
      </c>
      <c r="F35" s="151" t="s">
        <v>5831</v>
      </c>
      <c r="G35" s="151" t="s">
        <v>1351</v>
      </c>
      <c r="H35" s="334" t="s">
        <v>30</v>
      </c>
      <c r="I35" s="151">
        <v>20</v>
      </c>
      <c r="J35" s="496">
        <v>175</v>
      </c>
      <c r="K35" s="472">
        <f t="shared" si="0"/>
        <v>3500</v>
      </c>
      <c r="L35" s="501" t="b">
        <v>1</v>
      </c>
      <c r="M35" s="510">
        <v>31220251840</v>
      </c>
      <c r="N35" s="348"/>
      <c r="O35" s="508"/>
      <c r="P35" s="191" t="b">
        <v>1</v>
      </c>
      <c r="Q35" s="342" t="s">
        <v>3684</v>
      </c>
      <c r="R35" s="509" t="s">
        <v>6438</v>
      </c>
      <c r="S35" s="57" t="b">
        <v>1</v>
      </c>
      <c r="T35" s="309" t="s">
        <v>6439</v>
      </c>
      <c r="U35" s="345"/>
      <c r="V35" s="54"/>
    </row>
    <row r="36" spans="1:22" ht="15" customHeight="1">
      <c r="A36" s="162"/>
      <c r="B36" s="343" t="s">
        <v>6431</v>
      </c>
      <c r="C36" s="151" t="s">
        <v>3480</v>
      </c>
      <c r="D36" s="151" t="s">
        <v>418</v>
      </c>
      <c r="E36" s="151" t="s">
        <v>565</v>
      </c>
      <c r="F36" s="151" t="s">
        <v>5831</v>
      </c>
      <c r="G36" s="151" t="s">
        <v>6440</v>
      </c>
      <c r="H36" s="334" t="s">
        <v>30</v>
      </c>
      <c r="I36" s="151">
        <v>20</v>
      </c>
      <c r="J36" s="496">
        <v>150</v>
      </c>
      <c r="K36" s="472">
        <f t="shared" si="0"/>
        <v>3000</v>
      </c>
      <c r="L36" s="501" t="b">
        <v>1</v>
      </c>
      <c r="M36" s="510">
        <v>31220251840</v>
      </c>
      <c r="N36" s="348"/>
      <c r="O36" s="508"/>
      <c r="P36" s="191" t="b">
        <v>1</v>
      </c>
      <c r="Q36" s="342" t="s">
        <v>3684</v>
      </c>
      <c r="R36" s="509" t="s">
        <v>6438</v>
      </c>
      <c r="S36" s="57" t="b">
        <v>1</v>
      </c>
      <c r="T36" s="309" t="s">
        <v>6439</v>
      </c>
      <c r="U36" s="345"/>
      <c r="V36" s="54"/>
    </row>
    <row r="37" spans="1:22" ht="15" customHeight="1">
      <c r="A37" s="162"/>
      <c r="B37" s="343" t="s">
        <v>6441</v>
      </c>
      <c r="C37" s="151" t="s">
        <v>3532</v>
      </c>
      <c r="D37" s="151" t="s">
        <v>51</v>
      </c>
      <c r="E37" s="151" t="s">
        <v>52</v>
      </c>
      <c r="F37" s="151" t="s">
        <v>1710</v>
      </c>
      <c r="G37" s="151" t="s">
        <v>3448</v>
      </c>
      <c r="H37" s="334" t="s">
        <v>30</v>
      </c>
      <c r="I37" s="151">
        <v>20</v>
      </c>
      <c r="J37" s="496">
        <v>795</v>
      </c>
      <c r="K37" s="472">
        <f t="shared" si="0"/>
        <v>15900</v>
      </c>
      <c r="L37" s="501" t="b">
        <v>1</v>
      </c>
      <c r="M37" s="510">
        <v>41220252004</v>
      </c>
      <c r="N37" s="348"/>
      <c r="O37" s="508"/>
      <c r="P37" s="191" t="b">
        <v>1</v>
      </c>
      <c r="Q37" s="342" t="s">
        <v>3684</v>
      </c>
      <c r="R37" s="505"/>
      <c r="S37" s="57" t="b">
        <v>1</v>
      </c>
      <c r="T37" s="309" t="s">
        <v>6442</v>
      </c>
      <c r="U37" s="345"/>
      <c r="V37" s="54"/>
    </row>
    <row r="38" spans="1:22" ht="15" customHeight="1">
      <c r="A38" s="162"/>
      <c r="B38" s="343" t="s">
        <v>6441</v>
      </c>
      <c r="C38" s="151" t="s">
        <v>4120</v>
      </c>
      <c r="D38" s="151" t="s">
        <v>144</v>
      </c>
      <c r="E38" s="151" t="s">
        <v>1959</v>
      </c>
      <c r="F38" s="151" t="s">
        <v>1959</v>
      </c>
      <c r="G38" s="151" t="s">
        <v>68</v>
      </c>
      <c r="H38" s="334" t="s">
        <v>30</v>
      </c>
      <c r="I38" s="151">
        <v>3</v>
      </c>
      <c r="J38" s="496">
        <v>2350</v>
      </c>
      <c r="K38" s="472">
        <f t="shared" si="0"/>
        <v>7050</v>
      </c>
      <c r="L38" s="501" t="b">
        <v>1</v>
      </c>
      <c r="M38" s="510">
        <v>41220252006</v>
      </c>
      <c r="N38" s="348"/>
      <c r="O38" s="508"/>
      <c r="P38" s="191" t="b">
        <v>1</v>
      </c>
      <c r="Q38" s="342" t="s">
        <v>3684</v>
      </c>
      <c r="R38" s="509" t="s">
        <v>6443</v>
      </c>
      <c r="S38" s="57" t="b">
        <v>1</v>
      </c>
      <c r="T38" s="309" t="s">
        <v>6444</v>
      </c>
      <c r="U38" s="345"/>
      <c r="V38" s="54"/>
    </row>
    <row r="39" spans="1:22" ht="15" customHeight="1">
      <c r="A39" s="162"/>
      <c r="B39" s="343" t="s">
        <v>6441</v>
      </c>
      <c r="C39" s="151" t="s">
        <v>3706</v>
      </c>
      <c r="D39" s="151" t="s">
        <v>418</v>
      </c>
      <c r="E39" s="151" t="s">
        <v>3373</v>
      </c>
      <c r="F39" s="151" t="s">
        <v>607</v>
      </c>
      <c r="G39" s="151" t="s">
        <v>68</v>
      </c>
      <c r="H39" s="334" t="s">
        <v>30</v>
      </c>
      <c r="I39" s="151">
        <v>4</v>
      </c>
      <c r="J39" s="496">
        <v>2350</v>
      </c>
      <c r="K39" s="472">
        <f t="shared" si="0"/>
        <v>9400</v>
      </c>
      <c r="L39" s="501" t="b">
        <v>1</v>
      </c>
      <c r="M39" s="510">
        <v>41220252007</v>
      </c>
      <c r="N39" s="348"/>
      <c r="O39" s="508"/>
      <c r="P39" s="191" t="b">
        <v>1</v>
      </c>
      <c r="Q39" s="342" t="s">
        <v>3684</v>
      </c>
      <c r="R39" s="509" t="s">
        <v>6445</v>
      </c>
      <c r="S39" s="57" t="b">
        <v>1</v>
      </c>
      <c r="T39" s="309" t="s">
        <v>6446</v>
      </c>
      <c r="U39" s="309" t="s">
        <v>6447</v>
      </c>
      <c r="V39" s="54"/>
    </row>
    <row r="40" spans="1:22" ht="15" customHeight="1">
      <c r="A40" s="162"/>
      <c r="B40" s="343" t="s">
        <v>6441</v>
      </c>
      <c r="C40" s="151" t="s">
        <v>3552</v>
      </c>
      <c r="D40" s="151" t="s">
        <v>51</v>
      </c>
      <c r="E40" s="151" t="s">
        <v>66</v>
      </c>
      <c r="F40" s="151" t="s">
        <v>67</v>
      </c>
      <c r="G40" s="151" t="s">
        <v>3448</v>
      </c>
      <c r="H40" s="334" t="s">
        <v>30</v>
      </c>
      <c r="I40" s="151">
        <v>10</v>
      </c>
      <c r="J40" s="496">
        <v>795</v>
      </c>
      <c r="K40" s="472">
        <f t="shared" si="0"/>
        <v>7950</v>
      </c>
      <c r="L40" s="501" t="b">
        <v>1</v>
      </c>
      <c r="M40" s="510">
        <v>41220252008</v>
      </c>
      <c r="N40" s="348"/>
      <c r="O40" s="508"/>
      <c r="P40" s="191" t="b">
        <v>1</v>
      </c>
      <c r="Q40" s="342" t="s">
        <v>3684</v>
      </c>
      <c r="R40" s="505"/>
      <c r="S40" s="57" t="b">
        <v>1</v>
      </c>
      <c r="T40" s="309" t="s">
        <v>6448</v>
      </c>
      <c r="U40" s="345"/>
      <c r="V40" s="54"/>
    </row>
    <row r="41" spans="1:22" ht="15" customHeight="1">
      <c r="A41" s="162"/>
      <c r="B41" s="343" t="s">
        <v>6449</v>
      </c>
      <c r="C41" s="151" t="s">
        <v>3619</v>
      </c>
      <c r="D41" s="151" t="s">
        <v>433</v>
      </c>
      <c r="E41" s="151" t="s">
        <v>751</v>
      </c>
      <c r="F41" s="151" t="s">
        <v>2538</v>
      </c>
      <c r="G41" s="151" t="s">
        <v>4746</v>
      </c>
      <c r="H41" s="334" t="s">
        <v>30</v>
      </c>
      <c r="I41" s="151">
        <v>20</v>
      </c>
      <c r="J41" s="496">
        <v>150</v>
      </c>
      <c r="K41" s="472">
        <f t="shared" si="0"/>
        <v>3000</v>
      </c>
      <c r="L41" s="501" t="b">
        <v>1</v>
      </c>
      <c r="M41" s="510">
        <v>51220252019</v>
      </c>
      <c r="N41" s="348"/>
      <c r="O41" s="508"/>
      <c r="P41" s="191" t="b">
        <v>1</v>
      </c>
      <c r="Q41" s="342" t="s">
        <v>3684</v>
      </c>
      <c r="R41" s="509" t="s">
        <v>6450</v>
      </c>
      <c r="S41" s="57" t="b">
        <v>1</v>
      </c>
      <c r="T41" s="309" t="s">
        <v>6451</v>
      </c>
      <c r="U41" s="345"/>
      <c r="V41" s="54"/>
    </row>
    <row r="42" spans="1:22" ht="15" customHeight="1">
      <c r="A42" s="162"/>
      <c r="B42" s="343" t="s">
        <v>6449</v>
      </c>
      <c r="C42" s="151" t="s">
        <v>3589</v>
      </c>
      <c r="D42" s="151" t="s">
        <v>397</v>
      </c>
      <c r="E42" s="151" t="s">
        <v>213</v>
      </c>
      <c r="F42" s="151" t="s">
        <v>859</v>
      </c>
      <c r="G42" s="151" t="s">
        <v>1700</v>
      </c>
      <c r="H42" s="334" t="s">
        <v>30</v>
      </c>
      <c r="I42" s="151">
        <v>500</v>
      </c>
      <c r="J42" s="496">
        <v>18</v>
      </c>
      <c r="K42" s="472">
        <f t="shared" si="0"/>
        <v>9000</v>
      </c>
      <c r="L42" s="501" t="b">
        <v>1</v>
      </c>
      <c r="M42" s="510">
        <v>51220252026</v>
      </c>
      <c r="N42" s="348"/>
      <c r="O42" s="508"/>
      <c r="P42" s="191" t="b">
        <v>1</v>
      </c>
      <c r="Q42" s="342" t="s">
        <v>3684</v>
      </c>
      <c r="R42" s="509" t="s">
        <v>6452</v>
      </c>
      <c r="S42" s="57" t="b">
        <v>1</v>
      </c>
      <c r="T42" s="309" t="s">
        <v>6453</v>
      </c>
      <c r="U42" s="345"/>
      <c r="V42" s="54"/>
    </row>
    <row r="43" spans="1:22" ht="15" customHeight="1">
      <c r="A43" s="162"/>
      <c r="B43" s="343" t="s">
        <v>6449</v>
      </c>
      <c r="C43" s="151" t="s">
        <v>3706</v>
      </c>
      <c r="D43" s="151" t="s">
        <v>418</v>
      </c>
      <c r="E43" s="151" t="s">
        <v>3373</v>
      </c>
      <c r="F43" s="151" t="s">
        <v>607</v>
      </c>
      <c r="G43" s="151" t="s">
        <v>4883</v>
      </c>
      <c r="H43" s="334" t="s">
        <v>30</v>
      </c>
      <c r="I43" s="151">
        <v>4</v>
      </c>
      <c r="J43" s="496">
        <v>10750</v>
      </c>
      <c r="K43" s="472">
        <f t="shared" si="0"/>
        <v>43000</v>
      </c>
      <c r="L43" s="501" t="b">
        <v>1</v>
      </c>
      <c r="M43" s="510">
        <v>51220252211</v>
      </c>
      <c r="N43" s="348"/>
      <c r="O43" s="508"/>
      <c r="P43" s="191" t="b">
        <v>0</v>
      </c>
      <c r="Q43" s="364"/>
      <c r="R43" s="505"/>
      <c r="S43" s="57" t="b">
        <v>0</v>
      </c>
      <c r="T43" s="507"/>
      <c r="U43" s="345"/>
      <c r="V43" s="54"/>
    </row>
    <row r="44" spans="1:22" ht="15" customHeight="1">
      <c r="A44" s="162"/>
      <c r="B44" s="343" t="s">
        <v>6449</v>
      </c>
      <c r="C44" s="151" t="s">
        <v>3706</v>
      </c>
      <c r="D44" s="151" t="s">
        <v>418</v>
      </c>
      <c r="E44" s="151" t="s">
        <v>3373</v>
      </c>
      <c r="F44" s="151" t="s">
        <v>607</v>
      </c>
      <c r="G44" s="151" t="s">
        <v>3562</v>
      </c>
      <c r="H44" s="334" t="s">
        <v>30</v>
      </c>
      <c r="I44" s="151">
        <v>1</v>
      </c>
      <c r="J44" s="496">
        <v>6500</v>
      </c>
      <c r="K44" s="472">
        <f t="shared" si="0"/>
        <v>6500</v>
      </c>
      <c r="L44" s="501" t="b">
        <v>1</v>
      </c>
      <c r="M44" s="510">
        <v>51220252211</v>
      </c>
      <c r="N44" s="348"/>
      <c r="O44" s="508"/>
      <c r="P44" s="191" t="b">
        <v>0</v>
      </c>
      <c r="Q44" s="364"/>
      <c r="R44" s="505"/>
      <c r="S44" s="57" t="b">
        <v>0</v>
      </c>
      <c r="T44" s="507"/>
      <c r="U44" s="345"/>
      <c r="V44" s="54"/>
    </row>
    <row r="45" spans="1:22" ht="15" customHeight="1">
      <c r="A45" s="162"/>
      <c r="B45" s="343" t="s">
        <v>6449</v>
      </c>
      <c r="C45" s="151" t="s">
        <v>3706</v>
      </c>
      <c r="D45" s="151" t="s">
        <v>418</v>
      </c>
      <c r="E45" s="151" t="s">
        <v>3373</v>
      </c>
      <c r="F45" s="151" t="s">
        <v>607</v>
      </c>
      <c r="G45" s="151" t="s">
        <v>6454</v>
      </c>
      <c r="H45" s="334" t="s">
        <v>30</v>
      </c>
      <c r="I45" s="151">
        <v>1</v>
      </c>
      <c r="J45" s="496">
        <v>44820</v>
      </c>
      <c r="K45" s="472">
        <f t="shared" si="0"/>
        <v>44820</v>
      </c>
      <c r="L45" s="501" t="b">
        <v>1</v>
      </c>
      <c r="M45" s="510">
        <v>51220252211</v>
      </c>
      <c r="N45" s="348"/>
      <c r="O45" s="508"/>
      <c r="P45" s="191" t="b">
        <v>0</v>
      </c>
      <c r="Q45" s="364"/>
      <c r="R45" s="505"/>
      <c r="S45" s="57" t="b">
        <v>0</v>
      </c>
      <c r="T45" s="507"/>
      <c r="U45" s="345"/>
      <c r="V45" s="54"/>
    </row>
    <row r="46" spans="1:22" ht="15" customHeight="1">
      <c r="A46" s="162"/>
      <c r="B46" s="343" t="s">
        <v>6455</v>
      </c>
      <c r="C46" s="151" t="s">
        <v>3445</v>
      </c>
      <c r="D46" s="151" t="s">
        <v>262</v>
      </c>
      <c r="E46" s="151" t="s">
        <v>3446</v>
      </c>
      <c r="F46" s="151" t="s">
        <v>3447</v>
      </c>
      <c r="G46" s="151" t="s">
        <v>6456</v>
      </c>
      <c r="H46" s="334" t="s">
        <v>30</v>
      </c>
      <c r="I46" s="151">
        <v>1</v>
      </c>
      <c r="J46" s="496">
        <v>350</v>
      </c>
      <c r="K46" s="472">
        <f t="shared" si="0"/>
        <v>350</v>
      </c>
      <c r="L46" s="501" t="b">
        <v>1</v>
      </c>
      <c r="M46" s="510">
        <v>81220251430</v>
      </c>
      <c r="N46" s="348"/>
      <c r="O46" s="508"/>
      <c r="P46" s="191" t="b">
        <v>1</v>
      </c>
      <c r="Q46" s="342" t="s">
        <v>3684</v>
      </c>
      <c r="R46" s="509" t="s">
        <v>6457</v>
      </c>
      <c r="S46" s="57" t="b">
        <v>1</v>
      </c>
      <c r="T46" s="309" t="s">
        <v>6458</v>
      </c>
      <c r="U46" s="345"/>
      <c r="V46" s="54"/>
    </row>
    <row r="47" spans="1:22" ht="15" customHeight="1">
      <c r="A47" s="162"/>
      <c r="B47" s="343" t="s">
        <v>6455</v>
      </c>
      <c r="C47" s="151" t="s">
        <v>3697</v>
      </c>
      <c r="D47" s="151" t="s">
        <v>988</v>
      </c>
      <c r="E47" s="151" t="s">
        <v>3698</v>
      </c>
      <c r="F47" s="151" t="s">
        <v>196</v>
      </c>
      <c r="G47" s="151" t="s">
        <v>3878</v>
      </c>
      <c r="H47" s="334" t="s">
        <v>30</v>
      </c>
      <c r="I47" s="151">
        <v>18</v>
      </c>
      <c r="J47" s="496">
        <v>325</v>
      </c>
      <c r="K47" s="472">
        <f t="shared" si="0"/>
        <v>5850</v>
      </c>
      <c r="L47" s="501" t="b">
        <v>1</v>
      </c>
      <c r="M47" s="510">
        <v>81220251430</v>
      </c>
      <c r="N47" s="348" t="s">
        <v>529</v>
      </c>
      <c r="O47" s="508"/>
      <c r="P47" s="191" t="b">
        <v>1</v>
      </c>
      <c r="Q47" s="342" t="s">
        <v>3684</v>
      </c>
      <c r="R47" s="509"/>
      <c r="S47" s="57" t="b">
        <v>1</v>
      </c>
      <c r="T47" s="309" t="s">
        <v>6459</v>
      </c>
      <c r="U47" s="345"/>
      <c r="V47" s="54"/>
    </row>
    <row r="48" spans="1:22" ht="15" customHeight="1">
      <c r="A48" s="162"/>
      <c r="B48" s="343" t="s">
        <v>6455</v>
      </c>
      <c r="C48" s="151" t="s">
        <v>3663</v>
      </c>
      <c r="D48" s="151" t="s">
        <v>2152</v>
      </c>
      <c r="E48" s="151" t="s">
        <v>6460</v>
      </c>
      <c r="F48" s="151" t="s">
        <v>3077</v>
      </c>
      <c r="G48" s="151" t="s">
        <v>3448</v>
      </c>
      <c r="H48" s="334" t="s">
        <v>30</v>
      </c>
      <c r="I48" s="151">
        <v>10</v>
      </c>
      <c r="J48" s="496">
        <v>795</v>
      </c>
      <c r="K48" s="472">
        <f t="shared" si="0"/>
        <v>7950</v>
      </c>
      <c r="L48" s="501" t="b">
        <v>1</v>
      </c>
      <c r="M48" s="510">
        <v>81220251430</v>
      </c>
      <c r="N48" s="348" t="s">
        <v>39</v>
      </c>
      <c r="O48" s="508"/>
      <c r="P48" s="191" t="b">
        <v>1</v>
      </c>
      <c r="Q48" s="342" t="s">
        <v>3684</v>
      </c>
      <c r="R48" s="505"/>
      <c r="S48" s="57" t="b">
        <v>1</v>
      </c>
      <c r="T48" s="309" t="s">
        <v>6461</v>
      </c>
      <c r="U48" s="345"/>
      <c r="V48" s="54"/>
    </row>
    <row r="49" spans="1:25" ht="15" customHeight="1">
      <c r="A49" s="162"/>
      <c r="B49" s="343" t="s">
        <v>6455</v>
      </c>
      <c r="C49" s="151" t="s">
        <v>3663</v>
      </c>
      <c r="D49" s="151" t="s">
        <v>2152</v>
      </c>
      <c r="E49" s="151" t="s">
        <v>6460</v>
      </c>
      <c r="F49" s="151" t="s">
        <v>3077</v>
      </c>
      <c r="G49" s="340" t="s">
        <v>6462</v>
      </c>
      <c r="H49" s="334" t="s">
        <v>30</v>
      </c>
      <c r="I49" s="151">
        <v>84</v>
      </c>
      <c r="J49" s="496">
        <v>45</v>
      </c>
      <c r="K49" s="472">
        <f t="shared" si="0"/>
        <v>3780</v>
      </c>
      <c r="L49" s="501" t="b">
        <v>1</v>
      </c>
      <c r="M49" s="510">
        <v>81220251430</v>
      </c>
      <c r="N49" s="348"/>
      <c r="O49" s="508"/>
      <c r="P49" s="191" t="b">
        <v>1</v>
      </c>
      <c r="Q49" s="342" t="s">
        <v>3684</v>
      </c>
      <c r="R49" s="509" t="s">
        <v>6463</v>
      </c>
      <c r="S49" s="57" t="b">
        <v>1</v>
      </c>
      <c r="T49" s="309" t="s">
        <v>6464</v>
      </c>
      <c r="U49" s="345"/>
      <c r="V49" s="54"/>
    </row>
    <row r="50" spans="1:25" ht="15" customHeight="1">
      <c r="A50" s="455"/>
      <c r="B50" s="512" t="s">
        <v>6455</v>
      </c>
      <c r="C50" s="340" t="s">
        <v>3506</v>
      </c>
      <c r="D50" s="340" t="s">
        <v>55</v>
      </c>
      <c r="E50" s="340">
        <v>41</v>
      </c>
      <c r="F50" s="340" t="s">
        <v>1552</v>
      </c>
      <c r="G50" s="340" t="s">
        <v>58</v>
      </c>
      <c r="H50" s="334" t="s">
        <v>30</v>
      </c>
      <c r="I50" s="151">
        <v>84</v>
      </c>
      <c r="J50" s="496">
        <v>45</v>
      </c>
      <c r="K50" s="472">
        <f t="shared" si="0"/>
        <v>3780</v>
      </c>
      <c r="L50" s="501" t="b">
        <v>1</v>
      </c>
      <c r="M50" s="510">
        <v>81220251430</v>
      </c>
      <c r="N50" s="348"/>
      <c r="O50" s="508"/>
      <c r="P50" s="191" t="b">
        <v>1</v>
      </c>
      <c r="Q50" s="342" t="s">
        <v>3684</v>
      </c>
      <c r="R50" s="509" t="s">
        <v>6465</v>
      </c>
      <c r="S50" s="57" t="b">
        <v>1</v>
      </c>
      <c r="T50" s="309" t="s">
        <v>6466</v>
      </c>
      <c r="U50" s="349"/>
      <c r="V50" s="336"/>
      <c r="X50" s="462"/>
      <c r="Y50" s="462"/>
    </row>
    <row r="51" spans="1:25" ht="15" customHeight="1">
      <c r="A51" s="447"/>
      <c r="B51" s="512" t="s">
        <v>6455</v>
      </c>
      <c r="C51" s="340" t="s">
        <v>3506</v>
      </c>
      <c r="D51" s="340" t="s">
        <v>55</v>
      </c>
      <c r="E51" s="340">
        <v>41</v>
      </c>
      <c r="F51" s="340" t="s">
        <v>1552</v>
      </c>
      <c r="G51" s="340" t="s">
        <v>6462</v>
      </c>
      <c r="H51" s="334" t="s">
        <v>30</v>
      </c>
      <c r="I51" s="151">
        <v>84</v>
      </c>
      <c r="J51" s="496">
        <v>45</v>
      </c>
      <c r="K51" s="472">
        <f t="shared" si="0"/>
        <v>3780</v>
      </c>
      <c r="L51" s="501" t="b">
        <v>1</v>
      </c>
      <c r="M51" s="510">
        <v>81220251430</v>
      </c>
      <c r="N51" s="348"/>
      <c r="O51" s="508"/>
      <c r="P51" s="191" t="b">
        <v>1</v>
      </c>
      <c r="Q51" s="342" t="s">
        <v>3684</v>
      </c>
      <c r="R51" s="509" t="s">
        <v>6465</v>
      </c>
      <c r="S51" s="57" t="b">
        <v>1</v>
      </c>
      <c r="T51" s="309" t="s">
        <v>6466</v>
      </c>
      <c r="U51" s="513"/>
      <c r="V51" s="452"/>
      <c r="X51" s="453"/>
      <c r="Y51" s="453"/>
    </row>
    <row r="52" spans="1:25" ht="15" customHeight="1">
      <c r="A52" s="447"/>
      <c r="B52" s="512" t="s">
        <v>6455</v>
      </c>
      <c r="C52" s="340" t="s">
        <v>4292</v>
      </c>
      <c r="D52" s="340" t="s">
        <v>98</v>
      </c>
      <c r="E52" s="340" t="s">
        <v>99</v>
      </c>
      <c r="F52" s="340" t="s">
        <v>2768</v>
      </c>
      <c r="G52" s="514" t="s">
        <v>304</v>
      </c>
      <c r="H52" s="334" t="s">
        <v>30</v>
      </c>
      <c r="I52" s="151">
        <v>24</v>
      </c>
      <c r="J52" s="496">
        <v>62.5</v>
      </c>
      <c r="K52" s="472">
        <f t="shared" si="0"/>
        <v>1500</v>
      </c>
      <c r="L52" s="501" t="b">
        <v>1</v>
      </c>
      <c r="M52" s="510">
        <v>81220251440</v>
      </c>
      <c r="N52" s="348"/>
      <c r="O52" s="508"/>
      <c r="P52" s="191" t="b">
        <v>1</v>
      </c>
      <c r="Q52" s="342" t="s">
        <v>3684</v>
      </c>
      <c r="R52" s="509" t="s">
        <v>6467</v>
      </c>
      <c r="S52" s="57" t="b">
        <v>1</v>
      </c>
      <c r="T52" s="309" t="s">
        <v>6468</v>
      </c>
      <c r="U52" s="513"/>
      <c r="V52" s="452"/>
      <c r="X52" s="453"/>
      <c r="Y52" s="453"/>
    </row>
    <row r="53" spans="1:25" ht="15" customHeight="1">
      <c r="A53" s="162"/>
      <c r="B53" s="512" t="s">
        <v>6455</v>
      </c>
      <c r="C53" s="151" t="s">
        <v>4325</v>
      </c>
      <c r="D53" s="151" t="s">
        <v>98</v>
      </c>
      <c r="E53" s="151" t="s">
        <v>2296</v>
      </c>
      <c r="F53" s="151" t="s">
        <v>2297</v>
      </c>
      <c r="G53" s="151" t="s">
        <v>6469</v>
      </c>
      <c r="H53" s="334" t="s">
        <v>30</v>
      </c>
      <c r="I53" s="151">
        <v>5</v>
      </c>
      <c r="J53" s="496">
        <v>750</v>
      </c>
      <c r="K53" s="472">
        <f t="shared" si="0"/>
        <v>3750</v>
      </c>
      <c r="L53" s="501" t="b">
        <v>1</v>
      </c>
      <c r="M53" s="510">
        <v>81220251449</v>
      </c>
      <c r="N53" s="348"/>
      <c r="O53" s="508"/>
      <c r="P53" s="191" t="b">
        <v>1</v>
      </c>
      <c r="Q53" s="342" t="s">
        <v>3684</v>
      </c>
      <c r="R53" s="509" t="s">
        <v>6470</v>
      </c>
      <c r="S53" s="57" t="b">
        <v>1</v>
      </c>
      <c r="T53" s="309" t="s">
        <v>6471</v>
      </c>
      <c r="U53" s="511"/>
      <c r="V53" s="54"/>
    </row>
    <row r="54" spans="1:25" ht="15" customHeight="1">
      <c r="A54" s="162"/>
      <c r="B54" s="512" t="s">
        <v>6455</v>
      </c>
      <c r="C54" s="151" t="s">
        <v>3458</v>
      </c>
      <c r="D54" s="151" t="s">
        <v>51</v>
      </c>
      <c r="E54" s="151" t="s">
        <v>201</v>
      </c>
      <c r="F54" s="151" t="s">
        <v>202</v>
      </c>
      <c r="G54" s="151" t="s">
        <v>6472</v>
      </c>
      <c r="H54" s="334" t="s">
        <v>30</v>
      </c>
      <c r="I54" s="151">
        <v>2</v>
      </c>
      <c r="J54" s="496">
        <v>350</v>
      </c>
      <c r="K54" s="472">
        <f t="shared" si="0"/>
        <v>700</v>
      </c>
      <c r="L54" s="501" t="b">
        <v>1</v>
      </c>
      <c r="M54" s="510">
        <v>81220251449</v>
      </c>
      <c r="N54" s="348"/>
      <c r="O54" s="508"/>
      <c r="P54" s="191" t="b">
        <v>1</v>
      </c>
      <c r="Q54" s="342" t="s">
        <v>3684</v>
      </c>
      <c r="R54" s="509"/>
      <c r="S54" s="57" t="b">
        <v>1</v>
      </c>
      <c r="T54" s="309" t="s">
        <v>6473</v>
      </c>
      <c r="U54" s="345"/>
      <c r="V54" s="54"/>
    </row>
    <row r="55" spans="1:25" ht="15" customHeight="1">
      <c r="A55" s="162"/>
      <c r="B55" s="512" t="s">
        <v>6455</v>
      </c>
      <c r="C55" s="151" t="s">
        <v>3458</v>
      </c>
      <c r="D55" s="151" t="s">
        <v>51</v>
      </c>
      <c r="E55" s="151" t="s">
        <v>201</v>
      </c>
      <c r="F55" s="151" t="s">
        <v>202</v>
      </c>
      <c r="G55" s="151" t="s">
        <v>2303</v>
      </c>
      <c r="H55" s="334" t="s">
        <v>30</v>
      </c>
      <c r="I55" s="151">
        <v>1</v>
      </c>
      <c r="J55" s="496">
        <v>350</v>
      </c>
      <c r="K55" s="472">
        <f t="shared" si="0"/>
        <v>350</v>
      </c>
      <c r="L55" s="501" t="b">
        <v>1</v>
      </c>
      <c r="M55" s="510">
        <v>81220251449</v>
      </c>
      <c r="N55" s="348"/>
      <c r="O55" s="508"/>
      <c r="P55" s="191" t="b">
        <v>1</v>
      </c>
      <c r="Q55" s="342" t="s">
        <v>3684</v>
      </c>
      <c r="R55" s="505"/>
      <c r="S55" s="57" t="b">
        <v>1</v>
      </c>
      <c r="T55" s="309" t="s">
        <v>6473</v>
      </c>
      <c r="U55" s="345"/>
      <c r="V55" s="54"/>
    </row>
    <row r="56" spans="1:25" ht="15" customHeight="1">
      <c r="A56" s="162"/>
      <c r="B56" s="512" t="s">
        <v>6455</v>
      </c>
      <c r="C56" s="151" t="s">
        <v>6064</v>
      </c>
      <c r="D56" s="151" t="s">
        <v>51</v>
      </c>
      <c r="E56" s="151" t="s">
        <v>89</v>
      </c>
      <c r="F56" s="151" t="s">
        <v>1699</v>
      </c>
      <c r="G56" s="151" t="s">
        <v>6474</v>
      </c>
      <c r="H56" s="334" t="s">
        <v>30</v>
      </c>
      <c r="I56" s="151">
        <v>2</v>
      </c>
      <c r="J56" s="496">
        <v>2750</v>
      </c>
      <c r="K56" s="472">
        <f t="shared" si="0"/>
        <v>5500</v>
      </c>
      <c r="L56" s="501" t="b">
        <v>1</v>
      </c>
      <c r="M56" s="510">
        <v>81220251449</v>
      </c>
      <c r="N56" s="348"/>
      <c r="O56" s="508"/>
      <c r="P56" s="191" t="b">
        <v>1</v>
      </c>
      <c r="Q56" s="342" t="s">
        <v>3684</v>
      </c>
      <c r="R56" s="509" t="s">
        <v>6475</v>
      </c>
      <c r="S56" s="57" t="b">
        <v>1</v>
      </c>
      <c r="T56" s="309" t="s">
        <v>6476</v>
      </c>
      <c r="U56" s="345"/>
      <c r="V56" s="54"/>
    </row>
    <row r="57" spans="1:25" ht="15" customHeight="1">
      <c r="A57" s="162"/>
      <c r="B57" s="512" t="s">
        <v>6455</v>
      </c>
      <c r="C57" s="151" t="s">
        <v>3527</v>
      </c>
      <c r="D57" s="151" t="s">
        <v>51</v>
      </c>
      <c r="E57" s="151" t="s">
        <v>338</v>
      </c>
      <c r="F57" s="151" t="s">
        <v>6426</v>
      </c>
      <c r="G57" s="151" t="s">
        <v>6477</v>
      </c>
      <c r="H57" s="334" t="s">
        <v>30</v>
      </c>
      <c r="I57" s="151">
        <v>1</v>
      </c>
      <c r="J57" s="496">
        <v>4650</v>
      </c>
      <c r="K57" s="472">
        <f t="shared" si="0"/>
        <v>4650</v>
      </c>
      <c r="L57" s="501" t="b">
        <v>1</v>
      </c>
      <c r="M57" s="510">
        <v>81220251449</v>
      </c>
      <c r="N57" s="348"/>
      <c r="O57" s="508"/>
      <c r="P57" s="191" t="b">
        <v>1</v>
      </c>
      <c r="Q57" s="342" t="s">
        <v>3684</v>
      </c>
      <c r="R57" s="509"/>
      <c r="S57" s="57" t="b">
        <v>1</v>
      </c>
      <c r="T57" s="309" t="s">
        <v>6478</v>
      </c>
      <c r="U57" s="345"/>
      <c r="V57" s="54"/>
    </row>
    <row r="58" spans="1:25" ht="15" customHeight="1">
      <c r="A58" s="162"/>
      <c r="B58" s="512" t="s">
        <v>6455</v>
      </c>
      <c r="C58" s="151" t="s">
        <v>3532</v>
      </c>
      <c r="D58" s="151" t="s">
        <v>51</v>
      </c>
      <c r="E58" s="151" t="s">
        <v>52</v>
      </c>
      <c r="F58" s="151" t="s">
        <v>6479</v>
      </c>
      <c r="G58" s="151" t="s">
        <v>399</v>
      </c>
      <c r="H58" s="334" t="s">
        <v>30</v>
      </c>
      <c r="I58" s="151">
        <v>5</v>
      </c>
      <c r="J58" s="496">
        <v>950</v>
      </c>
      <c r="K58" s="472">
        <f t="shared" si="0"/>
        <v>4750</v>
      </c>
      <c r="L58" s="501" t="b">
        <v>1</v>
      </c>
      <c r="M58" s="510" t="s">
        <v>529</v>
      </c>
      <c r="N58" s="348"/>
      <c r="O58" s="508"/>
      <c r="P58" s="191" t="b">
        <v>1</v>
      </c>
      <c r="Q58" s="342" t="s">
        <v>3684</v>
      </c>
      <c r="R58" s="509" t="s">
        <v>6480</v>
      </c>
      <c r="S58" s="57" t="b">
        <v>1</v>
      </c>
      <c r="T58" s="309" t="s">
        <v>6481</v>
      </c>
      <c r="U58" s="511"/>
      <c r="V58" s="54"/>
    </row>
    <row r="59" spans="1:25" ht="15" customHeight="1">
      <c r="A59" s="162"/>
      <c r="B59" s="343" t="s">
        <v>6455</v>
      </c>
      <c r="C59" s="151" t="s">
        <v>4095</v>
      </c>
      <c r="D59" s="151" t="s">
        <v>345</v>
      </c>
      <c r="E59" s="151" t="s">
        <v>342</v>
      </c>
      <c r="F59" s="151" t="s">
        <v>343</v>
      </c>
      <c r="G59" s="151" t="s">
        <v>92</v>
      </c>
      <c r="H59" s="334" t="s">
        <v>30</v>
      </c>
      <c r="I59" s="151">
        <v>10</v>
      </c>
      <c r="J59" s="496">
        <v>150</v>
      </c>
      <c r="K59" s="472">
        <f t="shared" si="0"/>
        <v>1500</v>
      </c>
      <c r="L59" s="501" t="b">
        <v>1</v>
      </c>
      <c r="M59" s="510">
        <v>81220252133</v>
      </c>
      <c r="N59" s="348"/>
      <c r="O59" s="508"/>
      <c r="P59" s="191" t="b">
        <v>1</v>
      </c>
      <c r="Q59" s="342" t="s">
        <v>3684</v>
      </c>
      <c r="R59" s="509" t="s">
        <v>6482</v>
      </c>
      <c r="S59" s="57" t="b">
        <v>1</v>
      </c>
      <c r="T59" s="309" t="s">
        <v>6483</v>
      </c>
      <c r="U59" s="345"/>
      <c r="V59" s="54"/>
    </row>
    <row r="60" spans="1:25" ht="15" customHeight="1">
      <c r="A60" s="162"/>
      <c r="B60" s="343" t="s">
        <v>6484</v>
      </c>
      <c r="C60" s="151" t="s">
        <v>3650</v>
      </c>
      <c r="D60" s="151" t="s">
        <v>171</v>
      </c>
      <c r="E60" s="151" t="s">
        <v>137</v>
      </c>
      <c r="F60" s="151" t="s">
        <v>3651</v>
      </c>
      <c r="G60" s="151" t="s">
        <v>3448</v>
      </c>
      <c r="H60" s="334" t="s">
        <v>30</v>
      </c>
      <c r="I60" s="151">
        <v>10</v>
      </c>
      <c r="J60" s="496">
        <v>795</v>
      </c>
      <c r="K60" s="472">
        <f t="shared" si="0"/>
        <v>7950</v>
      </c>
      <c r="L60" s="501" t="b">
        <v>1</v>
      </c>
      <c r="M60" s="510">
        <v>91220251053</v>
      </c>
      <c r="N60" s="348" t="s">
        <v>39</v>
      </c>
      <c r="O60" s="508"/>
      <c r="P60" s="191" t="b">
        <v>1</v>
      </c>
      <c r="Q60" s="342" t="s">
        <v>3684</v>
      </c>
      <c r="R60" s="505"/>
      <c r="S60" s="57" t="b">
        <v>1</v>
      </c>
      <c r="T60" s="309" t="s">
        <v>6485</v>
      </c>
      <c r="U60" s="345"/>
      <c r="V60" s="54"/>
    </row>
    <row r="61" spans="1:25" ht="15" customHeight="1">
      <c r="A61" s="162"/>
      <c r="B61" s="343" t="s">
        <v>6484</v>
      </c>
      <c r="C61" s="151" t="s">
        <v>3650</v>
      </c>
      <c r="D61" s="151" t="s">
        <v>171</v>
      </c>
      <c r="E61" s="151" t="s">
        <v>137</v>
      </c>
      <c r="F61" s="151" t="s">
        <v>3651</v>
      </c>
      <c r="G61" s="151" t="s">
        <v>668</v>
      </c>
      <c r="H61" s="334" t="s">
        <v>30</v>
      </c>
      <c r="I61" s="151">
        <v>5</v>
      </c>
      <c r="J61" s="496">
        <v>165</v>
      </c>
      <c r="K61" s="472">
        <f t="shared" si="0"/>
        <v>825</v>
      </c>
      <c r="L61" s="501" t="b">
        <v>1</v>
      </c>
      <c r="M61" s="510">
        <v>91220251053</v>
      </c>
      <c r="N61" s="348"/>
      <c r="O61" s="508"/>
      <c r="P61" s="191" t="b">
        <v>1</v>
      </c>
      <c r="Q61" s="342" t="s">
        <v>3684</v>
      </c>
      <c r="R61" s="509" t="s">
        <v>6486</v>
      </c>
      <c r="S61" s="57" t="b">
        <v>1</v>
      </c>
      <c r="T61" s="309" t="s">
        <v>6487</v>
      </c>
      <c r="U61" s="345"/>
      <c r="V61" s="54"/>
    </row>
    <row r="62" spans="1:25" ht="15" customHeight="1">
      <c r="A62" s="162"/>
      <c r="B62" s="343" t="s">
        <v>6484</v>
      </c>
      <c r="C62" s="151" t="s">
        <v>3650</v>
      </c>
      <c r="D62" s="151" t="s">
        <v>171</v>
      </c>
      <c r="E62" s="151" t="s">
        <v>137</v>
      </c>
      <c r="F62" s="151" t="s">
        <v>3651</v>
      </c>
      <c r="G62" s="151" t="s">
        <v>3288</v>
      </c>
      <c r="H62" s="334" t="s">
        <v>30</v>
      </c>
      <c r="I62" s="151">
        <v>1</v>
      </c>
      <c r="J62" s="496">
        <v>2200</v>
      </c>
      <c r="K62" s="472">
        <f t="shared" si="0"/>
        <v>2200</v>
      </c>
      <c r="L62" s="501" t="b">
        <v>1</v>
      </c>
      <c r="M62" s="510">
        <v>91220251053</v>
      </c>
      <c r="N62" s="348"/>
      <c r="O62" s="508"/>
      <c r="P62" s="191" t="b">
        <v>1</v>
      </c>
      <c r="Q62" s="342" t="s">
        <v>3684</v>
      </c>
      <c r="R62" s="509" t="s">
        <v>6486</v>
      </c>
      <c r="S62" s="57" t="b">
        <v>1</v>
      </c>
      <c r="T62" s="309" t="s">
        <v>6487</v>
      </c>
      <c r="U62" s="345"/>
      <c r="V62" s="54"/>
    </row>
    <row r="63" spans="1:25" ht="16">
      <c r="A63" s="162"/>
      <c r="B63" s="512" t="s">
        <v>6484</v>
      </c>
      <c r="C63" s="151" t="s">
        <v>3650</v>
      </c>
      <c r="D63" s="151" t="s">
        <v>171</v>
      </c>
      <c r="E63" s="151" t="s">
        <v>137</v>
      </c>
      <c r="F63" s="151" t="s">
        <v>3651</v>
      </c>
      <c r="G63" s="151" t="s">
        <v>2215</v>
      </c>
      <c r="H63" s="334" t="s">
        <v>30</v>
      </c>
      <c r="I63" s="151">
        <v>5</v>
      </c>
      <c r="J63" s="496">
        <v>165</v>
      </c>
      <c r="K63" s="472">
        <f t="shared" si="0"/>
        <v>825</v>
      </c>
      <c r="L63" s="501" t="b">
        <v>1</v>
      </c>
      <c r="M63" s="510">
        <v>91220251053</v>
      </c>
      <c r="N63" s="348"/>
      <c r="O63" s="508"/>
      <c r="P63" s="191" t="b">
        <v>1</v>
      </c>
      <c r="Q63" s="342" t="s">
        <v>3684</v>
      </c>
      <c r="R63" s="509" t="s">
        <v>6486</v>
      </c>
      <c r="S63" s="57" t="b">
        <v>1</v>
      </c>
      <c r="T63" s="309" t="s">
        <v>6487</v>
      </c>
      <c r="U63" s="345"/>
      <c r="V63" s="54"/>
    </row>
    <row r="64" spans="1:25" ht="16">
      <c r="A64" s="162"/>
      <c r="B64" s="343" t="s">
        <v>6484</v>
      </c>
      <c r="C64" s="151" t="s">
        <v>3663</v>
      </c>
      <c r="D64" s="151" t="s">
        <v>2152</v>
      </c>
      <c r="E64" s="151" t="s">
        <v>6460</v>
      </c>
      <c r="F64" s="151" t="s">
        <v>3077</v>
      </c>
      <c r="G64" s="151" t="s">
        <v>68</v>
      </c>
      <c r="H64" s="334" t="s">
        <v>30</v>
      </c>
      <c r="I64" s="151">
        <v>2</v>
      </c>
      <c r="J64" s="496">
        <v>2500</v>
      </c>
      <c r="K64" s="472">
        <f t="shared" si="0"/>
        <v>5000</v>
      </c>
      <c r="L64" s="501" t="b">
        <v>1</v>
      </c>
      <c r="M64" s="510">
        <v>91220251053</v>
      </c>
      <c r="N64" s="348"/>
      <c r="O64" s="508"/>
      <c r="P64" s="191" t="b">
        <v>1</v>
      </c>
      <c r="Q64" s="342" t="s">
        <v>3684</v>
      </c>
      <c r="R64" s="509" t="s">
        <v>6488</v>
      </c>
      <c r="S64" s="57" t="b">
        <v>1</v>
      </c>
      <c r="T64" s="309" t="s">
        <v>6489</v>
      </c>
      <c r="U64" s="345"/>
      <c r="V64" s="54"/>
    </row>
    <row r="65" spans="1:22">
      <c r="A65" s="162"/>
      <c r="B65" s="343" t="s">
        <v>6484</v>
      </c>
      <c r="C65" s="151" t="s">
        <v>4095</v>
      </c>
      <c r="D65" s="151" t="s">
        <v>345</v>
      </c>
      <c r="E65" s="151" t="s">
        <v>342</v>
      </c>
      <c r="F65" s="151" t="s">
        <v>343</v>
      </c>
      <c r="G65" s="151" t="s">
        <v>101</v>
      </c>
      <c r="H65" s="334" t="s">
        <v>30</v>
      </c>
      <c r="I65" s="151">
        <v>5</v>
      </c>
      <c r="J65" s="496">
        <v>975</v>
      </c>
      <c r="K65" s="472">
        <f t="shared" si="0"/>
        <v>4875</v>
      </c>
      <c r="L65" s="501" t="b">
        <v>1</v>
      </c>
      <c r="M65" s="510">
        <v>91220251926</v>
      </c>
      <c r="N65" s="348" t="s">
        <v>529</v>
      </c>
      <c r="O65" s="508"/>
      <c r="P65" s="191" t="b">
        <v>1</v>
      </c>
      <c r="Q65" s="342" t="s">
        <v>3684</v>
      </c>
      <c r="R65" s="505" t="s">
        <v>6490</v>
      </c>
      <c r="S65" s="57" t="b">
        <v>1</v>
      </c>
      <c r="T65" s="309" t="s">
        <v>6491</v>
      </c>
      <c r="U65" s="511"/>
      <c r="V65" s="54"/>
    </row>
    <row r="66" spans="1:22" ht="16">
      <c r="A66" s="162"/>
      <c r="B66" s="343" t="s">
        <v>6484</v>
      </c>
      <c r="C66" s="151" t="s">
        <v>4149</v>
      </c>
      <c r="D66" s="151" t="s">
        <v>1194</v>
      </c>
      <c r="E66" s="151" t="s">
        <v>122</v>
      </c>
      <c r="F66" s="151" t="s">
        <v>582</v>
      </c>
      <c r="G66" s="151" t="s">
        <v>3288</v>
      </c>
      <c r="H66" s="334" t="s">
        <v>30</v>
      </c>
      <c r="I66" s="151">
        <v>1</v>
      </c>
      <c r="J66" s="496">
        <v>2200</v>
      </c>
      <c r="K66" s="472">
        <f t="shared" si="0"/>
        <v>2200</v>
      </c>
      <c r="L66" s="501" t="b">
        <v>1</v>
      </c>
      <c r="M66" s="510">
        <v>91220251926</v>
      </c>
      <c r="N66" s="348"/>
      <c r="O66" s="508"/>
      <c r="P66" s="191" t="b">
        <v>1</v>
      </c>
      <c r="Q66" s="342" t="s">
        <v>3684</v>
      </c>
      <c r="R66" s="509" t="s">
        <v>6492</v>
      </c>
      <c r="S66" s="57" t="b">
        <v>1</v>
      </c>
      <c r="T66" s="309" t="s">
        <v>6493</v>
      </c>
      <c r="U66" s="345"/>
      <c r="V66" s="54"/>
    </row>
    <row r="67" spans="1:22" ht="16">
      <c r="A67" s="162"/>
      <c r="B67" s="343" t="s">
        <v>6484</v>
      </c>
      <c r="C67" s="151" t="s">
        <v>3650</v>
      </c>
      <c r="D67" s="151" t="s">
        <v>171</v>
      </c>
      <c r="E67" s="151" t="s">
        <v>137</v>
      </c>
      <c r="F67" s="151" t="s">
        <v>3651</v>
      </c>
      <c r="G67" s="151" t="s">
        <v>6494</v>
      </c>
      <c r="H67" s="334" t="s">
        <v>30</v>
      </c>
      <c r="I67" s="151">
        <v>12</v>
      </c>
      <c r="J67" s="496">
        <v>625</v>
      </c>
      <c r="K67" s="472">
        <f t="shared" si="0"/>
        <v>7500</v>
      </c>
      <c r="L67" s="501" t="b">
        <v>1</v>
      </c>
      <c r="M67" s="510">
        <v>91220251926</v>
      </c>
      <c r="N67" s="348" t="s">
        <v>529</v>
      </c>
      <c r="O67" s="508"/>
      <c r="P67" s="191" t="b">
        <v>1</v>
      </c>
      <c r="Q67" s="342" t="s">
        <v>3684</v>
      </c>
      <c r="R67" s="509" t="s">
        <v>6495</v>
      </c>
      <c r="S67" s="57" t="b">
        <v>1</v>
      </c>
      <c r="T67" s="309" t="s">
        <v>6496</v>
      </c>
      <c r="U67" s="345"/>
      <c r="V67" s="54"/>
    </row>
    <row r="68" spans="1:22" ht="16">
      <c r="A68" s="162"/>
      <c r="B68" s="343" t="s">
        <v>6484</v>
      </c>
      <c r="C68" s="151" t="s">
        <v>3706</v>
      </c>
      <c r="D68" s="151" t="s">
        <v>418</v>
      </c>
      <c r="E68" s="151" t="s">
        <v>3373</v>
      </c>
      <c r="F68" s="151" t="s">
        <v>607</v>
      </c>
      <c r="G68" s="151" t="s">
        <v>6497</v>
      </c>
      <c r="H68" s="334" t="s">
        <v>30</v>
      </c>
      <c r="I68" s="151">
        <v>3</v>
      </c>
      <c r="J68" s="496">
        <v>8750</v>
      </c>
      <c r="K68" s="472">
        <f t="shared" si="0"/>
        <v>26250</v>
      </c>
      <c r="L68" s="501" t="b">
        <v>1</v>
      </c>
      <c r="M68" s="510">
        <v>91220251926</v>
      </c>
      <c r="N68" s="348"/>
      <c r="O68" s="508"/>
      <c r="P68" s="191" t="b">
        <v>0</v>
      </c>
      <c r="Q68" s="364"/>
      <c r="R68" s="505"/>
      <c r="S68" s="57" t="b">
        <v>0</v>
      </c>
      <c r="T68" s="507"/>
      <c r="U68" s="345"/>
      <c r="V68" s="54"/>
    </row>
    <row r="69" spans="1:22" ht="13.5" customHeight="1">
      <c r="A69" s="162"/>
      <c r="B69" s="343" t="s">
        <v>6484</v>
      </c>
      <c r="C69" s="151" t="s">
        <v>3706</v>
      </c>
      <c r="D69" s="151" t="s">
        <v>418</v>
      </c>
      <c r="E69" s="151" t="s">
        <v>3373</v>
      </c>
      <c r="F69" s="151" t="s">
        <v>607</v>
      </c>
      <c r="G69" s="151" t="s">
        <v>6498</v>
      </c>
      <c r="H69" s="334" t="s">
        <v>30</v>
      </c>
      <c r="I69" s="151">
        <v>5</v>
      </c>
      <c r="J69" s="496">
        <v>2250</v>
      </c>
      <c r="K69" s="472">
        <f t="shared" si="0"/>
        <v>11250</v>
      </c>
      <c r="L69" s="501" t="b">
        <v>1</v>
      </c>
      <c r="M69" s="510">
        <v>91220251926</v>
      </c>
      <c r="N69" s="348"/>
      <c r="O69" s="508"/>
      <c r="P69" s="191" t="b">
        <v>0</v>
      </c>
      <c r="Q69" s="364"/>
      <c r="R69" s="505"/>
      <c r="S69" s="57" t="b">
        <v>0</v>
      </c>
      <c r="T69" s="507"/>
      <c r="U69" s="345"/>
      <c r="V69" s="54"/>
    </row>
    <row r="70" spans="1:22" ht="16">
      <c r="A70" s="162"/>
      <c r="B70" s="343" t="s">
        <v>6484</v>
      </c>
      <c r="C70" s="151" t="s">
        <v>3706</v>
      </c>
      <c r="D70" s="151" t="s">
        <v>418</v>
      </c>
      <c r="E70" s="151" t="s">
        <v>3373</v>
      </c>
      <c r="F70" s="151" t="s">
        <v>607</v>
      </c>
      <c r="G70" s="151" t="s">
        <v>3562</v>
      </c>
      <c r="H70" s="334" t="s">
        <v>30</v>
      </c>
      <c r="I70" s="151">
        <v>1</v>
      </c>
      <c r="J70" s="496"/>
      <c r="K70" s="472"/>
      <c r="L70" s="501" t="b">
        <v>0</v>
      </c>
      <c r="M70" s="510"/>
      <c r="N70" s="348"/>
      <c r="O70" s="508"/>
      <c r="P70" s="191" t="b">
        <v>0</v>
      </c>
      <c r="Q70" s="364"/>
      <c r="R70" s="505"/>
      <c r="S70" s="57" t="b">
        <v>0</v>
      </c>
      <c r="T70" s="507"/>
      <c r="U70" s="345"/>
      <c r="V70" s="54"/>
    </row>
    <row r="71" spans="1:22" ht="16">
      <c r="A71" s="162"/>
      <c r="B71" s="343" t="s">
        <v>6499</v>
      </c>
      <c r="C71" s="151" t="s">
        <v>3445</v>
      </c>
      <c r="D71" s="151" t="s">
        <v>262</v>
      </c>
      <c r="E71" s="151" t="s">
        <v>3446</v>
      </c>
      <c r="F71" s="151" t="s">
        <v>3447</v>
      </c>
      <c r="G71" s="151" t="s">
        <v>177</v>
      </c>
      <c r="H71" s="334" t="s">
        <v>30</v>
      </c>
      <c r="I71" s="151">
        <v>10</v>
      </c>
      <c r="J71" s="496">
        <v>995</v>
      </c>
      <c r="K71" s="472">
        <f t="shared" ref="K71:K157" si="1">(I71*J71)</f>
        <v>9950</v>
      </c>
      <c r="L71" s="501" t="b">
        <v>1</v>
      </c>
      <c r="M71" s="510">
        <v>101220251650</v>
      </c>
      <c r="N71" s="348"/>
      <c r="O71" s="508"/>
      <c r="P71" s="191" t="b">
        <v>1</v>
      </c>
      <c r="Q71" s="342" t="s">
        <v>3684</v>
      </c>
      <c r="R71" s="509" t="s">
        <v>6500</v>
      </c>
      <c r="S71" s="57" t="b">
        <v>1</v>
      </c>
      <c r="T71" s="309" t="s">
        <v>6501</v>
      </c>
      <c r="U71" s="345"/>
      <c r="V71" s="54"/>
    </row>
    <row r="72" spans="1:22" ht="16">
      <c r="A72" s="162"/>
      <c r="B72" s="343" t="s">
        <v>6499</v>
      </c>
      <c r="C72" s="151" t="s">
        <v>3445</v>
      </c>
      <c r="D72" s="151" t="s">
        <v>262</v>
      </c>
      <c r="E72" s="151" t="s">
        <v>3446</v>
      </c>
      <c r="F72" s="151" t="s">
        <v>3447</v>
      </c>
      <c r="G72" s="151" t="s">
        <v>103</v>
      </c>
      <c r="H72" s="334" t="s">
        <v>30</v>
      </c>
      <c r="I72" s="151">
        <v>20</v>
      </c>
      <c r="J72" s="496">
        <v>375</v>
      </c>
      <c r="K72" s="472">
        <f t="shared" si="1"/>
        <v>7500</v>
      </c>
      <c r="L72" s="501" t="b">
        <v>1</v>
      </c>
      <c r="M72" s="510">
        <v>101220251650</v>
      </c>
      <c r="N72" s="348"/>
      <c r="O72" s="508"/>
      <c r="P72" s="191" t="b">
        <v>1</v>
      </c>
      <c r="Q72" s="342" t="s">
        <v>3684</v>
      </c>
      <c r="R72" s="509" t="s">
        <v>6502</v>
      </c>
      <c r="S72" s="57" t="b">
        <v>1</v>
      </c>
      <c r="T72" s="309" t="s">
        <v>6503</v>
      </c>
      <c r="U72" s="345"/>
      <c r="V72" s="54"/>
    </row>
    <row r="73" spans="1:22">
      <c r="A73" s="162"/>
      <c r="B73" s="343" t="s">
        <v>6504</v>
      </c>
      <c r="C73" s="151" t="s">
        <v>3480</v>
      </c>
      <c r="D73" s="151" t="s">
        <v>418</v>
      </c>
      <c r="E73" s="151" t="s">
        <v>565</v>
      </c>
      <c r="F73" s="151" t="s">
        <v>6505</v>
      </c>
      <c r="G73" s="151" t="s">
        <v>308</v>
      </c>
      <c r="H73" s="334" t="s">
        <v>30</v>
      </c>
      <c r="I73" s="151">
        <v>10</v>
      </c>
      <c r="J73" s="496">
        <v>895</v>
      </c>
      <c r="K73" s="472">
        <f t="shared" si="1"/>
        <v>8950</v>
      </c>
      <c r="L73" s="501" t="b">
        <v>1</v>
      </c>
      <c r="M73" s="510">
        <v>111220250924</v>
      </c>
      <c r="N73" s="348"/>
      <c r="O73" s="508"/>
      <c r="P73" s="191" t="b">
        <v>1</v>
      </c>
      <c r="Q73" s="342" t="s">
        <v>3684</v>
      </c>
      <c r="R73" s="509" t="s">
        <v>6506</v>
      </c>
      <c r="S73" s="57" t="b">
        <v>1</v>
      </c>
      <c r="T73" s="309" t="s">
        <v>6507</v>
      </c>
      <c r="U73" s="511"/>
      <c r="V73" s="54"/>
    </row>
    <row r="74" spans="1:22">
      <c r="A74" s="162"/>
      <c r="B74" s="343" t="s">
        <v>6504</v>
      </c>
      <c r="C74" s="151" t="s">
        <v>3706</v>
      </c>
      <c r="D74" s="151" t="s">
        <v>418</v>
      </c>
      <c r="E74" s="151" t="s">
        <v>3373</v>
      </c>
      <c r="F74" s="151" t="s">
        <v>3373</v>
      </c>
      <c r="G74" s="151" t="s">
        <v>101</v>
      </c>
      <c r="H74" s="334" t="s">
        <v>30</v>
      </c>
      <c r="I74" s="151">
        <v>15</v>
      </c>
      <c r="J74" s="496">
        <v>995</v>
      </c>
      <c r="K74" s="472">
        <f t="shared" si="1"/>
        <v>14925</v>
      </c>
      <c r="L74" s="501" t="b">
        <v>1</v>
      </c>
      <c r="M74" s="510">
        <v>11120250926</v>
      </c>
      <c r="N74" s="348"/>
      <c r="O74" s="508"/>
      <c r="P74" s="191" t="b">
        <v>0</v>
      </c>
      <c r="Q74" s="364" t="s">
        <v>6508</v>
      </c>
      <c r="R74" s="505"/>
      <c r="S74" s="57" t="b">
        <v>0</v>
      </c>
      <c r="T74" s="507"/>
      <c r="U74" s="511"/>
      <c r="V74" s="54"/>
    </row>
    <row r="75" spans="1:22" ht="16">
      <c r="A75" s="162"/>
      <c r="B75" s="343" t="s">
        <v>6504</v>
      </c>
      <c r="C75" s="151" t="s">
        <v>3480</v>
      </c>
      <c r="D75" s="151" t="s">
        <v>418</v>
      </c>
      <c r="E75" s="151" t="s">
        <v>565</v>
      </c>
      <c r="F75" s="151" t="s">
        <v>6505</v>
      </c>
      <c r="G75" s="151" t="s">
        <v>6462</v>
      </c>
      <c r="H75" s="334" t="s">
        <v>30</v>
      </c>
      <c r="I75" s="151">
        <v>84</v>
      </c>
      <c r="J75" s="496">
        <v>45</v>
      </c>
      <c r="K75" s="472">
        <f t="shared" si="1"/>
        <v>3780</v>
      </c>
      <c r="L75" s="501" t="b">
        <v>1</v>
      </c>
      <c r="M75" s="510">
        <v>111220251427</v>
      </c>
      <c r="N75" s="348"/>
      <c r="O75" s="508"/>
      <c r="P75" s="191" t="b">
        <v>1</v>
      </c>
      <c r="Q75" s="342" t="s">
        <v>3684</v>
      </c>
      <c r="R75" s="509" t="s">
        <v>6509</v>
      </c>
      <c r="S75" s="57" t="b">
        <v>1</v>
      </c>
      <c r="T75" s="309" t="s">
        <v>6510</v>
      </c>
      <c r="U75" s="345"/>
      <c r="V75" s="54"/>
    </row>
    <row r="76" spans="1:22" ht="16">
      <c r="A76" s="162"/>
      <c r="B76" s="343" t="s">
        <v>6504</v>
      </c>
      <c r="C76" s="151" t="s">
        <v>4268</v>
      </c>
      <c r="D76" s="151" t="s">
        <v>345</v>
      </c>
      <c r="E76" s="151" t="s">
        <v>1756</v>
      </c>
      <c r="F76" s="151" t="s">
        <v>5953</v>
      </c>
      <c r="G76" s="151" t="s">
        <v>1700</v>
      </c>
      <c r="H76" s="334" t="s">
        <v>30</v>
      </c>
      <c r="I76" s="151">
        <v>500</v>
      </c>
      <c r="J76" s="496">
        <v>18</v>
      </c>
      <c r="K76" s="472">
        <f t="shared" si="1"/>
        <v>9000</v>
      </c>
      <c r="L76" s="501" t="b">
        <v>1</v>
      </c>
      <c r="M76" s="510">
        <v>111220251429</v>
      </c>
      <c r="N76" s="348"/>
      <c r="O76" s="508"/>
      <c r="P76" s="191" t="b">
        <v>1</v>
      </c>
      <c r="Q76" s="342" t="s">
        <v>3684</v>
      </c>
      <c r="R76" s="509" t="s">
        <v>6511</v>
      </c>
      <c r="S76" s="57" t="b">
        <v>1</v>
      </c>
      <c r="T76" s="309" t="s">
        <v>6512</v>
      </c>
      <c r="U76" s="345"/>
      <c r="V76" s="54"/>
    </row>
    <row r="77" spans="1:22" ht="14.25" customHeight="1">
      <c r="A77" s="162"/>
      <c r="B77" s="343" t="s">
        <v>6504</v>
      </c>
      <c r="C77" s="151" t="s">
        <v>3690</v>
      </c>
      <c r="D77" s="151" t="s">
        <v>3160</v>
      </c>
      <c r="E77" s="151" t="s">
        <v>6513</v>
      </c>
      <c r="F77" s="151" t="s">
        <v>517</v>
      </c>
      <c r="G77" s="151" t="s">
        <v>6514</v>
      </c>
      <c r="H77" s="334" t="s">
        <v>30</v>
      </c>
      <c r="I77" s="151">
        <v>40</v>
      </c>
      <c r="J77" s="496">
        <v>175</v>
      </c>
      <c r="K77" s="472">
        <f t="shared" si="1"/>
        <v>7000</v>
      </c>
      <c r="L77" s="501" t="b">
        <v>1</v>
      </c>
      <c r="M77" s="510">
        <v>111220251715</v>
      </c>
      <c r="N77" s="348"/>
      <c r="O77" s="508"/>
      <c r="P77" s="191" t="b">
        <v>1</v>
      </c>
      <c r="Q77" s="342" t="s">
        <v>3684</v>
      </c>
      <c r="R77" s="509" t="s">
        <v>6515</v>
      </c>
      <c r="S77" s="57" t="b">
        <v>1</v>
      </c>
      <c r="T77" s="309" t="s">
        <v>6516</v>
      </c>
      <c r="U77" s="345"/>
      <c r="V77" s="54"/>
    </row>
    <row r="78" spans="1:22" ht="16">
      <c r="A78" s="101"/>
      <c r="B78" s="343" t="s">
        <v>6504</v>
      </c>
      <c r="C78" s="151" t="s">
        <v>3690</v>
      </c>
      <c r="D78" s="151" t="s">
        <v>3160</v>
      </c>
      <c r="E78" s="151" t="s">
        <v>6513</v>
      </c>
      <c r="F78" s="151" t="s">
        <v>517</v>
      </c>
      <c r="G78" s="151" t="s">
        <v>6267</v>
      </c>
      <c r="H78" s="334" t="s">
        <v>30</v>
      </c>
      <c r="I78" s="151">
        <v>10</v>
      </c>
      <c r="J78" s="496">
        <v>795</v>
      </c>
      <c r="K78" s="472">
        <f t="shared" si="1"/>
        <v>7950</v>
      </c>
      <c r="L78" s="501" t="b">
        <v>1</v>
      </c>
      <c r="M78" s="510">
        <v>111220251716</v>
      </c>
      <c r="N78" s="348"/>
      <c r="O78" s="508"/>
      <c r="P78" s="191" t="b">
        <v>1</v>
      </c>
      <c r="Q78" s="342" t="s">
        <v>3684</v>
      </c>
      <c r="R78" s="506"/>
      <c r="S78" s="57" t="b">
        <v>1</v>
      </c>
      <c r="T78" s="309" t="s">
        <v>6517</v>
      </c>
      <c r="U78" s="345"/>
      <c r="V78" s="54"/>
    </row>
    <row r="79" spans="1:22" ht="16">
      <c r="A79" s="162"/>
      <c r="B79" s="343" t="s">
        <v>6518</v>
      </c>
      <c r="C79" s="151" t="s">
        <v>3487</v>
      </c>
      <c r="D79" s="151" t="s">
        <v>51</v>
      </c>
      <c r="E79" s="151" t="s">
        <v>89</v>
      </c>
      <c r="F79" s="151" t="s">
        <v>6519</v>
      </c>
      <c r="G79" s="151" t="s">
        <v>6520</v>
      </c>
      <c r="H79" s="334" t="s">
        <v>30</v>
      </c>
      <c r="I79" s="151">
        <v>5</v>
      </c>
      <c r="J79" s="496">
        <v>500</v>
      </c>
      <c r="K79" s="472">
        <f t="shared" si="1"/>
        <v>2500</v>
      </c>
      <c r="L79" s="501" t="b">
        <v>1</v>
      </c>
      <c r="M79" s="510">
        <v>121220250932</v>
      </c>
      <c r="N79" s="348"/>
      <c r="O79" s="508"/>
      <c r="P79" s="191" t="b">
        <v>1</v>
      </c>
      <c r="Q79" s="342" t="s">
        <v>3684</v>
      </c>
      <c r="R79" s="509" t="s">
        <v>6521</v>
      </c>
      <c r="S79" s="57" t="b">
        <v>1</v>
      </c>
      <c r="T79" s="309" t="s">
        <v>6522</v>
      </c>
      <c r="U79" s="345"/>
      <c r="V79" s="54"/>
    </row>
    <row r="80" spans="1:22" ht="16">
      <c r="A80" s="162"/>
      <c r="B80" s="343" t="s">
        <v>6518</v>
      </c>
      <c r="C80" s="151" t="s">
        <v>3534</v>
      </c>
      <c r="D80" s="151" t="s">
        <v>418</v>
      </c>
      <c r="E80" s="151" t="s">
        <v>1069</v>
      </c>
      <c r="F80" s="151" t="s">
        <v>420</v>
      </c>
      <c r="G80" s="151" t="s">
        <v>374</v>
      </c>
      <c r="H80" s="334" t="s">
        <v>30</v>
      </c>
      <c r="I80" s="151">
        <v>50</v>
      </c>
      <c r="J80" s="496">
        <v>30</v>
      </c>
      <c r="K80" s="472">
        <f t="shared" si="1"/>
        <v>1500</v>
      </c>
      <c r="L80" s="501" t="b">
        <v>1</v>
      </c>
      <c r="M80" s="510">
        <v>121220251053</v>
      </c>
      <c r="N80" s="348"/>
      <c r="O80" s="508"/>
      <c r="P80" s="191" t="b">
        <v>1</v>
      </c>
      <c r="Q80" s="342" t="s">
        <v>3684</v>
      </c>
      <c r="R80" s="509" t="s">
        <v>6523</v>
      </c>
      <c r="S80" s="57" t="b">
        <v>1</v>
      </c>
      <c r="T80" s="309" t="s">
        <v>6524</v>
      </c>
      <c r="U80" s="345"/>
      <c r="V80" s="54"/>
    </row>
    <row r="81" spans="1:22" ht="16">
      <c r="A81" s="162"/>
      <c r="B81" s="343" t="s">
        <v>6518</v>
      </c>
      <c r="C81" s="151" t="s">
        <v>3534</v>
      </c>
      <c r="D81" s="151" t="s">
        <v>418</v>
      </c>
      <c r="E81" s="151" t="s">
        <v>1069</v>
      </c>
      <c r="F81" s="151" t="s">
        <v>420</v>
      </c>
      <c r="G81" s="151" t="s">
        <v>6525</v>
      </c>
      <c r="H81" s="334" t="s">
        <v>30</v>
      </c>
      <c r="I81" s="151">
        <v>14</v>
      </c>
      <c r="J81" s="496">
        <v>175</v>
      </c>
      <c r="K81" s="472">
        <f t="shared" si="1"/>
        <v>2450</v>
      </c>
      <c r="L81" s="501" t="b">
        <v>1</v>
      </c>
      <c r="M81" s="510">
        <v>121220251053</v>
      </c>
      <c r="N81" s="348"/>
      <c r="O81" s="508"/>
      <c r="P81" s="191" t="b">
        <v>1</v>
      </c>
      <c r="Q81" s="342" t="s">
        <v>3684</v>
      </c>
      <c r="R81" s="509" t="s">
        <v>6523</v>
      </c>
      <c r="S81" s="57" t="b">
        <v>1</v>
      </c>
      <c r="T81" s="309" t="s">
        <v>6524</v>
      </c>
      <c r="U81" s="345"/>
      <c r="V81" s="54"/>
    </row>
    <row r="82" spans="1:22" ht="16">
      <c r="A82" s="162"/>
      <c r="B82" s="343" t="s">
        <v>6518</v>
      </c>
      <c r="C82" s="151" t="s">
        <v>3534</v>
      </c>
      <c r="D82" s="151" t="s">
        <v>418</v>
      </c>
      <c r="E82" s="151" t="s">
        <v>1069</v>
      </c>
      <c r="F82" s="151" t="s">
        <v>420</v>
      </c>
      <c r="G82" s="151" t="s">
        <v>6440</v>
      </c>
      <c r="H82" s="334" t="s">
        <v>30</v>
      </c>
      <c r="I82" s="151">
        <v>10</v>
      </c>
      <c r="J82" s="496">
        <v>150</v>
      </c>
      <c r="K82" s="472">
        <f t="shared" si="1"/>
        <v>1500</v>
      </c>
      <c r="L82" s="501" t="b">
        <v>1</v>
      </c>
      <c r="M82" s="510">
        <v>121220251053</v>
      </c>
      <c r="N82" s="348"/>
      <c r="O82" s="508"/>
      <c r="P82" s="191" t="b">
        <v>1</v>
      </c>
      <c r="Q82" s="342" t="s">
        <v>3684</v>
      </c>
      <c r="R82" s="509" t="s">
        <v>6523</v>
      </c>
      <c r="S82" s="57" t="b">
        <v>1</v>
      </c>
      <c r="T82" s="309" t="s">
        <v>6524</v>
      </c>
      <c r="U82" s="345"/>
      <c r="V82" s="54"/>
    </row>
    <row r="83" spans="1:22" ht="16">
      <c r="A83" s="162"/>
      <c r="B83" s="343" t="s">
        <v>6518</v>
      </c>
      <c r="C83" s="151" t="s">
        <v>3534</v>
      </c>
      <c r="D83" s="151" t="s">
        <v>418</v>
      </c>
      <c r="E83" s="151" t="s">
        <v>1069</v>
      </c>
      <c r="F83" s="151" t="s">
        <v>420</v>
      </c>
      <c r="G83" s="151" t="s">
        <v>6526</v>
      </c>
      <c r="H83" s="334" t="s">
        <v>30</v>
      </c>
      <c r="I83" s="151">
        <v>2</v>
      </c>
      <c r="J83" s="496"/>
      <c r="K83" s="472">
        <f t="shared" si="1"/>
        <v>0</v>
      </c>
      <c r="L83" s="501" t="b">
        <v>1</v>
      </c>
      <c r="M83" s="510">
        <v>121220251053</v>
      </c>
      <c r="N83" s="348"/>
      <c r="O83" s="508"/>
      <c r="P83" s="191" t="b">
        <v>1</v>
      </c>
      <c r="Q83" s="342" t="s">
        <v>3684</v>
      </c>
      <c r="R83" s="509" t="s">
        <v>6523</v>
      </c>
      <c r="S83" s="57" t="b">
        <v>1</v>
      </c>
      <c r="T83" s="309"/>
      <c r="U83" s="345"/>
      <c r="V83" s="54"/>
    </row>
    <row r="84" spans="1:22" ht="16">
      <c r="A84" s="162"/>
      <c r="B84" s="343" t="s">
        <v>6518</v>
      </c>
      <c r="C84" s="151" t="s">
        <v>4289</v>
      </c>
      <c r="D84" s="151" t="s">
        <v>104</v>
      </c>
      <c r="E84" s="151" t="s">
        <v>6527</v>
      </c>
      <c r="F84" s="151" t="s">
        <v>6528</v>
      </c>
      <c r="G84" s="151" t="s">
        <v>177</v>
      </c>
      <c r="H84" s="334" t="s">
        <v>30</v>
      </c>
      <c r="I84" s="151">
        <v>5</v>
      </c>
      <c r="J84" s="496">
        <v>960</v>
      </c>
      <c r="K84" s="472">
        <f t="shared" si="1"/>
        <v>4800</v>
      </c>
      <c r="L84" s="501" t="b">
        <v>1</v>
      </c>
      <c r="M84" s="510">
        <v>121220251607</v>
      </c>
      <c r="N84" s="348"/>
      <c r="O84" s="508"/>
      <c r="P84" s="191" t="b">
        <v>1</v>
      </c>
      <c r="Q84" s="342" t="s">
        <v>3684</v>
      </c>
      <c r="R84" s="509" t="s">
        <v>6529</v>
      </c>
      <c r="S84" s="57" t="b">
        <v>1</v>
      </c>
      <c r="T84" s="309" t="s">
        <v>6530</v>
      </c>
      <c r="U84" s="345" t="s">
        <v>6531</v>
      </c>
      <c r="V84" s="54"/>
    </row>
    <row r="85" spans="1:22" ht="16">
      <c r="A85" s="162"/>
      <c r="B85" s="343" t="s">
        <v>6518</v>
      </c>
      <c r="C85" s="151" t="s">
        <v>4289</v>
      </c>
      <c r="D85" s="151" t="s">
        <v>104</v>
      </c>
      <c r="E85" s="151" t="s">
        <v>6527</v>
      </c>
      <c r="F85" s="151" t="s">
        <v>6528</v>
      </c>
      <c r="G85" s="151" t="s">
        <v>177</v>
      </c>
      <c r="H85" s="334" t="s">
        <v>30</v>
      </c>
      <c r="I85" s="151">
        <v>5</v>
      </c>
      <c r="J85" s="496">
        <v>960</v>
      </c>
      <c r="K85" s="472">
        <f t="shared" si="1"/>
        <v>4800</v>
      </c>
      <c r="L85" s="501" t="b">
        <v>1</v>
      </c>
      <c r="M85" s="510">
        <v>121220251607</v>
      </c>
      <c r="N85" s="348"/>
      <c r="O85" s="508"/>
      <c r="P85" s="191" t="b">
        <v>1</v>
      </c>
      <c r="Q85" s="342" t="s">
        <v>3684</v>
      </c>
      <c r="R85" s="505"/>
      <c r="S85" s="57" t="b">
        <v>1</v>
      </c>
      <c r="T85" s="309" t="s">
        <v>6532</v>
      </c>
      <c r="U85" s="345"/>
      <c r="V85" s="54"/>
    </row>
    <row r="86" spans="1:22" ht="16">
      <c r="A86" s="162"/>
      <c r="B86" s="343" t="s">
        <v>6518</v>
      </c>
      <c r="C86" s="151" t="s">
        <v>4289</v>
      </c>
      <c r="D86" s="151" t="s">
        <v>3160</v>
      </c>
      <c r="E86" s="151" t="s">
        <v>6527</v>
      </c>
      <c r="F86" s="151" t="s">
        <v>6528</v>
      </c>
      <c r="G86" s="151" t="s">
        <v>103</v>
      </c>
      <c r="H86" s="334" t="s">
        <v>30</v>
      </c>
      <c r="I86" s="151">
        <v>5</v>
      </c>
      <c r="J86" s="496">
        <v>375</v>
      </c>
      <c r="K86" s="472">
        <f t="shared" si="1"/>
        <v>1875</v>
      </c>
      <c r="L86" s="501" t="b">
        <v>1</v>
      </c>
      <c r="M86" s="510">
        <v>121220251607</v>
      </c>
      <c r="N86" s="348"/>
      <c r="O86" s="508"/>
      <c r="P86" s="191" t="b">
        <v>1</v>
      </c>
      <c r="Q86" s="342" t="s">
        <v>3684</v>
      </c>
      <c r="R86" s="509" t="s">
        <v>6533</v>
      </c>
      <c r="S86" s="57" t="b">
        <v>1</v>
      </c>
      <c r="T86" s="309" t="s">
        <v>6534</v>
      </c>
      <c r="U86" s="345"/>
      <c r="V86" s="54"/>
    </row>
    <row r="87" spans="1:22">
      <c r="A87" s="162"/>
      <c r="B87" s="343" t="s">
        <v>6518</v>
      </c>
      <c r="C87" s="151" t="s">
        <v>3534</v>
      </c>
      <c r="D87" s="151" t="s">
        <v>418</v>
      </c>
      <c r="E87" s="151" t="s">
        <v>1069</v>
      </c>
      <c r="F87" s="151" t="s">
        <v>420</v>
      </c>
      <c r="G87" s="151" t="s">
        <v>5671</v>
      </c>
      <c r="H87" s="334" t="s">
        <v>30</v>
      </c>
      <c r="I87" s="151">
        <v>20</v>
      </c>
      <c r="J87" s="496">
        <v>270</v>
      </c>
      <c r="K87" s="472">
        <f t="shared" si="1"/>
        <v>5400</v>
      </c>
      <c r="L87" s="501" t="b">
        <v>1</v>
      </c>
      <c r="M87" s="510">
        <v>121220251811</v>
      </c>
      <c r="N87" s="348"/>
      <c r="O87" s="508"/>
      <c r="P87" s="191" t="b">
        <v>1</v>
      </c>
      <c r="Q87" s="342" t="s">
        <v>3684</v>
      </c>
      <c r="R87" s="509" t="s">
        <v>6535</v>
      </c>
      <c r="S87" s="57" t="b">
        <v>1</v>
      </c>
      <c r="T87" s="309" t="s">
        <v>6536</v>
      </c>
      <c r="U87" s="515"/>
      <c r="V87" s="54"/>
    </row>
    <row r="88" spans="1:22">
      <c r="A88" s="162" t="s">
        <v>3617</v>
      </c>
      <c r="B88" s="343" t="s">
        <v>6518</v>
      </c>
      <c r="C88" s="151" t="s">
        <v>3650</v>
      </c>
      <c r="D88" s="151" t="s">
        <v>171</v>
      </c>
      <c r="E88" s="151" t="s">
        <v>137</v>
      </c>
      <c r="F88" s="151" t="s">
        <v>3651</v>
      </c>
      <c r="G88" s="151" t="s">
        <v>2002</v>
      </c>
      <c r="H88" s="334" t="s">
        <v>30</v>
      </c>
      <c r="I88" s="151">
        <v>48</v>
      </c>
      <c r="J88" s="496">
        <v>208.5</v>
      </c>
      <c r="K88" s="472">
        <f t="shared" si="1"/>
        <v>10008</v>
      </c>
      <c r="L88" s="501" t="b">
        <v>1</v>
      </c>
      <c r="M88" s="510">
        <v>121220251811</v>
      </c>
      <c r="N88" s="348"/>
      <c r="O88" s="508"/>
      <c r="P88" s="191" t="b">
        <v>1</v>
      </c>
      <c r="Q88" s="342" t="s">
        <v>3684</v>
      </c>
      <c r="R88" s="509" t="s">
        <v>6537</v>
      </c>
      <c r="S88" s="57" t="b">
        <v>1</v>
      </c>
      <c r="T88" s="309" t="s">
        <v>6538</v>
      </c>
      <c r="V88" s="54"/>
    </row>
    <row r="89" spans="1:22">
      <c r="A89" s="162"/>
      <c r="B89" s="71" t="s">
        <v>6539</v>
      </c>
      <c r="C89" s="53" t="s">
        <v>3487</v>
      </c>
      <c r="D89" s="53" t="s">
        <v>51</v>
      </c>
      <c r="E89" s="53" t="s">
        <v>89</v>
      </c>
      <c r="F89" s="53" t="s">
        <v>1872</v>
      </c>
      <c r="G89" s="80" t="s">
        <v>6540</v>
      </c>
      <c r="H89" s="334" t="s">
        <v>30</v>
      </c>
      <c r="I89" s="151">
        <v>1</v>
      </c>
      <c r="J89" s="496">
        <v>16000</v>
      </c>
      <c r="K89" s="472">
        <f t="shared" si="1"/>
        <v>16000</v>
      </c>
      <c r="L89" s="501" t="b">
        <v>1</v>
      </c>
      <c r="M89" s="510">
        <v>131220251030</v>
      </c>
      <c r="N89" s="348"/>
      <c r="O89" s="508"/>
      <c r="P89" s="191" t="b">
        <v>1</v>
      </c>
      <c r="Q89" s="342" t="s">
        <v>3684</v>
      </c>
      <c r="R89" s="505"/>
      <c r="S89" s="57" t="b">
        <v>1</v>
      </c>
      <c r="T89" s="309" t="s">
        <v>6541</v>
      </c>
      <c r="V89" s="54"/>
    </row>
    <row r="90" spans="1:22">
      <c r="A90" s="162"/>
      <c r="B90" s="71" t="s">
        <v>6539</v>
      </c>
      <c r="C90" s="53" t="s">
        <v>3487</v>
      </c>
      <c r="D90" s="53" t="s">
        <v>51</v>
      </c>
      <c r="E90" s="53" t="s">
        <v>89</v>
      </c>
      <c r="F90" s="53" t="s">
        <v>1872</v>
      </c>
      <c r="G90" s="151" t="s">
        <v>68</v>
      </c>
      <c r="H90" s="334" t="s">
        <v>30</v>
      </c>
      <c r="I90" s="151">
        <v>2</v>
      </c>
      <c r="J90" s="496">
        <v>2350</v>
      </c>
      <c r="K90" s="472">
        <f t="shared" si="1"/>
        <v>4700</v>
      </c>
      <c r="L90" s="501" t="b">
        <v>1</v>
      </c>
      <c r="M90" s="510">
        <v>131220251030</v>
      </c>
      <c r="N90" s="348"/>
      <c r="O90" s="508"/>
      <c r="P90" s="191" t="b">
        <v>1</v>
      </c>
      <c r="Q90" s="342" t="s">
        <v>3684</v>
      </c>
      <c r="R90" s="509" t="s">
        <v>6542</v>
      </c>
      <c r="S90" s="57" t="b">
        <v>1</v>
      </c>
      <c r="T90" s="309" t="s">
        <v>6543</v>
      </c>
      <c r="V90" s="54"/>
    </row>
    <row r="91" spans="1:22" ht="16">
      <c r="A91" s="162"/>
      <c r="B91" s="71" t="s">
        <v>6539</v>
      </c>
      <c r="C91" s="53" t="s">
        <v>3487</v>
      </c>
      <c r="D91" s="53" t="s">
        <v>51</v>
      </c>
      <c r="E91" s="53" t="s">
        <v>89</v>
      </c>
      <c r="F91" s="53" t="s">
        <v>1872</v>
      </c>
      <c r="G91" s="151" t="s">
        <v>68</v>
      </c>
      <c r="H91" s="334" t="s">
        <v>30</v>
      </c>
      <c r="I91" s="151">
        <v>3</v>
      </c>
      <c r="J91" s="496">
        <v>2350</v>
      </c>
      <c r="K91" s="472">
        <f t="shared" si="1"/>
        <v>7050</v>
      </c>
      <c r="L91" s="501" t="b">
        <v>1</v>
      </c>
      <c r="M91" s="510">
        <v>131220251030</v>
      </c>
      <c r="N91" s="348"/>
      <c r="O91" s="508"/>
      <c r="P91" s="191" t="b">
        <v>0</v>
      </c>
      <c r="Q91" s="433" t="s">
        <v>6364</v>
      </c>
      <c r="R91" s="505"/>
      <c r="S91" s="57" t="b">
        <v>0</v>
      </c>
      <c r="T91" s="348"/>
      <c r="U91" s="345"/>
      <c r="V91" s="54"/>
    </row>
    <row r="92" spans="1:22" ht="16">
      <c r="A92" s="162"/>
      <c r="B92" s="71" t="s">
        <v>6539</v>
      </c>
      <c r="C92" s="53" t="s">
        <v>3487</v>
      </c>
      <c r="D92" s="53" t="s">
        <v>51</v>
      </c>
      <c r="E92" s="53" t="s">
        <v>89</v>
      </c>
      <c r="F92" s="53" t="s">
        <v>1872</v>
      </c>
      <c r="G92" s="151" t="s">
        <v>6544</v>
      </c>
      <c r="H92" s="334">
        <v>250</v>
      </c>
      <c r="I92" s="151">
        <v>250</v>
      </c>
      <c r="J92" s="496">
        <v>4</v>
      </c>
      <c r="K92" s="472">
        <f t="shared" si="1"/>
        <v>1000</v>
      </c>
      <c r="L92" s="501" t="b">
        <v>1</v>
      </c>
      <c r="M92" s="510">
        <v>131220251030</v>
      </c>
      <c r="N92" s="348"/>
      <c r="O92" s="508"/>
      <c r="P92" s="191" t="b">
        <v>1</v>
      </c>
      <c r="Q92" s="342" t="s">
        <v>3684</v>
      </c>
      <c r="R92" s="509" t="s">
        <v>6545</v>
      </c>
      <c r="S92" s="57" t="b">
        <v>1</v>
      </c>
      <c r="T92" s="309" t="s">
        <v>6546</v>
      </c>
      <c r="U92" s="345"/>
      <c r="V92" s="54"/>
    </row>
    <row r="93" spans="1:22" ht="16">
      <c r="A93" s="162"/>
      <c r="B93" s="343" t="s">
        <v>6547</v>
      </c>
      <c r="C93" s="151" t="s">
        <v>4292</v>
      </c>
      <c r="D93" s="151" t="s">
        <v>98</v>
      </c>
      <c r="E93" s="151" t="s">
        <v>99</v>
      </c>
      <c r="F93" s="151" t="s">
        <v>444</v>
      </c>
      <c r="G93" s="151" t="s">
        <v>2002</v>
      </c>
      <c r="H93" s="334" t="s">
        <v>30</v>
      </c>
      <c r="I93" s="151">
        <v>72</v>
      </c>
      <c r="J93" s="496">
        <v>218.75</v>
      </c>
      <c r="K93" s="472">
        <f t="shared" si="1"/>
        <v>15750</v>
      </c>
      <c r="L93" s="501" t="b">
        <v>1</v>
      </c>
      <c r="M93" s="510">
        <v>141220250940</v>
      </c>
      <c r="N93" s="348"/>
      <c r="O93" s="508"/>
      <c r="P93" s="191" t="b">
        <v>1</v>
      </c>
      <c r="Q93" s="342" t="s">
        <v>3684</v>
      </c>
      <c r="R93" s="509" t="s">
        <v>6548</v>
      </c>
      <c r="S93" s="57" t="b">
        <v>1</v>
      </c>
      <c r="T93" s="309" t="s">
        <v>6549</v>
      </c>
      <c r="U93" s="345"/>
      <c r="V93" s="54"/>
    </row>
    <row r="94" spans="1:22" ht="16">
      <c r="A94" s="162"/>
      <c r="B94" s="343" t="s">
        <v>6547</v>
      </c>
      <c r="C94" s="151" t="s">
        <v>3595</v>
      </c>
      <c r="D94" s="151" t="s">
        <v>55</v>
      </c>
      <c r="E94" s="151" t="s">
        <v>56</v>
      </c>
      <c r="F94" s="151" t="s">
        <v>57</v>
      </c>
      <c r="G94" s="151" t="s">
        <v>3448</v>
      </c>
      <c r="H94" s="334" t="s">
        <v>30</v>
      </c>
      <c r="I94" s="151">
        <v>10</v>
      </c>
      <c r="J94" s="496">
        <v>795</v>
      </c>
      <c r="K94" s="472">
        <f t="shared" si="1"/>
        <v>7950</v>
      </c>
      <c r="L94" s="501" t="b">
        <v>1</v>
      </c>
      <c r="M94" s="510">
        <v>141220251328</v>
      </c>
      <c r="N94" s="348" t="s">
        <v>39</v>
      </c>
      <c r="O94" s="508"/>
      <c r="P94" s="191" t="b">
        <v>1</v>
      </c>
      <c r="Q94" s="342" t="s">
        <v>3684</v>
      </c>
      <c r="R94" s="506"/>
      <c r="S94" s="57" t="b">
        <v>1</v>
      </c>
      <c r="T94" s="309" t="s">
        <v>6550</v>
      </c>
      <c r="U94" s="345"/>
      <c r="V94" s="54"/>
    </row>
    <row r="95" spans="1:22" ht="16">
      <c r="A95" s="162"/>
      <c r="B95" s="343" t="s">
        <v>2843</v>
      </c>
      <c r="C95" s="151" t="s">
        <v>3458</v>
      </c>
      <c r="D95" s="151" t="s">
        <v>51</v>
      </c>
      <c r="E95" s="151" t="s">
        <v>201</v>
      </c>
      <c r="F95" s="151" t="s">
        <v>202</v>
      </c>
      <c r="G95" s="151" t="s">
        <v>3459</v>
      </c>
      <c r="H95" s="334" t="s">
        <v>30</v>
      </c>
      <c r="I95" s="151">
        <v>10</v>
      </c>
      <c r="J95" s="496">
        <v>795</v>
      </c>
      <c r="K95" s="472">
        <f t="shared" si="1"/>
        <v>7950</v>
      </c>
      <c r="L95" s="501" t="b">
        <v>1</v>
      </c>
      <c r="M95" s="510">
        <v>1512202511129</v>
      </c>
      <c r="N95" s="348"/>
      <c r="O95" s="508"/>
      <c r="P95" s="191" t="b">
        <v>1</v>
      </c>
      <c r="Q95" s="342" t="s">
        <v>3684</v>
      </c>
      <c r="R95" s="509" t="s">
        <v>6551</v>
      </c>
      <c r="S95" s="57" t="b">
        <v>1</v>
      </c>
      <c r="T95" s="309" t="s">
        <v>6552</v>
      </c>
      <c r="U95" s="345"/>
      <c r="V95" s="54"/>
    </row>
    <row r="96" spans="1:22" ht="16">
      <c r="A96" s="162"/>
      <c r="B96" s="343" t="s">
        <v>2843</v>
      </c>
      <c r="C96" s="151" t="s">
        <v>3458</v>
      </c>
      <c r="D96" s="151" t="s">
        <v>51</v>
      </c>
      <c r="E96" s="151" t="s">
        <v>201</v>
      </c>
      <c r="F96" s="151" t="s">
        <v>202</v>
      </c>
      <c r="G96" s="340" t="s">
        <v>6553</v>
      </c>
      <c r="H96" s="334" t="s">
        <v>30</v>
      </c>
      <c r="I96" s="151">
        <v>12</v>
      </c>
      <c r="J96" s="496">
        <v>300</v>
      </c>
      <c r="K96" s="472">
        <f t="shared" si="1"/>
        <v>3600</v>
      </c>
      <c r="L96" s="501" t="b">
        <v>1</v>
      </c>
      <c r="M96" s="510">
        <v>1512202511129</v>
      </c>
      <c r="N96" s="348"/>
      <c r="O96" s="508"/>
      <c r="P96" s="191" t="b">
        <v>1</v>
      </c>
      <c r="Q96" s="342" t="s">
        <v>3684</v>
      </c>
      <c r="R96" s="509" t="s">
        <v>6551</v>
      </c>
      <c r="S96" s="57" t="b">
        <v>1</v>
      </c>
      <c r="T96" s="309" t="s">
        <v>6552</v>
      </c>
      <c r="U96" s="345"/>
      <c r="V96" s="54"/>
    </row>
    <row r="97" spans="1:22" ht="16">
      <c r="A97" s="162"/>
      <c r="B97" s="343" t="s">
        <v>2843</v>
      </c>
      <c r="C97" s="151" t="s">
        <v>4099</v>
      </c>
      <c r="D97" s="151" t="s">
        <v>51</v>
      </c>
      <c r="E97" s="151" t="s">
        <v>594</v>
      </c>
      <c r="F97" s="151" t="s">
        <v>1615</v>
      </c>
      <c r="G97" s="340" t="s">
        <v>1506</v>
      </c>
      <c r="H97" s="334" t="s">
        <v>30</v>
      </c>
      <c r="I97" s="151">
        <v>3</v>
      </c>
      <c r="J97" s="151">
        <v>825</v>
      </c>
      <c r="K97" s="472">
        <f t="shared" si="1"/>
        <v>2475</v>
      </c>
      <c r="L97" s="501" t="b">
        <v>1</v>
      </c>
      <c r="M97" s="510" t="s">
        <v>529</v>
      </c>
      <c r="N97" s="348"/>
      <c r="O97" s="508"/>
      <c r="P97" s="191" t="b">
        <v>0</v>
      </c>
      <c r="Q97" s="433"/>
      <c r="R97" s="506"/>
      <c r="S97" s="57" t="b">
        <v>0</v>
      </c>
      <c r="T97" s="433"/>
      <c r="U97" s="345"/>
      <c r="V97" s="54"/>
    </row>
    <row r="98" spans="1:22" ht="16">
      <c r="A98" s="162"/>
      <c r="B98" s="343" t="s">
        <v>2843</v>
      </c>
      <c r="C98" s="151" t="s">
        <v>4717</v>
      </c>
      <c r="D98" s="151" t="s">
        <v>51</v>
      </c>
      <c r="E98" s="151" t="s">
        <v>475</v>
      </c>
      <c r="F98" s="151" t="s">
        <v>2105</v>
      </c>
      <c r="G98" s="151" t="s">
        <v>177</v>
      </c>
      <c r="H98" s="334" t="s">
        <v>30</v>
      </c>
      <c r="I98" s="151">
        <v>10</v>
      </c>
      <c r="J98" s="496">
        <v>960</v>
      </c>
      <c r="K98" s="472">
        <f t="shared" si="1"/>
        <v>9600</v>
      </c>
      <c r="L98" s="501" t="b">
        <v>1</v>
      </c>
      <c r="M98" s="510">
        <v>161220251604</v>
      </c>
      <c r="N98" s="348"/>
      <c r="O98" s="508"/>
      <c r="P98" s="191" t="b">
        <v>1</v>
      </c>
      <c r="Q98" s="342" t="s">
        <v>3684</v>
      </c>
      <c r="R98" s="506"/>
      <c r="S98" s="57" t="b">
        <v>1</v>
      </c>
      <c r="T98" s="309" t="s">
        <v>6554</v>
      </c>
      <c r="U98" s="345"/>
      <c r="V98" s="54"/>
    </row>
    <row r="99" spans="1:22" ht="16">
      <c r="A99" s="162"/>
      <c r="B99" s="343" t="s">
        <v>2843</v>
      </c>
      <c r="C99" s="151" t="s">
        <v>4750</v>
      </c>
      <c r="D99" s="151" t="s">
        <v>418</v>
      </c>
      <c r="E99" s="151" t="s">
        <v>230</v>
      </c>
      <c r="F99" s="151" t="s">
        <v>1990</v>
      </c>
      <c r="G99" s="151" t="s">
        <v>1024</v>
      </c>
      <c r="H99" s="334" t="s">
        <v>30</v>
      </c>
      <c r="I99" s="151">
        <v>25</v>
      </c>
      <c r="J99" s="496">
        <v>165</v>
      </c>
      <c r="K99" s="472">
        <f t="shared" si="1"/>
        <v>4125</v>
      </c>
      <c r="L99" s="501" t="b">
        <v>1</v>
      </c>
      <c r="M99" s="510">
        <v>161220251634</v>
      </c>
      <c r="N99" s="348"/>
      <c r="O99" s="508"/>
      <c r="P99" s="191" t="b">
        <v>1</v>
      </c>
      <c r="Q99" s="342" t="s">
        <v>3684</v>
      </c>
      <c r="R99" s="509" t="s">
        <v>6555</v>
      </c>
      <c r="S99" s="57" t="b">
        <v>1</v>
      </c>
      <c r="T99" s="309" t="s">
        <v>6556</v>
      </c>
      <c r="U99" s="345"/>
      <c r="V99" s="54"/>
    </row>
    <row r="100" spans="1:22" ht="16">
      <c r="A100" s="162"/>
      <c r="B100" s="343" t="s">
        <v>6557</v>
      </c>
      <c r="C100" s="151" t="s">
        <v>4229</v>
      </c>
      <c r="D100" s="151" t="s">
        <v>104</v>
      </c>
      <c r="E100" s="151" t="s">
        <v>6558</v>
      </c>
      <c r="F100" s="151" t="s">
        <v>2250</v>
      </c>
      <c r="G100" s="151" t="s">
        <v>6559</v>
      </c>
      <c r="H100" s="334" t="s">
        <v>30</v>
      </c>
      <c r="I100" s="151">
        <v>16</v>
      </c>
      <c r="J100" s="496">
        <v>2200</v>
      </c>
      <c r="K100" s="472">
        <f t="shared" si="1"/>
        <v>35200</v>
      </c>
      <c r="L100" s="501" t="b">
        <v>1</v>
      </c>
      <c r="M100" s="510" t="s">
        <v>529</v>
      </c>
      <c r="N100" s="348"/>
      <c r="O100" s="508"/>
      <c r="P100" s="191" t="b">
        <v>1</v>
      </c>
      <c r="Q100" s="342" t="s">
        <v>3684</v>
      </c>
      <c r="R100" s="506"/>
      <c r="S100" s="57" t="b">
        <v>1</v>
      </c>
      <c r="T100" s="309" t="s">
        <v>6560</v>
      </c>
      <c r="U100" s="345"/>
      <c r="V100" s="54"/>
    </row>
    <row r="101" spans="1:22" ht="16">
      <c r="A101" s="162"/>
      <c r="B101" s="343" t="s">
        <v>6557</v>
      </c>
      <c r="C101" s="151" t="s">
        <v>5052</v>
      </c>
      <c r="D101" s="151" t="s">
        <v>104</v>
      </c>
      <c r="E101" s="151" t="s">
        <v>6561</v>
      </c>
      <c r="F101" s="151" t="s">
        <v>6562</v>
      </c>
      <c r="G101" s="151" t="s">
        <v>6563</v>
      </c>
      <c r="H101" s="334" t="s">
        <v>30</v>
      </c>
      <c r="I101" s="151">
        <v>16</v>
      </c>
      <c r="J101" s="496">
        <v>2200</v>
      </c>
      <c r="K101" s="472">
        <f t="shared" si="1"/>
        <v>35200</v>
      </c>
      <c r="L101" s="501" t="b">
        <v>1</v>
      </c>
      <c r="M101" s="510" t="s">
        <v>529</v>
      </c>
      <c r="N101" s="348"/>
      <c r="O101" s="508"/>
      <c r="P101" s="191" t="b">
        <v>1</v>
      </c>
      <c r="Q101" s="342" t="s">
        <v>3684</v>
      </c>
      <c r="R101" s="506"/>
      <c r="S101" s="57" t="b">
        <v>1</v>
      </c>
      <c r="T101" s="309" t="s">
        <v>6564</v>
      </c>
      <c r="U101" s="345"/>
      <c r="V101" s="54"/>
    </row>
    <row r="102" spans="1:22" ht="16">
      <c r="A102" s="372"/>
      <c r="B102" s="343" t="s">
        <v>6557</v>
      </c>
      <c r="C102" s="151" t="s">
        <v>3506</v>
      </c>
      <c r="D102" s="151" t="s">
        <v>55</v>
      </c>
      <c r="E102" s="151" t="s">
        <v>1987</v>
      </c>
      <c r="F102" s="151" t="s">
        <v>1552</v>
      </c>
      <c r="G102" s="340" t="s">
        <v>6565</v>
      </c>
      <c r="H102" s="334" t="s">
        <v>30</v>
      </c>
      <c r="I102" s="151">
        <v>1</v>
      </c>
      <c r="J102" s="496">
        <v>2500</v>
      </c>
      <c r="K102" s="472">
        <f t="shared" si="1"/>
        <v>2500</v>
      </c>
      <c r="L102" s="501" t="b">
        <v>1</v>
      </c>
      <c r="M102" s="510">
        <v>171220251452</v>
      </c>
      <c r="N102" s="348"/>
      <c r="O102" s="508"/>
      <c r="P102" s="191" t="b">
        <v>1</v>
      </c>
      <c r="Q102" s="342" t="s">
        <v>3684</v>
      </c>
      <c r="R102" s="509" t="s">
        <v>6566</v>
      </c>
      <c r="S102" s="57" t="b">
        <v>1</v>
      </c>
      <c r="T102" s="309" t="s">
        <v>6567</v>
      </c>
      <c r="U102" s="345"/>
      <c r="V102" s="54"/>
    </row>
    <row r="103" spans="1:22" ht="16">
      <c r="A103" s="372"/>
      <c r="B103" s="343" t="s">
        <v>6557</v>
      </c>
      <c r="C103" s="151" t="s">
        <v>3506</v>
      </c>
      <c r="D103" s="151" t="s">
        <v>55</v>
      </c>
      <c r="E103" s="151" t="s">
        <v>1987</v>
      </c>
      <c r="F103" s="151" t="s">
        <v>1552</v>
      </c>
      <c r="G103" s="340" t="s">
        <v>6568</v>
      </c>
      <c r="H103" s="334" t="s">
        <v>30</v>
      </c>
      <c r="I103" s="151">
        <v>6</v>
      </c>
      <c r="J103" s="496">
        <v>300</v>
      </c>
      <c r="K103" s="472">
        <f t="shared" si="1"/>
        <v>1800</v>
      </c>
      <c r="L103" s="501" t="b">
        <v>1</v>
      </c>
      <c r="M103" s="510">
        <v>171220251452</v>
      </c>
      <c r="N103" s="348"/>
      <c r="O103" s="508"/>
      <c r="P103" s="191" t="b">
        <v>1</v>
      </c>
      <c r="Q103" s="342" t="s">
        <v>3684</v>
      </c>
      <c r="R103" s="509" t="s">
        <v>6569</v>
      </c>
      <c r="S103" s="57" t="b">
        <v>1</v>
      </c>
      <c r="T103" s="309" t="s">
        <v>6570</v>
      </c>
      <c r="U103" s="345"/>
      <c r="V103" s="54"/>
    </row>
    <row r="104" spans="1:22" ht="16">
      <c r="A104" s="372"/>
      <c r="B104" s="343" t="s">
        <v>6557</v>
      </c>
      <c r="C104" s="151" t="s">
        <v>3577</v>
      </c>
      <c r="D104" s="151" t="s">
        <v>46</v>
      </c>
      <c r="E104" s="151" t="s">
        <v>47</v>
      </c>
      <c r="F104" s="151" t="s">
        <v>6571</v>
      </c>
      <c r="G104" s="151" t="s">
        <v>3448</v>
      </c>
      <c r="H104" s="334" t="s">
        <v>30</v>
      </c>
      <c r="I104" s="151">
        <v>10</v>
      </c>
      <c r="J104" s="496">
        <v>795</v>
      </c>
      <c r="K104" s="472">
        <f t="shared" si="1"/>
        <v>7950</v>
      </c>
      <c r="L104" s="501" t="b">
        <v>1</v>
      </c>
      <c r="M104" s="510">
        <v>171220251552</v>
      </c>
      <c r="N104" s="348" t="s">
        <v>39</v>
      </c>
      <c r="O104" s="508"/>
      <c r="P104" s="191" t="b">
        <v>1</v>
      </c>
      <c r="Q104" s="342" t="s">
        <v>3684</v>
      </c>
      <c r="R104" s="506"/>
      <c r="S104" s="57" t="b">
        <v>1</v>
      </c>
      <c r="T104" s="309" t="s">
        <v>6572</v>
      </c>
      <c r="U104" s="345"/>
      <c r="V104" s="54"/>
    </row>
    <row r="105" spans="1:22" ht="16">
      <c r="A105" s="372"/>
      <c r="B105" s="343" t="s">
        <v>6557</v>
      </c>
      <c r="C105" s="151" t="s">
        <v>3577</v>
      </c>
      <c r="D105" s="151" t="s">
        <v>46</v>
      </c>
      <c r="E105" s="151" t="s">
        <v>47</v>
      </c>
      <c r="F105" s="151" t="s">
        <v>6571</v>
      </c>
      <c r="G105" s="340" t="s">
        <v>3005</v>
      </c>
      <c r="H105" s="334" t="s">
        <v>30</v>
      </c>
      <c r="I105" s="151">
        <v>84</v>
      </c>
      <c r="J105" s="496">
        <v>45</v>
      </c>
      <c r="K105" s="472">
        <f t="shared" si="1"/>
        <v>3780</v>
      </c>
      <c r="L105" s="501" t="b">
        <v>1</v>
      </c>
      <c r="M105" s="510">
        <v>171220251643</v>
      </c>
      <c r="N105" s="348"/>
      <c r="O105" s="508"/>
      <c r="P105" s="191" t="b">
        <v>1</v>
      </c>
      <c r="Q105" s="342" t="s">
        <v>3684</v>
      </c>
      <c r="R105" s="509" t="s">
        <v>6573</v>
      </c>
      <c r="S105" s="57" t="b">
        <v>1</v>
      </c>
      <c r="T105" s="309" t="s">
        <v>6574</v>
      </c>
      <c r="U105" s="345"/>
      <c r="V105" s="54"/>
    </row>
    <row r="106" spans="1:22" ht="16">
      <c r="A106" s="162"/>
      <c r="B106" s="343" t="s">
        <v>6575</v>
      </c>
      <c r="C106" s="151" t="s">
        <v>3517</v>
      </c>
      <c r="D106" s="151" t="s">
        <v>51</v>
      </c>
      <c r="E106" s="151" t="s">
        <v>61</v>
      </c>
      <c r="F106" s="151" t="s">
        <v>476</v>
      </c>
      <c r="G106" s="340" t="s">
        <v>6576</v>
      </c>
      <c r="H106" s="334" t="s">
        <v>30</v>
      </c>
      <c r="I106" s="151">
        <v>1</v>
      </c>
      <c r="J106" s="496">
        <v>350</v>
      </c>
      <c r="K106" s="472">
        <f t="shared" si="1"/>
        <v>350</v>
      </c>
      <c r="L106" s="501" t="b">
        <v>1</v>
      </c>
      <c r="M106" s="510" t="s">
        <v>529</v>
      </c>
      <c r="N106" s="348"/>
      <c r="O106" s="508"/>
      <c r="P106" s="191" t="b">
        <v>1</v>
      </c>
      <c r="Q106" s="342" t="s">
        <v>3684</v>
      </c>
      <c r="R106" s="509" t="s">
        <v>6577</v>
      </c>
      <c r="S106" s="57" t="b">
        <v>1</v>
      </c>
      <c r="T106" s="309" t="s">
        <v>6578</v>
      </c>
      <c r="U106" s="345"/>
      <c r="V106" s="54"/>
    </row>
    <row r="107" spans="1:22" ht="16">
      <c r="A107" s="162"/>
      <c r="B107" s="71" t="s">
        <v>6575</v>
      </c>
      <c r="C107" s="53" t="s">
        <v>3601</v>
      </c>
      <c r="D107" s="53" t="s">
        <v>523</v>
      </c>
      <c r="E107" s="53" t="s">
        <v>524</v>
      </c>
      <c r="F107" s="53" t="s">
        <v>525</v>
      </c>
      <c r="G107" s="340" t="s">
        <v>6514</v>
      </c>
      <c r="H107" s="334" t="s">
        <v>30</v>
      </c>
      <c r="I107" s="151">
        <v>30</v>
      </c>
      <c r="J107" s="496">
        <v>175</v>
      </c>
      <c r="K107" s="472">
        <f t="shared" si="1"/>
        <v>5250</v>
      </c>
      <c r="L107" s="501" t="b">
        <v>1</v>
      </c>
      <c r="M107" s="510">
        <v>181220251330</v>
      </c>
      <c r="N107" s="348"/>
      <c r="O107" s="508"/>
      <c r="P107" s="191" t="b">
        <v>1</v>
      </c>
      <c r="Q107" s="342" t="s">
        <v>3684</v>
      </c>
      <c r="R107" s="509" t="s">
        <v>6579</v>
      </c>
      <c r="S107" s="57" t="b">
        <v>1</v>
      </c>
      <c r="T107" s="309" t="s">
        <v>6580</v>
      </c>
      <c r="U107" s="345"/>
      <c r="V107" s="54"/>
    </row>
    <row r="108" spans="1:22" ht="16">
      <c r="A108" s="162"/>
      <c r="B108" s="343" t="s">
        <v>6575</v>
      </c>
      <c r="C108" s="151" t="s">
        <v>4095</v>
      </c>
      <c r="D108" s="151" t="s">
        <v>345</v>
      </c>
      <c r="E108" s="151" t="s">
        <v>342</v>
      </c>
      <c r="F108" s="151" t="s">
        <v>2228</v>
      </c>
      <c r="G108" s="340" t="s">
        <v>2002</v>
      </c>
      <c r="H108" s="334" t="s">
        <v>30</v>
      </c>
      <c r="I108" s="151">
        <v>24</v>
      </c>
      <c r="J108" s="496">
        <v>218.75</v>
      </c>
      <c r="K108" s="472">
        <f t="shared" si="1"/>
        <v>5250</v>
      </c>
      <c r="L108" s="501" t="b">
        <v>1</v>
      </c>
      <c r="M108" s="510">
        <v>181220251333</v>
      </c>
      <c r="N108" s="348"/>
      <c r="O108" s="508"/>
      <c r="P108" s="191" t="b">
        <v>1</v>
      </c>
      <c r="Q108" s="342" t="s">
        <v>3684</v>
      </c>
      <c r="R108" s="509" t="s">
        <v>6581</v>
      </c>
      <c r="S108" s="57" t="b">
        <v>1</v>
      </c>
      <c r="T108" s="309" t="s">
        <v>6582</v>
      </c>
      <c r="U108" s="345"/>
      <c r="V108" s="54"/>
    </row>
    <row r="109" spans="1:22" ht="16">
      <c r="A109" s="162"/>
      <c r="B109" s="343" t="s">
        <v>6575</v>
      </c>
      <c r="C109" s="53" t="s">
        <v>4107</v>
      </c>
      <c r="D109" s="151" t="s">
        <v>282</v>
      </c>
      <c r="E109" s="151" t="s">
        <v>74</v>
      </c>
      <c r="F109" s="151" t="s">
        <v>365</v>
      </c>
      <c r="G109" s="151" t="s">
        <v>5254</v>
      </c>
      <c r="H109" s="334" t="s">
        <v>30</v>
      </c>
      <c r="I109" s="151">
        <v>100</v>
      </c>
      <c r="J109" s="496">
        <v>25</v>
      </c>
      <c r="K109" s="472">
        <f t="shared" si="1"/>
        <v>2500</v>
      </c>
      <c r="L109" s="501" t="b">
        <v>1</v>
      </c>
      <c r="M109" s="510">
        <v>181220251358</v>
      </c>
      <c r="N109" s="348"/>
      <c r="O109" s="508"/>
      <c r="P109" s="191" t="b">
        <v>1</v>
      </c>
      <c r="Q109" s="342" t="s">
        <v>3684</v>
      </c>
      <c r="R109" s="509" t="s">
        <v>6583</v>
      </c>
      <c r="S109" s="57" t="b">
        <v>1</v>
      </c>
      <c r="T109" s="309" t="s">
        <v>6584</v>
      </c>
      <c r="U109" s="345"/>
      <c r="V109" s="54"/>
    </row>
    <row r="110" spans="1:22" ht="16">
      <c r="A110" s="162"/>
      <c r="B110" s="343" t="s">
        <v>6575</v>
      </c>
      <c r="C110" s="151" t="s">
        <v>5296</v>
      </c>
      <c r="D110" s="151" t="s">
        <v>988</v>
      </c>
      <c r="E110" s="151" t="s">
        <v>137</v>
      </c>
      <c r="F110" s="151" t="s">
        <v>6585</v>
      </c>
      <c r="G110" s="340" t="s">
        <v>6586</v>
      </c>
      <c r="H110" s="334" t="s">
        <v>30</v>
      </c>
      <c r="I110" s="151">
        <v>1</v>
      </c>
      <c r="J110" s="496">
        <v>8950</v>
      </c>
      <c r="K110" s="472">
        <f t="shared" si="1"/>
        <v>8950</v>
      </c>
      <c r="L110" s="501" t="b">
        <v>1</v>
      </c>
      <c r="M110" s="510">
        <v>181220251420</v>
      </c>
      <c r="N110" s="348"/>
      <c r="O110" s="508"/>
      <c r="P110" s="191" t="b">
        <v>0</v>
      </c>
      <c r="Q110" s="433"/>
      <c r="R110" s="506"/>
      <c r="S110" s="57" t="b">
        <v>0</v>
      </c>
      <c r="T110" s="348"/>
      <c r="U110" s="345"/>
      <c r="V110" s="54"/>
    </row>
    <row r="111" spans="1:22" ht="16">
      <c r="A111" s="162"/>
      <c r="B111" s="343" t="s">
        <v>6575</v>
      </c>
      <c r="C111" s="151" t="s">
        <v>5296</v>
      </c>
      <c r="D111" s="151" t="s">
        <v>988</v>
      </c>
      <c r="E111" s="151" t="s">
        <v>137</v>
      </c>
      <c r="F111" s="151" t="s">
        <v>6585</v>
      </c>
      <c r="G111" s="340" t="s">
        <v>3562</v>
      </c>
      <c r="H111" s="334" t="s">
        <v>30</v>
      </c>
      <c r="I111" s="151">
        <v>1</v>
      </c>
      <c r="J111" s="496">
        <v>4500</v>
      </c>
      <c r="K111" s="472">
        <f t="shared" si="1"/>
        <v>4500</v>
      </c>
      <c r="L111" s="501" t="b">
        <v>1</v>
      </c>
      <c r="M111" s="510">
        <v>181220251420</v>
      </c>
      <c r="N111" s="348"/>
      <c r="O111" s="508"/>
      <c r="P111" s="191" t="b">
        <v>0</v>
      </c>
      <c r="Q111" s="433"/>
      <c r="R111" s="506"/>
      <c r="S111" s="57" t="b">
        <v>0</v>
      </c>
      <c r="T111" s="433"/>
      <c r="U111" s="345"/>
      <c r="V111" s="54"/>
    </row>
    <row r="112" spans="1:22" ht="16">
      <c r="A112" s="162"/>
      <c r="B112" s="343" t="s">
        <v>6575</v>
      </c>
      <c r="C112" s="151" t="s">
        <v>4149</v>
      </c>
      <c r="D112" s="151" t="s">
        <v>144</v>
      </c>
      <c r="E112" s="151" t="s">
        <v>122</v>
      </c>
      <c r="F112" s="151" t="s">
        <v>582</v>
      </c>
      <c r="G112" s="340" t="s">
        <v>3448</v>
      </c>
      <c r="H112" s="334" t="s">
        <v>30</v>
      </c>
      <c r="I112" s="151">
        <v>10</v>
      </c>
      <c r="J112" s="496">
        <v>795</v>
      </c>
      <c r="K112" s="472">
        <f t="shared" si="1"/>
        <v>7950</v>
      </c>
      <c r="L112" s="501" t="b">
        <v>1</v>
      </c>
      <c r="M112" s="510">
        <v>181220251915</v>
      </c>
      <c r="N112" s="348" t="s">
        <v>39</v>
      </c>
      <c r="O112" s="508"/>
      <c r="P112" s="191" t="b">
        <v>1</v>
      </c>
      <c r="Q112" s="342" t="s">
        <v>3684</v>
      </c>
      <c r="R112" s="506"/>
      <c r="S112" s="57" t="b">
        <v>1</v>
      </c>
      <c r="T112" s="309" t="s">
        <v>6587</v>
      </c>
      <c r="U112" s="345"/>
      <c r="V112" s="54"/>
    </row>
    <row r="113" spans="1:22" ht="16">
      <c r="A113" s="162"/>
      <c r="B113" s="343" t="s">
        <v>6575</v>
      </c>
      <c r="C113" s="151" t="s">
        <v>4325</v>
      </c>
      <c r="D113" s="151" t="s">
        <v>98</v>
      </c>
      <c r="E113" s="151" t="s">
        <v>2296</v>
      </c>
      <c r="F113" s="151" t="s">
        <v>2601</v>
      </c>
      <c r="G113" s="340" t="s">
        <v>6462</v>
      </c>
      <c r="H113" s="334" t="s">
        <v>30</v>
      </c>
      <c r="I113" s="151">
        <v>84</v>
      </c>
      <c r="J113" s="496">
        <v>45</v>
      </c>
      <c r="K113" s="472">
        <f t="shared" si="1"/>
        <v>3780</v>
      </c>
      <c r="L113" s="501" t="b">
        <v>1</v>
      </c>
      <c r="M113" s="510">
        <v>181220251917</v>
      </c>
      <c r="N113" s="348"/>
      <c r="O113" s="508"/>
      <c r="P113" s="191" t="b">
        <v>1</v>
      </c>
      <c r="Q113" s="342" t="s">
        <v>3684</v>
      </c>
      <c r="R113" s="509" t="s">
        <v>6588</v>
      </c>
      <c r="S113" s="57" t="b">
        <v>1</v>
      </c>
      <c r="T113" s="309" t="s">
        <v>6589</v>
      </c>
      <c r="U113" s="345"/>
      <c r="V113" s="54"/>
    </row>
    <row r="114" spans="1:22" ht="16">
      <c r="A114" s="162"/>
      <c r="B114" s="343" t="s">
        <v>6575</v>
      </c>
      <c r="C114" s="151" t="s">
        <v>3541</v>
      </c>
      <c r="D114" s="151" t="s">
        <v>51</v>
      </c>
      <c r="E114" s="151" t="s">
        <v>372</v>
      </c>
      <c r="F114" s="151" t="s">
        <v>373</v>
      </c>
      <c r="G114" s="340" t="s">
        <v>101</v>
      </c>
      <c r="H114" s="334" t="s">
        <v>30</v>
      </c>
      <c r="I114" s="151">
        <v>5</v>
      </c>
      <c r="J114" s="496">
        <v>995</v>
      </c>
      <c r="K114" s="472">
        <f t="shared" si="1"/>
        <v>4975</v>
      </c>
      <c r="L114" s="501" t="b">
        <v>1</v>
      </c>
      <c r="M114" s="510">
        <v>181220251921</v>
      </c>
      <c r="N114" s="348"/>
      <c r="O114" s="508"/>
      <c r="P114" s="191" t="b">
        <v>1</v>
      </c>
      <c r="Q114" s="342" t="s">
        <v>3684</v>
      </c>
      <c r="R114" s="509" t="s">
        <v>6590</v>
      </c>
      <c r="S114" s="57" t="b">
        <v>1</v>
      </c>
      <c r="T114" s="309" t="s">
        <v>6591</v>
      </c>
      <c r="U114" s="345"/>
      <c r="V114" s="54"/>
    </row>
    <row r="115" spans="1:22" ht="16">
      <c r="A115" s="162"/>
      <c r="B115" s="343" t="s">
        <v>6575</v>
      </c>
      <c r="C115" s="151"/>
      <c r="D115" s="340" t="s">
        <v>144</v>
      </c>
      <c r="E115" s="340" t="s">
        <v>158</v>
      </c>
      <c r="F115" s="340" t="s">
        <v>1542</v>
      </c>
      <c r="G115" s="340" t="s">
        <v>3448</v>
      </c>
      <c r="H115" s="334" t="s">
        <v>30</v>
      </c>
      <c r="I115" s="151">
        <v>20</v>
      </c>
      <c r="J115" s="496">
        <v>795</v>
      </c>
      <c r="K115" s="472">
        <f t="shared" si="1"/>
        <v>15900</v>
      </c>
      <c r="L115" s="501" t="b">
        <v>1</v>
      </c>
      <c r="M115" s="510">
        <v>181220252045</v>
      </c>
      <c r="N115" s="348" t="s">
        <v>39</v>
      </c>
      <c r="O115" s="508"/>
      <c r="P115" s="191" t="b">
        <v>1</v>
      </c>
      <c r="Q115" s="342" t="s">
        <v>3684</v>
      </c>
      <c r="R115" s="506"/>
      <c r="S115" s="57" t="b">
        <v>1</v>
      </c>
      <c r="T115" s="309" t="s">
        <v>6592</v>
      </c>
      <c r="U115" s="345"/>
      <c r="V115" s="54"/>
    </row>
    <row r="116" spans="1:22" ht="16">
      <c r="A116" s="162"/>
      <c r="B116" s="343"/>
      <c r="C116" s="151"/>
      <c r="D116" s="340"/>
      <c r="E116" s="340"/>
      <c r="F116" s="340"/>
      <c r="G116" s="422" t="s">
        <v>6593</v>
      </c>
      <c r="H116" s="334" t="s">
        <v>30</v>
      </c>
      <c r="I116" s="151"/>
      <c r="J116" s="496"/>
      <c r="K116" s="472">
        <f t="shared" si="1"/>
        <v>0</v>
      </c>
      <c r="L116" s="501" t="b">
        <v>1</v>
      </c>
      <c r="M116" s="510"/>
      <c r="N116" s="348"/>
      <c r="O116" s="508"/>
      <c r="P116" s="191" t="b">
        <v>0</v>
      </c>
      <c r="Q116" s="433"/>
      <c r="R116" s="506"/>
      <c r="S116" s="57" t="b">
        <v>0</v>
      </c>
      <c r="T116" s="348"/>
      <c r="U116" s="345"/>
      <c r="V116" s="54"/>
    </row>
    <row r="117" spans="1:22" ht="16">
      <c r="A117" s="162"/>
      <c r="B117" s="343" t="s">
        <v>6575</v>
      </c>
      <c r="C117" s="151" t="s">
        <v>3552</v>
      </c>
      <c r="D117" s="151" t="s">
        <v>51</v>
      </c>
      <c r="E117" s="151" t="s">
        <v>66</v>
      </c>
      <c r="F117" s="151" t="s">
        <v>67</v>
      </c>
      <c r="G117" s="151" t="s">
        <v>68</v>
      </c>
      <c r="H117" s="334" t="s">
        <v>30</v>
      </c>
      <c r="I117" s="151">
        <v>3</v>
      </c>
      <c r="J117" s="496">
        <v>2500</v>
      </c>
      <c r="K117" s="472">
        <f t="shared" si="1"/>
        <v>7500</v>
      </c>
      <c r="L117" s="501" t="b">
        <v>1</v>
      </c>
      <c r="M117" s="510">
        <v>191220251140</v>
      </c>
      <c r="N117" s="348"/>
      <c r="O117" s="508"/>
      <c r="P117" s="191" t="b">
        <v>0</v>
      </c>
      <c r="Q117" s="433" t="s">
        <v>6364</v>
      </c>
      <c r="R117" s="506"/>
      <c r="S117" s="57" t="b">
        <v>0</v>
      </c>
      <c r="T117" s="348"/>
      <c r="U117" s="345"/>
      <c r="V117" s="54"/>
    </row>
    <row r="118" spans="1:22" ht="16">
      <c r="A118" s="162"/>
      <c r="B118" s="71" t="s">
        <v>6594</v>
      </c>
      <c r="C118" s="53" t="s">
        <v>3487</v>
      </c>
      <c r="D118" s="53" t="s">
        <v>51</v>
      </c>
      <c r="E118" s="53" t="s">
        <v>89</v>
      </c>
      <c r="F118" s="53" t="s">
        <v>1872</v>
      </c>
      <c r="G118" s="151" t="s">
        <v>1398</v>
      </c>
      <c r="H118" s="334" t="s">
        <v>30</v>
      </c>
      <c r="I118" s="151">
        <v>1</v>
      </c>
      <c r="J118" s="496">
        <v>5500</v>
      </c>
      <c r="K118" s="472">
        <f t="shared" si="1"/>
        <v>5500</v>
      </c>
      <c r="L118" s="501" t="b">
        <v>1</v>
      </c>
      <c r="M118" s="510"/>
      <c r="N118" s="348"/>
      <c r="O118" s="508"/>
      <c r="P118" s="191" t="b">
        <v>1</v>
      </c>
      <c r="Q118" s="342" t="s">
        <v>3684</v>
      </c>
      <c r="R118" s="506"/>
      <c r="S118" s="57" t="b">
        <v>1</v>
      </c>
      <c r="T118" s="309" t="s">
        <v>6595</v>
      </c>
      <c r="U118" s="345"/>
      <c r="V118" s="54"/>
    </row>
    <row r="119" spans="1:22" ht="16">
      <c r="A119" s="162"/>
      <c r="B119" s="343" t="s">
        <v>6596</v>
      </c>
      <c r="C119" s="151" t="s">
        <v>4742</v>
      </c>
      <c r="D119" s="151" t="s">
        <v>2152</v>
      </c>
      <c r="E119" s="151" t="s">
        <v>2153</v>
      </c>
      <c r="F119" s="151" t="s">
        <v>3853</v>
      </c>
      <c r="G119" s="340" t="s">
        <v>3642</v>
      </c>
      <c r="H119" s="334" t="s">
        <v>30</v>
      </c>
      <c r="I119" s="151">
        <v>20</v>
      </c>
      <c r="J119" s="496">
        <v>270</v>
      </c>
      <c r="K119" s="472">
        <f t="shared" si="1"/>
        <v>5400</v>
      </c>
      <c r="L119" s="501" t="b">
        <v>1</v>
      </c>
      <c r="M119" s="510">
        <v>191220251404</v>
      </c>
      <c r="N119" s="348"/>
      <c r="O119" s="508"/>
      <c r="P119" s="191" t="b">
        <v>0</v>
      </c>
      <c r="Q119" s="433" t="s">
        <v>6364</v>
      </c>
      <c r="R119" s="506"/>
      <c r="S119" s="57" t="b">
        <v>0</v>
      </c>
      <c r="T119" s="348"/>
      <c r="U119" s="345"/>
      <c r="V119" s="54"/>
    </row>
    <row r="120" spans="1:22" ht="16">
      <c r="A120" s="162"/>
      <c r="B120" s="343" t="s">
        <v>6597</v>
      </c>
      <c r="C120" s="151" t="s">
        <v>6272</v>
      </c>
      <c r="D120" s="151" t="s">
        <v>212</v>
      </c>
      <c r="E120" s="151" t="s">
        <v>311</v>
      </c>
      <c r="F120" s="151" t="s">
        <v>6598</v>
      </c>
      <c r="G120" s="340" t="s">
        <v>3448</v>
      </c>
      <c r="H120" s="334" t="s">
        <v>30</v>
      </c>
      <c r="I120" s="151">
        <v>10</v>
      </c>
      <c r="J120" s="496">
        <v>795</v>
      </c>
      <c r="K120" s="472">
        <f t="shared" si="1"/>
        <v>7950</v>
      </c>
      <c r="L120" s="501" t="b">
        <v>1</v>
      </c>
      <c r="M120" s="510">
        <v>221220250912</v>
      </c>
      <c r="N120" s="348" t="s">
        <v>39</v>
      </c>
      <c r="O120" s="508"/>
      <c r="P120" s="191" t="b">
        <v>1</v>
      </c>
      <c r="Q120" s="342" t="s">
        <v>3684</v>
      </c>
      <c r="R120" s="506"/>
      <c r="S120" s="57" t="b">
        <v>1</v>
      </c>
      <c r="T120" s="309" t="s">
        <v>6599</v>
      </c>
      <c r="U120" s="345"/>
      <c r="V120" s="54"/>
    </row>
    <row r="121" spans="1:22" ht="16">
      <c r="A121" s="162"/>
      <c r="B121" s="343" t="s">
        <v>6597</v>
      </c>
      <c r="C121" s="151" t="s">
        <v>4076</v>
      </c>
      <c r="D121" s="151" t="s">
        <v>569</v>
      </c>
      <c r="E121" s="151" t="s">
        <v>569</v>
      </c>
      <c r="F121" s="151" t="s">
        <v>4078</v>
      </c>
      <c r="G121" s="340" t="s">
        <v>3642</v>
      </c>
      <c r="H121" s="334" t="s">
        <v>30</v>
      </c>
      <c r="I121" s="151">
        <v>50</v>
      </c>
      <c r="J121" s="496">
        <v>260</v>
      </c>
      <c r="K121" s="472">
        <f t="shared" si="1"/>
        <v>13000</v>
      </c>
      <c r="L121" s="501" t="b">
        <v>1</v>
      </c>
      <c r="M121" s="510">
        <v>221220251412</v>
      </c>
      <c r="N121" s="348"/>
      <c r="O121" s="508"/>
      <c r="P121" s="191" t="b">
        <v>0</v>
      </c>
      <c r="Q121" s="433" t="s">
        <v>6364</v>
      </c>
      <c r="R121" s="506"/>
      <c r="S121" s="57" t="b">
        <v>0</v>
      </c>
      <c r="T121" s="348"/>
      <c r="U121" s="345"/>
      <c r="V121" s="54"/>
    </row>
    <row r="122" spans="1:22" ht="16">
      <c r="A122" s="162"/>
      <c r="B122" s="343" t="s">
        <v>6597</v>
      </c>
      <c r="C122" s="151" t="s">
        <v>6600</v>
      </c>
      <c r="D122" s="151" t="s">
        <v>6601</v>
      </c>
      <c r="E122" s="151" t="s">
        <v>6602</v>
      </c>
      <c r="F122" s="151" t="s">
        <v>6603</v>
      </c>
      <c r="G122" s="340" t="s">
        <v>6604</v>
      </c>
      <c r="H122" s="334" t="s">
        <v>30</v>
      </c>
      <c r="I122" s="151">
        <v>1</v>
      </c>
      <c r="J122" s="496">
        <v>9950</v>
      </c>
      <c r="K122" s="472">
        <f t="shared" si="1"/>
        <v>9950</v>
      </c>
      <c r="L122" s="501" t="b">
        <v>1</v>
      </c>
      <c r="M122" s="510">
        <v>221220251414</v>
      </c>
      <c r="N122" s="348"/>
      <c r="O122" s="508"/>
      <c r="P122" s="191" t="b">
        <v>1</v>
      </c>
      <c r="Q122" s="342" t="s">
        <v>3684</v>
      </c>
      <c r="R122" s="506"/>
      <c r="S122" s="57" t="b">
        <v>1</v>
      </c>
      <c r="T122" s="309" t="s">
        <v>6605</v>
      </c>
      <c r="U122" s="345"/>
      <c r="V122" s="54"/>
    </row>
    <row r="123" spans="1:22" ht="16.5" customHeight="1">
      <c r="A123" s="162"/>
      <c r="B123" s="343" t="s">
        <v>6597</v>
      </c>
      <c r="C123" s="151" t="s">
        <v>6600</v>
      </c>
      <c r="D123" s="151" t="s">
        <v>6601</v>
      </c>
      <c r="E123" s="151" t="s">
        <v>6602</v>
      </c>
      <c r="F123" s="151" t="s">
        <v>6603</v>
      </c>
      <c r="G123" s="340" t="s">
        <v>3562</v>
      </c>
      <c r="H123" s="334" t="s">
        <v>30</v>
      </c>
      <c r="I123" s="151">
        <v>1</v>
      </c>
      <c r="J123" s="496">
        <v>4250</v>
      </c>
      <c r="K123" s="472">
        <f t="shared" si="1"/>
        <v>4250</v>
      </c>
      <c r="L123" s="501" t="b">
        <v>1</v>
      </c>
      <c r="M123" s="510">
        <v>221220251414</v>
      </c>
      <c r="N123" s="348"/>
      <c r="O123" s="508"/>
      <c r="P123" s="191" t="b">
        <v>1</v>
      </c>
      <c r="Q123" s="342" t="s">
        <v>3684</v>
      </c>
      <c r="R123" s="506"/>
      <c r="S123" s="57" t="b">
        <v>1</v>
      </c>
      <c r="T123" s="309" t="s">
        <v>6606</v>
      </c>
      <c r="U123" s="345"/>
      <c r="V123" s="54"/>
    </row>
    <row r="124" spans="1:22" ht="16.5" customHeight="1">
      <c r="A124" s="162"/>
      <c r="B124" s="343" t="s">
        <v>6597</v>
      </c>
      <c r="C124" s="151" t="s">
        <v>3517</v>
      </c>
      <c r="D124" s="151" t="s">
        <v>51</v>
      </c>
      <c r="E124" s="151" t="s">
        <v>61</v>
      </c>
      <c r="F124" s="151" t="s">
        <v>476</v>
      </c>
      <c r="G124" s="340" t="s">
        <v>6607</v>
      </c>
      <c r="H124" s="334" t="s">
        <v>30</v>
      </c>
      <c r="I124" s="151">
        <v>1</v>
      </c>
      <c r="J124" s="496">
        <v>24750</v>
      </c>
      <c r="K124" s="472">
        <f t="shared" si="1"/>
        <v>24750</v>
      </c>
      <c r="L124" s="501" t="b">
        <v>1</v>
      </c>
      <c r="M124" s="510">
        <v>221220251414</v>
      </c>
      <c r="N124" s="348" t="s">
        <v>529</v>
      </c>
      <c r="O124" s="508"/>
      <c r="P124" s="191" t="b">
        <v>1</v>
      </c>
      <c r="Q124" s="342" t="s">
        <v>3684</v>
      </c>
      <c r="R124" s="506"/>
      <c r="S124" s="57" t="b">
        <v>1</v>
      </c>
      <c r="T124" s="309" t="s">
        <v>6608</v>
      </c>
      <c r="U124" s="345"/>
      <c r="V124" s="54"/>
    </row>
    <row r="125" spans="1:22" ht="16">
      <c r="A125" s="162"/>
      <c r="B125" s="343" t="s">
        <v>6597</v>
      </c>
      <c r="C125" s="151" t="s">
        <v>3641</v>
      </c>
      <c r="D125" s="151" t="s">
        <v>51</v>
      </c>
      <c r="E125" s="151" t="s">
        <v>335</v>
      </c>
      <c r="F125" s="151" t="s">
        <v>395</v>
      </c>
      <c r="G125" s="151" t="s">
        <v>6607</v>
      </c>
      <c r="H125" s="334" t="s">
        <v>30</v>
      </c>
      <c r="I125" s="151">
        <v>1</v>
      </c>
      <c r="J125" s="496">
        <v>19250</v>
      </c>
      <c r="K125" s="472">
        <f t="shared" si="1"/>
        <v>19250</v>
      </c>
      <c r="L125" s="501" t="b">
        <v>1</v>
      </c>
      <c r="M125" s="510">
        <v>221220251414</v>
      </c>
      <c r="N125" s="348" t="s">
        <v>529</v>
      </c>
      <c r="O125" s="508"/>
      <c r="P125" s="191" t="b">
        <v>1</v>
      </c>
      <c r="Q125" s="342" t="s">
        <v>3684</v>
      </c>
      <c r="R125" s="506"/>
      <c r="S125" s="57" t="b">
        <v>1</v>
      </c>
      <c r="T125" s="309" t="s">
        <v>6609</v>
      </c>
      <c r="U125" s="345"/>
      <c r="V125" s="54"/>
    </row>
    <row r="126" spans="1:22" ht="16">
      <c r="A126" s="162"/>
      <c r="B126" s="343" t="s">
        <v>6597</v>
      </c>
      <c r="C126" s="151" t="s">
        <v>3445</v>
      </c>
      <c r="D126" s="151" t="s">
        <v>262</v>
      </c>
      <c r="E126" s="151" t="s">
        <v>3446</v>
      </c>
      <c r="F126" s="151" t="s">
        <v>3447</v>
      </c>
      <c r="G126" s="151" t="s">
        <v>374</v>
      </c>
      <c r="H126" s="334" t="s">
        <v>30</v>
      </c>
      <c r="I126" s="151">
        <v>100</v>
      </c>
      <c r="J126" s="496">
        <v>30</v>
      </c>
      <c r="K126" s="472">
        <f t="shared" si="1"/>
        <v>3000</v>
      </c>
      <c r="L126" s="501" t="b">
        <v>1</v>
      </c>
      <c r="M126" s="510">
        <v>221220251550</v>
      </c>
      <c r="N126" s="348"/>
      <c r="O126" s="508"/>
      <c r="P126" s="191" t="b">
        <v>1</v>
      </c>
      <c r="Q126" s="342" t="s">
        <v>3684</v>
      </c>
      <c r="R126" s="509" t="s">
        <v>6610</v>
      </c>
      <c r="S126" s="57" t="b">
        <v>1</v>
      </c>
      <c r="T126" s="309" t="s">
        <v>6611</v>
      </c>
      <c r="U126" s="345"/>
      <c r="V126" s="54"/>
    </row>
    <row r="127" spans="1:22" ht="15" customHeight="1">
      <c r="A127" s="162"/>
      <c r="B127" s="343" t="s">
        <v>6597</v>
      </c>
      <c r="C127" s="151" t="s">
        <v>3506</v>
      </c>
      <c r="D127" s="151" t="s">
        <v>55</v>
      </c>
      <c r="E127" s="151">
        <v>41</v>
      </c>
      <c r="F127" s="151" t="s">
        <v>1552</v>
      </c>
      <c r="G127" s="151" t="s">
        <v>6612</v>
      </c>
      <c r="H127" s="334" t="s">
        <v>30</v>
      </c>
      <c r="I127" s="151">
        <v>1</v>
      </c>
      <c r="J127" s="496">
        <v>8950</v>
      </c>
      <c r="K127" s="472">
        <f t="shared" si="1"/>
        <v>8950</v>
      </c>
      <c r="L127" s="501" t="b">
        <v>1</v>
      </c>
      <c r="M127" s="510">
        <v>221220251550</v>
      </c>
      <c r="N127" s="348"/>
      <c r="O127" s="508"/>
      <c r="P127" s="191" t="b">
        <v>1</v>
      </c>
      <c r="Q127" s="342" t="s">
        <v>3684</v>
      </c>
      <c r="R127" s="506"/>
      <c r="S127" s="57" t="b">
        <v>1</v>
      </c>
      <c r="T127" s="309" t="s">
        <v>6613</v>
      </c>
      <c r="U127" s="345"/>
      <c r="V127" s="54"/>
    </row>
    <row r="128" spans="1:22" ht="16">
      <c r="A128" s="162"/>
      <c r="B128" s="343" t="s">
        <v>6597</v>
      </c>
      <c r="C128" s="151" t="s">
        <v>3506</v>
      </c>
      <c r="D128" s="151" t="s">
        <v>55</v>
      </c>
      <c r="E128" s="151">
        <v>41</v>
      </c>
      <c r="F128" s="151" t="s">
        <v>1552</v>
      </c>
      <c r="G128" s="151" t="s">
        <v>3562</v>
      </c>
      <c r="H128" s="334" t="s">
        <v>30</v>
      </c>
      <c r="I128" s="151">
        <v>1</v>
      </c>
      <c r="J128" s="496">
        <v>3750</v>
      </c>
      <c r="K128" s="472">
        <f t="shared" si="1"/>
        <v>3750</v>
      </c>
      <c r="L128" s="501" t="b">
        <v>1</v>
      </c>
      <c r="M128" s="510">
        <v>221220251550</v>
      </c>
      <c r="N128" s="348"/>
      <c r="O128" s="508"/>
      <c r="P128" s="191" t="b">
        <v>1</v>
      </c>
      <c r="Q128" s="342" t="s">
        <v>3684</v>
      </c>
      <c r="R128" s="506"/>
      <c r="S128" s="57" t="b">
        <v>1</v>
      </c>
      <c r="T128" s="309" t="s">
        <v>6614</v>
      </c>
      <c r="U128" s="345"/>
      <c r="V128" s="54"/>
    </row>
    <row r="129" spans="1:22" ht="16">
      <c r="A129" s="162"/>
      <c r="B129" s="343" t="s">
        <v>6597</v>
      </c>
      <c r="C129" s="151" t="s">
        <v>3476</v>
      </c>
      <c r="D129" s="151" t="s">
        <v>433</v>
      </c>
      <c r="E129" s="151" t="s">
        <v>434</v>
      </c>
      <c r="F129" s="151" t="s">
        <v>2240</v>
      </c>
      <c r="G129" s="151" t="s">
        <v>3288</v>
      </c>
      <c r="H129" s="334" t="s">
        <v>30</v>
      </c>
      <c r="I129" s="151">
        <v>1</v>
      </c>
      <c r="J129" s="496">
        <v>2200</v>
      </c>
      <c r="K129" s="472">
        <f t="shared" si="1"/>
        <v>2200</v>
      </c>
      <c r="L129" s="501" t="b">
        <v>1</v>
      </c>
      <c r="M129" s="510">
        <v>221220251844</v>
      </c>
      <c r="N129" s="348"/>
      <c r="O129" s="508"/>
      <c r="P129" s="191" t="b">
        <v>1</v>
      </c>
      <c r="Q129" s="342" t="s">
        <v>3684</v>
      </c>
      <c r="R129" s="509" t="s">
        <v>6615</v>
      </c>
      <c r="S129" s="57" t="b">
        <v>1</v>
      </c>
      <c r="T129" s="309" t="s">
        <v>6616</v>
      </c>
      <c r="U129" s="345"/>
      <c r="V129" s="54"/>
    </row>
    <row r="130" spans="1:22" ht="16">
      <c r="A130" s="162"/>
      <c r="B130" s="343" t="s">
        <v>6597</v>
      </c>
      <c r="C130" s="151" t="s">
        <v>3619</v>
      </c>
      <c r="D130" s="151" t="s">
        <v>433</v>
      </c>
      <c r="E130" s="151" t="s">
        <v>751</v>
      </c>
      <c r="F130" s="151" t="s">
        <v>2538</v>
      </c>
      <c r="G130" s="340" t="s">
        <v>6498</v>
      </c>
      <c r="H130" s="334" t="s">
        <v>30</v>
      </c>
      <c r="I130" s="151">
        <v>5</v>
      </c>
      <c r="J130" s="496">
        <v>2250</v>
      </c>
      <c r="K130" s="472">
        <f t="shared" si="1"/>
        <v>11250</v>
      </c>
      <c r="L130" s="501" t="b">
        <v>1</v>
      </c>
      <c r="M130" s="510">
        <v>221220251844</v>
      </c>
      <c r="N130" s="348"/>
      <c r="O130" s="508"/>
      <c r="P130" s="191" t="b">
        <v>0</v>
      </c>
      <c r="Q130" s="433"/>
      <c r="R130" s="509"/>
      <c r="S130" s="57" t="b">
        <v>0</v>
      </c>
      <c r="T130" s="507"/>
      <c r="U130" s="345"/>
      <c r="V130" s="54"/>
    </row>
    <row r="131" spans="1:22" ht="16">
      <c r="A131" s="162"/>
      <c r="B131" s="343" t="s">
        <v>6597</v>
      </c>
      <c r="C131" s="151" t="s">
        <v>3619</v>
      </c>
      <c r="D131" s="151" t="s">
        <v>433</v>
      </c>
      <c r="E131" s="151" t="s">
        <v>751</v>
      </c>
      <c r="F131" s="151" t="s">
        <v>2538</v>
      </c>
      <c r="G131" s="340" t="s">
        <v>3562</v>
      </c>
      <c r="H131" s="334" t="s">
        <v>30</v>
      </c>
      <c r="I131" s="151">
        <v>1</v>
      </c>
      <c r="J131" s="496"/>
      <c r="K131" s="472">
        <f t="shared" si="1"/>
        <v>0</v>
      </c>
      <c r="L131" s="501" t="b">
        <v>1</v>
      </c>
      <c r="M131" s="510">
        <v>221220251844</v>
      </c>
      <c r="N131" s="348"/>
      <c r="O131" s="508"/>
      <c r="P131" s="191" t="b">
        <v>0</v>
      </c>
      <c r="Q131" s="342"/>
      <c r="R131" s="509"/>
      <c r="S131" s="57" t="b">
        <v>0</v>
      </c>
      <c r="T131" s="309"/>
      <c r="U131" s="345"/>
      <c r="V131" s="54"/>
    </row>
    <row r="132" spans="1:22" ht="16">
      <c r="A132" s="162"/>
      <c r="B132" s="343" t="s">
        <v>6597</v>
      </c>
      <c r="C132" s="151" t="s">
        <v>5052</v>
      </c>
      <c r="D132" s="151" t="s">
        <v>104</v>
      </c>
      <c r="E132" s="151" t="s">
        <v>1048</v>
      </c>
      <c r="F132" s="151" t="s">
        <v>3406</v>
      </c>
      <c r="G132" s="340" t="s">
        <v>139</v>
      </c>
      <c r="H132" s="334" t="s">
        <v>30</v>
      </c>
      <c r="I132" s="151">
        <v>50</v>
      </c>
      <c r="J132" s="496">
        <v>30</v>
      </c>
      <c r="K132" s="472">
        <f t="shared" si="1"/>
        <v>1500</v>
      </c>
      <c r="L132" s="501" t="b">
        <v>1</v>
      </c>
      <c r="M132" s="510">
        <v>221220251846</v>
      </c>
      <c r="N132" s="348"/>
      <c r="O132" s="508"/>
      <c r="P132" s="191" t="b">
        <v>1</v>
      </c>
      <c r="Q132" s="342" t="s">
        <v>3684</v>
      </c>
      <c r="R132" s="509" t="s">
        <v>6617</v>
      </c>
      <c r="S132" s="57" t="b">
        <v>1</v>
      </c>
      <c r="T132" s="309" t="s">
        <v>6618</v>
      </c>
      <c r="U132" s="345"/>
      <c r="V132" s="54"/>
    </row>
    <row r="133" spans="1:22" ht="16">
      <c r="A133" s="162"/>
      <c r="B133" s="343" t="s">
        <v>6619</v>
      </c>
      <c r="C133" s="151" t="s">
        <v>3650</v>
      </c>
      <c r="D133" s="151" t="s">
        <v>171</v>
      </c>
      <c r="E133" s="151" t="s">
        <v>137</v>
      </c>
      <c r="F133" s="151" t="s">
        <v>6620</v>
      </c>
      <c r="G133" s="340" t="s">
        <v>6621</v>
      </c>
      <c r="H133" s="334" t="s">
        <v>30</v>
      </c>
      <c r="I133" s="151">
        <v>5</v>
      </c>
      <c r="J133" s="496">
        <v>705</v>
      </c>
      <c r="K133" s="472">
        <f t="shared" si="1"/>
        <v>3525</v>
      </c>
      <c r="L133" s="501" t="b">
        <v>1</v>
      </c>
      <c r="M133" s="510">
        <v>231220251426</v>
      </c>
      <c r="N133" s="348"/>
      <c r="O133" s="508"/>
      <c r="P133" s="191" t="b">
        <v>1</v>
      </c>
      <c r="Q133" s="342" t="s">
        <v>3684</v>
      </c>
      <c r="R133" s="509" t="s">
        <v>6622</v>
      </c>
      <c r="S133" s="57" t="b">
        <v>1</v>
      </c>
      <c r="T133" s="309" t="s">
        <v>6623</v>
      </c>
      <c r="U133" s="345"/>
      <c r="V133" s="54"/>
    </row>
    <row r="134" spans="1:22" ht="16">
      <c r="A134" s="162"/>
      <c r="B134" s="343" t="s">
        <v>6619</v>
      </c>
      <c r="C134" s="151" t="s">
        <v>3650</v>
      </c>
      <c r="D134" s="151" t="s">
        <v>171</v>
      </c>
      <c r="E134" s="151" t="s">
        <v>137</v>
      </c>
      <c r="F134" s="151" t="s">
        <v>6620</v>
      </c>
      <c r="G134" s="340" t="s">
        <v>6624</v>
      </c>
      <c r="H134" s="334" t="s">
        <v>30</v>
      </c>
      <c r="I134" s="151">
        <v>5</v>
      </c>
      <c r="J134" s="496">
        <v>885</v>
      </c>
      <c r="K134" s="472">
        <f t="shared" si="1"/>
        <v>4425</v>
      </c>
      <c r="L134" s="501" t="b">
        <v>1</v>
      </c>
      <c r="M134" s="510">
        <v>231220251427</v>
      </c>
      <c r="N134" s="348"/>
      <c r="O134" s="508"/>
      <c r="P134" s="191" t="b">
        <v>1</v>
      </c>
      <c r="Q134" s="342" t="s">
        <v>3684</v>
      </c>
      <c r="R134" s="509" t="s">
        <v>6622</v>
      </c>
      <c r="S134" s="57" t="b">
        <v>1</v>
      </c>
      <c r="T134" s="309" t="s">
        <v>6623</v>
      </c>
      <c r="U134" s="345"/>
      <c r="V134" s="54"/>
    </row>
    <row r="135" spans="1:22" ht="16">
      <c r="A135" s="162"/>
      <c r="B135" s="343" t="s">
        <v>6619</v>
      </c>
      <c r="C135" s="151" t="s">
        <v>3480</v>
      </c>
      <c r="D135" s="151" t="s">
        <v>418</v>
      </c>
      <c r="E135" s="151" t="s">
        <v>565</v>
      </c>
      <c r="F135" s="151" t="s">
        <v>5831</v>
      </c>
      <c r="G135" s="340" t="s">
        <v>2520</v>
      </c>
      <c r="H135" s="334" t="s">
        <v>30</v>
      </c>
      <c r="I135" s="151">
        <v>6</v>
      </c>
      <c r="J135" s="496">
        <v>375</v>
      </c>
      <c r="K135" s="472">
        <f t="shared" si="1"/>
        <v>2250</v>
      </c>
      <c r="L135" s="501" t="b">
        <v>1</v>
      </c>
      <c r="M135" s="510">
        <v>231220251427</v>
      </c>
      <c r="N135" s="348"/>
      <c r="O135" s="508"/>
      <c r="P135" s="191" t="b">
        <v>1</v>
      </c>
      <c r="Q135" s="342" t="s">
        <v>3684</v>
      </c>
      <c r="R135" s="509" t="s">
        <v>6625</v>
      </c>
      <c r="S135" s="57" t="b">
        <v>1</v>
      </c>
      <c r="T135" s="309" t="s">
        <v>6626</v>
      </c>
      <c r="U135" s="345"/>
      <c r="V135" s="54"/>
    </row>
    <row r="136" spans="1:22" ht="16">
      <c r="A136" s="162"/>
      <c r="B136" s="343" t="s">
        <v>6619</v>
      </c>
      <c r="C136" s="151" t="s">
        <v>3517</v>
      </c>
      <c r="D136" s="151" t="s">
        <v>51</v>
      </c>
      <c r="E136" s="151" t="s">
        <v>61</v>
      </c>
      <c r="F136" s="151" t="s">
        <v>548</v>
      </c>
      <c r="G136" s="340" t="s">
        <v>321</v>
      </c>
      <c r="H136" s="334" t="s">
        <v>30</v>
      </c>
      <c r="I136" s="151">
        <v>168</v>
      </c>
      <c r="J136" s="496">
        <v>45</v>
      </c>
      <c r="K136" s="472">
        <f t="shared" si="1"/>
        <v>7560</v>
      </c>
      <c r="L136" s="501" t="b">
        <v>1</v>
      </c>
      <c r="M136" s="510">
        <v>231220251532</v>
      </c>
      <c r="N136" s="348"/>
      <c r="O136" s="508"/>
      <c r="P136" s="191" t="b">
        <v>1</v>
      </c>
      <c r="Q136" s="342" t="s">
        <v>3684</v>
      </c>
      <c r="R136" s="509"/>
      <c r="S136" s="57" t="b">
        <v>1</v>
      </c>
      <c r="T136" s="309" t="s">
        <v>6627</v>
      </c>
      <c r="U136" s="345"/>
      <c r="V136" s="54"/>
    </row>
    <row r="137" spans="1:22" ht="16">
      <c r="A137" s="162"/>
      <c r="B137" s="343" t="s">
        <v>6619</v>
      </c>
      <c r="C137" s="151" t="s">
        <v>3568</v>
      </c>
      <c r="D137" s="151" t="s">
        <v>438</v>
      </c>
      <c r="E137" s="151" t="s">
        <v>5814</v>
      </c>
      <c r="F137" s="151" t="s">
        <v>5712</v>
      </c>
      <c r="G137" s="340" t="s">
        <v>6628</v>
      </c>
      <c r="H137" s="334" t="s">
        <v>30</v>
      </c>
      <c r="I137" s="151">
        <v>1</v>
      </c>
      <c r="J137" s="496">
        <v>45000</v>
      </c>
      <c r="K137" s="472">
        <f t="shared" si="1"/>
        <v>45000</v>
      </c>
      <c r="L137" s="501" t="b">
        <v>1</v>
      </c>
      <c r="M137" s="510" t="s">
        <v>529</v>
      </c>
      <c r="N137" s="348"/>
      <c r="O137" s="508"/>
      <c r="P137" s="191" t="b">
        <v>0</v>
      </c>
      <c r="Q137" s="433"/>
      <c r="R137" s="509"/>
      <c r="S137" s="57" t="b">
        <v>0</v>
      </c>
      <c r="T137" s="507"/>
      <c r="U137" s="345"/>
      <c r="V137" s="54"/>
    </row>
    <row r="138" spans="1:22" ht="16">
      <c r="A138" s="162"/>
      <c r="B138" s="343" t="s">
        <v>6629</v>
      </c>
      <c r="C138" s="151" t="s">
        <v>3552</v>
      </c>
      <c r="D138" s="151" t="s">
        <v>51</v>
      </c>
      <c r="E138" s="151" t="s">
        <v>66</v>
      </c>
      <c r="F138" s="151" t="s">
        <v>67</v>
      </c>
      <c r="G138" s="340" t="s">
        <v>229</v>
      </c>
      <c r="H138" s="334" t="s">
        <v>30</v>
      </c>
      <c r="I138" s="151">
        <v>3</v>
      </c>
      <c r="J138" s="496">
        <v>850</v>
      </c>
      <c r="K138" s="472">
        <f t="shared" si="1"/>
        <v>2550</v>
      </c>
      <c r="L138" s="501" t="b">
        <v>1</v>
      </c>
      <c r="M138" s="510">
        <v>241220251024</v>
      </c>
      <c r="N138" s="348"/>
      <c r="O138" s="508"/>
      <c r="P138" s="191" t="b">
        <v>1</v>
      </c>
      <c r="Q138" s="342" t="s">
        <v>3684</v>
      </c>
      <c r="R138" s="509" t="s">
        <v>6630</v>
      </c>
      <c r="S138" s="57" t="b">
        <v>1</v>
      </c>
      <c r="T138" s="309" t="s">
        <v>6631</v>
      </c>
      <c r="U138" s="345"/>
      <c r="V138" s="54"/>
    </row>
    <row r="139" spans="1:22" ht="16">
      <c r="A139" s="162"/>
      <c r="B139" s="343" t="s">
        <v>6629</v>
      </c>
      <c r="C139" s="151" t="s">
        <v>3552</v>
      </c>
      <c r="D139" s="151" t="s">
        <v>51</v>
      </c>
      <c r="E139" s="151" t="s">
        <v>66</v>
      </c>
      <c r="F139" s="151" t="s">
        <v>67</v>
      </c>
      <c r="G139" s="340" t="s">
        <v>229</v>
      </c>
      <c r="H139" s="334" t="s">
        <v>30</v>
      </c>
      <c r="I139" s="151">
        <v>3</v>
      </c>
      <c r="J139" s="496">
        <v>850</v>
      </c>
      <c r="K139" s="472">
        <f t="shared" si="1"/>
        <v>2550</v>
      </c>
      <c r="L139" s="501" t="b">
        <v>1</v>
      </c>
      <c r="M139" s="510">
        <v>241220251024</v>
      </c>
      <c r="N139" s="348"/>
      <c r="O139" s="508"/>
      <c r="P139" s="191" t="b">
        <v>0</v>
      </c>
      <c r="Q139" s="433"/>
      <c r="R139" s="509"/>
      <c r="S139" s="57" t="b">
        <v>0</v>
      </c>
      <c r="T139" s="507"/>
      <c r="U139" s="345"/>
      <c r="V139" s="54"/>
    </row>
    <row r="140" spans="1:22" ht="16">
      <c r="A140" s="162"/>
      <c r="B140" s="343" t="s">
        <v>6629</v>
      </c>
      <c r="C140" s="151" t="s">
        <v>3589</v>
      </c>
      <c r="D140" s="151" t="s">
        <v>397</v>
      </c>
      <c r="E140" s="151" t="s">
        <v>213</v>
      </c>
      <c r="F140" s="151" t="s">
        <v>859</v>
      </c>
      <c r="G140" s="340" t="s">
        <v>6632</v>
      </c>
      <c r="H140" s="334" t="s">
        <v>30</v>
      </c>
      <c r="I140" s="151">
        <v>2</v>
      </c>
      <c r="J140" s="496">
        <v>2200</v>
      </c>
      <c r="K140" s="472">
        <f t="shared" si="1"/>
        <v>4400</v>
      </c>
      <c r="L140" s="501" t="b">
        <v>1</v>
      </c>
      <c r="M140" s="510">
        <v>241220252201</v>
      </c>
      <c r="N140" s="348"/>
      <c r="O140" s="508"/>
      <c r="P140" s="191" t="b">
        <v>1</v>
      </c>
      <c r="Q140" s="342" t="s">
        <v>3684</v>
      </c>
      <c r="R140" s="509"/>
      <c r="S140" s="57" t="b">
        <v>1</v>
      </c>
      <c r="T140" s="309" t="s">
        <v>6633</v>
      </c>
      <c r="U140" s="345"/>
      <c r="V140" s="54"/>
    </row>
    <row r="141" spans="1:22" ht="16">
      <c r="A141" s="162"/>
      <c r="B141" s="343" t="s">
        <v>6629</v>
      </c>
      <c r="C141" s="151" t="s">
        <v>3458</v>
      </c>
      <c r="D141" s="151" t="s">
        <v>51</v>
      </c>
      <c r="E141" s="151" t="s">
        <v>201</v>
      </c>
      <c r="F141" s="151" t="s">
        <v>202</v>
      </c>
      <c r="G141" s="340" t="s">
        <v>6634</v>
      </c>
      <c r="H141" s="334" t="s">
        <v>30</v>
      </c>
      <c r="I141" s="151">
        <v>24</v>
      </c>
      <c r="J141" s="496">
        <v>62.5</v>
      </c>
      <c r="K141" s="472">
        <f t="shared" si="1"/>
        <v>1500</v>
      </c>
      <c r="L141" s="501" t="b">
        <v>1</v>
      </c>
      <c r="M141" s="510">
        <v>241220252201</v>
      </c>
      <c r="N141" s="348"/>
      <c r="O141" s="508"/>
      <c r="P141" s="191" t="b">
        <v>1</v>
      </c>
      <c r="Q141" s="342" t="s">
        <v>3684</v>
      </c>
      <c r="R141" s="509" t="s">
        <v>6635</v>
      </c>
      <c r="S141" s="57" t="b">
        <v>1</v>
      </c>
      <c r="T141" s="309" t="s">
        <v>6636</v>
      </c>
      <c r="U141" s="345"/>
      <c r="V141" s="54"/>
    </row>
    <row r="142" spans="1:22" ht="16">
      <c r="A142" s="162"/>
      <c r="B142" s="343" t="s">
        <v>2913</v>
      </c>
      <c r="C142" s="151" t="s">
        <v>4135</v>
      </c>
      <c r="D142" s="151" t="s">
        <v>33</v>
      </c>
      <c r="E142" s="151" t="s">
        <v>27</v>
      </c>
      <c r="F142" s="151" t="s">
        <v>28</v>
      </c>
      <c r="G142" s="151" t="s">
        <v>101</v>
      </c>
      <c r="H142" s="334" t="s">
        <v>30</v>
      </c>
      <c r="I142" s="151">
        <v>15</v>
      </c>
      <c r="J142" s="496">
        <v>995</v>
      </c>
      <c r="K142" s="472">
        <f t="shared" si="1"/>
        <v>14925</v>
      </c>
      <c r="L142" s="501" t="b">
        <v>1</v>
      </c>
      <c r="M142" s="510" t="s">
        <v>529</v>
      </c>
      <c r="N142" s="348"/>
      <c r="O142" s="508"/>
      <c r="P142" s="191" t="b">
        <v>1</v>
      </c>
      <c r="Q142" s="342" t="s">
        <v>3684</v>
      </c>
      <c r="R142" s="509" t="s">
        <v>6637</v>
      </c>
      <c r="S142" s="57" t="b">
        <v>1</v>
      </c>
      <c r="T142" s="309" t="s">
        <v>6638</v>
      </c>
      <c r="U142" s="345"/>
      <c r="V142" s="54"/>
    </row>
    <row r="143" spans="1:22" ht="16">
      <c r="A143" s="162"/>
      <c r="B143" s="343" t="s">
        <v>2913</v>
      </c>
      <c r="C143" s="151" t="s">
        <v>4135</v>
      </c>
      <c r="D143" s="151" t="s">
        <v>33</v>
      </c>
      <c r="E143" s="151" t="s">
        <v>27</v>
      </c>
      <c r="F143" s="151" t="s">
        <v>28</v>
      </c>
      <c r="G143" s="340" t="s">
        <v>3562</v>
      </c>
      <c r="H143" s="334" t="s">
        <v>30</v>
      </c>
      <c r="I143" s="151">
        <v>1</v>
      </c>
      <c r="J143" s="496">
        <v>1250</v>
      </c>
      <c r="K143" s="472">
        <f t="shared" si="1"/>
        <v>1250</v>
      </c>
      <c r="L143" s="501" t="b">
        <v>1</v>
      </c>
      <c r="M143" s="510"/>
      <c r="N143" s="348"/>
      <c r="O143" s="508"/>
      <c r="P143" s="191" t="b">
        <v>1</v>
      </c>
      <c r="Q143" s="342" t="s">
        <v>3684</v>
      </c>
      <c r="R143" s="509"/>
      <c r="S143" s="57" t="b">
        <v>1</v>
      </c>
      <c r="T143" s="309" t="s">
        <v>6639</v>
      </c>
      <c r="U143" s="345"/>
      <c r="V143" s="54"/>
    </row>
    <row r="144" spans="1:22" ht="16">
      <c r="A144" s="162"/>
      <c r="B144" s="343" t="s">
        <v>2913</v>
      </c>
      <c r="C144" s="151" t="s">
        <v>4135</v>
      </c>
      <c r="D144" s="151" t="s">
        <v>33</v>
      </c>
      <c r="E144" s="151" t="s">
        <v>27</v>
      </c>
      <c r="F144" s="151" t="s">
        <v>28</v>
      </c>
      <c r="G144" s="340" t="s">
        <v>6632</v>
      </c>
      <c r="H144" s="334" t="s">
        <v>30</v>
      </c>
      <c r="I144" s="151">
        <v>1</v>
      </c>
      <c r="J144" s="496">
        <v>2200</v>
      </c>
      <c r="K144" s="472">
        <f t="shared" si="1"/>
        <v>2200</v>
      </c>
      <c r="L144" s="501" t="b">
        <v>1</v>
      </c>
      <c r="M144" s="510">
        <v>251220251337</v>
      </c>
      <c r="N144" s="348"/>
      <c r="O144" s="508"/>
      <c r="P144" s="191" t="b">
        <v>1</v>
      </c>
      <c r="Q144" s="342" t="s">
        <v>3684</v>
      </c>
      <c r="R144" s="509"/>
      <c r="S144" s="57" t="b">
        <v>1</v>
      </c>
      <c r="T144" s="309" t="s">
        <v>6640</v>
      </c>
      <c r="U144" s="345"/>
      <c r="V144" s="54"/>
    </row>
    <row r="145" spans="1:22" ht="16">
      <c r="A145" s="162"/>
      <c r="B145" s="343" t="s">
        <v>2913</v>
      </c>
      <c r="C145" s="151" t="s">
        <v>3480</v>
      </c>
      <c r="D145" s="151" t="s">
        <v>418</v>
      </c>
      <c r="E145" s="151" t="s">
        <v>565</v>
      </c>
      <c r="F145" s="151" t="s">
        <v>6420</v>
      </c>
      <c r="G145" s="151" t="s">
        <v>6641</v>
      </c>
      <c r="H145" s="334" t="s">
        <v>30</v>
      </c>
      <c r="I145" s="151">
        <v>3</v>
      </c>
      <c r="J145" s="496">
        <v>300</v>
      </c>
      <c r="K145" s="472">
        <f t="shared" si="1"/>
        <v>900</v>
      </c>
      <c r="L145" s="501" t="b">
        <v>1</v>
      </c>
      <c r="M145" s="510">
        <v>251220251337</v>
      </c>
      <c r="N145" s="348"/>
      <c r="O145" s="508"/>
      <c r="P145" s="191" t="b">
        <v>1</v>
      </c>
      <c r="Q145" s="342" t="s">
        <v>3684</v>
      </c>
      <c r="R145" s="509" t="s">
        <v>6642</v>
      </c>
      <c r="S145" s="57" t="b">
        <v>1</v>
      </c>
      <c r="T145" s="309" t="s">
        <v>6643</v>
      </c>
      <c r="U145" s="345"/>
      <c r="V145" s="54"/>
    </row>
    <row r="146" spans="1:22" ht="16">
      <c r="A146" s="162"/>
      <c r="B146" s="343" t="s">
        <v>2913</v>
      </c>
      <c r="C146" s="151" t="s">
        <v>3480</v>
      </c>
      <c r="D146" s="151" t="s">
        <v>418</v>
      </c>
      <c r="E146" s="151" t="s">
        <v>565</v>
      </c>
      <c r="F146" s="151" t="s">
        <v>6420</v>
      </c>
      <c r="G146" s="151" t="s">
        <v>5407</v>
      </c>
      <c r="H146" s="334" t="s">
        <v>30</v>
      </c>
      <c r="I146" s="151">
        <v>2</v>
      </c>
      <c r="J146" s="496">
        <v>875</v>
      </c>
      <c r="K146" s="472">
        <f t="shared" si="1"/>
        <v>1750</v>
      </c>
      <c r="L146" s="501" t="b">
        <v>1</v>
      </c>
      <c r="M146" s="510">
        <v>251220251337</v>
      </c>
      <c r="N146" s="348"/>
      <c r="O146" s="508"/>
      <c r="P146" s="191" t="b">
        <v>1</v>
      </c>
      <c r="Q146" s="342" t="s">
        <v>3684</v>
      </c>
      <c r="R146" s="173" t="s">
        <v>6644</v>
      </c>
      <c r="S146" s="57" t="b">
        <v>1</v>
      </c>
      <c r="T146" s="309" t="s">
        <v>6645</v>
      </c>
      <c r="U146" s="345"/>
      <c r="V146" s="54"/>
    </row>
    <row r="147" spans="1:22" ht="16">
      <c r="A147" s="162"/>
      <c r="B147" s="343" t="s">
        <v>2913</v>
      </c>
      <c r="C147" s="151" t="s">
        <v>3480</v>
      </c>
      <c r="D147" s="151" t="s">
        <v>418</v>
      </c>
      <c r="E147" s="151" t="s">
        <v>565</v>
      </c>
      <c r="F147" s="151" t="s">
        <v>6420</v>
      </c>
      <c r="G147" s="340" t="s">
        <v>374</v>
      </c>
      <c r="H147" s="334" t="s">
        <v>30</v>
      </c>
      <c r="I147" s="151">
        <v>100</v>
      </c>
      <c r="J147" s="496">
        <v>28</v>
      </c>
      <c r="K147" s="472">
        <f t="shared" si="1"/>
        <v>2800</v>
      </c>
      <c r="L147" s="501" t="b">
        <v>1</v>
      </c>
      <c r="M147" s="510">
        <v>251220251337</v>
      </c>
      <c r="N147" s="348"/>
      <c r="O147" s="508"/>
      <c r="P147" s="191" t="b">
        <v>1</v>
      </c>
      <c r="Q147" s="342" t="s">
        <v>3684</v>
      </c>
      <c r="R147" s="173" t="s">
        <v>6644</v>
      </c>
      <c r="S147" s="57" t="b">
        <v>1</v>
      </c>
      <c r="T147" s="309" t="s">
        <v>6645</v>
      </c>
      <c r="U147" s="345"/>
      <c r="V147" s="54"/>
    </row>
    <row r="148" spans="1:22" ht="16">
      <c r="A148" s="162"/>
      <c r="B148" s="343" t="s">
        <v>2913</v>
      </c>
      <c r="C148" s="151" t="s">
        <v>3480</v>
      </c>
      <c r="D148" s="151" t="s">
        <v>418</v>
      </c>
      <c r="E148" s="151" t="s">
        <v>565</v>
      </c>
      <c r="F148" s="151" t="s">
        <v>6420</v>
      </c>
      <c r="G148" s="340" t="s">
        <v>86</v>
      </c>
      <c r="H148" s="334" t="s">
        <v>30</v>
      </c>
      <c r="I148" s="151">
        <v>5</v>
      </c>
      <c r="J148" s="496">
        <v>875</v>
      </c>
      <c r="K148" s="472">
        <f t="shared" si="1"/>
        <v>4375</v>
      </c>
      <c r="L148" s="501" t="b">
        <v>1</v>
      </c>
      <c r="M148" s="510">
        <v>251220251337</v>
      </c>
      <c r="N148" s="348"/>
      <c r="O148" s="508"/>
      <c r="P148" s="191" t="b">
        <v>0</v>
      </c>
      <c r="Q148" s="433" t="s">
        <v>6508</v>
      </c>
      <c r="R148" s="433"/>
      <c r="S148" s="57" t="b">
        <v>0</v>
      </c>
      <c r="T148" s="507"/>
      <c r="U148" s="345"/>
      <c r="V148" s="54"/>
    </row>
    <row r="149" spans="1:22" ht="16">
      <c r="A149" s="162"/>
      <c r="B149" s="343" t="s">
        <v>2913</v>
      </c>
      <c r="C149" s="151" t="s">
        <v>5174</v>
      </c>
      <c r="D149" s="151" t="s">
        <v>832</v>
      </c>
      <c r="E149" s="151" t="s">
        <v>137</v>
      </c>
      <c r="F149" s="151" t="s">
        <v>6646</v>
      </c>
      <c r="G149" s="340" t="s">
        <v>68</v>
      </c>
      <c r="H149" s="334" t="s">
        <v>30</v>
      </c>
      <c r="I149" s="151">
        <v>1</v>
      </c>
      <c r="J149" s="496">
        <v>2500</v>
      </c>
      <c r="K149" s="472">
        <f t="shared" si="1"/>
        <v>2500</v>
      </c>
      <c r="L149" s="501" t="b">
        <v>1</v>
      </c>
      <c r="M149" s="510">
        <v>251220251340</v>
      </c>
      <c r="N149" s="348"/>
      <c r="O149" s="508"/>
      <c r="P149" s="191" t="b">
        <v>0</v>
      </c>
      <c r="Q149" s="433" t="s">
        <v>6364</v>
      </c>
      <c r="R149" s="433"/>
      <c r="S149" s="57" t="b">
        <v>0</v>
      </c>
      <c r="T149" s="507"/>
      <c r="U149" s="345"/>
      <c r="V149" s="54"/>
    </row>
    <row r="150" spans="1:22" ht="16">
      <c r="A150" s="162"/>
      <c r="B150" s="343" t="s">
        <v>2913</v>
      </c>
      <c r="C150" s="151" t="s">
        <v>4266</v>
      </c>
      <c r="D150" s="151" t="s">
        <v>463</v>
      </c>
      <c r="E150" s="151" t="s">
        <v>463</v>
      </c>
      <c r="F150" s="151" t="s">
        <v>5247</v>
      </c>
      <c r="G150" s="340" t="s">
        <v>6647</v>
      </c>
      <c r="H150" s="334" t="s">
        <v>30</v>
      </c>
      <c r="I150" s="151">
        <v>17</v>
      </c>
      <c r="J150" s="496">
        <v>175</v>
      </c>
      <c r="K150" s="472">
        <f t="shared" si="1"/>
        <v>2975</v>
      </c>
      <c r="L150" s="501" t="b">
        <v>1</v>
      </c>
      <c r="M150" s="510">
        <v>251220251343</v>
      </c>
      <c r="N150" s="348"/>
      <c r="O150" s="508"/>
      <c r="P150" s="191" t="b">
        <v>0</v>
      </c>
      <c r="Q150" s="433" t="s">
        <v>6648</v>
      </c>
      <c r="R150" s="173" t="s">
        <v>6649</v>
      </c>
      <c r="S150" s="57" t="b">
        <v>1</v>
      </c>
      <c r="T150" s="309" t="s">
        <v>6650</v>
      </c>
      <c r="U150" s="345"/>
      <c r="V150" s="54"/>
    </row>
    <row r="151" spans="1:22" ht="16">
      <c r="A151" s="162"/>
      <c r="B151" s="343" t="s">
        <v>6651</v>
      </c>
      <c r="C151" s="151" t="s">
        <v>3521</v>
      </c>
      <c r="D151" s="151" t="s">
        <v>144</v>
      </c>
      <c r="E151" s="151" t="s">
        <v>2055</v>
      </c>
      <c r="F151" s="151" t="s">
        <v>6652</v>
      </c>
      <c r="G151" s="340" t="s">
        <v>6632</v>
      </c>
      <c r="H151" s="334" t="s">
        <v>30</v>
      </c>
      <c r="I151" s="151">
        <v>1</v>
      </c>
      <c r="J151" s="496">
        <v>2200</v>
      </c>
      <c r="K151" s="472">
        <f t="shared" si="1"/>
        <v>2200</v>
      </c>
      <c r="L151" s="501" t="b">
        <v>1</v>
      </c>
      <c r="M151" s="510">
        <v>261220252003</v>
      </c>
      <c r="N151" s="348"/>
      <c r="O151" s="508"/>
      <c r="P151" s="191" t="b">
        <v>1</v>
      </c>
      <c r="Q151" s="342" t="s">
        <v>3684</v>
      </c>
      <c r="R151" s="173" t="s">
        <v>6653</v>
      </c>
      <c r="S151" s="57" t="b">
        <v>1</v>
      </c>
      <c r="T151" s="309" t="s">
        <v>6654</v>
      </c>
      <c r="U151" s="345"/>
      <c r="V151" s="54"/>
    </row>
    <row r="152" spans="1:22" ht="16">
      <c r="A152" s="162"/>
      <c r="B152" s="343" t="s">
        <v>6655</v>
      </c>
      <c r="C152" s="151" t="s">
        <v>3517</v>
      </c>
      <c r="D152" s="151" t="s">
        <v>51</v>
      </c>
      <c r="E152" s="151" t="s">
        <v>61</v>
      </c>
      <c r="F152" s="151" t="s">
        <v>476</v>
      </c>
      <c r="G152" s="340" t="s">
        <v>6634</v>
      </c>
      <c r="H152" s="334" t="s">
        <v>30</v>
      </c>
      <c r="I152" s="151">
        <v>28</v>
      </c>
      <c r="J152" s="496">
        <v>60</v>
      </c>
      <c r="K152" s="472">
        <f t="shared" si="1"/>
        <v>1680</v>
      </c>
      <c r="L152" s="501" t="b">
        <v>1</v>
      </c>
      <c r="M152" s="510">
        <v>281220252028</v>
      </c>
      <c r="N152" s="348"/>
      <c r="O152" s="508"/>
      <c r="P152" s="191" t="b">
        <v>1</v>
      </c>
      <c r="Q152" s="342" t="s">
        <v>3684</v>
      </c>
      <c r="R152" s="173" t="s">
        <v>6656</v>
      </c>
      <c r="S152" s="57" t="b">
        <v>1</v>
      </c>
      <c r="T152" s="309" t="s">
        <v>6657</v>
      </c>
      <c r="U152" s="345"/>
      <c r="V152" s="54"/>
    </row>
    <row r="153" spans="1:22" ht="16">
      <c r="A153" s="162"/>
      <c r="B153" s="343" t="s">
        <v>6655</v>
      </c>
      <c r="C153" s="151" t="s">
        <v>4750</v>
      </c>
      <c r="D153" s="151" t="s">
        <v>418</v>
      </c>
      <c r="E153" s="151" t="s">
        <v>230</v>
      </c>
      <c r="F153" s="151" t="s">
        <v>1990</v>
      </c>
      <c r="G153" s="151" t="s">
        <v>5670</v>
      </c>
      <c r="H153" s="334" t="s">
        <v>30</v>
      </c>
      <c r="I153" s="151">
        <v>10</v>
      </c>
      <c r="J153" s="496">
        <v>2750</v>
      </c>
      <c r="K153" s="472">
        <f t="shared" si="1"/>
        <v>27500</v>
      </c>
      <c r="L153" s="501" t="b">
        <v>1</v>
      </c>
      <c r="M153" s="510">
        <v>281220252028</v>
      </c>
      <c r="N153" s="348"/>
      <c r="O153" s="508"/>
      <c r="P153" s="191" t="b">
        <v>0</v>
      </c>
      <c r="Q153" s="433" t="s">
        <v>3627</v>
      </c>
      <c r="R153" s="173" t="s">
        <v>6658</v>
      </c>
      <c r="S153" s="57" t="b">
        <v>0</v>
      </c>
      <c r="T153" s="507"/>
      <c r="U153" s="345"/>
      <c r="V153" s="54"/>
    </row>
    <row r="154" spans="1:22" ht="16">
      <c r="A154" s="162"/>
      <c r="B154" s="343" t="s">
        <v>6655</v>
      </c>
      <c r="C154" s="151" t="s">
        <v>4750</v>
      </c>
      <c r="D154" s="151" t="s">
        <v>418</v>
      </c>
      <c r="E154" s="151" t="s">
        <v>230</v>
      </c>
      <c r="F154" s="151" t="s">
        <v>1990</v>
      </c>
      <c r="G154" s="151" t="s">
        <v>6659</v>
      </c>
      <c r="H154" s="334" t="s">
        <v>30</v>
      </c>
      <c r="I154" s="151">
        <v>10</v>
      </c>
      <c r="J154" s="496">
        <v>2950</v>
      </c>
      <c r="K154" s="472">
        <f t="shared" si="1"/>
        <v>29500</v>
      </c>
      <c r="L154" s="501" t="b">
        <v>1</v>
      </c>
      <c r="M154" s="510">
        <v>281220252028</v>
      </c>
      <c r="N154" s="348"/>
      <c r="O154" s="508"/>
      <c r="P154" s="191" t="b">
        <v>0</v>
      </c>
      <c r="Q154" s="433" t="s">
        <v>6660</v>
      </c>
      <c r="R154" s="173" t="s">
        <v>6658</v>
      </c>
      <c r="S154" s="57" t="b">
        <v>0</v>
      </c>
      <c r="T154" s="507"/>
      <c r="U154" s="345"/>
      <c r="V154" s="54"/>
    </row>
    <row r="155" spans="1:22" ht="16">
      <c r="A155" s="162"/>
      <c r="B155" s="343" t="s">
        <v>6655</v>
      </c>
      <c r="C155" s="151" t="s">
        <v>3445</v>
      </c>
      <c r="D155" s="151" t="s">
        <v>262</v>
      </c>
      <c r="E155" s="151" t="s">
        <v>3446</v>
      </c>
      <c r="F155" s="151" t="s">
        <v>3447</v>
      </c>
      <c r="G155" s="151" t="s">
        <v>177</v>
      </c>
      <c r="H155" s="334" t="s">
        <v>30</v>
      </c>
      <c r="I155" s="151">
        <v>2</v>
      </c>
      <c r="J155" s="496">
        <v>975</v>
      </c>
      <c r="K155" s="472">
        <f t="shared" si="1"/>
        <v>1950</v>
      </c>
      <c r="L155" s="501" t="b">
        <v>1</v>
      </c>
      <c r="M155" s="510">
        <v>281220252028</v>
      </c>
      <c r="N155" s="348"/>
      <c r="O155" s="508"/>
      <c r="P155" s="191" t="b">
        <v>1</v>
      </c>
      <c r="Q155" s="342" t="s">
        <v>3684</v>
      </c>
      <c r="R155" s="173" t="s">
        <v>6661</v>
      </c>
      <c r="S155" s="57" t="b">
        <v>1</v>
      </c>
      <c r="T155" s="309" t="s">
        <v>6662</v>
      </c>
      <c r="U155" s="345"/>
      <c r="V155" s="54"/>
    </row>
    <row r="156" spans="1:22" ht="16">
      <c r="A156" s="162"/>
      <c r="B156" s="343" t="s">
        <v>6655</v>
      </c>
      <c r="C156" s="151" t="s">
        <v>3445</v>
      </c>
      <c r="D156" s="151" t="s">
        <v>262</v>
      </c>
      <c r="E156" s="151" t="s">
        <v>3446</v>
      </c>
      <c r="F156" s="151" t="s">
        <v>3447</v>
      </c>
      <c r="G156" s="151" t="s">
        <v>6663</v>
      </c>
      <c r="H156" s="334" t="s">
        <v>30</v>
      </c>
      <c r="I156" s="151">
        <v>2</v>
      </c>
      <c r="J156" s="496">
        <v>850</v>
      </c>
      <c r="K156" s="472">
        <f t="shared" si="1"/>
        <v>1700</v>
      </c>
      <c r="L156" s="501" t="b">
        <v>1</v>
      </c>
      <c r="M156" s="510">
        <v>281220252028</v>
      </c>
      <c r="N156" s="348"/>
      <c r="O156" s="508"/>
      <c r="P156" s="191" t="b">
        <v>1</v>
      </c>
      <c r="Q156" s="342" t="s">
        <v>3684</v>
      </c>
      <c r="R156" s="173" t="s">
        <v>6664</v>
      </c>
      <c r="S156" s="57" t="b">
        <v>1</v>
      </c>
      <c r="T156" s="309" t="s">
        <v>6665</v>
      </c>
      <c r="U156" s="345"/>
      <c r="V156" s="54"/>
    </row>
    <row r="157" spans="1:22" ht="16">
      <c r="A157" s="162"/>
      <c r="B157" s="343" t="s">
        <v>6655</v>
      </c>
      <c r="C157" s="151" t="s">
        <v>3480</v>
      </c>
      <c r="D157" s="151" t="s">
        <v>418</v>
      </c>
      <c r="E157" s="151" t="s">
        <v>565</v>
      </c>
      <c r="F157" s="151" t="s">
        <v>5831</v>
      </c>
      <c r="G157" s="340" t="s">
        <v>2520</v>
      </c>
      <c r="H157" s="334" t="s">
        <v>30</v>
      </c>
      <c r="I157" s="151">
        <v>10</v>
      </c>
      <c r="J157" s="496">
        <v>375</v>
      </c>
      <c r="K157" s="472">
        <f t="shared" si="1"/>
        <v>3750</v>
      </c>
      <c r="L157" s="501" t="b">
        <v>1</v>
      </c>
      <c r="M157" s="510">
        <v>281220252028</v>
      </c>
      <c r="N157" s="348"/>
      <c r="O157" s="508"/>
      <c r="P157" s="191" t="b">
        <v>1</v>
      </c>
      <c r="Q157" s="342" t="s">
        <v>3684</v>
      </c>
      <c r="R157" s="173" t="s">
        <v>6666</v>
      </c>
      <c r="S157" s="57" t="b">
        <v>1</v>
      </c>
      <c r="T157" s="309" t="s">
        <v>6667</v>
      </c>
      <c r="U157" s="345"/>
      <c r="V157" s="54"/>
    </row>
    <row r="158" spans="1:22" ht="16">
      <c r="A158" s="162"/>
      <c r="B158" s="71" t="s">
        <v>6370</v>
      </c>
      <c r="C158" s="53" t="s">
        <v>3650</v>
      </c>
      <c r="D158" s="53" t="s">
        <v>171</v>
      </c>
      <c r="E158" s="53" t="s">
        <v>137</v>
      </c>
      <c r="F158" s="53" t="s">
        <v>3651</v>
      </c>
      <c r="G158" s="66" t="s">
        <v>6028</v>
      </c>
      <c r="H158" s="53" t="s">
        <v>30</v>
      </c>
      <c r="I158" s="151">
        <v>1</v>
      </c>
      <c r="J158" s="75">
        <v>8500</v>
      </c>
      <c r="K158" s="54">
        <f>(J158*I158)</f>
        <v>8500</v>
      </c>
      <c r="L158" s="501" t="b">
        <v>1</v>
      </c>
      <c r="M158" s="510">
        <v>281220252028</v>
      </c>
      <c r="N158" s="57"/>
      <c r="O158" s="508"/>
      <c r="P158" s="191" t="b">
        <v>0</v>
      </c>
      <c r="Q158" s="433" t="s">
        <v>6508</v>
      </c>
      <c r="R158" s="433"/>
      <c r="S158" s="57" t="b">
        <v>0</v>
      </c>
      <c r="T158" s="516"/>
      <c r="U158" s="345"/>
      <c r="V158" s="54"/>
    </row>
    <row r="159" spans="1:22" ht="16">
      <c r="A159" s="162"/>
      <c r="B159" s="343" t="s">
        <v>6370</v>
      </c>
      <c r="C159" s="151" t="s">
        <v>4325</v>
      </c>
      <c r="D159" s="151" t="s">
        <v>98</v>
      </c>
      <c r="E159" s="151" t="s">
        <v>2296</v>
      </c>
      <c r="F159" s="151" t="s">
        <v>2601</v>
      </c>
      <c r="G159" s="340" t="s">
        <v>321</v>
      </c>
      <c r="H159" s="334" t="s">
        <v>30</v>
      </c>
      <c r="I159" s="151">
        <v>84</v>
      </c>
      <c r="J159" s="496">
        <v>45</v>
      </c>
      <c r="K159" s="472">
        <f t="shared" ref="K159:K167" si="2">(I159*J159)</f>
        <v>3780</v>
      </c>
      <c r="L159" s="501" t="b">
        <v>1</v>
      </c>
      <c r="M159" s="510">
        <v>281220251231</v>
      </c>
      <c r="N159" s="348"/>
      <c r="O159" s="508"/>
      <c r="P159" s="191" t="b">
        <v>1</v>
      </c>
      <c r="Q159" s="342" t="s">
        <v>3684</v>
      </c>
      <c r="R159" s="433"/>
      <c r="S159" s="57" t="b">
        <v>1</v>
      </c>
      <c r="T159" s="309" t="s">
        <v>6668</v>
      </c>
      <c r="U159" s="345"/>
      <c r="V159" s="54"/>
    </row>
    <row r="160" spans="1:22" ht="16">
      <c r="A160" s="162"/>
      <c r="B160" s="343" t="s">
        <v>6669</v>
      </c>
      <c r="C160" s="151" t="s">
        <v>3506</v>
      </c>
      <c r="D160" s="151" t="s">
        <v>55</v>
      </c>
      <c r="E160" s="151">
        <v>41</v>
      </c>
      <c r="F160" s="151" t="s">
        <v>1552</v>
      </c>
      <c r="G160" s="340" t="s">
        <v>1700</v>
      </c>
      <c r="H160" s="334" t="s">
        <v>30</v>
      </c>
      <c r="I160" s="151">
        <v>300</v>
      </c>
      <c r="J160" s="496">
        <v>18</v>
      </c>
      <c r="K160" s="472">
        <f t="shared" si="2"/>
        <v>5400</v>
      </c>
      <c r="L160" s="501" t="b">
        <v>1</v>
      </c>
      <c r="M160" s="510">
        <v>301220250938</v>
      </c>
      <c r="N160" s="348"/>
      <c r="O160" s="508"/>
      <c r="P160" s="191" t="b">
        <v>0</v>
      </c>
      <c r="Q160" s="433"/>
      <c r="R160" s="433"/>
      <c r="S160" s="57" t="b">
        <v>0</v>
      </c>
      <c r="T160" s="507"/>
      <c r="U160" s="345"/>
      <c r="V160" s="54"/>
    </row>
    <row r="161" spans="1:25" ht="16">
      <c r="A161" s="162"/>
      <c r="B161" s="343" t="s">
        <v>6669</v>
      </c>
      <c r="C161" s="151" t="s">
        <v>3451</v>
      </c>
      <c r="D161" s="151" t="s">
        <v>397</v>
      </c>
      <c r="E161" s="151" t="s">
        <v>3452</v>
      </c>
      <c r="F161" s="151" t="s">
        <v>2260</v>
      </c>
      <c r="G161" s="151" t="s">
        <v>3448</v>
      </c>
      <c r="H161" s="334" t="s">
        <v>30</v>
      </c>
      <c r="I161" s="151">
        <v>10</v>
      </c>
      <c r="J161" s="496">
        <v>795</v>
      </c>
      <c r="K161" s="472">
        <f t="shared" si="2"/>
        <v>7950</v>
      </c>
      <c r="L161" s="501" t="b">
        <v>1</v>
      </c>
      <c r="M161" s="510">
        <v>301220251902</v>
      </c>
      <c r="N161" s="348"/>
      <c r="O161" s="508"/>
      <c r="P161" s="191" t="b">
        <v>0</v>
      </c>
      <c r="Q161" s="433"/>
      <c r="R161" s="433"/>
      <c r="S161" s="57" t="b">
        <v>0</v>
      </c>
      <c r="T161" s="516"/>
      <c r="U161" s="345"/>
      <c r="V161" s="54"/>
    </row>
    <row r="162" spans="1:25" ht="16">
      <c r="A162" s="162"/>
      <c r="B162" s="343" t="s">
        <v>6669</v>
      </c>
      <c r="C162" s="151" t="s">
        <v>3458</v>
      </c>
      <c r="D162" s="151" t="s">
        <v>51</v>
      </c>
      <c r="E162" s="151" t="s">
        <v>201</v>
      </c>
      <c r="F162" s="151" t="s">
        <v>202</v>
      </c>
      <c r="G162" s="151" t="s">
        <v>1398</v>
      </c>
      <c r="H162" s="334" t="s">
        <v>30</v>
      </c>
      <c r="I162" s="151">
        <v>1</v>
      </c>
      <c r="J162" s="496">
        <v>6500</v>
      </c>
      <c r="K162" s="472">
        <f t="shared" si="2"/>
        <v>6500</v>
      </c>
      <c r="L162" s="501" t="b">
        <v>1</v>
      </c>
      <c r="M162" s="510"/>
      <c r="N162" s="348"/>
      <c r="O162" s="508"/>
      <c r="P162" s="191" t="b">
        <v>0</v>
      </c>
      <c r="Q162" s="342" t="s">
        <v>3684</v>
      </c>
      <c r="R162" s="433"/>
      <c r="S162" s="57" t="b">
        <v>1</v>
      </c>
      <c r="T162" s="309" t="s">
        <v>6670</v>
      </c>
      <c r="U162" s="345"/>
      <c r="V162" s="54"/>
    </row>
    <row r="163" spans="1:25" ht="16">
      <c r="A163" s="162"/>
      <c r="B163" s="343"/>
      <c r="C163" s="340"/>
      <c r="D163" s="151"/>
      <c r="E163" s="151"/>
      <c r="F163" s="151"/>
      <c r="G163" s="151"/>
      <c r="H163" s="334" t="s">
        <v>30</v>
      </c>
      <c r="I163" s="151"/>
      <c r="J163" s="496"/>
      <c r="K163" s="472">
        <f t="shared" si="2"/>
        <v>0</v>
      </c>
      <c r="L163" s="501" t="b">
        <v>1</v>
      </c>
      <c r="M163" s="510"/>
      <c r="N163" s="348"/>
      <c r="O163" s="508"/>
      <c r="P163" s="191" t="b">
        <v>0</v>
      </c>
      <c r="Q163" s="433"/>
      <c r="R163" s="433"/>
      <c r="S163" s="57" t="b">
        <v>0</v>
      </c>
      <c r="T163" s="507"/>
      <c r="U163" s="345"/>
      <c r="V163" s="54"/>
    </row>
    <row r="164" spans="1:25" ht="16">
      <c r="A164" s="162"/>
      <c r="B164" s="343"/>
      <c r="C164" s="340"/>
      <c r="D164" s="151"/>
      <c r="E164" s="151"/>
      <c r="F164" s="151"/>
      <c r="G164" s="151"/>
      <c r="H164" s="334" t="s">
        <v>30</v>
      </c>
      <c r="I164" s="151"/>
      <c r="J164" s="496"/>
      <c r="K164" s="472">
        <f t="shared" si="2"/>
        <v>0</v>
      </c>
      <c r="L164" s="501" t="b">
        <v>1</v>
      </c>
      <c r="M164" s="510"/>
      <c r="N164" s="348"/>
      <c r="O164" s="508"/>
      <c r="P164" s="191" t="b">
        <v>0</v>
      </c>
      <c r="Q164" s="433"/>
      <c r="R164" s="433"/>
      <c r="S164" s="57" t="b">
        <v>0</v>
      </c>
      <c r="T164" s="516"/>
      <c r="U164" s="345"/>
      <c r="V164" s="54"/>
    </row>
    <row r="165" spans="1:25" ht="16">
      <c r="A165" s="162"/>
      <c r="B165" s="343"/>
      <c r="C165" s="151"/>
      <c r="D165" s="151"/>
      <c r="E165" s="151"/>
      <c r="F165" s="151"/>
      <c r="G165" s="151"/>
      <c r="H165" s="334" t="s">
        <v>30</v>
      </c>
      <c r="I165" s="151"/>
      <c r="J165" s="496"/>
      <c r="K165" s="472">
        <f t="shared" si="2"/>
        <v>0</v>
      </c>
      <c r="L165" s="501" t="b">
        <v>1</v>
      </c>
      <c r="M165" s="510"/>
      <c r="N165" s="348"/>
      <c r="O165" s="508"/>
      <c r="P165" s="191" t="b">
        <v>0</v>
      </c>
      <c r="Q165" s="433"/>
      <c r="R165" s="433"/>
      <c r="S165" s="57" t="b">
        <v>0</v>
      </c>
      <c r="T165" s="516"/>
      <c r="U165" s="345"/>
      <c r="V165" s="54"/>
    </row>
    <row r="166" spans="1:25" ht="16">
      <c r="A166" s="162"/>
      <c r="B166" s="343"/>
      <c r="C166" s="151"/>
      <c r="D166" s="151"/>
      <c r="E166" s="151"/>
      <c r="F166" s="151"/>
      <c r="G166" s="151"/>
      <c r="H166" s="334" t="s">
        <v>30</v>
      </c>
      <c r="I166" s="151"/>
      <c r="J166" s="496"/>
      <c r="K166" s="472">
        <f t="shared" si="2"/>
        <v>0</v>
      </c>
      <c r="L166" s="501" t="b">
        <v>1</v>
      </c>
      <c r="M166" s="510"/>
      <c r="N166" s="348"/>
      <c r="O166" s="508"/>
      <c r="P166" s="191" t="b">
        <v>0</v>
      </c>
      <c r="Q166" s="433"/>
      <c r="R166" s="433"/>
      <c r="S166" s="57" t="b">
        <v>0</v>
      </c>
      <c r="T166" s="507"/>
      <c r="U166" s="345"/>
      <c r="V166" s="54"/>
    </row>
    <row r="167" spans="1:25" ht="16">
      <c r="A167" s="162"/>
      <c r="B167" s="343"/>
      <c r="C167" s="369"/>
      <c r="D167" s="151"/>
      <c r="E167" s="151"/>
      <c r="F167" s="151"/>
      <c r="G167" s="151"/>
      <c r="H167" s="334" t="s">
        <v>30</v>
      </c>
      <c r="I167" s="151"/>
      <c r="J167" s="496"/>
      <c r="K167" s="472">
        <f t="shared" si="2"/>
        <v>0</v>
      </c>
      <c r="L167" s="501" t="b">
        <v>1</v>
      </c>
      <c r="M167" s="510"/>
      <c r="N167" s="348"/>
      <c r="O167" s="508"/>
      <c r="P167" s="191" t="b">
        <v>0</v>
      </c>
      <c r="Q167" s="433"/>
      <c r="R167" s="433"/>
      <c r="S167" s="57" t="b">
        <v>0</v>
      </c>
      <c r="T167" s="516"/>
      <c r="U167" s="345"/>
    </row>
    <row r="168" spans="1:25">
      <c r="A168" s="162"/>
      <c r="B168" s="343"/>
      <c r="C168" s="340"/>
      <c r="D168" s="151"/>
      <c r="E168" s="151"/>
      <c r="F168" s="151"/>
      <c r="G168" s="151"/>
      <c r="H168" s="334"/>
      <c r="I168" s="151"/>
      <c r="J168" s="364"/>
      <c r="K168" s="496"/>
      <c r="L168" s="476"/>
      <c r="M168" s="510"/>
      <c r="N168" s="348"/>
      <c r="O168" s="364"/>
      <c r="P168" s="517"/>
      <c r="Q168" s="433"/>
      <c r="R168" s="518"/>
      <c r="S168" s="57" t="b">
        <v>0</v>
      </c>
      <c r="T168" s="507"/>
      <c r="U168" s="511"/>
      <c r="V168" s="54"/>
    </row>
    <row r="169" spans="1:25">
      <c r="A169" s="162"/>
      <c r="B169" s="343"/>
      <c r="C169" s="340"/>
      <c r="D169" s="151"/>
      <c r="E169" s="151"/>
      <c r="F169" s="151"/>
      <c r="G169" s="151"/>
      <c r="H169" s="334"/>
      <c r="I169" s="151"/>
      <c r="J169" s="364"/>
      <c r="K169" s="496"/>
      <c r="L169" s="476"/>
      <c r="M169" s="510"/>
      <c r="N169" s="348"/>
      <c r="O169" s="364"/>
      <c r="P169" s="517"/>
      <c r="Q169" s="433"/>
      <c r="R169" s="518"/>
      <c r="S169" s="57" t="b">
        <v>0</v>
      </c>
      <c r="T169" s="516"/>
      <c r="U169" s="511"/>
      <c r="V169" s="54"/>
    </row>
    <row r="170" spans="1:25">
      <c r="A170" s="162"/>
      <c r="B170" s="343"/>
      <c r="C170" s="151"/>
      <c r="D170" s="151"/>
      <c r="E170" s="151"/>
      <c r="F170" s="151"/>
      <c r="G170" s="151"/>
      <c r="H170" s="334"/>
      <c r="I170" s="151"/>
      <c r="J170" s="364"/>
      <c r="K170" s="496"/>
      <c r="L170" s="476"/>
      <c r="M170" s="510"/>
      <c r="N170" s="348"/>
      <c r="O170" s="364"/>
      <c r="P170" s="517"/>
      <c r="Q170" s="433"/>
      <c r="R170" s="518"/>
      <c r="S170" s="348"/>
      <c r="T170" s="516"/>
      <c r="U170" s="511"/>
      <c r="V170" s="54"/>
    </row>
    <row r="171" spans="1:25">
      <c r="A171" s="162"/>
      <c r="B171" s="343"/>
      <c r="C171" s="151"/>
      <c r="D171" s="151"/>
      <c r="E171" s="151"/>
      <c r="F171" s="151"/>
      <c r="G171" s="151"/>
      <c r="H171" s="334"/>
      <c r="I171" s="151"/>
      <c r="J171" s="364"/>
      <c r="K171" s="496"/>
      <c r="L171" s="476"/>
      <c r="M171" s="510"/>
      <c r="N171" s="348"/>
      <c r="O171" s="364"/>
      <c r="P171" s="517"/>
      <c r="Q171" s="433"/>
      <c r="R171" s="518"/>
      <c r="S171" s="348"/>
      <c r="T171" s="516"/>
      <c r="U171" s="511"/>
      <c r="V171" s="54"/>
    </row>
    <row r="172" spans="1:25">
      <c r="A172" s="162"/>
      <c r="B172" s="343"/>
      <c r="C172" s="151"/>
      <c r="D172" s="151"/>
      <c r="E172" s="151"/>
      <c r="F172" s="151"/>
      <c r="G172" s="151"/>
      <c r="H172" s="334"/>
      <c r="I172" s="151"/>
      <c r="J172" s="364"/>
      <c r="K172" s="496"/>
      <c r="L172" s="476"/>
      <c r="M172" s="510"/>
      <c r="N172" s="348"/>
      <c r="O172" s="364"/>
      <c r="P172" s="517"/>
      <c r="Q172" s="433"/>
      <c r="R172" s="518"/>
      <c r="S172" s="348"/>
      <c r="T172" s="516"/>
      <c r="U172" s="511"/>
      <c r="V172" s="54"/>
    </row>
    <row r="173" spans="1:25">
      <c r="A173" s="162"/>
      <c r="B173" s="512"/>
      <c r="C173" s="340"/>
      <c r="D173" s="340"/>
      <c r="E173" s="340"/>
      <c r="F173" s="340"/>
      <c r="G173" s="340"/>
      <c r="H173" s="334"/>
      <c r="I173" s="151"/>
      <c r="J173" s="364"/>
      <c r="K173" s="496"/>
      <c r="L173" s="476"/>
      <c r="M173" s="510"/>
      <c r="N173" s="348"/>
      <c r="O173" s="370"/>
      <c r="P173" s="517"/>
      <c r="Q173" s="433"/>
      <c r="R173" s="518"/>
      <c r="S173" s="348"/>
      <c r="T173" s="519"/>
      <c r="U173" s="520"/>
      <c r="V173" s="438"/>
    </row>
    <row r="174" spans="1:25">
      <c r="A174" s="162"/>
      <c r="B174" s="343"/>
      <c r="C174" s="151"/>
      <c r="D174" s="151"/>
      <c r="E174" s="151"/>
      <c r="F174" s="151"/>
      <c r="G174" s="151"/>
      <c r="H174" s="334"/>
      <c r="I174" s="151"/>
      <c r="J174" s="364"/>
      <c r="K174" s="496"/>
      <c r="L174" s="476"/>
      <c r="M174" s="510"/>
      <c r="N174" s="348"/>
      <c r="O174" s="364"/>
      <c r="P174" s="517"/>
      <c r="Q174" s="433"/>
      <c r="R174" s="518"/>
      <c r="S174" s="348"/>
      <c r="T174" s="507"/>
      <c r="U174" s="511"/>
      <c r="V174" s="54"/>
    </row>
    <row r="175" spans="1:25">
      <c r="A175" s="455"/>
      <c r="B175" s="343"/>
      <c r="C175" s="151"/>
      <c r="D175" s="151"/>
      <c r="E175" s="151"/>
      <c r="F175" s="151"/>
      <c r="G175" s="151"/>
      <c r="H175" s="334"/>
      <c r="I175" s="151"/>
      <c r="J175" s="364"/>
      <c r="K175" s="496"/>
      <c r="L175" s="476"/>
      <c r="M175" s="510"/>
      <c r="N175" s="348"/>
      <c r="O175" s="364"/>
      <c r="P175" s="517"/>
      <c r="Q175" s="433"/>
      <c r="R175" s="518"/>
      <c r="S175" s="348"/>
      <c r="T175" s="507"/>
      <c r="U175" s="511"/>
      <c r="V175" s="54"/>
      <c r="X175" s="460"/>
      <c r="Y175" s="460"/>
    </row>
    <row r="176" spans="1:25">
      <c r="A176" s="162"/>
      <c r="B176" s="343"/>
      <c r="C176" s="151"/>
      <c r="D176" s="151"/>
      <c r="E176" s="151"/>
      <c r="F176" s="151"/>
      <c r="G176" s="151"/>
      <c r="H176" s="334"/>
      <c r="I176" s="151"/>
      <c r="J176" s="364"/>
      <c r="K176" s="496"/>
      <c r="L176" s="476"/>
      <c r="M176" s="510"/>
      <c r="N176" s="348"/>
      <c r="O176" s="364"/>
      <c r="P176" s="517"/>
      <c r="Q176" s="433"/>
      <c r="R176" s="518"/>
      <c r="S176" s="348"/>
      <c r="T176" s="507"/>
      <c r="U176" s="511"/>
      <c r="V176" s="54"/>
    </row>
    <row r="177" spans="1:25">
      <c r="A177" s="162"/>
      <c r="B177" s="343"/>
      <c r="C177" s="151"/>
      <c r="D177" s="151"/>
      <c r="E177" s="151"/>
      <c r="F177" s="151"/>
      <c r="G177" s="151"/>
      <c r="H177" s="334"/>
      <c r="I177" s="151"/>
      <c r="J177" s="364"/>
      <c r="K177" s="496"/>
      <c r="L177" s="476"/>
      <c r="M177" s="510"/>
      <c r="N177" s="348"/>
      <c r="O177" s="364"/>
      <c r="P177" s="517"/>
      <c r="Q177" s="433"/>
      <c r="R177" s="518"/>
      <c r="S177" s="348"/>
      <c r="T177" s="516"/>
      <c r="U177" s="511"/>
      <c r="V177" s="54"/>
    </row>
    <row r="178" spans="1:25">
      <c r="A178" s="162"/>
      <c r="B178" s="343"/>
      <c r="C178" s="151"/>
      <c r="D178" s="151"/>
      <c r="E178" s="151"/>
      <c r="F178" s="151"/>
      <c r="G178" s="151"/>
      <c r="H178" s="334"/>
      <c r="I178" s="151"/>
      <c r="J178" s="364"/>
      <c r="K178" s="496"/>
      <c r="L178" s="476"/>
      <c r="M178" s="510"/>
      <c r="N178" s="348"/>
      <c r="O178" s="364"/>
      <c r="P178" s="517"/>
      <c r="Q178" s="433"/>
      <c r="R178" s="518"/>
      <c r="S178" s="348"/>
      <c r="T178" s="516"/>
      <c r="U178" s="511"/>
      <c r="V178" s="54"/>
    </row>
    <row r="179" spans="1:25">
      <c r="A179" s="162"/>
      <c r="B179" s="343"/>
      <c r="C179" s="151"/>
      <c r="D179" s="151"/>
      <c r="E179" s="151"/>
      <c r="F179" s="151"/>
      <c r="G179" s="151"/>
      <c r="H179" s="334"/>
      <c r="I179" s="151"/>
      <c r="J179" s="364"/>
      <c r="K179" s="496"/>
      <c r="L179" s="476"/>
      <c r="M179" s="510"/>
      <c r="N179" s="348"/>
      <c r="O179" s="364"/>
      <c r="P179" s="517"/>
      <c r="Q179" s="433"/>
      <c r="R179" s="518"/>
      <c r="S179" s="348"/>
      <c r="T179" s="516"/>
      <c r="U179" s="511"/>
      <c r="V179" s="54"/>
    </row>
    <row r="180" spans="1:25">
      <c r="A180" s="162"/>
      <c r="B180" s="343"/>
      <c r="C180" s="151"/>
      <c r="D180" s="151"/>
      <c r="E180" s="151"/>
      <c r="F180" s="151"/>
      <c r="G180" s="340"/>
      <c r="H180" s="334"/>
      <c r="I180" s="151"/>
      <c r="J180" s="364"/>
      <c r="K180" s="496"/>
      <c r="L180" s="476"/>
      <c r="M180" s="510"/>
      <c r="N180" s="348"/>
      <c r="O180" s="370"/>
      <c r="P180" s="517"/>
      <c r="Q180" s="433"/>
      <c r="R180" s="518"/>
      <c r="S180" s="348"/>
      <c r="T180" s="519"/>
      <c r="U180" s="511"/>
      <c r="V180" s="54"/>
    </row>
    <row r="181" spans="1:25">
      <c r="A181" s="162"/>
      <c r="B181" s="343"/>
      <c r="C181" s="151"/>
      <c r="D181" s="151"/>
      <c r="E181" s="151"/>
      <c r="F181" s="151"/>
      <c r="G181" s="151"/>
      <c r="H181" s="334"/>
      <c r="I181" s="151"/>
      <c r="J181" s="364"/>
      <c r="K181" s="496"/>
      <c r="L181" s="476"/>
      <c r="M181" s="510"/>
      <c r="N181" s="348"/>
      <c r="O181" s="364"/>
      <c r="P181" s="517"/>
      <c r="Q181" s="433"/>
      <c r="R181" s="518"/>
      <c r="S181" s="348"/>
      <c r="T181" s="507"/>
      <c r="U181" s="511"/>
      <c r="V181" s="54"/>
    </row>
    <row r="182" spans="1:25">
      <c r="A182" s="162"/>
      <c r="B182" s="343"/>
      <c r="C182" s="151"/>
      <c r="D182" s="151"/>
      <c r="E182" s="151"/>
      <c r="F182" s="151"/>
      <c r="G182" s="151"/>
      <c r="H182" s="334"/>
      <c r="I182" s="151"/>
      <c r="J182" s="364"/>
      <c r="K182" s="496"/>
      <c r="L182" s="476"/>
      <c r="M182" s="510"/>
      <c r="N182" s="348"/>
      <c r="O182" s="364"/>
      <c r="P182" s="517"/>
      <c r="Q182" s="433"/>
      <c r="R182" s="518"/>
      <c r="S182" s="348"/>
      <c r="T182" s="507"/>
      <c r="U182" s="511"/>
      <c r="V182" s="54"/>
    </row>
    <row r="183" spans="1:25">
      <c r="A183" s="162"/>
      <c r="B183" s="343"/>
      <c r="C183" s="151"/>
      <c r="D183" s="151"/>
      <c r="E183" s="151"/>
      <c r="F183" s="151"/>
      <c r="G183" s="151"/>
      <c r="H183" s="334"/>
      <c r="I183" s="151"/>
      <c r="J183" s="364"/>
      <c r="K183" s="496"/>
      <c r="L183" s="476"/>
      <c r="M183" s="510"/>
      <c r="N183" s="348"/>
      <c r="O183" s="364"/>
      <c r="P183" s="517"/>
      <c r="Q183" s="433"/>
      <c r="R183" s="518"/>
      <c r="S183" s="348"/>
      <c r="T183" s="507"/>
      <c r="U183" s="511"/>
      <c r="V183" s="54"/>
    </row>
    <row r="184" spans="1:25">
      <c r="A184" s="162"/>
      <c r="B184" s="343"/>
      <c r="C184" s="151"/>
      <c r="D184" s="151"/>
      <c r="E184" s="151"/>
      <c r="F184" s="151"/>
      <c r="G184" s="151"/>
      <c r="H184" s="334"/>
      <c r="I184" s="151"/>
      <c r="J184" s="364"/>
      <c r="K184" s="496"/>
      <c r="L184" s="476"/>
      <c r="M184" s="510"/>
      <c r="N184" s="348"/>
      <c r="O184" s="364"/>
      <c r="P184" s="517"/>
      <c r="Q184" s="433"/>
      <c r="R184" s="518"/>
      <c r="S184" s="348"/>
      <c r="T184" s="516"/>
      <c r="U184" s="511"/>
      <c r="V184" s="54"/>
    </row>
    <row r="185" spans="1:25">
      <c r="A185" s="162"/>
      <c r="B185" s="343"/>
      <c r="C185" s="151"/>
      <c r="D185" s="151"/>
      <c r="E185" s="151"/>
      <c r="F185" s="151"/>
      <c r="G185" s="151"/>
      <c r="H185" s="334"/>
      <c r="I185" s="151"/>
      <c r="J185" s="364"/>
      <c r="K185" s="496"/>
      <c r="L185" s="476"/>
      <c r="M185" s="510"/>
      <c r="N185" s="348"/>
      <c r="O185" s="364"/>
      <c r="P185" s="517"/>
      <c r="Q185" s="433"/>
      <c r="R185" s="518"/>
      <c r="S185" s="348"/>
      <c r="T185" s="516"/>
      <c r="U185" s="511"/>
      <c r="V185" s="54"/>
    </row>
    <row r="186" spans="1:25">
      <c r="A186" s="162"/>
      <c r="B186" s="343"/>
      <c r="C186" s="151"/>
      <c r="D186" s="151"/>
      <c r="E186" s="151"/>
      <c r="F186" s="151"/>
      <c r="G186" s="151"/>
      <c r="H186" s="334"/>
      <c r="I186" s="151"/>
      <c r="J186" s="364"/>
      <c r="K186" s="496"/>
      <c r="L186" s="476"/>
      <c r="M186" s="510"/>
      <c r="N186" s="348"/>
      <c r="O186" s="364"/>
      <c r="P186" s="517"/>
      <c r="Q186" s="433"/>
      <c r="R186" s="518"/>
      <c r="S186" s="348"/>
      <c r="T186" s="516"/>
      <c r="U186" s="511"/>
      <c r="V186" s="54"/>
    </row>
    <row r="187" spans="1:25">
      <c r="A187" s="162"/>
      <c r="B187" s="343"/>
      <c r="C187" s="151"/>
      <c r="D187" s="151"/>
      <c r="E187" s="151"/>
      <c r="F187" s="151"/>
      <c r="G187" s="340"/>
      <c r="H187" s="334"/>
      <c r="I187" s="151"/>
      <c r="J187" s="364"/>
      <c r="K187" s="496"/>
      <c r="L187" s="476"/>
      <c r="M187" s="510"/>
      <c r="N187" s="348"/>
      <c r="O187" s="370"/>
      <c r="P187" s="517"/>
      <c r="Q187" s="433"/>
      <c r="R187" s="518"/>
      <c r="S187" s="348"/>
      <c r="T187" s="519"/>
      <c r="U187" s="511"/>
      <c r="V187" s="54"/>
    </row>
    <row r="188" spans="1:25">
      <c r="A188" s="162"/>
      <c r="B188" s="512"/>
      <c r="C188" s="340"/>
      <c r="D188" s="340"/>
      <c r="E188" s="340"/>
      <c r="F188" s="340"/>
      <c r="G188" s="151"/>
      <c r="H188" s="334"/>
      <c r="I188" s="151"/>
      <c r="J188" s="364"/>
      <c r="K188" s="496"/>
      <c r="L188" s="476"/>
      <c r="M188" s="510"/>
      <c r="N188" s="348"/>
      <c r="O188" s="364"/>
      <c r="P188" s="517"/>
      <c r="Q188" s="433"/>
      <c r="R188" s="518"/>
      <c r="S188" s="348"/>
      <c r="T188" s="507"/>
      <c r="U188" s="520"/>
      <c r="V188" s="336"/>
    </row>
    <row r="189" spans="1:25">
      <c r="A189" s="162"/>
      <c r="B189" s="343"/>
      <c r="C189" s="151"/>
      <c r="D189" s="151"/>
      <c r="E189" s="151"/>
      <c r="F189" s="151"/>
      <c r="G189" s="151"/>
      <c r="H189" s="334"/>
      <c r="I189" s="151"/>
      <c r="J189" s="364"/>
      <c r="K189" s="496"/>
      <c r="L189" s="476"/>
      <c r="M189" s="510"/>
      <c r="N189" s="348"/>
      <c r="O189" s="364"/>
      <c r="P189" s="517"/>
      <c r="Q189" s="433"/>
      <c r="R189" s="518"/>
      <c r="S189" s="348"/>
      <c r="T189" s="507"/>
      <c r="U189" s="511"/>
      <c r="V189" s="54"/>
    </row>
    <row r="190" spans="1:25">
      <c r="A190" s="455"/>
      <c r="B190" s="343"/>
      <c r="C190" s="151"/>
      <c r="D190" s="151"/>
      <c r="E190" s="151"/>
      <c r="F190" s="151"/>
      <c r="G190" s="151"/>
      <c r="H190" s="334"/>
      <c r="I190" s="151"/>
      <c r="J190" s="364"/>
      <c r="K190" s="496"/>
      <c r="L190" s="476"/>
      <c r="M190" s="510"/>
      <c r="N190" s="348"/>
      <c r="O190" s="364"/>
      <c r="P190" s="517"/>
      <c r="Q190" s="433"/>
      <c r="R190" s="518"/>
      <c r="S190" s="348"/>
      <c r="T190" s="507"/>
      <c r="U190" s="511"/>
      <c r="V190" s="54"/>
      <c r="X190" s="462"/>
      <c r="Y190" s="462"/>
    </row>
    <row r="191" spans="1:25" ht="14.25" customHeight="1">
      <c r="A191" s="162"/>
      <c r="B191" s="343"/>
      <c r="C191" s="151"/>
      <c r="D191" s="151"/>
      <c r="E191" s="151"/>
      <c r="F191" s="151"/>
      <c r="G191" s="151"/>
      <c r="H191" s="334"/>
      <c r="I191" s="151"/>
      <c r="J191" s="364"/>
      <c r="K191" s="496"/>
      <c r="L191" s="476"/>
      <c r="M191" s="510"/>
      <c r="N191" s="348"/>
      <c r="O191" s="364"/>
      <c r="P191" s="517"/>
      <c r="Q191" s="433"/>
      <c r="R191" s="518"/>
      <c r="S191" s="348"/>
      <c r="T191" s="516"/>
      <c r="U191" s="511"/>
      <c r="V191" s="54"/>
    </row>
    <row r="192" spans="1:25">
      <c r="A192" s="162"/>
      <c r="B192" s="512"/>
      <c r="C192" s="340"/>
      <c r="D192" s="340"/>
      <c r="E192" s="340"/>
      <c r="F192" s="340"/>
      <c r="G192" s="151"/>
      <c r="H192" s="334"/>
      <c r="I192" s="151"/>
      <c r="J192" s="364"/>
      <c r="K192" s="496"/>
      <c r="L192" s="476"/>
      <c r="M192" s="510"/>
      <c r="N192" s="348"/>
      <c r="O192" s="364"/>
      <c r="P192" s="517"/>
      <c r="Q192" s="433"/>
      <c r="R192" s="518"/>
      <c r="S192" s="348"/>
      <c r="T192" s="516"/>
      <c r="U192" s="520"/>
      <c r="V192" s="336"/>
    </row>
    <row r="193" spans="1:25">
      <c r="A193" s="162"/>
      <c r="B193" s="343"/>
      <c r="C193" s="151"/>
      <c r="D193" s="151"/>
      <c r="E193" s="151"/>
      <c r="F193" s="151"/>
      <c r="G193" s="151"/>
      <c r="H193" s="334"/>
      <c r="I193" s="151"/>
      <c r="J193" s="364"/>
      <c r="K193" s="496"/>
      <c r="L193" s="476"/>
      <c r="M193" s="510"/>
      <c r="N193" s="348"/>
      <c r="O193" s="364"/>
      <c r="P193" s="517"/>
      <c r="Q193" s="433"/>
      <c r="R193" s="518"/>
      <c r="S193" s="348"/>
      <c r="T193" s="516"/>
      <c r="U193" s="511"/>
      <c r="V193" s="54"/>
    </row>
    <row r="194" spans="1:25">
      <c r="A194" s="455"/>
      <c r="B194" s="343"/>
      <c r="C194" s="151"/>
      <c r="D194" s="151"/>
      <c r="E194" s="151"/>
      <c r="F194" s="151"/>
      <c r="G194" s="340"/>
      <c r="H194" s="334"/>
      <c r="I194" s="151"/>
      <c r="J194" s="364"/>
      <c r="K194" s="496"/>
      <c r="L194" s="476"/>
      <c r="M194" s="510"/>
      <c r="N194" s="348"/>
      <c r="O194" s="370"/>
      <c r="P194" s="517"/>
      <c r="Q194" s="433"/>
      <c r="R194" s="518"/>
      <c r="S194" s="348"/>
      <c r="T194" s="519"/>
      <c r="U194" s="511"/>
      <c r="V194" s="54"/>
      <c r="X194" s="462"/>
      <c r="Y194" s="462"/>
    </row>
    <row r="195" spans="1:25">
      <c r="A195" s="162"/>
      <c r="B195" s="343"/>
      <c r="C195" s="151"/>
      <c r="D195" s="151"/>
      <c r="E195" s="151"/>
      <c r="F195" s="151"/>
      <c r="G195" s="151"/>
      <c r="H195" s="334"/>
      <c r="I195" s="151"/>
      <c r="J195" s="364"/>
      <c r="K195" s="496"/>
      <c r="L195" s="476"/>
      <c r="M195" s="510"/>
      <c r="N195" s="348"/>
      <c r="O195" s="364"/>
      <c r="P195" s="517"/>
      <c r="Q195" s="433"/>
      <c r="R195" s="518"/>
      <c r="S195" s="348"/>
      <c r="T195" s="507"/>
      <c r="U195" s="511"/>
      <c r="V195" s="54"/>
    </row>
    <row r="196" spans="1:25">
      <c r="A196" s="162"/>
      <c r="B196" s="343"/>
      <c r="C196" s="151"/>
      <c r="D196" s="151"/>
      <c r="E196" s="151"/>
      <c r="F196" s="151"/>
      <c r="G196" s="151"/>
      <c r="H196" s="334"/>
      <c r="I196" s="151"/>
      <c r="J196" s="364"/>
      <c r="K196" s="496"/>
      <c r="L196" s="476"/>
      <c r="M196" s="510"/>
      <c r="N196" s="348"/>
      <c r="O196" s="364"/>
      <c r="P196" s="517"/>
      <c r="Q196" s="433"/>
      <c r="R196" s="518"/>
      <c r="S196" s="348"/>
      <c r="T196" s="507"/>
      <c r="U196" s="511"/>
      <c r="V196" s="54"/>
    </row>
    <row r="197" spans="1:25">
      <c r="A197" s="162"/>
      <c r="B197" s="343"/>
      <c r="C197" s="151"/>
      <c r="D197" s="151"/>
      <c r="E197" s="151"/>
      <c r="F197" s="151"/>
      <c r="G197" s="151"/>
      <c r="H197" s="334"/>
      <c r="I197" s="151"/>
      <c r="J197" s="364"/>
      <c r="K197" s="496"/>
      <c r="L197" s="476"/>
      <c r="M197" s="510"/>
      <c r="N197" s="348"/>
      <c r="O197" s="364"/>
      <c r="P197" s="517"/>
      <c r="Q197" s="433"/>
      <c r="R197" s="518"/>
      <c r="S197" s="348"/>
      <c r="T197" s="507"/>
      <c r="U197" s="511"/>
      <c r="V197" s="54"/>
    </row>
    <row r="198" spans="1:25">
      <c r="A198" s="162"/>
      <c r="B198" s="512"/>
      <c r="C198" s="340"/>
      <c r="D198" s="340"/>
      <c r="E198" s="340"/>
      <c r="F198" s="340"/>
      <c r="G198" s="151"/>
      <c r="H198" s="334"/>
      <c r="I198" s="151"/>
      <c r="J198" s="364"/>
      <c r="K198" s="496"/>
      <c r="L198" s="476"/>
      <c r="M198" s="510"/>
      <c r="N198" s="348"/>
      <c r="O198" s="364"/>
      <c r="P198" s="517"/>
      <c r="Q198" s="433"/>
      <c r="R198" s="518"/>
      <c r="S198" s="348"/>
      <c r="T198" s="516"/>
      <c r="U198" s="520"/>
      <c r="V198" s="336"/>
    </row>
    <row r="199" spans="1:25">
      <c r="A199" s="162"/>
      <c r="B199" s="343"/>
      <c r="C199" s="151"/>
      <c r="D199" s="151"/>
      <c r="E199" s="151"/>
      <c r="F199" s="151"/>
      <c r="G199" s="151"/>
      <c r="H199" s="334"/>
      <c r="I199" s="151"/>
      <c r="J199" s="364"/>
      <c r="K199" s="496"/>
      <c r="L199" s="476"/>
      <c r="M199" s="510"/>
      <c r="N199" s="348"/>
      <c r="O199" s="364"/>
      <c r="P199" s="517"/>
      <c r="Q199" s="433"/>
      <c r="R199" s="518"/>
      <c r="S199" s="348"/>
      <c r="T199" s="516"/>
      <c r="U199" s="511"/>
      <c r="V199" s="54"/>
    </row>
    <row r="200" spans="1:25">
      <c r="A200" s="455"/>
      <c r="B200" s="343"/>
      <c r="C200" s="151"/>
      <c r="D200" s="151"/>
      <c r="E200" s="151"/>
      <c r="F200" s="151"/>
      <c r="G200" s="151"/>
      <c r="H200" s="334"/>
      <c r="I200" s="151"/>
      <c r="J200" s="364"/>
      <c r="K200" s="496"/>
      <c r="L200" s="476"/>
      <c r="M200" s="510"/>
      <c r="N200" s="348"/>
      <c r="O200" s="364"/>
      <c r="P200" s="517"/>
      <c r="Q200" s="433"/>
      <c r="R200" s="518"/>
      <c r="S200" s="348"/>
      <c r="T200" s="516"/>
      <c r="U200" s="511"/>
      <c r="V200" s="54"/>
      <c r="X200" s="462"/>
      <c r="Y200" s="462"/>
    </row>
    <row r="201" spans="1:25">
      <c r="A201" s="162"/>
      <c r="B201" s="343"/>
      <c r="C201" s="151"/>
      <c r="D201" s="151"/>
      <c r="E201" s="151"/>
      <c r="F201" s="151"/>
      <c r="G201" s="340"/>
      <c r="H201" s="334"/>
      <c r="I201" s="151"/>
      <c r="J201" s="364"/>
      <c r="K201" s="496"/>
      <c r="L201" s="476"/>
      <c r="M201" s="510"/>
      <c r="N201" s="348"/>
      <c r="O201" s="370"/>
      <c r="P201" s="517"/>
      <c r="Q201" s="433"/>
      <c r="R201" s="518"/>
      <c r="S201" s="348"/>
      <c r="T201" s="519"/>
      <c r="U201" s="511"/>
      <c r="V201" s="54"/>
    </row>
    <row r="202" spans="1:25">
      <c r="A202" s="162"/>
      <c r="B202" s="343"/>
      <c r="C202" s="151"/>
      <c r="D202" s="151"/>
      <c r="E202" s="151"/>
      <c r="F202" s="151"/>
      <c r="G202" s="151"/>
      <c r="H202" s="334"/>
      <c r="I202" s="151"/>
      <c r="J202" s="364"/>
      <c r="K202" s="496"/>
      <c r="L202" s="476"/>
      <c r="M202" s="510"/>
      <c r="N202" s="348"/>
      <c r="O202" s="364"/>
      <c r="P202" s="517"/>
      <c r="Q202" s="433"/>
      <c r="R202" s="518"/>
      <c r="S202" s="348"/>
      <c r="T202" s="507"/>
      <c r="U202" s="511"/>
      <c r="V202" s="54"/>
    </row>
    <row r="203" spans="1:25">
      <c r="A203" s="162"/>
      <c r="B203" s="343"/>
      <c r="C203" s="151"/>
      <c r="D203" s="151"/>
      <c r="E203" s="151"/>
      <c r="F203" s="151"/>
      <c r="G203" s="151"/>
      <c r="H203" s="334"/>
      <c r="I203" s="151"/>
      <c r="J203" s="364"/>
      <c r="K203" s="496"/>
      <c r="L203" s="476"/>
      <c r="M203" s="510"/>
      <c r="N203" s="348"/>
      <c r="O203" s="364"/>
      <c r="P203" s="517"/>
      <c r="Q203" s="433"/>
      <c r="R203" s="518"/>
      <c r="S203" s="348"/>
      <c r="T203" s="507"/>
      <c r="U203" s="511"/>
      <c r="V203" s="54"/>
    </row>
    <row r="204" spans="1:25">
      <c r="A204" s="162"/>
      <c r="B204" s="343"/>
      <c r="C204" s="151"/>
      <c r="D204" s="151"/>
      <c r="E204" s="151"/>
      <c r="F204" s="151"/>
      <c r="G204" s="151"/>
      <c r="H204" s="334"/>
      <c r="I204" s="151"/>
      <c r="J204" s="364"/>
      <c r="K204" s="496"/>
      <c r="L204" s="476"/>
      <c r="M204" s="510"/>
      <c r="N204" s="348"/>
      <c r="O204" s="364"/>
      <c r="P204" s="517"/>
      <c r="Q204" s="433"/>
      <c r="R204" s="518"/>
      <c r="S204" s="348"/>
      <c r="T204" s="507"/>
      <c r="U204" s="511"/>
      <c r="V204" s="54"/>
    </row>
    <row r="205" spans="1:25">
      <c r="A205" s="162"/>
      <c r="B205" s="343"/>
      <c r="C205" s="151"/>
      <c r="D205" s="151"/>
      <c r="E205" s="151"/>
      <c r="F205" s="151"/>
      <c r="G205" s="151"/>
      <c r="H205" s="334"/>
      <c r="I205" s="151"/>
      <c r="J205" s="364"/>
      <c r="K205" s="496"/>
      <c r="L205" s="476"/>
      <c r="M205" s="510"/>
      <c r="N205" s="348"/>
      <c r="O205" s="364"/>
      <c r="P205" s="517"/>
      <c r="Q205" s="433"/>
      <c r="R205" s="518"/>
      <c r="S205" s="348"/>
      <c r="T205" s="516"/>
      <c r="U205" s="511"/>
      <c r="V205" s="54"/>
    </row>
    <row r="206" spans="1:25">
      <c r="A206" s="162"/>
      <c r="B206" s="343"/>
      <c r="C206" s="151"/>
      <c r="D206" s="151"/>
      <c r="E206" s="151"/>
      <c r="F206" s="151"/>
      <c r="G206" s="151"/>
      <c r="H206" s="334"/>
      <c r="I206" s="151"/>
      <c r="J206" s="364"/>
      <c r="K206" s="496"/>
      <c r="L206" s="476"/>
      <c r="M206" s="510"/>
      <c r="N206" s="348"/>
      <c r="O206" s="364"/>
      <c r="P206" s="517"/>
      <c r="Q206" s="433"/>
      <c r="R206" s="518"/>
      <c r="S206" s="348"/>
      <c r="T206" s="516"/>
      <c r="U206" s="511"/>
      <c r="V206" s="54"/>
    </row>
    <row r="207" spans="1:25">
      <c r="A207" s="162"/>
      <c r="B207" s="343"/>
      <c r="C207" s="151"/>
      <c r="D207" s="151"/>
      <c r="E207" s="151"/>
      <c r="F207" s="151"/>
      <c r="G207" s="151"/>
      <c r="H207" s="334"/>
      <c r="I207" s="151"/>
      <c r="J207" s="364"/>
      <c r="K207" s="496"/>
      <c r="L207" s="476"/>
      <c r="M207" s="510"/>
      <c r="N207" s="348"/>
      <c r="O207" s="364"/>
      <c r="P207" s="517"/>
      <c r="Q207" s="433"/>
      <c r="R207" s="518"/>
      <c r="S207" s="348"/>
      <c r="T207" s="516"/>
      <c r="U207" s="511"/>
      <c r="V207" s="54"/>
    </row>
    <row r="208" spans="1:25">
      <c r="A208" s="162"/>
      <c r="B208" s="343"/>
      <c r="C208" s="151"/>
      <c r="D208" s="151"/>
      <c r="E208" s="151"/>
      <c r="F208" s="151"/>
      <c r="G208" s="340"/>
      <c r="H208" s="334"/>
      <c r="I208" s="151"/>
      <c r="J208" s="364"/>
      <c r="K208" s="496"/>
      <c r="L208" s="476"/>
      <c r="M208" s="510"/>
      <c r="N208" s="348"/>
      <c r="O208" s="370"/>
      <c r="P208" s="517"/>
      <c r="Q208" s="433"/>
      <c r="R208" s="518"/>
      <c r="S208" s="348"/>
      <c r="T208" s="519"/>
      <c r="U208" s="511"/>
      <c r="V208" s="54"/>
    </row>
    <row r="209" spans="1:22">
      <c r="A209" s="162"/>
      <c r="B209" s="343"/>
      <c r="C209" s="151"/>
      <c r="D209" s="151"/>
      <c r="E209" s="151"/>
      <c r="F209" s="151"/>
      <c r="G209" s="151"/>
      <c r="H209" s="334"/>
      <c r="I209" s="151"/>
      <c r="J209" s="364"/>
      <c r="K209" s="496"/>
      <c r="L209" s="476"/>
      <c r="M209" s="510"/>
      <c r="N209" s="348"/>
      <c r="O209" s="364"/>
      <c r="P209" s="517"/>
      <c r="Q209" s="433"/>
      <c r="R209" s="518"/>
      <c r="S209" s="348"/>
      <c r="T209" s="507"/>
      <c r="U209" s="511"/>
      <c r="V209" s="54"/>
    </row>
    <row r="210" spans="1:22">
      <c r="A210" s="162"/>
      <c r="B210" s="343"/>
      <c r="C210" s="340"/>
      <c r="D210" s="340"/>
      <c r="E210" s="340"/>
      <c r="F210" s="151"/>
      <c r="G210" s="151"/>
      <c r="H210" s="334"/>
      <c r="I210" s="151"/>
      <c r="J210" s="364"/>
      <c r="K210" s="496"/>
      <c r="L210" s="476"/>
      <c r="M210" s="510"/>
      <c r="N210" s="348"/>
      <c r="O210" s="364"/>
      <c r="P210" s="517"/>
      <c r="Q210" s="433"/>
      <c r="R210" s="518"/>
      <c r="S210" s="348"/>
      <c r="T210" s="507"/>
      <c r="U210" s="511"/>
      <c r="V210" s="54"/>
    </row>
    <row r="211" spans="1:22">
      <c r="A211" s="162"/>
      <c r="B211" s="343"/>
      <c r="C211" s="151"/>
      <c r="D211" s="151"/>
      <c r="E211" s="151"/>
      <c r="F211" s="151"/>
      <c r="G211" s="151"/>
      <c r="H211" s="334"/>
      <c r="I211" s="151"/>
      <c r="J211" s="364"/>
      <c r="K211" s="496"/>
      <c r="L211" s="476"/>
      <c r="M211" s="510"/>
      <c r="N211" s="348"/>
      <c r="O211" s="364"/>
      <c r="P211" s="517"/>
      <c r="Q211" s="433"/>
      <c r="R211" s="518"/>
      <c r="S211" s="348"/>
      <c r="T211" s="507"/>
      <c r="U211" s="511"/>
      <c r="V211" s="54"/>
    </row>
    <row r="212" spans="1:22">
      <c r="A212" s="162"/>
      <c r="B212" s="343"/>
      <c r="C212" s="151"/>
      <c r="D212" s="151"/>
      <c r="E212" s="151"/>
      <c r="F212" s="151"/>
      <c r="G212" s="151"/>
      <c r="H212" s="334"/>
      <c r="I212" s="151"/>
      <c r="J212" s="364"/>
      <c r="K212" s="496"/>
      <c r="L212" s="476"/>
      <c r="M212" s="510"/>
      <c r="N212" s="348"/>
      <c r="O212" s="364"/>
      <c r="P212" s="517"/>
      <c r="Q212" s="433"/>
      <c r="R212" s="518"/>
      <c r="S212" s="348"/>
      <c r="T212" s="516"/>
      <c r="U212" s="511"/>
      <c r="V212" s="54"/>
    </row>
    <row r="213" spans="1:22">
      <c r="A213" s="162"/>
      <c r="B213" s="343"/>
      <c r="C213" s="151"/>
      <c r="D213" s="151"/>
      <c r="E213" s="151"/>
      <c r="F213" s="151"/>
      <c r="G213" s="151"/>
      <c r="H213" s="334"/>
      <c r="I213" s="151"/>
      <c r="J213" s="364"/>
      <c r="K213" s="496"/>
      <c r="L213" s="476"/>
      <c r="M213" s="510"/>
      <c r="N213" s="348"/>
      <c r="O213" s="364"/>
      <c r="P213" s="517"/>
      <c r="Q213" s="433"/>
      <c r="R213" s="518"/>
      <c r="S213" s="348"/>
      <c r="T213" s="516"/>
      <c r="U213" s="511"/>
      <c r="V213" s="54"/>
    </row>
    <row r="214" spans="1:22">
      <c r="A214" s="162"/>
      <c r="B214" s="343"/>
      <c r="C214" s="151"/>
      <c r="D214" s="151"/>
      <c r="E214" s="151"/>
      <c r="F214" s="151"/>
      <c r="G214" s="151"/>
      <c r="H214" s="334"/>
      <c r="I214" s="151"/>
      <c r="J214" s="364"/>
      <c r="K214" s="496"/>
      <c r="L214" s="476"/>
      <c r="M214" s="510"/>
      <c r="N214" s="348"/>
      <c r="O214" s="364"/>
      <c r="P214" s="517"/>
      <c r="Q214" s="433"/>
      <c r="R214" s="518"/>
      <c r="S214" s="348"/>
      <c r="T214" s="516"/>
      <c r="U214" s="511"/>
      <c r="V214" s="54"/>
    </row>
    <row r="215" spans="1:22">
      <c r="A215" s="162"/>
      <c r="B215" s="343"/>
      <c r="C215" s="151"/>
      <c r="D215" s="151"/>
      <c r="E215" s="151"/>
      <c r="F215" s="151"/>
      <c r="G215" s="340"/>
      <c r="H215" s="334"/>
      <c r="I215" s="151"/>
      <c r="J215" s="364"/>
      <c r="K215" s="496"/>
      <c r="L215" s="476"/>
      <c r="M215" s="510"/>
      <c r="N215" s="348"/>
      <c r="O215" s="370"/>
      <c r="P215" s="517"/>
      <c r="Q215" s="433"/>
      <c r="R215" s="518"/>
      <c r="S215" s="348"/>
      <c r="T215" s="519"/>
      <c r="U215" s="511"/>
      <c r="V215" s="54"/>
    </row>
    <row r="216" spans="1:22">
      <c r="A216" s="162"/>
      <c r="B216" s="343"/>
      <c r="C216" s="151"/>
      <c r="D216" s="151"/>
      <c r="E216" s="151"/>
      <c r="F216" s="151"/>
      <c r="G216" s="151"/>
      <c r="H216" s="334"/>
      <c r="I216" s="151"/>
      <c r="J216" s="364"/>
      <c r="K216" s="496"/>
      <c r="L216" s="476"/>
      <c r="M216" s="510"/>
      <c r="N216" s="348"/>
      <c r="O216" s="364"/>
      <c r="P216" s="517"/>
      <c r="Q216" s="433"/>
      <c r="R216" s="518"/>
      <c r="S216" s="348"/>
      <c r="T216" s="507"/>
      <c r="U216" s="511"/>
      <c r="V216" s="54"/>
    </row>
    <row r="217" spans="1:22">
      <c r="A217" s="162"/>
      <c r="B217" s="343"/>
      <c r="C217" s="151"/>
      <c r="D217" s="151"/>
      <c r="E217" s="151"/>
      <c r="F217" s="151"/>
      <c r="G217" s="151"/>
      <c r="H217" s="334"/>
      <c r="I217" s="151"/>
      <c r="J217" s="364"/>
      <c r="K217" s="496"/>
      <c r="L217" s="476"/>
      <c r="M217" s="510"/>
      <c r="N217" s="348"/>
      <c r="O217" s="364"/>
      <c r="P217" s="517"/>
      <c r="Q217" s="433"/>
      <c r="R217" s="518"/>
      <c r="S217" s="348"/>
      <c r="T217" s="507"/>
      <c r="U217" s="511"/>
      <c r="V217" s="54"/>
    </row>
    <row r="218" spans="1:22">
      <c r="A218" s="162"/>
      <c r="B218" s="343"/>
      <c r="C218" s="151"/>
      <c r="D218" s="151"/>
      <c r="E218" s="151"/>
      <c r="F218" s="151"/>
      <c r="G218" s="151"/>
      <c r="H218" s="334"/>
      <c r="I218" s="151"/>
      <c r="J218" s="364"/>
      <c r="K218" s="496"/>
      <c r="L218" s="476"/>
      <c r="M218" s="510"/>
      <c r="N218" s="348"/>
      <c r="O218" s="364"/>
      <c r="P218" s="517"/>
      <c r="Q218" s="433"/>
      <c r="R218" s="518"/>
      <c r="S218" s="348"/>
      <c r="T218" s="507"/>
      <c r="U218" s="511"/>
      <c r="V218" s="54"/>
    </row>
    <row r="219" spans="1:22">
      <c r="A219" s="162"/>
      <c r="B219" s="343"/>
      <c r="C219" s="151"/>
      <c r="D219" s="151"/>
      <c r="E219" s="151"/>
      <c r="F219" s="151"/>
      <c r="G219" s="151"/>
      <c r="H219" s="334"/>
      <c r="I219" s="151"/>
      <c r="J219" s="364"/>
      <c r="K219" s="496"/>
      <c r="L219" s="476"/>
      <c r="M219" s="510"/>
      <c r="N219" s="348"/>
      <c r="O219" s="364"/>
      <c r="P219" s="517"/>
      <c r="Q219" s="433"/>
      <c r="R219" s="518"/>
      <c r="S219" s="348"/>
      <c r="T219" s="516"/>
      <c r="U219" s="511"/>
      <c r="V219" s="54"/>
    </row>
    <row r="220" spans="1:22">
      <c r="A220" s="162"/>
      <c r="B220" s="343"/>
      <c r="C220" s="151"/>
      <c r="D220" s="151"/>
      <c r="E220" s="151"/>
      <c r="F220" s="151"/>
      <c r="G220" s="151"/>
      <c r="H220" s="334"/>
      <c r="I220" s="151"/>
      <c r="J220" s="364"/>
      <c r="K220" s="496"/>
      <c r="L220" s="476"/>
      <c r="M220" s="510"/>
      <c r="N220" s="348"/>
      <c r="O220" s="364"/>
      <c r="P220" s="517"/>
      <c r="Q220" s="433"/>
      <c r="R220" s="518"/>
      <c r="S220" s="348"/>
      <c r="T220" s="516"/>
      <c r="U220" s="511"/>
      <c r="V220" s="54"/>
    </row>
    <row r="221" spans="1:22">
      <c r="A221" s="162"/>
      <c r="B221" s="343"/>
      <c r="C221" s="151"/>
      <c r="D221" s="151"/>
      <c r="E221" s="151"/>
      <c r="F221" s="151"/>
      <c r="G221" s="151"/>
      <c r="H221" s="334"/>
      <c r="I221" s="151"/>
      <c r="J221" s="364"/>
      <c r="K221" s="496"/>
      <c r="L221" s="476"/>
      <c r="M221" s="510"/>
      <c r="N221" s="348"/>
      <c r="O221" s="364"/>
      <c r="P221" s="517"/>
      <c r="Q221" s="433"/>
      <c r="R221" s="518"/>
      <c r="S221" s="348"/>
      <c r="T221" s="516"/>
      <c r="U221" s="511"/>
      <c r="V221" s="54"/>
    </row>
    <row r="222" spans="1:22">
      <c r="A222" s="162"/>
      <c r="B222" s="343"/>
      <c r="C222" s="151"/>
      <c r="D222" s="151"/>
      <c r="E222" s="151"/>
      <c r="F222" s="151"/>
      <c r="G222" s="340"/>
      <c r="H222" s="334"/>
      <c r="I222" s="151"/>
      <c r="J222" s="364"/>
      <c r="K222" s="496"/>
      <c r="L222" s="476"/>
      <c r="M222" s="510"/>
      <c r="N222" s="348"/>
      <c r="O222" s="370"/>
      <c r="P222" s="517"/>
      <c r="Q222" s="433"/>
      <c r="R222" s="518"/>
      <c r="S222" s="348"/>
      <c r="T222" s="519"/>
      <c r="U222" s="511"/>
      <c r="V222" s="54"/>
    </row>
    <row r="223" spans="1:22">
      <c r="A223" s="162"/>
      <c r="B223" s="343"/>
      <c r="C223" s="151"/>
      <c r="D223" s="151"/>
      <c r="E223" s="151"/>
      <c r="F223" s="151"/>
      <c r="G223" s="151"/>
      <c r="H223" s="334"/>
      <c r="I223" s="151"/>
      <c r="J223" s="364"/>
      <c r="K223" s="496"/>
      <c r="L223" s="476"/>
      <c r="M223" s="510"/>
      <c r="N223" s="348"/>
      <c r="O223" s="364"/>
      <c r="P223" s="517"/>
      <c r="Q223" s="433"/>
      <c r="R223" s="518"/>
      <c r="S223" s="348"/>
      <c r="T223" s="507"/>
      <c r="U223" s="511"/>
      <c r="V223" s="54"/>
    </row>
    <row r="224" spans="1:22">
      <c r="A224" s="162"/>
      <c r="B224" s="343"/>
      <c r="C224" s="151"/>
      <c r="D224" s="151"/>
      <c r="E224" s="151"/>
      <c r="F224" s="151"/>
      <c r="G224" s="151"/>
      <c r="H224" s="334"/>
      <c r="I224" s="151"/>
      <c r="J224" s="364"/>
      <c r="K224" s="496"/>
      <c r="L224" s="476"/>
      <c r="M224" s="510"/>
      <c r="N224" s="348"/>
      <c r="O224" s="364"/>
      <c r="P224" s="517"/>
      <c r="Q224" s="433"/>
      <c r="R224" s="518"/>
      <c r="S224" s="348"/>
      <c r="T224" s="507"/>
      <c r="U224" s="511"/>
      <c r="V224" s="54"/>
    </row>
    <row r="225" spans="1:22">
      <c r="A225" s="162"/>
      <c r="B225" s="343"/>
      <c r="C225" s="151"/>
      <c r="D225" s="151"/>
      <c r="E225" s="151"/>
      <c r="F225" s="151"/>
      <c r="G225" s="151"/>
      <c r="H225" s="334"/>
      <c r="I225" s="151"/>
      <c r="J225" s="364"/>
      <c r="K225" s="496"/>
      <c r="L225" s="476"/>
      <c r="M225" s="510"/>
      <c r="N225" s="348"/>
      <c r="O225" s="364"/>
      <c r="P225" s="517"/>
      <c r="Q225" s="433"/>
      <c r="R225" s="518"/>
      <c r="S225" s="348"/>
      <c r="T225" s="507"/>
      <c r="U225" s="511"/>
      <c r="V225" s="54"/>
    </row>
    <row r="226" spans="1:22">
      <c r="A226" s="162"/>
      <c r="B226" s="343"/>
      <c r="C226" s="151"/>
      <c r="D226" s="151"/>
      <c r="E226" s="151"/>
      <c r="F226" s="151"/>
      <c r="G226" s="151"/>
      <c r="H226" s="334"/>
      <c r="I226" s="151"/>
      <c r="J226" s="364"/>
      <c r="K226" s="496"/>
      <c r="L226" s="476"/>
      <c r="M226" s="510"/>
      <c r="N226" s="348"/>
      <c r="O226" s="364"/>
      <c r="P226" s="517"/>
      <c r="Q226" s="433"/>
      <c r="R226" s="518"/>
      <c r="S226" s="348"/>
      <c r="T226" s="516"/>
      <c r="U226" s="511"/>
      <c r="V226" s="54"/>
    </row>
    <row r="227" spans="1:22">
      <c r="A227" s="162"/>
      <c r="B227" s="343"/>
      <c r="C227" s="151"/>
      <c r="D227" s="151"/>
      <c r="E227" s="151"/>
      <c r="F227" s="151"/>
      <c r="G227" s="151"/>
      <c r="H227" s="334"/>
      <c r="I227" s="151"/>
      <c r="J227" s="364"/>
      <c r="K227" s="496"/>
      <c r="L227" s="476"/>
      <c r="M227" s="510"/>
      <c r="N227" s="348"/>
      <c r="O227" s="364"/>
      <c r="P227" s="517"/>
      <c r="Q227" s="433"/>
      <c r="R227" s="518"/>
      <c r="S227" s="348"/>
      <c r="T227" s="516"/>
      <c r="U227" s="511"/>
      <c r="V227" s="54"/>
    </row>
    <row r="228" spans="1:22">
      <c r="A228" s="162"/>
      <c r="B228" s="343"/>
      <c r="C228" s="151"/>
      <c r="D228" s="151"/>
      <c r="E228" s="151"/>
      <c r="F228" s="151"/>
      <c r="G228" s="151"/>
      <c r="H228" s="334"/>
      <c r="I228" s="151"/>
      <c r="J228" s="364"/>
      <c r="K228" s="496"/>
      <c r="L228" s="476"/>
      <c r="M228" s="510"/>
      <c r="N228" s="348"/>
      <c r="O228" s="364"/>
      <c r="P228" s="517"/>
      <c r="Q228" s="433"/>
      <c r="R228" s="518"/>
      <c r="S228" s="348"/>
      <c r="T228" s="516"/>
      <c r="U228" s="511"/>
      <c r="V228" s="54"/>
    </row>
    <row r="229" spans="1:22">
      <c r="A229" s="162"/>
      <c r="B229" s="343"/>
      <c r="C229" s="151"/>
      <c r="D229" s="151"/>
      <c r="E229" s="151"/>
      <c r="F229" s="151"/>
      <c r="G229" s="151"/>
      <c r="H229" s="151"/>
      <c r="I229" s="151"/>
      <c r="J229" s="364"/>
      <c r="K229" s="364"/>
      <c r="L229" s="476"/>
      <c r="M229" s="409"/>
      <c r="N229" s="348"/>
      <c r="O229" s="364"/>
      <c r="P229" s="517"/>
      <c r="Q229" s="433"/>
      <c r="R229" s="364"/>
      <c r="S229" s="348"/>
      <c r="T229" s="516"/>
      <c r="U229" s="511"/>
      <c r="V229" s="54"/>
    </row>
    <row r="230" spans="1:22">
      <c r="A230" s="162"/>
      <c r="B230" s="343"/>
      <c r="C230" s="151"/>
      <c r="D230" s="151"/>
      <c r="E230" s="151"/>
      <c r="F230" s="151"/>
      <c r="G230" s="151"/>
      <c r="H230" s="151"/>
      <c r="I230" s="151"/>
      <c r="J230" s="364"/>
      <c r="K230" s="364"/>
      <c r="L230" s="476"/>
      <c r="M230" s="409"/>
      <c r="N230" s="348"/>
      <c r="O230" s="364"/>
      <c r="P230" s="517"/>
      <c r="Q230" s="433"/>
      <c r="R230" s="364"/>
      <c r="S230" s="348"/>
      <c r="T230" s="516"/>
      <c r="U230" s="511"/>
      <c r="V230" s="54"/>
    </row>
    <row r="231" spans="1:22">
      <c r="A231" s="162"/>
      <c r="B231" s="343"/>
      <c r="C231" s="151"/>
      <c r="D231" s="151"/>
      <c r="E231" s="151"/>
      <c r="F231" s="151"/>
      <c r="G231" s="151"/>
      <c r="H231" s="151"/>
      <c r="I231" s="151"/>
      <c r="J231" s="364"/>
      <c r="K231" s="364"/>
      <c r="L231" s="476"/>
      <c r="M231" s="409"/>
      <c r="N231" s="348"/>
      <c r="O231" s="364"/>
      <c r="P231" s="517"/>
      <c r="Q231" s="433"/>
      <c r="R231" s="364"/>
      <c r="S231" s="348"/>
      <c r="T231" s="516"/>
      <c r="U231" s="511"/>
      <c r="V231" s="54"/>
    </row>
    <row r="232" spans="1:22">
      <c r="A232" s="162"/>
      <c r="B232" s="343"/>
      <c r="C232" s="151"/>
      <c r="D232" s="151"/>
      <c r="E232" s="151"/>
      <c r="F232" s="151"/>
      <c r="G232" s="151"/>
      <c r="H232" s="151"/>
      <c r="I232" s="151"/>
      <c r="J232" s="364"/>
      <c r="K232" s="364"/>
      <c r="L232" s="476"/>
      <c r="M232" s="409"/>
      <c r="N232" s="348"/>
      <c r="O232" s="364"/>
      <c r="P232" s="517"/>
      <c r="Q232" s="433"/>
      <c r="R232" s="364"/>
      <c r="S232" s="348"/>
      <c r="T232" s="516"/>
      <c r="U232" s="511"/>
      <c r="V232" s="54"/>
    </row>
    <row r="233" spans="1:22">
      <c r="A233" s="162"/>
      <c r="B233" s="343"/>
      <c r="C233" s="151"/>
      <c r="D233" s="151"/>
      <c r="E233" s="151"/>
      <c r="F233" s="151"/>
      <c r="G233" s="151"/>
      <c r="H233" s="151"/>
      <c r="I233" s="151"/>
      <c r="J233" s="364"/>
      <c r="K233" s="364"/>
      <c r="L233" s="476"/>
      <c r="M233" s="409"/>
      <c r="N233" s="348"/>
      <c r="O233" s="364"/>
      <c r="P233" s="517"/>
      <c r="Q233" s="433"/>
      <c r="R233" s="364"/>
      <c r="S233" s="348"/>
      <c r="T233" s="516"/>
      <c r="U233" s="511"/>
      <c r="V233" s="54"/>
    </row>
    <row r="234" spans="1:22">
      <c r="A234" s="162"/>
      <c r="B234" s="343"/>
      <c r="C234" s="151"/>
      <c r="D234" s="151"/>
      <c r="E234" s="151"/>
      <c r="F234" s="151"/>
      <c r="G234" s="151"/>
      <c r="H234" s="151"/>
      <c r="I234" s="151"/>
      <c r="J234" s="364"/>
      <c r="K234" s="364"/>
      <c r="L234" s="476"/>
      <c r="M234" s="409"/>
      <c r="N234" s="348"/>
      <c r="O234" s="364"/>
      <c r="P234" s="517"/>
      <c r="Q234" s="433"/>
      <c r="R234" s="364"/>
      <c r="S234" s="348"/>
      <c r="T234" s="516"/>
      <c r="U234" s="511"/>
      <c r="V234" s="54"/>
    </row>
    <row r="235" spans="1:22">
      <c r="A235" s="162"/>
      <c r="B235" s="343"/>
      <c r="C235" s="151"/>
      <c r="D235" s="151"/>
      <c r="E235" s="151"/>
      <c r="F235" s="151"/>
      <c r="G235" s="151"/>
      <c r="H235" s="151"/>
      <c r="I235" s="151"/>
      <c r="J235" s="364"/>
      <c r="K235" s="364"/>
      <c r="L235" s="476"/>
      <c r="M235" s="409"/>
      <c r="N235" s="348"/>
      <c r="O235" s="364"/>
      <c r="P235" s="517"/>
      <c r="Q235" s="433"/>
      <c r="R235" s="364"/>
      <c r="S235" s="348"/>
      <c r="T235" s="516"/>
      <c r="U235" s="511"/>
      <c r="V235" s="54"/>
    </row>
    <row r="236" spans="1:22">
      <c r="A236" s="162"/>
      <c r="B236" s="343"/>
      <c r="C236" s="151"/>
      <c r="D236" s="151"/>
      <c r="E236" s="151"/>
      <c r="F236" s="151"/>
      <c r="G236" s="151"/>
      <c r="H236" s="151"/>
      <c r="I236" s="151"/>
      <c r="J236" s="364"/>
      <c r="K236" s="364"/>
      <c r="L236" s="476"/>
      <c r="M236" s="409"/>
      <c r="N236" s="348"/>
      <c r="O236" s="364"/>
      <c r="P236" s="517"/>
      <c r="Q236" s="433"/>
      <c r="R236" s="364"/>
      <c r="S236" s="348"/>
      <c r="T236" s="516"/>
      <c r="U236" s="511"/>
      <c r="V236" s="54"/>
    </row>
    <row r="237" spans="1:22">
      <c r="A237" s="162"/>
      <c r="B237" s="343"/>
      <c r="C237" s="151"/>
      <c r="D237" s="151"/>
      <c r="E237" s="151"/>
      <c r="F237" s="151"/>
      <c r="G237" s="151"/>
      <c r="H237" s="151"/>
      <c r="I237" s="151"/>
      <c r="J237" s="364"/>
      <c r="K237" s="364"/>
      <c r="L237" s="476"/>
      <c r="M237" s="409"/>
      <c r="N237" s="348"/>
      <c r="O237" s="364"/>
      <c r="P237" s="517"/>
      <c r="Q237" s="433"/>
      <c r="R237" s="364"/>
      <c r="S237" s="364"/>
      <c r="T237" s="516"/>
      <c r="U237" s="511"/>
      <c r="V237" s="296"/>
    </row>
    <row r="238" spans="1:22">
      <c r="A238" s="162"/>
      <c r="B238" s="343"/>
      <c r="C238" s="151"/>
      <c r="D238" s="151"/>
      <c r="E238" s="151"/>
      <c r="F238" s="151"/>
      <c r="G238" s="151"/>
      <c r="H238" s="151"/>
      <c r="I238" s="151"/>
      <c r="J238" s="364"/>
      <c r="K238" s="364"/>
      <c r="L238" s="476"/>
      <c r="M238" s="409"/>
      <c r="N238" s="348"/>
      <c r="O238" s="364"/>
      <c r="P238" s="517"/>
      <c r="Q238" s="433"/>
      <c r="R238" s="364"/>
      <c r="S238" s="364"/>
      <c r="T238" s="516"/>
      <c r="U238" s="511"/>
      <c r="V238" s="54"/>
    </row>
    <row r="239" spans="1:22">
      <c r="A239" s="162"/>
      <c r="B239" s="343"/>
      <c r="C239" s="151"/>
      <c r="D239" s="151"/>
      <c r="E239" s="151"/>
      <c r="F239" s="151"/>
      <c r="G239" s="151"/>
      <c r="H239" s="151"/>
      <c r="I239" s="151"/>
      <c r="J239" s="364"/>
      <c r="K239" s="364"/>
      <c r="L239" s="476"/>
      <c r="M239" s="409"/>
      <c r="N239" s="348"/>
      <c r="O239" s="364"/>
      <c r="P239" s="517"/>
      <c r="Q239" s="433"/>
      <c r="R239" s="364"/>
      <c r="S239" s="364"/>
      <c r="T239" s="516"/>
      <c r="U239" s="511"/>
      <c r="V239" s="54"/>
    </row>
    <row r="240" spans="1:22">
      <c r="A240" s="162"/>
      <c r="B240" s="343"/>
      <c r="C240" s="151"/>
      <c r="D240" s="151"/>
      <c r="E240" s="151"/>
      <c r="F240" s="151"/>
      <c r="G240" s="151"/>
      <c r="H240" s="151"/>
      <c r="I240" s="151"/>
      <c r="J240" s="364"/>
      <c r="K240" s="364"/>
      <c r="L240" s="476"/>
      <c r="M240" s="409"/>
      <c r="N240" s="348"/>
      <c r="O240" s="364"/>
      <c r="P240" s="517"/>
      <c r="Q240" s="433"/>
      <c r="R240" s="364"/>
      <c r="S240" s="364"/>
      <c r="T240" s="516"/>
      <c r="U240" s="511"/>
      <c r="V240" s="54"/>
    </row>
    <row r="241" spans="1:22">
      <c r="A241" s="162"/>
      <c r="B241" s="343"/>
      <c r="C241" s="151"/>
      <c r="D241" s="151"/>
      <c r="E241" s="151"/>
      <c r="F241" s="151"/>
      <c r="G241" s="151"/>
      <c r="H241" s="151"/>
      <c r="I241" s="151"/>
      <c r="J241" s="364"/>
      <c r="K241" s="364"/>
      <c r="L241" s="476"/>
      <c r="M241" s="409"/>
      <c r="N241" s="348"/>
      <c r="O241" s="364"/>
      <c r="P241" s="517"/>
      <c r="Q241" s="433"/>
      <c r="R241" s="364"/>
      <c r="S241" s="364"/>
      <c r="T241" s="516"/>
      <c r="U241" s="511"/>
      <c r="V241" s="54"/>
    </row>
    <row r="242" spans="1:22">
      <c r="A242" s="162"/>
      <c r="B242" s="343"/>
      <c r="C242" s="151"/>
      <c r="D242" s="151"/>
      <c r="E242" s="151"/>
      <c r="F242" s="151"/>
      <c r="G242" s="151"/>
      <c r="H242" s="151"/>
      <c r="I242" s="151"/>
      <c r="J242" s="364"/>
      <c r="K242" s="364"/>
      <c r="L242" s="476"/>
      <c r="M242" s="409"/>
      <c r="N242" s="348"/>
      <c r="O242" s="364"/>
      <c r="P242" s="517"/>
      <c r="Q242" s="433"/>
      <c r="R242" s="364"/>
      <c r="S242" s="364"/>
      <c r="T242" s="516"/>
      <c r="U242" s="511"/>
      <c r="V242" s="54"/>
    </row>
    <row r="243" spans="1:22">
      <c r="A243" s="162"/>
      <c r="B243" s="343"/>
      <c r="C243" s="151"/>
      <c r="D243" s="151"/>
      <c r="E243" s="151"/>
      <c r="F243" s="151"/>
      <c r="G243" s="151"/>
      <c r="H243" s="151"/>
      <c r="I243" s="151"/>
      <c r="J243" s="364"/>
      <c r="K243" s="364"/>
      <c r="L243" s="476"/>
      <c r="M243" s="409"/>
      <c r="N243" s="348"/>
      <c r="O243" s="364"/>
      <c r="P243" s="517"/>
      <c r="Q243" s="433"/>
      <c r="R243" s="364"/>
      <c r="S243" s="364"/>
      <c r="T243" s="516"/>
      <c r="U243" s="511"/>
      <c r="V243" s="54"/>
    </row>
    <row r="244" spans="1:22">
      <c r="A244" s="162"/>
      <c r="B244" s="343"/>
      <c r="C244" s="151"/>
      <c r="D244" s="151"/>
      <c r="E244" s="151"/>
      <c r="F244" s="151"/>
      <c r="G244" s="151"/>
      <c r="H244" s="151"/>
      <c r="I244" s="151"/>
      <c r="J244" s="364"/>
      <c r="K244" s="364"/>
      <c r="L244" s="476"/>
      <c r="M244" s="409"/>
      <c r="N244" s="348"/>
      <c r="O244" s="364"/>
      <c r="P244" s="517"/>
      <c r="Q244" s="433"/>
      <c r="R244" s="364"/>
      <c r="S244" s="364"/>
      <c r="T244" s="516"/>
      <c r="U244" s="511"/>
      <c r="V244" s="54"/>
    </row>
    <row r="245" spans="1:22">
      <c r="A245" s="162"/>
      <c r="B245" s="343"/>
      <c r="C245" s="151"/>
      <c r="D245" s="151"/>
      <c r="E245" s="151"/>
      <c r="F245" s="151"/>
      <c r="G245" s="151"/>
      <c r="H245" s="151"/>
      <c r="I245" s="151"/>
      <c r="J245" s="364"/>
      <c r="K245" s="364"/>
      <c r="L245" s="476"/>
      <c r="M245" s="409"/>
      <c r="N245" s="348"/>
      <c r="O245" s="364"/>
      <c r="P245" s="517"/>
      <c r="Q245" s="433"/>
      <c r="R245" s="364"/>
      <c r="S245" s="364"/>
      <c r="T245" s="516"/>
      <c r="U245" s="511"/>
      <c r="V245" s="54"/>
    </row>
    <row r="246" spans="1:22">
      <c r="A246" s="162"/>
      <c r="B246" s="343"/>
      <c r="C246" s="151"/>
      <c r="D246" s="151"/>
      <c r="E246" s="151"/>
      <c r="F246" s="151"/>
      <c r="G246" s="151"/>
      <c r="H246" s="151"/>
      <c r="I246" s="151"/>
      <c r="J246" s="364"/>
      <c r="K246" s="364"/>
      <c r="L246" s="476"/>
      <c r="M246" s="409"/>
      <c r="N246" s="348"/>
      <c r="O246" s="364"/>
      <c r="P246" s="517"/>
      <c r="Q246" s="364"/>
      <c r="R246" s="364"/>
      <c r="S246" s="364"/>
      <c r="T246" s="516"/>
      <c r="U246" s="511"/>
      <c r="V246" s="54"/>
    </row>
    <row r="247" spans="1:22">
      <c r="A247" s="162"/>
      <c r="B247" s="343"/>
      <c r="C247" s="151"/>
      <c r="D247" s="151"/>
      <c r="E247" s="151"/>
      <c r="F247" s="151"/>
      <c r="G247" s="151"/>
      <c r="H247" s="151"/>
      <c r="I247" s="151"/>
      <c r="J247" s="364"/>
      <c r="K247" s="364"/>
      <c r="L247" s="476"/>
      <c r="M247" s="409"/>
      <c r="N247" s="348"/>
      <c r="O247" s="364"/>
      <c r="P247" s="517"/>
      <c r="Q247" s="364"/>
      <c r="R247" s="364"/>
      <c r="S247" s="364"/>
      <c r="T247" s="516"/>
      <c r="U247" s="511"/>
      <c r="V247" s="54"/>
    </row>
    <row r="248" spans="1:22">
      <c r="A248" s="162"/>
      <c r="B248" s="343"/>
      <c r="C248" s="151"/>
      <c r="D248" s="151"/>
      <c r="E248" s="151"/>
      <c r="F248" s="151"/>
      <c r="G248" s="151"/>
      <c r="H248" s="151"/>
      <c r="I248" s="151"/>
      <c r="J248" s="364"/>
      <c r="K248" s="364"/>
      <c r="L248" s="476"/>
      <c r="M248" s="409"/>
      <c r="N248" s="348"/>
      <c r="O248" s="364"/>
      <c r="P248" s="517"/>
      <c r="Q248" s="364"/>
      <c r="R248" s="364"/>
      <c r="S248" s="364"/>
      <c r="T248" s="516"/>
      <c r="U248" s="511"/>
      <c r="V248" s="54"/>
    </row>
    <row r="249" spans="1:22">
      <c r="A249" s="162"/>
      <c r="B249" s="343"/>
      <c r="C249" s="151"/>
      <c r="D249" s="151"/>
      <c r="E249" s="151"/>
      <c r="F249" s="151"/>
      <c r="G249" s="151"/>
      <c r="H249" s="151"/>
      <c r="I249" s="151"/>
      <c r="J249" s="364"/>
      <c r="K249" s="364"/>
      <c r="L249" s="476"/>
      <c r="M249" s="409"/>
      <c r="N249" s="348"/>
      <c r="O249" s="364"/>
      <c r="P249" s="517"/>
      <c r="Q249" s="364"/>
      <c r="R249" s="364"/>
      <c r="S249" s="364"/>
      <c r="T249" s="516"/>
      <c r="U249" s="511"/>
      <c r="V249" s="54"/>
    </row>
    <row r="250" spans="1:22">
      <c r="A250" s="162"/>
      <c r="B250" s="343"/>
      <c r="C250" s="151"/>
      <c r="D250" s="151"/>
      <c r="E250" s="151"/>
      <c r="F250" s="151"/>
      <c r="G250" s="151"/>
      <c r="H250" s="151"/>
      <c r="I250" s="151"/>
      <c r="J250" s="364"/>
      <c r="K250" s="364"/>
      <c r="L250" s="476"/>
      <c r="M250" s="409"/>
      <c r="N250" s="348"/>
      <c r="O250" s="364"/>
      <c r="P250" s="517"/>
      <c r="Q250" s="364"/>
      <c r="R250" s="364"/>
      <c r="S250" s="364"/>
      <c r="T250" s="516"/>
      <c r="U250" s="511"/>
      <c r="V250" s="54"/>
    </row>
    <row r="251" spans="1:22">
      <c r="A251" s="162"/>
      <c r="B251" s="343"/>
      <c r="C251" s="151"/>
      <c r="D251" s="151"/>
      <c r="E251" s="151"/>
      <c r="F251" s="151"/>
      <c r="G251" s="151"/>
      <c r="H251" s="151"/>
      <c r="I251" s="151"/>
      <c r="J251" s="364"/>
      <c r="K251" s="364"/>
      <c r="L251" s="476"/>
      <c r="M251" s="409"/>
      <c r="N251" s="348"/>
      <c r="O251" s="364"/>
      <c r="P251" s="517"/>
      <c r="Q251" s="364"/>
      <c r="R251" s="364"/>
      <c r="S251" s="364"/>
      <c r="T251" s="516"/>
      <c r="U251" s="511"/>
      <c r="V251" s="54"/>
    </row>
    <row r="252" spans="1:22">
      <c r="A252" s="162"/>
      <c r="B252" s="343"/>
      <c r="C252" s="151"/>
      <c r="D252" s="151"/>
      <c r="E252" s="151"/>
      <c r="F252" s="151"/>
      <c r="G252" s="151"/>
      <c r="H252" s="151"/>
      <c r="I252" s="151"/>
      <c r="J252" s="364"/>
      <c r="K252" s="364"/>
      <c r="L252" s="476"/>
      <c r="M252" s="409"/>
      <c r="N252" s="348"/>
      <c r="O252" s="364"/>
      <c r="P252" s="517"/>
      <c r="Q252" s="364"/>
      <c r="R252" s="364"/>
      <c r="S252" s="364"/>
      <c r="T252" s="516"/>
      <c r="U252" s="511"/>
      <c r="V252" s="54"/>
    </row>
    <row r="253" spans="1:22">
      <c r="A253" s="162"/>
      <c r="B253" s="343"/>
      <c r="C253" s="151"/>
      <c r="D253" s="151"/>
      <c r="E253" s="151"/>
      <c r="F253" s="151"/>
      <c r="G253" s="151"/>
      <c r="H253" s="151"/>
      <c r="I253" s="151"/>
      <c r="J253" s="364"/>
      <c r="K253" s="364"/>
      <c r="L253" s="476"/>
      <c r="M253" s="409"/>
      <c r="N253" s="348"/>
      <c r="O253" s="364"/>
      <c r="P253" s="517"/>
      <c r="Q253" s="364"/>
      <c r="R253" s="364"/>
      <c r="S253" s="364"/>
      <c r="T253" s="516"/>
      <c r="U253" s="511"/>
      <c r="V253" s="54"/>
    </row>
    <row r="254" spans="1:22">
      <c r="A254" s="162"/>
      <c r="B254" s="343"/>
      <c r="C254" s="151"/>
      <c r="D254" s="151"/>
      <c r="E254" s="151"/>
      <c r="F254" s="151"/>
      <c r="G254" s="151"/>
      <c r="H254" s="151"/>
      <c r="I254" s="151"/>
      <c r="J254" s="364"/>
      <c r="K254" s="364"/>
      <c r="L254" s="476"/>
      <c r="M254" s="409"/>
      <c r="N254" s="348"/>
      <c r="O254" s="364"/>
      <c r="P254" s="517"/>
      <c r="Q254" s="364"/>
      <c r="R254" s="364"/>
      <c r="S254" s="364"/>
      <c r="T254" s="516"/>
      <c r="U254" s="511"/>
      <c r="V254" s="54"/>
    </row>
    <row r="255" spans="1:22">
      <c r="A255" s="162"/>
      <c r="B255" s="343"/>
      <c r="C255" s="151"/>
      <c r="D255" s="151"/>
      <c r="E255" s="151"/>
      <c r="F255" s="151"/>
      <c r="G255" s="151"/>
      <c r="H255" s="151"/>
      <c r="I255" s="151"/>
      <c r="J255" s="364"/>
      <c r="K255" s="364"/>
      <c r="L255" s="476"/>
      <c r="M255" s="409"/>
      <c r="N255" s="348"/>
      <c r="O255" s="364"/>
      <c r="P255" s="517"/>
      <c r="Q255" s="364"/>
      <c r="R255" s="364"/>
      <c r="S255" s="364"/>
      <c r="T255" s="516"/>
      <c r="U255" s="511"/>
      <c r="V255" s="54"/>
    </row>
    <row r="256" spans="1:22">
      <c r="A256" s="162"/>
      <c r="B256" s="343"/>
      <c r="C256" s="151"/>
      <c r="D256" s="151"/>
      <c r="E256" s="151"/>
      <c r="F256" s="151"/>
      <c r="G256" s="151"/>
      <c r="H256" s="151"/>
      <c r="I256" s="151"/>
      <c r="J256" s="364"/>
      <c r="K256" s="364"/>
      <c r="L256" s="476"/>
      <c r="M256" s="409"/>
      <c r="N256" s="348"/>
      <c r="O256" s="364"/>
      <c r="P256" s="517"/>
      <c r="Q256" s="364"/>
      <c r="R256" s="364"/>
      <c r="S256" s="364"/>
      <c r="T256" s="516"/>
      <c r="U256" s="511"/>
      <c r="V256" s="54"/>
    </row>
    <row r="257" spans="1:22">
      <c r="A257" s="162"/>
      <c r="B257" s="343"/>
      <c r="C257" s="151"/>
      <c r="D257" s="151"/>
      <c r="E257" s="151"/>
      <c r="F257" s="151"/>
      <c r="G257" s="151"/>
      <c r="H257" s="151"/>
      <c r="I257" s="151"/>
      <c r="J257" s="364"/>
      <c r="K257" s="364"/>
      <c r="L257" s="476"/>
      <c r="M257" s="409"/>
      <c r="N257" s="348"/>
      <c r="O257" s="364"/>
      <c r="P257" s="517"/>
      <c r="Q257" s="364"/>
      <c r="R257" s="364"/>
      <c r="S257" s="364"/>
      <c r="T257" s="516"/>
      <c r="U257" s="511"/>
      <c r="V257" s="54"/>
    </row>
    <row r="258" spans="1:22">
      <c r="A258" s="162"/>
      <c r="B258" s="343"/>
      <c r="C258" s="151"/>
      <c r="D258" s="151"/>
      <c r="E258" s="151"/>
      <c r="F258" s="151"/>
      <c r="G258" s="151"/>
      <c r="H258" s="151"/>
      <c r="I258" s="151"/>
      <c r="J258" s="364"/>
      <c r="K258" s="364"/>
      <c r="L258" s="476"/>
      <c r="M258" s="409"/>
      <c r="N258" s="348"/>
      <c r="O258" s="364"/>
      <c r="P258" s="517"/>
      <c r="Q258" s="364"/>
      <c r="R258" s="364"/>
      <c r="S258" s="364"/>
      <c r="T258" s="516"/>
      <c r="U258" s="511"/>
      <c r="V258" s="54"/>
    </row>
    <row r="259" spans="1:22">
      <c r="A259" s="162"/>
      <c r="B259" s="343"/>
      <c r="C259" s="151"/>
      <c r="D259" s="151"/>
      <c r="E259" s="151"/>
      <c r="F259" s="151"/>
      <c r="G259" s="151"/>
      <c r="H259" s="151"/>
      <c r="I259" s="151"/>
      <c r="J259" s="364"/>
      <c r="K259" s="364"/>
      <c r="L259" s="476"/>
      <c r="M259" s="409"/>
      <c r="N259" s="348"/>
      <c r="O259" s="364"/>
      <c r="P259" s="517"/>
      <c r="Q259" s="364"/>
      <c r="R259" s="364"/>
      <c r="S259" s="364"/>
      <c r="T259" s="516"/>
      <c r="U259" s="511"/>
      <c r="V259" s="54"/>
    </row>
    <row r="260" spans="1:22">
      <c r="A260" s="162"/>
      <c r="B260" s="343"/>
      <c r="C260" s="151"/>
      <c r="D260" s="151"/>
      <c r="E260" s="151"/>
      <c r="F260" s="151"/>
      <c r="G260" s="151"/>
      <c r="H260" s="151"/>
      <c r="I260" s="151"/>
      <c r="J260" s="364"/>
      <c r="K260" s="364"/>
      <c r="L260" s="476"/>
      <c r="M260" s="409"/>
      <c r="N260" s="348"/>
      <c r="O260" s="364"/>
      <c r="P260" s="517"/>
      <c r="Q260" s="364"/>
      <c r="R260" s="364"/>
      <c r="S260" s="364"/>
      <c r="T260" s="516"/>
      <c r="U260" s="511"/>
      <c r="V260" s="54"/>
    </row>
    <row r="261" spans="1:22">
      <c r="A261" s="162"/>
      <c r="B261" s="343"/>
      <c r="C261" s="151"/>
      <c r="D261" s="151"/>
      <c r="E261" s="151"/>
      <c r="F261" s="151"/>
      <c r="G261" s="151"/>
      <c r="H261" s="151"/>
      <c r="I261" s="151"/>
      <c r="J261" s="364"/>
      <c r="K261" s="364"/>
      <c r="L261" s="476"/>
      <c r="M261" s="409"/>
      <c r="N261" s="348"/>
      <c r="O261" s="364"/>
      <c r="P261" s="517"/>
      <c r="Q261" s="364"/>
      <c r="R261" s="364"/>
      <c r="S261" s="364"/>
      <c r="T261" s="516"/>
      <c r="U261" s="511"/>
      <c r="V261" s="54"/>
    </row>
    <row r="262" spans="1:22">
      <c r="A262" s="162"/>
      <c r="B262" s="343"/>
      <c r="C262" s="151"/>
      <c r="D262" s="151"/>
      <c r="E262" s="151"/>
      <c r="F262" s="151"/>
      <c r="G262" s="151"/>
      <c r="H262" s="151"/>
      <c r="I262" s="151"/>
      <c r="J262" s="364"/>
      <c r="K262" s="364"/>
      <c r="L262" s="476"/>
      <c r="M262" s="409"/>
      <c r="N262" s="348"/>
      <c r="O262" s="364"/>
      <c r="P262" s="517"/>
      <c r="Q262" s="364"/>
      <c r="R262" s="364"/>
      <c r="S262" s="364"/>
      <c r="T262" s="516"/>
      <c r="U262" s="511"/>
      <c r="V262" s="54"/>
    </row>
    <row r="263" spans="1:22">
      <c r="A263" s="162"/>
      <c r="B263" s="343"/>
      <c r="C263" s="151"/>
      <c r="D263" s="151"/>
      <c r="E263" s="151"/>
      <c r="F263" s="151"/>
      <c r="G263" s="151"/>
      <c r="H263" s="151"/>
      <c r="I263" s="151"/>
      <c r="J263" s="364"/>
      <c r="K263" s="364"/>
      <c r="L263" s="476"/>
      <c r="M263" s="409"/>
      <c r="N263" s="348"/>
      <c r="O263" s="364"/>
      <c r="P263" s="517"/>
      <c r="Q263" s="364"/>
      <c r="R263" s="364"/>
      <c r="S263" s="364"/>
      <c r="T263" s="516"/>
      <c r="U263" s="511"/>
      <c r="V263" s="54"/>
    </row>
    <row r="264" spans="1:22">
      <c r="A264" s="162"/>
      <c r="B264" s="343"/>
      <c r="C264" s="151"/>
      <c r="D264" s="151"/>
      <c r="E264" s="151"/>
      <c r="F264" s="151"/>
      <c r="G264" s="151"/>
      <c r="H264" s="151"/>
      <c r="I264" s="151"/>
      <c r="J264" s="364"/>
      <c r="K264" s="364"/>
      <c r="L264" s="476"/>
      <c r="M264" s="409"/>
      <c r="N264" s="348"/>
      <c r="O264" s="364"/>
      <c r="P264" s="517"/>
      <c r="Q264" s="364"/>
      <c r="R264" s="364"/>
      <c r="S264" s="364"/>
      <c r="T264" s="516"/>
      <c r="U264" s="511"/>
      <c r="V264" s="54"/>
    </row>
    <row r="265" spans="1:22">
      <c r="A265" s="162"/>
      <c r="B265" s="343"/>
      <c r="C265" s="151"/>
      <c r="D265" s="151"/>
      <c r="E265" s="151"/>
      <c r="F265" s="151"/>
      <c r="G265" s="151"/>
      <c r="H265" s="151"/>
      <c r="I265" s="151"/>
      <c r="J265" s="364"/>
      <c r="K265" s="364"/>
      <c r="L265" s="476"/>
      <c r="M265" s="409"/>
      <c r="N265" s="348"/>
      <c r="O265" s="364"/>
      <c r="P265" s="517"/>
      <c r="Q265" s="364"/>
      <c r="R265" s="364"/>
      <c r="S265" s="364"/>
      <c r="T265" s="516"/>
      <c r="U265" s="511"/>
      <c r="V265" s="54"/>
    </row>
    <row r="266" spans="1:22">
      <c r="A266" s="162"/>
      <c r="B266" s="343"/>
      <c r="C266" s="151"/>
      <c r="D266" s="151"/>
      <c r="E266" s="151"/>
      <c r="F266" s="151"/>
      <c r="G266" s="151"/>
      <c r="H266" s="151"/>
      <c r="I266" s="151"/>
      <c r="J266" s="364"/>
      <c r="K266" s="364"/>
      <c r="L266" s="476"/>
      <c r="M266" s="409"/>
      <c r="N266" s="348"/>
      <c r="O266" s="364"/>
      <c r="P266" s="517"/>
      <c r="Q266" s="364"/>
      <c r="R266" s="364"/>
      <c r="S266" s="364"/>
      <c r="T266" s="516"/>
      <c r="U266" s="511"/>
      <c r="V266" s="54"/>
    </row>
    <row r="267" spans="1:22">
      <c r="A267" s="162"/>
      <c r="B267" s="343"/>
      <c r="C267" s="151"/>
      <c r="D267" s="151"/>
      <c r="E267" s="151"/>
      <c r="F267" s="151"/>
      <c r="G267" s="151"/>
      <c r="H267" s="151"/>
      <c r="I267" s="151"/>
      <c r="J267" s="364"/>
      <c r="K267" s="364"/>
      <c r="L267" s="476"/>
      <c r="M267" s="409"/>
      <c r="N267" s="348"/>
      <c r="O267" s="364"/>
      <c r="P267" s="517"/>
      <c r="Q267" s="364"/>
      <c r="R267" s="364"/>
      <c r="S267" s="364"/>
      <c r="T267" s="516"/>
      <c r="U267" s="511"/>
      <c r="V267" s="54"/>
    </row>
    <row r="268" spans="1:22">
      <c r="A268" s="162"/>
      <c r="B268" s="343"/>
      <c r="C268" s="151"/>
      <c r="D268" s="151"/>
      <c r="E268" s="151"/>
      <c r="F268" s="151"/>
      <c r="G268" s="151"/>
      <c r="H268" s="151"/>
      <c r="I268" s="151"/>
      <c r="J268" s="364"/>
      <c r="K268" s="364"/>
      <c r="L268" s="476"/>
      <c r="M268" s="409"/>
      <c r="N268" s="348"/>
      <c r="O268" s="364"/>
      <c r="P268" s="517"/>
      <c r="Q268" s="364"/>
      <c r="R268" s="364"/>
      <c r="S268" s="364"/>
      <c r="T268" s="516"/>
      <c r="U268" s="511"/>
      <c r="V268" s="54"/>
    </row>
    <row r="269" spans="1:22">
      <c r="A269" s="162"/>
      <c r="B269" s="343"/>
      <c r="C269" s="151"/>
      <c r="D269" s="151"/>
      <c r="E269" s="151"/>
      <c r="F269" s="151"/>
      <c r="G269" s="151"/>
      <c r="H269" s="151"/>
      <c r="I269" s="151"/>
      <c r="J269" s="364"/>
      <c r="K269" s="364"/>
      <c r="L269" s="476"/>
      <c r="M269" s="409"/>
      <c r="N269" s="348"/>
      <c r="O269" s="364"/>
      <c r="P269" s="517"/>
      <c r="Q269" s="364"/>
      <c r="R269" s="364"/>
      <c r="S269" s="364"/>
      <c r="T269" s="516"/>
      <c r="U269" s="511"/>
      <c r="V269" s="54"/>
    </row>
    <row r="270" spans="1:22">
      <c r="A270" s="162"/>
      <c r="B270" s="343"/>
      <c r="C270" s="151"/>
      <c r="D270" s="151"/>
      <c r="E270" s="151"/>
      <c r="F270" s="151"/>
      <c r="G270" s="151"/>
      <c r="H270" s="151"/>
      <c r="I270" s="151"/>
      <c r="J270" s="364"/>
      <c r="K270" s="364"/>
      <c r="L270" s="476"/>
      <c r="M270" s="409"/>
      <c r="N270" s="348"/>
      <c r="O270" s="364"/>
      <c r="P270" s="517"/>
      <c r="Q270" s="364"/>
      <c r="R270" s="364"/>
      <c r="S270" s="364"/>
      <c r="T270" s="516"/>
      <c r="U270" s="511"/>
      <c r="V270" s="54"/>
    </row>
    <row r="271" spans="1:22">
      <c r="A271" s="162"/>
      <c r="B271" s="343"/>
      <c r="C271" s="151"/>
      <c r="D271" s="151"/>
      <c r="E271" s="151"/>
      <c r="F271" s="151"/>
      <c r="G271" s="151"/>
      <c r="H271" s="151"/>
      <c r="I271" s="151"/>
      <c r="J271" s="364"/>
      <c r="K271" s="364"/>
      <c r="L271" s="476"/>
      <c r="M271" s="409"/>
      <c r="N271" s="348"/>
      <c r="O271" s="364"/>
      <c r="P271" s="517"/>
      <c r="Q271" s="364"/>
      <c r="R271" s="364"/>
      <c r="S271" s="364"/>
      <c r="T271" s="516"/>
      <c r="U271" s="511"/>
      <c r="V271" s="54"/>
    </row>
    <row r="272" spans="1:22">
      <c r="A272" s="162"/>
      <c r="B272" s="343"/>
      <c r="C272" s="151"/>
      <c r="D272" s="151"/>
      <c r="E272" s="151"/>
      <c r="F272" s="151"/>
      <c r="G272" s="151"/>
      <c r="H272" s="151"/>
      <c r="I272" s="151"/>
      <c r="J272" s="364"/>
      <c r="K272" s="364"/>
      <c r="L272" s="476"/>
      <c r="M272" s="409"/>
      <c r="N272" s="348"/>
      <c r="O272" s="364"/>
      <c r="P272" s="517"/>
      <c r="Q272" s="364"/>
      <c r="R272" s="364"/>
      <c r="S272" s="364"/>
      <c r="T272" s="516"/>
      <c r="U272" s="511"/>
      <c r="V272" s="54"/>
    </row>
    <row r="273" spans="1:22">
      <c r="A273" s="162"/>
      <c r="B273" s="132"/>
      <c r="C273" s="53"/>
      <c r="D273" s="53"/>
      <c r="E273" s="53"/>
      <c r="F273" s="53"/>
      <c r="G273" s="66"/>
      <c r="H273" s="53"/>
      <c r="I273" s="53"/>
      <c r="J273" s="75"/>
      <c r="K273" s="54"/>
      <c r="L273" s="55"/>
      <c r="M273" s="56"/>
      <c r="N273" s="57"/>
      <c r="O273" s="75"/>
      <c r="P273" s="191"/>
      <c r="Q273" s="75"/>
      <c r="R273" s="54"/>
      <c r="S273" s="75"/>
      <c r="T273" s="495"/>
      <c r="U273" s="511"/>
      <c r="V273" s="54"/>
    </row>
    <row r="274" spans="1:22">
      <c r="A274" s="162"/>
      <c r="C274" s="314"/>
      <c r="G274" s="167"/>
      <c r="J274" s="314"/>
      <c r="K274" s="54"/>
      <c r="L274" s="55"/>
      <c r="M274" s="56"/>
      <c r="N274" s="57"/>
      <c r="O274" s="75"/>
      <c r="P274" s="191"/>
      <c r="R274" s="314"/>
      <c r="T274" s="498"/>
      <c r="U274" s="521"/>
    </row>
    <row r="275" spans="1:22">
      <c r="A275" s="162"/>
      <c r="C275" s="314"/>
      <c r="G275" s="167"/>
      <c r="J275" s="314"/>
      <c r="K275" s="54"/>
      <c r="L275" s="55"/>
      <c r="M275" s="56"/>
      <c r="N275" s="57"/>
      <c r="O275" s="75"/>
      <c r="P275" s="191"/>
      <c r="R275" s="314"/>
      <c r="T275" s="498"/>
      <c r="U275" s="521"/>
    </row>
    <row r="276" spans="1:22">
      <c r="C276" s="314"/>
      <c r="G276" s="167"/>
      <c r="J276" s="314"/>
      <c r="K276" s="54"/>
      <c r="L276" s="55"/>
      <c r="M276" s="56"/>
      <c r="N276" s="57"/>
      <c r="O276" s="75"/>
      <c r="P276" s="191"/>
      <c r="R276" s="314"/>
      <c r="T276" s="498"/>
      <c r="U276" s="521"/>
    </row>
    <row r="277" spans="1:22">
      <c r="C277" s="314"/>
      <c r="G277" s="167"/>
      <c r="J277" s="314"/>
      <c r="K277" s="54"/>
      <c r="L277" s="55"/>
      <c r="M277" s="56"/>
      <c r="N277" s="57"/>
      <c r="O277" s="75"/>
      <c r="P277" s="191"/>
      <c r="R277" s="314"/>
      <c r="T277" s="498"/>
      <c r="U277" s="521"/>
    </row>
    <row r="278" spans="1:22">
      <c r="C278" s="314"/>
      <c r="G278" s="167"/>
      <c r="J278" s="314"/>
      <c r="K278" s="54"/>
      <c r="L278" s="55"/>
      <c r="M278" s="56"/>
      <c r="N278" s="57"/>
      <c r="O278" s="75"/>
      <c r="P278" s="191"/>
      <c r="R278" s="314"/>
      <c r="T278" s="498"/>
      <c r="U278" s="521"/>
    </row>
    <row r="279" spans="1:22">
      <c r="C279" s="314"/>
      <c r="G279" s="167"/>
      <c r="J279" s="314"/>
      <c r="K279" s="54"/>
      <c r="L279" s="55"/>
      <c r="M279" s="56"/>
      <c r="N279" s="57"/>
      <c r="O279" s="75"/>
      <c r="P279" s="191"/>
      <c r="R279" s="314"/>
      <c r="T279" s="498"/>
      <c r="U279" s="521"/>
    </row>
    <row r="280" spans="1:22">
      <c r="C280" s="314"/>
      <c r="G280" s="167"/>
      <c r="J280" s="314"/>
      <c r="K280" s="54"/>
      <c r="L280" s="55"/>
      <c r="M280" s="56"/>
      <c r="N280" s="57"/>
      <c r="O280" s="75"/>
      <c r="P280" s="191"/>
      <c r="R280" s="314"/>
      <c r="T280" s="498"/>
      <c r="U280" s="521"/>
    </row>
    <row r="281" spans="1:22">
      <c r="C281" s="314"/>
      <c r="G281" s="167"/>
      <c r="J281" s="314"/>
      <c r="K281" s="54"/>
      <c r="L281" s="55"/>
      <c r="M281" s="56"/>
      <c r="N281" s="57"/>
      <c r="O281" s="75"/>
      <c r="P281" s="191"/>
      <c r="R281" s="314"/>
      <c r="T281" s="498"/>
      <c r="U281" s="521"/>
    </row>
    <row r="282" spans="1:22">
      <c r="C282" s="314"/>
      <c r="G282" s="167"/>
      <c r="J282" s="314"/>
      <c r="K282" s="54"/>
      <c r="L282" s="55"/>
      <c r="M282" s="56"/>
      <c r="N282" s="57"/>
      <c r="O282" s="75"/>
      <c r="P282" s="191"/>
      <c r="R282" s="314"/>
      <c r="T282" s="498"/>
      <c r="U282" s="521"/>
    </row>
    <row r="283" spans="1:22">
      <c r="C283" s="314"/>
      <c r="G283" s="167"/>
      <c r="J283" s="314"/>
      <c r="K283" s="54"/>
      <c r="L283" s="55"/>
      <c r="M283" s="56"/>
      <c r="N283" s="57"/>
      <c r="O283" s="75"/>
      <c r="P283" s="191"/>
      <c r="R283" s="314"/>
      <c r="T283" s="498"/>
      <c r="U283" s="521"/>
    </row>
    <row r="284" spans="1:22">
      <c r="C284" s="314"/>
      <c r="G284" s="167"/>
      <c r="J284" s="314"/>
      <c r="K284" s="54"/>
      <c r="L284" s="55"/>
      <c r="M284" s="56"/>
      <c r="N284" s="57"/>
      <c r="O284" s="75"/>
      <c r="P284" s="191"/>
      <c r="R284" s="314"/>
      <c r="T284" s="498"/>
      <c r="U284" s="521"/>
    </row>
    <row r="285" spans="1:22">
      <c r="C285" s="314"/>
      <c r="G285" s="167"/>
      <c r="J285" s="314"/>
      <c r="K285" s="54"/>
      <c r="L285" s="55"/>
      <c r="M285" s="56"/>
      <c r="N285" s="57"/>
      <c r="O285" s="75"/>
      <c r="P285" s="191"/>
      <c r="R285" s="314"/>
      <c r="T285" s="498"/>
      <c r="U285" s="521"/>
    </row>
    <row r="286" spans="1:22">
      <c r="C286" s="314"/>
      <c r="G286" s="167"/>
      <c r="J286" s="314"/>
      <c r="K286" s="314"/>
      <c r="M286" s="350"/>
      <c r="O286" s="225"/>
      <c r="R286" s="314"/>
      <c r="T286" s="498"/>
      <c r="U286" s="521"/>
    </row>
    <row r="287" spans="1:22">
      <c r="C287" s="314"/>
      <c r="G287" s="167"/>
      <c r="J287" s="314"/>
      <c r="K287" s="314"/>
      <c r="M287" s="350"/>
      <c r="O287" s="225"/>
      <c r="R287" s="314"/>
      <c r="T287" s="498"/>
      <c r="U287" s="521"/>
    </row>
    <row r="288" spans="1:22">
      <c r="C288" s="314"/>
      <c r="G288" s="167"/>
      <c r="J288" s="314"/>
      <c r="K288" s="314"/>
      <c r="M288" s="350"/>
      <c r="O288" s="225"/>
      <c r="R288" s="314"/>
      <c r="T288" s="498"/>
      <c r="U288" s="521"/>
    </row>
    <row r="289" spans="3:21">
      <c r="C289" s="314"/>
      <c r="G289" s="167"/>
      <c r="J289" s="314"/>
      <c r="K289" s="314"/>
      <c r="M289" s="350"/>
      <c r="O289" s="225"/>
      <c r="R289" s="314"/>
      <c r="T289" s="498"/>
      <c r="U289" s="521"/>
    </row>
    <row r="290" spans="3:21">
      <c r="C290" s="314"/>
      <c r="G290" s="167"/>
      <c r="J290" s="314"/>
      <c r="K290" s="314"/>
      <c r="M290" s="350"/>
      <c r="O290" s="225"/>
      <c r="R290" s="314"/>
      <c r="T290" s="498"/>
      <c r="U290" s="521"/>
    </row>
    <row r="291" spans="3:21">
      <c r="C291" s="314"/>
      <c r="G291" s="167"/>
      <c r="J291" s="314"/>
      <c r="K291" s="314"/>
      <c r="M291" s="350"/>
      <c r="O291" s="225"/>
      <c r="R291" s="314"/>
      <c r="T291" s="498"/>
      <c r="U291" s="521"/>
    </row>
    <row r="292" spans="3:21">
      <c r="C292" s="314"/>
      <c r="G292" s="167"/>
      <c r="J292" s="314"/>
      <c r="K292" s="314"/>
      <c r="M292" s="350"/>
      <c r="O292" s="225"/>
      <c r="R292" s="314"/>
      <c r="T292" s="498"/>
      <c r="U292" s="521"/>
    </row>
    <row r="293" spans="3:21">
      <c r="C293" s="314"/>
      <c r="G293" s="167"/>
      <c r="J293" s="314"/>
      <c r="K293" s="314"/>
      <c r="M293" s="350"/>
      <c r="O293" s="225"/>
      <c r="R293" s="314"/>
      <c r="T293" s="498"/>
      <c r="U293" s="521"/>
    </row>
    <row r="294" spans="3:21">
      <c r="C294" s="314"/>
      <c r="G294" s="167"/>
      <c r="J294" s="314"/>
      <c r="K294" s="314"/>
      <c r="M294" s="350"/>
      <c r="O294" s="225"/>
      <c r="R294" s="314"/>
      <c r="T294" s="498"/>
      <c r="U294" s="521"/>
    </row>
    <row r="295" spans="3:21">
      <c r="C295" s="314"/>
      <c r="G295" s="167"/>
      <c r="J295" s="314"/>
      <c r="K295" s="314"/>
      <c r="M295" s="350"/>
      <c r="O295" s="225"/>
      <c r="R295" s="314"/>
      <c r="T295" s="498"/>
      <c r="U295" s="521"/>
    </row>
    <row r="296" spans="3:21">
      <c r="C296" s="314"/>
      <c r="G296" s="167"/>
      <c r="J296" s="314"/>
      <c r="K296" s="314"/>
      <c r="M296" s="350"/>
      <c r="O296" s="225"/>
      <c r="R296" s="314"/>
      <c r="T296" s="498"/>
      <c r="U296" s="521"/>
    </row>
    <row r="297" spans="3:21">
      <c r="C297" s="314"/>
      <c r="G297" s="167"/>
      <c r="J297" s="314"/>
      <c r="K297" s="314"/>
      <c r="M297" s="350"/>
      <c r="O297" s="225"/>
      <c r="R297" s="314"/>
      <c r="T297" s="498"/>
      <c r="U297" s="521"/>
    </row>
    <row r="298" spans="3:21">
      <c r="C298" s="314"/>
      <c r="G298" s="167"/>
      <c r="J298" s="314"/>
      <c r="K298" s="314"/>
      <c r="M298" s="350"/>
      <c r="O298" s="225"/>
      <c r="R298" s="314"/>
      <c r="T298" s="498"/>
      <c r="U298" s="521"/>
    </row>
    <row r="299" spans="3:21">
      <c r="C299" s="314"/>
      <c r="G299" s="167"/>
      <c r="J299" s="314"/>
      <c r="K299" s="314"/>
      <c r="M299" s="350"/>
      <c r="O299" s="225"/>
      <c r="R299" s="314"/>
      <c r="T299" s="498"/>
      <c r="U299" s="521"/>
    </row>
    <row r="300" spans="3:21">
      <c r="C300" s="314"/>
      <c r="G300" s="167"/>
      <c r="J300" s="314"/>
      <c r="K300" s="314"/>
      <c r="M300" s="350"/>
      <c r="O300" s="225"/>
      <c r="R300" s="314"/>
      <c r="T300" s="498"/>
      <c r="U300" s="521"/>
    </row>
    <row r="301" spans="3:21">
      <c r="C301" s="314"/>
      <c r="G301" s="167"/>
      <c r="J301" s="314"/>
      <c r="K301" s="314"/>
      <c r="M301" s="350"/>
      <c r="O301" s="225"/>
      <c r="R301" s="314"/>
      <c r="T301" s="498"/>
      <c r="U301" s="521"/>
    </row>
    <row r="302" spans="3:21">
      <c r="C302" s="314"/>
      <c r="G302" s="167"/>
      <c r="J302" s="314"/>
      <c r="K302" s="314"/>
      <c r="M302" s="350"/>
      <c r="O302" s="225"/>
      <c r="R302" s="314"/>
      <c r="T302" s="498"/>
      <c r="U302" s="521"/>
    </row>
    <row r="303" spans="3:21">
      <c r="C303" s="314"/>
      <c r="G303" s="167"/>
      <c r="J303" s="314"/>
      <c r="K303" s="314"/>
      <c r="M303" s="350"/>
      <c r="O303" s="225"/>
      <c r="R303" s="314"/>
      <c r="T303" s="498"/>
      <c r="U303" s="521"/>
    </row>
    <row r="304" spans="3:21">
      <c r="C304" s="314"/>
      <c r="G304" s="167"/>
      <c r="J304" s="314"/>
      <c r="K304" s="314"/>
      <c r="M304" s="350"/>
      <c r="O304" s="225"/>
      <c r="R304" s="314"/>
      <c r="T304" s="498"/>
      <c r="U304" s="521"/>
    </row>
    <row r="305" spans="3:21">
      <c r="C305" s="314"/>
      <c r="G305" s="167"/>
      <c r="J305" s="314"/>
      <c r="K305" s="314"/>
      <c r="M305" s="350"/>
      <c r="O305" s="225"/>
      <c r="R305" s="314"/>
      <c r="T305" s="498"/>
      <c r="U305" s="521"/>
    </row>
    <row r="306" spans="3:21">
      <c r="C306" s="314"/>
      <c r="G306" s="167"/>
      <c r="J306" s="314"/>
      <c r="K306" s="314"/>
      <c r="M306" s="350"/>
      <c r="O306" s="225"/>
      <c r="R306" s="314"/>
      <c r="T306" s="498"/>
      <c r="U306" s="521"/>
    </row>
    <row r="307" spans="3:21">
      <c r="C307" s="314"/>
      <c r="G307" s="167"/>
      <c r="J307" s="314"/>
      <c r="K307" s="314"/>
      <c r="M307" s="350"/>
      <c r="O307" s="225"/>
      <c r="R307" s="314"/>
      <c r="T307" s="498"/>
      <c r="U307" s="521"/>
    </row>
    <row r="308" spans="3:21">
      <c r="C308" s="314"/>
      <c r="G308" s="167"/>
      <c r="J308" s="314"/>
      <c r="K308" s="314"/>
      <c r="M308" s="350"/>
      <c r="O308" s="225"/>
      <c r="R308" s="314"/>
      <c r="T308" s="498"/>
      <c r="U308" s="521"/>
    </row>
    <row r="309" spans="3:21">
      <c r="C309" s="314"/>
      <c r="G309" s="167"/>
      <c r="J309" s="314"/>
      <c r="K309" s="314"/>
      <c r="M309" s="350"/>
      <c r="O309" s="225"/>
      <c r="R309" s="314"/>
      <c r="T309" s="498"/>
      <c r="U309" s="521"/>
    </row>
    <row r="310" spans="3:21">
      <c r="C310" s="314"/>
      <c r="G310" s="167"/>
      <c r="J310" s="314"/>
      <c r="K310" s="314"/>
      <c r="M310" s="350"/>
      <c r="O310" s="225"/>
      <c r="R310" s="314"/>
      <c r="T310" s="498"/>
      <c r="U310" s="521"/>
    </row>
    <row r="311" spans="3:21">
      <c r="C311" s="314"/>
      <c r="G311" s="167"/>
      <c r="J311" s="314"/>
      <c r="K311" s="314"/>
      <c r="M311" s="350"/>
      <c r="O311" s="225"/>
      <c r="R311" s="314"/>
      <c r="T311" s="498"/>
      <c r="U311" s="521"/>
    </row>
    <row r="312" spans="3:21">
      <c r="C312" s="314"/>
      <c r="G312" s="167"/>
      <c r="J312" s="314"/>
      <c r="K312" s="314"/>
      <c r="M312" s="350"/>
      <c r="O312" s="225"/>
      <c r="R312" s="314"/>
      <c r="T312" s="498"/>
      <c r="U312" s="521"/>
    </row>
    <row r="313" spans="3:21">
      <c r="C313" s="314"/>
      <c r="G313" s="167"/>
      <c r="J313" s="314"/>
      <c r="K313" s="314"/>
      <c r="M313" s="350"/>
      <c r="O313" s="225"/>
      <c r="R313" s="314"/>
      <c r="T313" s="498"/>
      <c r="U313" s="521"/>
    </row>
    <row r="314" spans="3:21">
      <c r="C314" s="314"/>
      <c r="G314" s="167"/>
      <c r="J314" s="314"/>
      <c r="K314" s="314"/>
      <c r="M314" s="350"/>
      <c r="O314" s="225"/>
      <c r="R314" s="314"/>
      <c r="T314" s="498"/>
      <c r="U314" s="521"/>
    </row>
    <row r="315" spans="3:21">
      <c r="C315" s="314"/>
      <c r="G315" s="167"/>
      <c r="J315" s="314"/>
      <c r="K315" s="314"/>
      <c r="M315" s="350"/>
      <c r="O315" s="225"/>
      <c r="R315" s="314"/>
      <c r="T315" s="498"/>
      <c r="U315" s="521"/>
    </row>
    <row r="316" spans="3:21">
      <c r="C316" s="314"/>
      <c r="G316" s="167"/>
      <c r="J316" s="314"/>
      <c r="K316" s="314"/>
      <c r="M316" s="350"/>
      <c r="O316" s="225"/>
      <c r="R316" s="314"/>
      <c r="T316" s="498"/>
      <c r="U316" s="521"/>
    </row>
    <row r="317" spans="3:21">
      <c r="C317" s="314"/>
      <c r="G317" s="167"/>
      <c r="J317" s="314"/>
      <c r="K317" s="314"/>
      <c r="M317" s="350"/>
      <c r="O317" s="225"/>
      <c r="R317" s="314"/>
      <c r="T317" s="498"/>
      <c r="U317" s="521"/>
    </row>
    <row r="318" spans="3:21">
      <c r="C318" s="314"/>
      <c r="G318" s="167"/>
      <c r="J318" s="314"/>
      <c r="K318" s="314"/>
      <c r="M318" s="350"/>
      <c r="O318" s="225"/>
      <c r="R318" s="314"/>
      <c r="T318" s="498"/>
      <c r="U318" s="521"/>
    </row>
    <row r="319" spans="3:21">
      <c r="C319" s="314"/>
      <c r="G319" s="167"/>
      <c r="J319" s="314"/>
      <c r="K319" s="314"/>
      <c r="M319" s="350"/>
      <c r="O319" s="225"/>
      <c r="R319" s="314"/>
      <c r="T319" s="498"/>
      <c r="U319" s="521"/>
    </row>
    <row r="320" spans="3:21">
      <c r="C320" s="314"/>
      <c r="G320" s="167"/>
      <c r="J320" s="314"/>
      <c r="K320" s="314"/>
      <c r="M320" s="350"/>
      <c r="O320" s="225"/>
      <c r="R320" s="314"/>
      <c r="T320" s="498"/>
      <c r="U320" s="521"/>
    </row>
    <row r="321" spans="3:21">
      <c r="C321" s="314"/>
      <c r="G321" s="167"/>
      <c r="J321" s="314"/>
      <c r="K321" s="314"/>
      <c r="M321" s="350"/>
      <c r="O321" s="225"/>
      <c r="R321" s="314"/>
      <c r="T321" s="498"/>
      <c r="U321" s="521"/>
    </row>
    <row r="322" spans="3:21">
      <c r="C322" s="314"/>
      <c r="G322" s="167"/>
      <c r="J322" s="314"/>
      <c r="K322" s="314"/>
      <c r="M322" s="350"/>
      <c r="O322" s="225"/>
      <c r="R322" s="314"/>
      <c r="T322" s="498"/>
      <c r="U322" s="521"/>
    </row>
    <row r="323" spans="3:21">
      <c r="C323" s="314"/>
      <c r="G323" s="167"/>
      <c r="J323" s="314"/>
      <c r="K323" s="314"/>
      <c r="M323" s="350"/>
      <c r="O323" s="225"/>
      <c r="R323" s="314"/>
      <c r="T323" s="498"/>
      <c r="U323" s="521"/>
    </row>
    <row r="324" spans="3:21">
      <c r="C324" s="314"/>
      <c r="G324" s="167"/>
      <c r="J324" s="314"/>
      <c r="K324" s="314"/>
      <c r="M324" s="350"/>
      <c r="O324" s="225"/>
      <c r="R324" s="314"/>
      <c r="T324" s="498"/>
      <c r="U324" s="521"/>
    </row>
    <row r="325" spans="3:21">
      <c r="C325" s="314"/>
      <c r="G325" s="167"/>
      <c r="J325" s="314"/>
      <c r="K325" s="314"/>
      <c r="M325" s="350"/>
      <c r="O325" s="225"/>
      <c r="R325" s="314"/>
      <c r="T325" s="498"/>
      <c r="U325" s="521"/>
    </row>
    <row r="326" spans="3:21">
      <c r="C326" s="314"/>
      <c r="G326" s="167"/>
      <c r="J326" s="314"/>
      <c r="K326" s="314"/>
      <c r="M326" s="350"/>
      <c r="O326" s="225"/>
      <c r="R326" s="314"/>
      <c r="T326" s="498"/>
      <c r="U326" s="521"/>
    </row>
    <row r="327" spans="3:21">
      <c r="C327" s="314"/>
      <c r="G327" s="167"/>
      <c r="J327" s="314"/>
      <c r="K327" s="314"/>
      <c r="M327" s="350"/>
      <c r="O327" s="225"/>
      <c r="R327" s="314"/>
      <c r="T327" s="498"/>
      <c r="U327" s="521"/>
    </row>
    <row r="328" spans="3:21">
      <c r="C328" s="314"/>
      <c r="G328" s="167"/>
      <c r="J328" s="314"/>
      <c r="K328" s="314"/>
      <c r="M328" s="350"/>
      <c r="O328" s="225"/>
      <c r="R328" s="314"/>
      <c r="T328" s="498"/>
      <c r="U328" s="521"/>
    </row>
    <row r="329" spans="3:21">
      <c r="C329" s="314"/>
      <c r="G329" s="167"/>
      <c r="J329" s="314"/>
      <c r="K329" s="314"/>
      <c r="M329" s="350"/>
      <c r="O329" s="225"/>
      <c r="R329" s="314"/>
      <c r="T329" s="498"/>
      <c r="U329" s="521"/>
    </row>
    <row r="330" spans="3:21">
      <c r="C330" s="314"/>
      <c r="G330" s="167"/>
      <c r="J330" s="314"/>
      <c r="K330" s="314"/>
      <c r="M330" s="350"/>
      <c r="O330" s="225"/>
      <c r="R330" s="314"/>
      <c r="T330" s="498"/>
      <c r="U330" s="521"/>
    </row>
    <row r="331" spans="3:21">
      <c r="C331" s="314"/>
      <c r="G331" s="167"/>
      <c r="J331" s="314"/>
      <c r="K331" s="314"/>
      <c r="M331" s="350"/>
      <c r="O331" s="225"/>
      <c r="R331" s="314"/>
      <c r="T331" s="498"/>
      <c r="U331" s="521"/>
    </row>
    <row r="332" spans="3:21">
      <c r="C332" s="314"/>
      <c r="G332" s="167"/>
      <c r="J332" s="314"/>
      <c r="K332" s="314"/>
      <c r="M332" s="350"/>
      <c r="O332" s="225"/>
      <c r="R332" s="314"/>
      <c r="T332" s="498"/>
      <c r="U332" s="521"/>
    </row>
    <row r="333" spans="3:21">
      <c r="C333" s="314"/>
      <c r="G333" s="167"/>
      <c r="J333" s="314"/>
      <c r="K333" s="314"/>
      <c r="M333" s="350"/>
      <c r="O333" s="225"/>
      <c r="R333" s="314"/>
      <c r="T333" s="498"/>
      <c r="U333" s="521"/>
    </row>
    <row r="334" spans="3:21">
      <c r="C334" s="314"/>
      <c r="G334" s="167"/>
      <c r="J334" s="314"/>
      <c r="K334" s="314"/>
      <c r="M334" s="350"/>
      <c r="O334" s="225"/>
      <c r="R334" s="314"/>
      <c r="T334" s="498"/>
      <c r="U334" s="521"/>
    </row>
    <row r="335" spans="3:21">
      <c r="C335" s="314"/>
      <c r="G335" s="167"/>
      <c r="J335" s="314"/>
      <c r="K335" s="314"/>
      <c r="M335" s="350"/>
      <c r="O335" s="225"/>
      <c r="R335" s="314"/>
      <c r="T335" s="498"/>
      <c r="U335" s="521"/>
    </row>
    <row r="336" spans="3:21">
      <c r="C336" s="314"/>
      <c r="G336" s="167"/>
      <c r="J336" s="314"/>
      <c r="K336" s="314"/>
      <c r="M336" s="350"/>
      <c r="O336" s="225"/>
      <c r="R336" s="314"/>
      <c r="T336" s="498"/>
      <c r="U336" s="521"/>
    </row>
    <row r="337" spans="3:21">
      <c r="C337" s="314"/>
      <c r="G337" s="167"/>
      <c r="J337" s="314"/>
      <c r="K337" s="314"/>
      <c r="M337" s="350"/>
      <c r="O337" s="225"/>
      <c r="R337" s="314"/>
      <c r="T337" s="498"/>
      <c r="U337" s="521"/>
    </row>
    <row r="338" spans="3:21">
      <c r="C338" s="314"/>
      <c r="G338" s="167"/>
      <c r="J338" s="314"/>
      <c r="K338" s="314"/>
      <c r="M338" s="350"/>
      <c r="O338" s="225"/>
      <c r="R338" s="314"/>
      <c r="T338" s="498"/>
      <c r="U338" s="521"/>
    </row>
    <row r="339" spans="3:21">
      <c r="C339" s="314"/>
      <c r="G339" s="167"/>
      <c r="J339" s="314"/>
      <c r="K339" s="314"/>
      <c r="M339" s="350"/>
      <c r="O339" s="225"/>
      <c r="R339" s="314"/>
      <c r="T339" s="498"/>
      <c r="U339" s="521"/>
    </row>
    <row r="340" spans="3:21">
      <c r="C340" s="314"/>
      <c r="G340" s="167"/>
      <c r="J340" s="314"/>
      <c r="K340" s="314"/>
      <c r="M340" s="350"/>
      <c r="O340" s="225"/>
      <c r="R340" s="314"/>
      <c r="T340" s="498"/>
      <c r="U340" s="521"/>
    </row>
    <row r="341" spans="3:21">
      <c r="C341" s="314"/>
      <c r="G341" s="167"/>
      <c r="J341" s="314"/>
      <c r="K341" s="314"/>
      <c r="M341" s="350"/>
      <c r="O341" s="225"/>
      <c r="R341" s="314"/>
      <c r="T341" s="498"/>
      <c r="U341" s="521"/>
    </row>
    <row r="342" spans="3:21">
      <c r="C342" s="314"/>
      <c r="G342" s="167"/>
      <c r="J342" s="314"/>
      <c r="K342" s="314"/>
      <c r="M342" s="350"/>
      <c r="O342" s="225"/>
      <c r="R342" s="314"/>
      <c r="T342" s="498"/>
      <c r="U342" s="521"/>
    </row>
    <row r="343" spans="3:21">
      <c r="C343" s="314"/>
      <c r="G343" s="167"/>
      <c r="J343" s="314"/>
      <c r="K343" s="314"/>
      <c r="M343" s="350"/>
      <c r="O343" s="225"/>
      <c r="R343" s="314"/>
      <c r="T343" s="498"/>
      <c r="U343" s="521"/>
    </row>
    <row r="344" spans="3:21">
      <c r="C344" s="314"/>
      <c r="G344" s="167"/>
      <c r="J344" s="314"/>
      <c r="K344" s="314"/>
      <c r="M344" s="350"/>
      <c r="O344" s="225"/>
      <c r="R344" s="314"/>
      <c r="T344" s="498"/>
      <c r="U344" s="521"/>
    </row>
    <row r="345" spans="3:21">
      <c r="C345" s="314"/>
      <c r="G345" s="167"/>
      <c r="J345" s="314"/>
      <c r="K345" s="314"/>
      <c r="M345" s="350"/>
      <c r="O345" s="225"/>
      <c r="R345" s="314"/>
      <c r="T345" s="498"/>
      <c r="U345" s="521"/>
    </row>
    <row r="346" spans="3:21">
      <c r="C346" s="314"/>
      <c r="G346" s="167"/>
      <c r="J346" s="314"/>
      <c r="K346" s="314"/>
      <c r="M346" s="350"/>
      <c r="O346" s="225"/>
      <c r="R346" s="314"/>
      <c r="T346" s="498"/>
      <c r="U346" s="521"/>
    </row>
    <row r="347" spans="3:21">
      <c r="C347" s="314"/>
      <c r="G347" s="167"/>
      <c r="J347" s="314"/>
      <c r="K347" s="314"/>
      <c r="M347" s="350"/>
      <c r="O347" s="225"/>
      <c r="R347" s="314"/>
      <c r="T347" s="498"/>
      <c r="U347" s="521"/>
    </row>
    <row r="348" spans="3:21">
      <c r="C348" s="314"/>
      <c r="G348" s="167"/>
      <c r="J348" s="314"/>
      <c r="K348" s="314"/>
      <c r="M348" s="350"/>
      <c r="O348" s="225"/>
      <c r="R348" s="314"/>
      <c r="T348" s="498"/>
      <c r="U348" s="521"/>
    </row>
    <row r="349" spans="3:21">
      <c r="C349" s="314"/>
      <c r="G349" s="167"/>
      <c r="J349" s="314"/>
      <c r="K349" s="314"/>
      <c r="M349" s="350"/>
      <c r="O349" s="225"/>
      <c r="R349" s="314"/>
      <c r="T349" s="498"/>
      <c r="U349" s="521"/>
    </row>
    <row r="350" spans="3:21">
      <c r="C350" s="314"/>
      <c r="G350" s="167"/>
      <c r="J350" s="314"/>
      <c r="K350" s="314"/>
      <c r="M350" s="350"/>
      <c r="O350" s="225"/>
      <c r="R350" s="314"/>
      <c r="T350" s="498"/>
      <c r="U350" s="521"/>
    </row>
    <row r="351" spans="3:21">
      <c r="C351" s="314"/>
      <c r="G351" s="167"/>
      <c r="J351" s="314"/>
      <c r="K351" s="314"/>
      <c r="M351" s="350"/>
      <c r="O351" s="225"/>
      <c r="R351" s="314"/>
      <c r="T351" s="498"/>
      <c r="U351" s="521"/>
    </row>
    <row r="352" spans="3:21">
      <c r="C352" s="314"/>
      <c r="G352" s="167"/>
      <c r="J352" s="314"/>
      <c r="K352" s="314"/>
      <c r="M352" s="350"/>
      <c r="O352" s="225"/>
      <c r="R352" s="314"/>
      <c r="T352" s="498"/>
      <c r="U352" s="521"/>
    </row>
    <row r="353" spans="3:21">
      <c r="C353" s="314"/>
      <c r="G353" s="167"/>
      <c r="J353" s="314"/>
      <c r="K353" s="314"/>
      <c r="M353" s="350"/>
      <c r="O353" s="225"/>
      <c r="R353" s="314"/>
      <c r="T353" s="498"/>
      <c r="U353" s="521"/>
    </row>
    <row r="354" spans="3:21">
      <c r="C354" s="314"/>
      <c r="G354" s="167"/>
      <c r="J354" s="314"/>
      <c r="K354" s="314"/>
      <c r="M354" s="350"/>
      <c r="O354" s="225"/>
      <c r="R354" s="314"/>
      <c r="T354" s="498"/>
      <c r="U354" s="521"/>
    </row>
    <row r="355" spans="3:21">
      <c r="C355" s="314"/>
      <c r="G355" s="167"/>
      <c r="J355" s="314"/>
      <c r="K355" s="314"/>
      <c r="M355" s="350"/>
      <c r="O355" s="225"/>
      <c r="R355" s="314"/>
      <c r="T355" s="498"/>
      <c r="U355" s="521"/>
    </row>
    <row r="356" spans="3:21">
      <c r="C356" s="314"/>
      <c r="G356" s="167"/>
      <c r="J356" s="314"/>
      <c r="K356" s="314"/>
      <c r="M356" s="350"/>
      <c r="O356" s="225"/>
      <c r="R356" s="314"/>
      <c r="T356" s="498"/>
      <c r="U356" s="521"/>
    </row>
    <row r="357" spans="3:21">
      <c r="C357" s="314"/>
      <c r="G357" s="167"/>
      <c r="J357" s="314"/>
      <c r="K357" s="314"/>
      <c r="M357" s="350"/>
      <c r="O357" s="225"/>
      <c r="R357" s="314"/>
      <c r="T357" s="498"/>
      <c r="U357" s="521"/>
    </row>
    <row r="358" spans="3:21">
      <c r="C358" s="314"/>
      <c r="G358" s="167"/>
      <c r="J358" s="314"/>
      <c r="K358" s="314"/>
      <c r="M358" s="350"/>
      <c r="O358" s="225"/>
      <c r="R358" s="314"/>
      <c r="T358" s="498"/>
      <c r="U358" s="521"/>
    </row>
    <row r="359" spans="3:21">
      <c r="C359" s="314"/>
      <c r="G359" s="167"/>
      <c r="J359" s="314"/>
      <c r="K359" s="314"/>
      <c r="M359" s="350"/>
      <c r="O359" s="225"/>
      <c r="R359" s="314"/>
      <c r="T359" s="498"/>
      <c r="U359" s="521"/>
    </row>
    <row r="360" spans="3:21">
      <c r="C360" s="314"/>
      <c r="G360" s="167"/>
      <c r="J360" s="314"/>
      <c r="K360" s="314"/>
      <c r="M360" s="350"/>
      <c r="O360" s="225"/>
      <c r="R360" s="314"/>
      <c r="T360" s="498"/>
      <c r="U360" s="521"/>
    </row>
    <row r="361" spans="3:21">
      <c r="C361" s="314"/>
      <c r="G361" s="167"/>
      <c r="J361" s="314"/>
      <c r="K361" s="314"/>
      <c r="M361" s="350"/>
      <c r="O361" s="225"/>
      <c r="R361" s="314"/>
      <c r="T361" s="498"/>
      <c r="U361" s="521"/>
    </row>
    <row r="362" spans="3:21">
      <c r="C362" s="314"/>
      <c r="G362" s="167"/>
      <c r="J362" s="314"/>
      <c r="K362" s="314"/>
      <c r="M362" s="350"/>
      <c r="O362" s="225"/>
      <c r="R362" s="314"/>
      <c r="T362" s="498"/>
      <c r="U362" s="521"/>
    </row>
    <row r="363" spans="3:21">
      <c r="C363" s="314"/>
      <c r="G363" s="167"/>
      <c r="J363" s="314"/>
      <c r="K363" s="314"/>
      <c r="M363" s="350"/>
      <c r="O363" s="225"/>
      <c r="R363" s="314"/>
      <c r="T363" s="498"/>
      <c r="U363" s="521"/>
    </row>
    <row r="364" spans="3:21">
      <c r="C364" s="314"/>
      <c r="G364" s="167"/>
      <c r="J364" s="314"/>
      <c r="K364" s="314"/>
      <c r="M364" s="350"/>
      <c r="O364" s="225"/>
      <c r="R364" s="314"/>
      <c r="T364" s="498"/>
      <c r="U364" s="521"/>
    </row>
    <row r="365" spans="3:21">
      <c r="C365" s="314"/>
      <c r="G365" s="167"/>
      <c r="J365" s="314"/>
      <c r="K365" s="314"/>
      <c r="M365" s="350"/>
      <c r="O365" s="225"/>
      <c r="R365" s="314"/>
      <c r="T365" s="498"/>
      <c r="U365" s="521"/>
    </row>
    <row r="366" spans="3:21">
      <c r="C366" s="314"/>
      <c r="G366" s="167"/>
      <c r="J366" s="314"/>
      <c r="K366" s="314"/>
      <c r="M366" s="350"/>
      <c r="O366" s="225"/>
      <c r="R366" s="314"/>
      <c r="T366" s="498"/>
      <c r="U366" s="521"/>
    </row>
    <row r="367" spans="3:21">
      <c r="C367" s="314"/>
      <c r="G367" s="167"/>
      <c r="J367" s="314"/>
      <c r="K367" s="314"/>
      <c r="M367" s="350"/>
      <c r="O367" s="225"/>
      <c r="R367" s="314"/>
      <c r="T367" s="498"/>
      <c r="U367" s="521"/>
    </row>
    <row r="368" spans="3:21">
      <c r="C368" s="314"/>
      <c r="G368" s="167"/>
      <c r="J368" s="314"/>
      <c r="K368" s="314"/>
      <c r="M368" s="350"/>
      <c r="O368" s="225"/>
      <c r="R368" s="314"/>
      <c r="T368" s="498"/>
      <c r="U368" s="521"/>
    </row>
    <row r="369" spans="3:21">
      <c r="C369" s="314"/>
      <c r="G369" s="167"/>
      <c r="J369" s="314"/>
      <c r="K369" s="314"/>
      <c r="M369" s="350"/>
      <c r="O369" s="225"/>
      <c r="R369" s="314"/>
      <c r="T369" s="498"/>
      <c r="U369" s="521"/>
    </row>
    <row r="370" spans="3:21">
      <c r="C370" s="314"/>
      <c r="G370" s="167"/>
      <c r="J370" s="314"/>
      <c r="K370" s="314"/>
      <c r="M370" s="350"/>
      <c r="O370" s="225"/>
      <c r="R370" s="314"/>
      <c r="T370" s="498"/>
      <c r="U370" s="521"/>
    </row>
    <row r="371" spans="3:21">
      <c r="C371" s="314"/>
      <c r="G371" s="167"/>
      <c r="J371" s="314"/>
      <c r="K371" s="314"/>
      <c r="M371" s="350"/>
      <c r="O371" s="225"/>
      <c r="R371" s="314"/>
      <c r="T371" s="498"/>
      <c r="U371" s="521"/>
    </row>
    <row r="372" spans="3:21">
      <c r="C372" s="314"/>
      <c r="G372" s="167"/>
      <c r="J372" s="314"/>
      <c r="K372" s="314"/>
      <c r="M372" s="350"/>
      <c r="O372" s="225"/>
      <c r="R372" s="314"/>
      <c r="T372" s="498"/>
      <c r="U372" s="521"/>
    </row>
    <row r="373" spans="3:21">
      <c r="C373" s="314"/>
      <c r="G373" s="167"/>
      <c r="J373" s="314"/>
      <c r="K373" s="314"/>
      <c r="M373" s="350"/>
      <c r="O373" s="225"/>
      <c r="R373" s="314"/>
      <c r="T373" s="498"/>
      <c r="U373" s="521"/>
    </row>
    <row r="374" spans="3:21">
      <c r="C374" s="314"/>
      <c r="G374" s="167"/>
      <c r="J374" s="314"/>
      <c r="K374" s="314"/>
      <c r="M374" s="350"/>
      <c r="O374" s="225"/>
      <c r="R374" s="314"/>
      <c r="T374" s="498"/>
      <c r="U374" s="521"/>
    </row>
    <row r="375" spans="3:21">
      <c r="C375" s="314"/>
      <c r="G375" s="167"/>
      <c r="J375" s="314"/>
      <c r="K375" s="314"/>
      <c r="M375" s="350"/>
      <c r="O375" s="225"/>
      <c r="R375" s="314"/>
      <c r="T375" s="498"/>
      <c r="U375" s="521"/>
    </row>
    <row r="376" spans="3:21">
      <c r="C376" s="314"/>
      <c r="G376" s="167"/>
      <c r="J376" s="314"/>
      <c r="K376" s="314"/>
      <c r="M376" s="350"/>
      <c r="O376" s="225"/>
      <c r="R376" s="314"/>
      <c r="T376" s="498"/>
      <c r="U376" s="521"/>
    </row>
    <row r="377" spans="3:21">
      <c r="C377" s="314"/>
      <c r="G377" s="167"/>
      <c r="J377" s="314"/>
      <c r="K377" s="314"/>
      <c r="M377" s="350"/>
      <c r="O377" s="225"/>
      <c r="R377" s="314"/>
      <c r="T377" s="498"/>
      <c r="U377" s="521"/>
    </row>
    <row r="378" spans="3:21">
      <c r="C378" s="314"/>
      <c r="G378" s="167"/>
      <c r="J378" s="314"/>
      <c r="K378" s="314"/>
      <c r="M378" s="350"/>
      <c r="O378" s="225"/>
      <c r="R378" s="314"/>
      <c r="T378" s="498"/>
      <c r="U378" s="521"/>
    </row>
    <row r="379" spans="3:21">
      <c r="C379" s="314"/>
      <c r="G379" s="167"/>
      <c r="J379" s="314"/>
      <c r="K379" s="314"/>
      <c r="M379" s="350"/>
      <c r="O379" s="225"/>
      <c r="R379" s="314"/>
      <c r="T379" s="498"/>
      <c r="U379" s="521"/>
    </row>
    <row r="380" spans="3:21">
      <c r="C380" s="314"/>
      <c r="G380" s="167"/>
      <c r="J380" s="314"/>
      <c r="K380" s="314"/>
      <c r="M380" s="350"/>
      <c r="O380" s="225"/>
      <c r="R380" s="314"/>
      <c r="T380" s="498"/>
      <c r="U380" s="521"/>
    </row>
    <row r="381" spans="3:21">
      <c r="C381" s="314"/>
      <c r="G381" s="167"/>
      <c r="J381" s="314"/>
      <c r="K381" s="314"/>
      <c r="M381" s="350"/>
      <c r="O381" s="225"/>
      <c r="R381" s="314"/>
      <c r="T381" s="498"/>
      <c r="U381" s="521"/>
    </row>
    <row r="382" spans="3:21">
      <c r="C382" s="314"/>
      <c r="G382" s="167"/>
      <c r="J382" s="314"/>
      <c r="K382" s="314"/>
      <c r="M382" s="350"/>
      <c r="O382" s="225"/>
      <c r="R382" s="314"/>
      <c r="T382" s="498"/>
      <c r="U382" s="521"/>
    </row>
    <row r="383" spans="3:21">
      <c r="C383" s="314"/>
      <c r="G383" s="167"/>
      <c r="J383" s="314"/>
      <c r="K383" s="314"/>
      <c r="M383" s="350"/>
      <c r="O383" s="225"/>
      <c r="R383" s="314"/>
      <c r="T383" s="498"/>
      <c r="U383" s="521"/>
    </row>
    <row r="384" spans="3:21">
      <c r="C384" s="314"/>
      <c r="G384" s="167"/>
      <c r="J384" s="314"/>
      <c r="K384" s="314"/>
      <c r="M384" s="350"/>
      <c r="O384" s="225"/>
      <c r="R384" s="314"/>
      <c r="T384" s="498"/>
      <c r="U384" s="521"/>
    </row>
    <row r="385" spans="3:21">
      <c r="C385" s="314"/>
      <c r="G385" s="167"/>
      <c r="J385" s="314"/>
      <c r="K385" s="314"/>
      <c r="M385" s="350"/>
      <c r="O385" s="225"/>
      <c r="R385" s="314"/>
      <c r="T385" s="498"/>
      <c r="U385" s="521"/>
    </row>
    <row r="386" spans="3:21">
      <c r="C386" s="314"/>
      <c r="G386" s="167"/>
      <c r="J386" s="314"/>
      <c r="K386" s="314"/>
      <c r="M386" s="350"/>
      <c r="O386" s="225"/>
      <c r="R386" s="314"/>
      <c r="T386" s="498"/>
      <c r="U386" s="521"/>
    </row>
    <row r="387" spans="3:21">
      <c r="C387" s="314"/>
      <c r="G387" s="167"/>
      <c r="J387" s="314"/>
      <c r="K387" s="314"/>
      <c r="M387" s="350"/>
      <c r="O387" s="225"/>
      <c r="R387" s="314"/>
      <c r="T387" s="498"/>
      <c r="U387" s="521"/>
    </row>
    <row r="388" spans="3:21">
      <c r="C388" s="314"/>
      <c r="G388" s="167"/>
      <c r="J388" s="314"/>
      <c r="K388" s="314"/>
      <c r="M388" s="350"/>
      <c r="O388" s="225"/>
      <c r="R388" s="314"/>
      <c r="T388" s="498"/>
      <c r="U388" s="521"/>
    </row>
    <row r="389" spans="3:21">
      <c r="C389" s="314"/>
      <c r="G389" s="167"/>
      <c r="J389" s="314"/>
      <c r="K389" s="314"/>
      <c r="M389" s="350"/>
      <c r="O389" s="225"/>
      <c r="R389" s="314"/>
      <c r="T389" s="498"/>
      <c r="U389" s="521"/>
    </row>
    <row r="390" spans="3:21">
      <c r="C390" s="314"/>
      <c r="G390" s="167"/>
      <c r="J390" s="314"/>
      <c r="K390" s="314"/>
      <c r="M390" s="350"/>
      <c r="O390" s="225"/>
      <c r="R390" s="314"/>
      <c r="T390" s="498"/>
      <c r="U390" s="521"/>
    </row>
    <row r="391" spans="3:21">
      <c r="C391" s="314"/>
      <c r="G391" s="167"/>
      <c r="J391" s="314"/>
      <c r="K391" s="314"/>
      <c r="M391" s="350"/>
      <c r="O391" s="225"/>
      <c r="R391" s="314"/>
      <c r="T391" s="498"/>
      <c r="U391" s="521"/>
    </row>
    <row r="392" spans="3:21">
      <c r="C392" s="314"/>
      <c r="G392" s="167"/>
      <c r="J392" s="314"/>
      <c r="K392" s="314"/>
      <c r="M392" s="350"/>
      <c r="O392" s="225"/>
      <c r="R392" s="314"/>
      <c r="T392" s="498"/>
      <c r="U392" s="521"/>
    </row>
    <row r="393" spans="3:21">
      <c r="C393" s="314"/>
      <c r="G393" s="167"/>
      <c r="J393" s="314"/>
      <c r="K393" s="314"/>
      <c r="M393" s="350"/>
      <c r="O393" s="225"/>
      <c r="R393" s="314"/>
      <c r="T393" s="498"/>
      <c r="U393" s="521"/>
    </row>
    <row r="394" spans="3:21">
      <c r="C394" s="314"/>
      <c r="G394" s="167"/>
      <c r="J394" s="314"/>
      <c r="K394" s="314"/>
      <c r="M394" s="350"/>
      <c r="O394" s="225"/>
      <c r="R394" s="314"/>
      <c r="T394" s="498"/>
      <c r="U394" s="521"/>
    </row>
    <row r="395" spans="3:21">
      <c r="C395" s="314"/>
      <c r="G395" s="167"/>
      <c r="J395" s="314"/>
      <c r="K395" s="314"/>
      <c r="M395" s="350"/>
      <c r="O395" s="225"/>
      <c r="R395" s="314"/>
      <c r="T395" s="498"/>
      <c r="U395" s="521"/>
    </row>
    <row r="396" spans="3:21">
      <c r="C396" s="314"/>
      <c r="G396" s="167"/>
      <c r="J396" s="314"/>
      <c r="K396" s="314"/>
      <c r="M396" s="350"/>
      <c r="O396" s="225"/>
      <c r="R396" s="314"/>
      <c r="T396" s="498"/>
      <c r="U396" s="521"/>
    </row>
    <row r="397" spans="3:21">
      <c r="C397" s="314"/>
      <c r="G397" s="167"/>
      <c r="J397" s="314"/>
      <c r="K397" s="314"/>
      <c r="M397" s="350"/>
      <c r="O397" s="225"/>
      <c r="R397" s="314"/>
      <c r="T397" s="498"/>
      <c r="U397" s="521"/>
    </row>
    <row r="398" spans="3:21">
      <c r="C398" s="314"/>
      <c r="G398" s="167"/>
      <c r="J398" s="314"/>
      <c r="K398" s="314"/>
      <c r="M398" s="350"/>
      <c r="O398" s="225"/>
      <c r="R398" s="314"/>
      <c r="T398" s="498"/>
      <c r="U398" s="521"/>
    </row>
    <row r="399" spans="3:21">
      <c r="C399" s="314"/>
      <c r="G399" s="167"/>
      <c r="J399" s="314"/>
      <c r="K399" s="314"/>
      <c r="M399" s="350"/>
      <c r="O399" s="225"/>
      <c r="R399" s="314"/>
      <c r="T399" s="498"/>
      <c r="U399" s="521"/>
    </row>
    <row r="400" spans="3:21">
      <c r="C400" s="314"/>
      <c r="G400" s="167"/>
      <c r="J400" s="314"/>
      <c r="K400" s="314"/>
      <c r="M400" s="350"/>
      <c r="O400" s="225"/>
      <c r="R400" s="314"/>
      <c r="T400" s="498"/>
      <c r="U400" s="521"/>
    </row>
    <row r="401" spans="3:21">
      <c r="C401" s="314"/>
      <c r="G401" s="167"/>
      <c r="J401" s="314"/>
      <c r="K401" s="314"/>
      <c r="M401" s="350"/>
      <c r="O401" s="225"/>
      <c r="R401" s="314"/>
      <c r="T401" s="498"/>
      <c r="U401" s="521"/>
    </row>
    <row r="402" spans="3:21">
      <c r="C402" s="314"/>
      <c r="G402" s="167"/>
      <c r="J402" s="314"/>
      <c r="K402" s="314"/>
      <c r="M402" s="350"/>
      <c r="O402" s="225"/>
      <c r="R402" s="314"/>
      <c r="T402" s="498"/>
      <c r="U402" s="521"/>
    </row>
    <row r="403" spans="3:21">
      <c r="C403" s="314"/>
      <c r="G403" s="167"/>
      <c r="J403" s="314"/>
      <c r="K403" s="314"/>
      <c r="M403" s="350"/>
      <c r="O403" s="225"/>
      <c r="R403" s="314"/>
      <c r="T403" s="498"/>
      <c r="U403" s="521"/>
    </row>
    <row r="404" spans="3:21">
      <c r="C404" s="314"/>
      <c r="G404" s="167"/>
      <c r="J404" s="314"/>
      <c r="K404" s="314"/>
      <c r="M404" s="350"/>
      <c r="O404" s="225"/>
      <c r="R404" s="314"/>
      <c r="T404" s="498"/>
      <c r="U404" s="521"/>
    </row>
    <row r="405" spans="3:21">
      <c r="C405" s="314"/>
      <c r="G405" s="167"/>
      <c r="J405" s="314"/>
      <c r="K405" s="314"/>
      <c r="M405" s="350"/>
      <c r="O405" s="225"/>
      <c r="R405" s="314"/>
      <c r="T405" s="498"/>
      <c r="U405" s="521"/>
    </row>
    <row r="406" spans="3:21">
      <c r="C406" s="314"/>
      <c r="G406" s="167"/>
      <c r="J406" s="314"/>
      <c r="K406" s="314"/>
      <c r="M406" s="350"/>
      <c r="O406" s="225"/>
      <c r="R406" s="314"/>
      <c r="T406" s="498"/>
      <c r="U406" s="521"/>
    </row>
    <row r="407" spans="3:21">
      <c r="C407" s="314"/>
      <c r="G407" s="167"/>
      <c r="J407" s="314"/>
      <c r="K407" s="314"/>
      <c r="M407" s="350"/>
      <c r="O407" s="225"/>
      <c r="R407" s="314"/>
      <c r="T407" s="498"/>
      <c r="U407" s="521"/>
    </row>
    <row r="408" spans="3:21">
      <c r="C408" s="314"/>
      <c r="G408" s="167"/>
      <c r="J408" s="314"/>
      <c r="K408" s="314"/>
      <c r="M408" s="350"/>
      <c r="O408" s="225"/>
      <c r="R408" s="314"/>
      <c r="T408" s="498"/>
      <c r="U408" s="521"/>
    </row>
    <row r="409" spans="3:21">
      <c r="C409" s="314"/>
      <c r="G409" s="167"/>
      <c r="J409" s="314"/>
      <c r="K409" s="314"/>
      <c r="M409" s="350"/>
      <c r="O409" s="225"/>
      <c r="R409" s="314"/>
      <c r="T409" s="498"/>
      <c r="U409" s="521"/>
    </row>
    <row r="410" spans="3:21">
      <c r="C410" s="314"/>
      <c r="G410" s="167"/>
      <c r="J410" s="314"/>
      <c r="K410" s="314"/>
      <c r="M410" s="350"/>
      <c r="O410" s="225"/>
      <c r="R410" s="314"/>
      <c r="T410" s="498"/>
      <c r="U410" s="521"/>
    </row>
    <row r="411" spans="3:21">
      <c r="C411" s="314"/>
      <c r="G411" s="167"/>
      <c r="J411" s="314"/>
      <c r="K411" s="314"/>
      <c r="M411" s="350"/>
      <c r="O411" s="225"/>
      <c r="R411" s="314"/>
      <c r="T411" s="498"/>
      <c r="U411" s="521"/>
    </row>
    <row r="412" spans="3:21">
      <c r="C412" s="314"/>
      <c r="G412" s="167"/>
      <c r="J412" s="314"/>
      <c r="K412" s="314"/>
      <c r="M412" s="350"/>
      <c r="O412" s="225"/>
      <c r="R412" s="314"/>
      <c r="T412" s="498"/>
      <c r="U412" s="521"/>
    </row>
    <row r="413" spans="3:21">
      <c r="C413" s="314"/>
      <c r="G413" s="167"/>
      <c r="J413" s="314"/>
      <c r="K413" s="314"/>
      <c r="M413" s="350"/>
      <c r="O413" s="225"/>
      <c r="R413" s="314"/>
      <c r="T413" s="498"/>
      <c r="U413" s="521"/>
    </row>
    <row r="414" spans="3:21">
      <c r="C414" s="314"/>
      <c r="G414" s="167"/>
      <c r="J414" s="314"/>
      <c r="K414" s="314"/>
      <c r="M414" s="350"/>
      <c r="O414" s="225"/>
      <c r="R414" s="314"/>
      <c r="T414" s="498"/>
      <c r="U414" s="521"/>
    </row>
    <row r="415" spans="3:21">
      <c r="C415" s="314"/>
      <c r="G415" s="167"/>
      <c r="J415" s="314"/>
      <c r="K415" s="314"/>
      <c r="M415" s="350"/>
      <c r="O415" s="225"/>
      <c r="R415" s="314"/>
      <c r="T415" s="498"/>
      <c r="U415" s="521"/>
    </row>
    <row r="416" spans="3:21">
      <c r="C416" s="314"/>
      <c r="G416" s="167"/>
      <c r="J416" s="314"/>
      <c r="K416" s="314"/>
      <c r="M416" s="350"/>
      <c r="O416" s="225"/>
      <c r="R416" s="314"/>
      <c r="T416" s="498"/>
      <c r="U416" s="521"/>
    </row>
    <row r="417" spans="3:21">
      <c r="C417" s="314"/>
      <c r="G417" s="167"/>
      <c r="J417" s="314"/>
      <c r="K417" s="314"/>
      <c r="M417" s="350"/>
      <c r="O417" s="225"/>
      <c r="R417" s="314"/>
      <c r="T417" s="498"/>
      <c r="U417" s="521"/>
    </row>
    <row r="418" spans="3:21">
      <c r="C418" s="314"/>
      <c r="G418" s="167"/>
      <c r="J418" s="314"/>
      <c r="K418" s="314"/>
      <c r="M418" s="350"/>
      <c r="O418" s="225"/>
      <c r="R418" s="314"/>
      <c r="T418" s="498"/>
      <c r="U418" s="521"/>
    </row>
    <row r="419" spans="3:21">
      <c r="C419" s="314"/>
      <c r="G419" s="167"/>
      <c r="J419" s="314"/>
      <c r="K419" s="314"/>
      <c r="M419" s="350"/>
      <c r="O419" s="225"/>
      <c r="R419" s="314"/>
      <c r="T419" s="498"/>
      <c r="U419" s="521"/>
    </row>
    <row r="420" spans="3:21">
      <c r="C420" s="314"/>
      <c r="G420" s="167"/>
      <c r="J420" s="314"/>
      <c r="K420" s="314"/>
      <c r="M420" s="350"/>
      <c r="O420" s="225"/>
      <c r="R420" s="314"/>
      <c r="T420" s="498"/>
      <c r="U420" s="521"/>
    </row>
    <row r="421" spans="3:21">
      <c r="C421" s="314"/>
      <c r="G421" s="167"/>
      <c r="J421" s="314"/>
      <c r="K421" s="314"/>
      <c r="M421" s="350"/>
      <c r="O421" s="225"/>
      <c r="R421" s="314"/>
      <c r="T421" s="498"/>
      <c r="U421" s="521"/>
    </row>
    <row r="422" spans="3:21">
      <c r="C422" s="314"/>
      <c r="G422" s="167"/>
      <c r="J422" s="314"/>
      <c r="K422" s="314"/>
      <c r="M422" s="350"/>
      <c r="O422" s="225"/>
      <c r="R422" s="314"/>
      <c r="T422" s="498"/>
      <c r="U422" s="521"/>
    </row>
    <row r="423" spans="3:21">
      <c r="C423" s="314"/>
      <c r="G423" s="167"/>
      <c r="J423" s="314"/>
      <c r="K423" s="314"/>
      <c r="M423" s="350"/>
      <c r="O423" s="225"/>
      <c r="R423" s="314"/>
      <c r="T423" s="498"/>
      <c r="U423" s="521"/>
    </row>
    <row r="424" spans="3:21">
      <c r="C424" s="314"/>
      <c r="G424" s="167"/>
      <c r="J424" s="314"/>
      <c r="K424" s="314"/>
      <c r="M424" s="350"/>
      <c r="O424" s="225"/>
      <c r="R424" s="314"/>
      <c r="T424" s="498"/>
      <c r="U424" s="521"/>
    </row>
    <row r="425" spans="3:21">
      <c r="C425" s="314"/>
      <c r="G425" s="167"/>
      <c r="J425" s="314"/>
      <c r="K425" s="314"/>
      <c r="M425" s="350"/>
      <c r="O425" s="225"/>
      <c r="R425" s="314"/>
      <c r="T425" s="498"/>
      <c r="U425" s="521"/>
    </row>
    <row r="426" spans="3:21">
      <c r="C426" s="314"/>
      <c r="G426" s="167"/>
      <c r="J426" s="314"/>
      <c r="K426" s="314"/>
      <c r="M426" s="350"/>
      <c r="O426" s="225"/>
      <c r="R426" s="314"/>
      <c r="T426" s="498"/>
      <c r="U426" s="521"/>
    </row>
    <row r="427" spans="3:21">
      <c r="C427" s="314"/>
      <c r="G427" s="167"/>
      <c r="J427" s="314"/>
      <c r="K427" s="314"/>
      <c r="M427" s="350"/>
      <c r="O427" s="225"/>
      <c r="R427" s="314"/>
      <c r="T427" s="498"/>
      <c r="U427" s="521"/>
    </row>
    <row r="428" spans="3:21">
      <c r="C428" s="314"/>
      <c r="G428" s="167"/>
      <c r="J428" s="314"/>
      <c r="K428" s="314"/>
      <c r="M428" s="350"/>
      <c r="O428" s="225"/>
      <c r="R428" s="314"/>
      <c r="T428" s="498"/>
      <c r="U428" s="521"/>
    </row>
    <row r="429" spans="3:21">
      <c r="C429" s="314"/>
      <c r="G429" s="167"/>
      <c r="J429" s="314"/>
      <c r="K429" s="314"/>
      <c r="M429" s="350"/>
      <c r="O429" s="225"/>
      <c r="R429" s="314"/>
      <c r="T429" s="498"/>
      <c r="U429" s="521"/>
    </row>
    <row r="430" spans="3:21">
      <c r="C430" s="314"/>
      <c r="G430" s="167"/>
      <c r="J430" s="314"/>
      <c r="K430" s="314"/>
      <c r="M430" s="350"/>
      <c r="O430" s="225"/>
      <c r="R430" s="314"/>
      <c r="T430" s="498"/>
      <c r="U430" s="521"/>
    </row>
    <row r="431" spans="3:21">
      <c r="C431" s="314"/>
      <c r="G431" s="167"/>
      <c r="J431" s="314"/>
      <c r="K431" s="314"/>
      <c r="M431" s="350"/>
      <c r="O431" s="225"/>
      <c r="R431" s="314"/>
      <c r="T431" s="498"/>
      <c r="U431" s="521"/>
    </row>
    <row r="432" spans="3:21">
      <c r="C432" s="314"/>
      <c r="G432" s="167"/>
      <c r="J432" s="314"/>
      <c r="K432" s="314"/>
      <c r="M432" s="350"/>
      <c r="O432" s="225"/>
      <c r="R432" s="314"/>
      <c r="T432" s="498"/>
      <c r="U432" s="521"/>
    </row>
    <row r="433" spans="3:21">
      <c r="C433" s="314"/>
      <c r="G433" s="167"/>
      <c r="J433" s="314"/>
      <c r="K433" s="314"/>
      <c r="M433" s="350"/>
      <c r="O433" s="225"/>
      <c r="R433" s="314"/>
      <c r="T433" s="498"/>
      <c r="U433" s="521"/>
    </row>
    <row r="434" spans="3:21">
      <c r="C434" s="314"/>
      <c r="G434" s="167"/>
      <c r="J434" s="314"/>
      <c r="K434" s="314"/>
      <c r="M434" s="350"/>
      <c r="O434" s="225"/>
      <c r="R434" s="314"/>
      <c r="T434" s="498"/>
      <c r="U434" s="521"/>
    </row>
    <row r="435" spans="3:21">
      <c r="C435" s="314"/>
      <c r="G435" s="167"/>
      <c r="J435" s="314"/>
      <c r="K435" s="314"/>
      <c r="M435" s="350"/>
      <c r="O435" s="225"/>
      <c r="R435" s="314"/>
      <c r="T435" s="498"/>
      <c r="U435" s="521"/>
    </row>
    <row r="436" spans="3:21">
      <c r="C436" s="314"/>
      <c r="G436" s="167"/>
      <c r="J436" s="314"/>
      <c r="K436" s="314"/>
      <c r="M436" s="350"/>
      <c r="O436" s="225"/>
      <c r="R436" s="314"/>
      <c r="T436" s="498"/>
      <c r="U436" s="521"/>
    </row>
    <row r="437" spans="3:21">
      <c r="C437" s="314"/>
      <c r="G437" s="167"/>
      <c r="J437" s="314"/>
      <c r="K437" s="314"/>
      <c r="M437" s="350"/>
      <c r="O437" s="225"/>
      <c r="R437" s="314"/>
      <c r="T437" s="498"/>
      <c r="U437" s="521"/>
    </row>
    <row r="438" spans="3:21">
      <c r="C438" s="314"/>
      <c r="G438" s="167"/>
      <c r="J438" s="314"/>
      <c r="K438" s="314"/>
      <c r="M438" s="350"/>
      <c r="O438" s="225"/>
      <c r="R438" s="314"/>
      <c r="T438" s="498"/>
      <c r="U438" s="521"/>
    </row>
    <row r="439" spans="3:21">
      <c r="C439" s="314"/>
      <c r="G439" s="167"/>
      <c r="J439" s="314"/>
      <c r="K439" s="314"/>
      <c r="M439" s="350"/>
      <c r="O439" s="225"/>
      <c r="R439" s="314"/>
      <c r="T439" s="498"/>
      <c r="U439" s="521"/>
    </row>
    <row r="440" spans="3:21">
      <c r="C440" s="314"/>
      <c r="G440" s="167"/>
      <c r="J440" s="314"/>
      <c r="K440" s="314"/>
      <c r="M440" s="350"/>
      <c r="O440" s="225"/>
      <c r="R440" s="314"/>
      <c r="T440" s="498"/>
      <c r="U440" s="521"/>
    </row>
    <row r="441" spans="3:21">
      <c r="C441" s="314"/>
      <c r="G441" s="167"/>
      <c r="J441" s="314"/>
      <c r="K441" s="314"/>
      <c r="M441" s="350"/>
      <c r="O441" s="225"/>
      <c r="R441" s="314"/>
      <c r="T441" s="498"/>
      <c r="U441" s="521"/>
    </row>
    <row r="442" spans="3:21">
      <c r="C442" s="314"/>
      <c r="G442" s="167"/>
      <c r="J442" s="314"/>
      <c r="K442" s="314"/>
      <c r="M442" s="350"/>
      <c r="O442" s="225"/>
      <c r="R442" s="314"/>
      <c r="T442" s="498"/>
      <c r="U442" s="521"/>
    </row>
    <row r="443" spans="3:21">
      <c r="C443" s="314"/>
      <c r="G443" s="167"/>
      <c r="J443" s="314"/>
      <c r="K443" s="314"/>
      <c r="M443" s="350"/>
      <c r="O443" s="225"/>
      <c r="R443" s="314"/>
      <c r="T443" s="498"/>
      <c r="U443" s="521"/>
    </row>
    <row r="444" spans="3:21">
      <c r="C444" s="314"/>
      <c r="G444" s="167"/>
      <c r="J444" s="314"/>
      <c r="K444" s="314"/>
      <c r="M444" s="350"/>
      <c r="O444" s="225"/>
      <c r="R444" s="314"/>
      <c r="T444" s="498"/>
      <c r="U444" s="521"/>
    </row>
    <row r="445" spans="3:21">
      <c r="C445" s="314"/>
      <c r="G445" s="167"/>
      <c r="J445" s="314"/>
      <c r="K445" s="314"/>
      <c r="M445" s="350"/>
      <c r="O445" s="225"/>
      <c r="R445" s="314"/>
      <c r="T445" s="498"/>
      <c r="U445" s="521"/>
    </row>
    <row r="446" spans="3:21">
      <c r="C446" s="314"/>
      <c r="G446" s="167"/>
      <c r="J446" s="314"/>
      <c r="K446" s="314"/>
      <c r="M446" s="350"/>
      <c r="O446" s="225"/>
      <c r="R446" s="314"/>
      <c r="T446" s="498"/>
      <c r="U446" s="521"/>
    </row>
    <row r="447" spans="3:21">
      <c r="C447" s="314"/>
      <c r="G447" s="167"/>
      <c r="J447" s="314"/>
      <c r="K447" s="314"/>
      <c r="M447" s="350"/>
      <c r="O447" s="225"/>
      <c r="R447" s="314"/>
      <c r="T447" s="498"/>
      <c r="U447" s="521"/>
    </row>
    <row r="448" spans="3:21">
      <c r="C448" s="314"/>
      <c r="G448" s="167"/>
      <c r="J448" s="314"/>
      <c r="K448" s="314"/>
      <c r="M448" s="350"/>
      <c r="O448" s="225"/>
      <c r="R448" s="314"/>
      <c r="T448" s="498"/>
      <c r="U448" s="521"/>
    </row>
    <row r="449" spans="3:21">
      <c r="C449" s="314"/>
      <c r="G449" s="167"/>
      <c r="J449" s="314"/>
      <c r="K449" s="314"/>
      <c r="M449" s="350"/>
      <c r="O449" s="225"/>
      <c r="R449" s="314"/>
      <c r="T449" s="498"/>
      <c r="U449" s="521"/>
    </row>
    <row r="450" spans="3:21">
      <c r="C450" s="314"/>
      <c r="G450" s="167"/>
      <c r="J450" s="314"/>
      <c r="K450" s="314"/>
      <c r="M450" s="350"/>
      <c r="O450" s="225"/>
      <c r="R450" s="314"/>
      <c r="T450" s="498"/>
      <c r="U450" s="521"/>
    </row>
    <row r="451" spans="3:21">
      <c r="C451" s="314"/>
      <c r="G451" s="167"/>
      <c r="J451" s="314"/>
      <c r="K451" s="314"/>
      <c r="M451" s="350"/>
      <c r="O451" s="225"/>
      <c r="R451" s="314"/>
      <c r="T451" s="498"/>
      <c r="U451" s="521"/>
    </row>
    <row r="452" spans="3:21">
      <c r="C452" s="314"/>
      <c r="G452" s="167"/>
      <c r="J452" s="314"/>
      <c r="K452" s="314"/>
      <c r="M452" s="350"/>
      <c r="O452" s="225"/>
      <c r="R452" s="314"/>
      <c r="T452" s="498"/>
      <c r="U452" s="521"/>
    </row>
    <row r="453" spans="3:21">
      <c r="C453" s="314"/>
      <c r="G453" s="167"/>
      <c r="J453" s="314"/>
      <c r="K453" s="314"/>
      <c r="M453" s="350"/>
      <c r="O453" s="225"/>
      <c r="R453" s="314"/>
      <c r="T453" s="498"/>
      <c r="U453" s="521"/>
    </row>
    <row r="454" spans="3:21">
      <c r="C454" s="314"/>
      <c r="G454" s="167"/>
      <c r="J454" s="314"/>
      <c r="K454" s="314"/>
      <c r="M454" s="350"/>
      <c r="O454" s="225"/>
      <c r="R454" s="314"/>
      <c r="T454" s="498"/>
      <c r="U454" s="521"/>
    </row>
    <row r="455" spans="3:21">
      <c r="C455" s="314"/>
      <c r="G455" s="167"/>
      <c r="J455" s="314"/>
      <c r="K455" s="314"/>
      <c r="M455" s="350"/>
      <c r="O455" s="225"/>
      <c r="R455" s="314"/>
      <c r="T455" s="498"/>
      <c r="U455" s="521"/>
    </row>
    <row r="456" spans="3:21">
      <c r="C456" s="314"/>
      <c r="G456" s="167"/>
      <c r="J456" s="314"/>
      <c r="K456" s="314"/>
      <c r="M456" s="350"/>
      <c r="O456" s="225"/>
      <c r="R456" s="314"/>
      <c r="T456" s="498"/>
      <c r="U456" s="521"/>
    </row>
    <row r="457" spans="3:21">
      <c r="C457" s="314"/>
      <c r="G457" s="167"/>
      <c r="J457" s="314"/>
      <c r="K457" s="314"/>
      <c r="M457" s="350"/>
      <c r="O457" s="225"/>
      <c r="R457" s="314"/>
      <c r="T457" s="498"/>
      <c r="U457" s="521"/>
    </row>
    <row r="458" spans="3:21">
      <c r="C458" s="314"/>
      <c r="G458" s="167"/>
      <c r="J458" s="314"/>
      <c r="K458" s="314"/>
      <c r="M458" s="350"/>
      <c r="O458" s="225"/>
      <c r="R458" s="314"/>
      <c r="T458" s="498"/>
      <c r="U458" s="521"/>
    </row>
    <row r="459" spans="3:21">
      <c r="C459" s="314"/>
      <c r="G459" s="167"/>
      <c r="J459" s="314"/>
      <c r="K459" s="314"/>
      <c r="M459" s="350"/>
      <c r="O459" s="225"/>
      <c r="R459" s="314"/>
      <c r="T459" s="498"/>
      <c r="U459" s="521"/>
    </row>
    <row r="460" spans="3:21">
      <c r="C460" s="314"/>
      <c r="G460" s="167"/>
      <c r="J460" s="314"/>
      <c r="K460" s="314"/>
      <c r="M460" s="350"/>
      <c r="O460" s="225"/>
      <c r="R460" s="314"/>
      <c r="T460" s="498"/>
      <c r="U460" s="521"/>
    </row>
    <row r="461" spans="3:21">
      <c r="C461" s="314"/>
      <c r="G461" s="167"/>
      <c r="J461" s="314"/>
      <c r="K461" s="314"/>
      <c r="M461" s="350"/>
      <c r="O461" s="225"/>
      <c r="R461" s="314"/>
      <c r="T461" s="498"/>
      <c r="U461" s="521"/>
    </row>
    <row r="462" spans="3:21">
      <c r="C462" s="314"/>
      <c r="G462" s="167"/>
      <c r="J462" s="314"/>
      <c r="K462" s="314"/>
      <c r="M462" s="350"/>
      <c r="O462" s="225"/>
      <c r="R462" s="314"/>
      <c r="T462" s="498"/>
      <c r="U462" s="521"/>
    </row>
    <row r="463" spans="3:21">
      <c r="C463" s="314"/>
      <c r="G463" s="167"/>
      <c r="J463" s="314"/>
      <c r="K463" s="314"/>
      <c r="M463" s="350"/>
      <c r="O463" s="225"/>
      <c r="R463" s="314"/>
      <c r="T463" s="498"/>
      <c r="U463" s="521"/>
    </row>
    <row r="464" spans="3:21">
      <c r="C464" s="314"/>
      <c r="G464" s="167"/>
      <c r="J464" s="314"/>
      <c r="K464" s="314"/>
      <c r="M464" s="350"/>
      <c r="O464" s="225"/>
      <c r="R464" s="314"/>
      <c r="T464" s="498"/>
      <c r="U464" s="521"/>
    </row>
    <row r="465" spans="3:21">
      <c r="C465" s="314"/>
      <c r="G465" s="167"/>
      <c r="J465" s="314"/>
      <c r="K465" s="314"/>
      <c r="M465" s="350"/>
      <c r="O465" s="225"/>
      <c r="R465" s="314"/>
      <c r="T465" s="498"/>
      <c r="U465" s="521"/>
    </row>
    <row r="466" spans="3:21">
      <c r="C466" s="314"/>
      <c r="G466" s="167"/>
      <c r="J466" s="314"/>
      <c r="K466" s="314"/>
      <c r="M466" s="350"/>
      <c r="O466" s="225"/>
      <c r="R466" s="314"/>
      <c r="T466" s="498"/>
      <c r="U466" s="521"/>
    </row>
    <row r="467" spans="3:21">
      <c r="C467" s="314"/>
      <c r="G467" s="167"/>
      <c r="J467" s="314"/>
      <c r="K467" s="314"/>
      <c r="M467" s="350"/>
      <c r="O467" s="225"/>
      <c r="R467" s="314"/>
      <c r="T467" s="498"/>
      <c r="U467" s="521"/>
    </row>
    <row r="468" spans="3:21">
      <c r="C468" s="314"/>
      <c r="G468" s="167"/>
      <c r="J468" s="314"/>
      <c r="K468" s="314"/>
      <c r="M468" s="350"/>
      <c r="O468" s="225"/>
      <c r="R468" s="314"/>
      <c r="T468" s="498"/>
      <c r="U468" s="521"/>
    </row>
    <row r="469" spans="3:21">
      <c r="C469" s="314"/>
      <c r="G469" s="167"/>
      <c r="J469" s="314"/>
      <c r="K469" s="314"/>
      <c r="M469" s="350"/>
      <c r="O469" s="225"/>
      <c r="R469" s="314"/>
      <c r="T469" s="498"/>
      <c r="U469" s="521"/>
    </row>
    <row r="470" spans="3:21">
      <c r="C470" s="314"/>
      <c r="G470" s="167"/>
      <c r="J470" s="314"/>
      <c r="K470" s="314"/>
      <c r="M470" s="350"/>
      <c r="O470" s="225"/>
      <c r="R470" s="314"/>
      <c r="T470" s="498"/>
      <c r="U470" s="521"/>
    </row>
    <row r="471" spans="3:21">
      <c r="C471" s="314"/>
      <c r="G471" s="167"/>
      <c r="J471" s="314"/>
      <c r="K471" s="314"/>
      <c r="M471" s="350"/>
      <c r="O471" s="225"/>
      <c r="R471" s="314"/>
      <c r="T471" s="498"/>
      <c r="U471" s="521"/>
    </row>
    <row r="472" spans="3:21">
      <c r="C472" s="314"/>
      <c r="G472" s="167"/>
      <c r="J472" s="314"/>
      <c r="K472" s="314"/>
      <c r="M472" s="350"/>
      <c r="O472" s="225"/>
      <c r="R472" s="314"/>
      <c r="T472" s="498"/>
      <c r="U472" s="521"/>
    </row>
    <row r="473" spans="3:21">
      <c r="C473" s="314"/>
      <c r="G473" s="167"/>
      <c r="J473" s="314"/>
      <c r="K473" s="314"/>
      <c r="M473" s="350"/>
      <c r="O473" s="225"/>
      <c r="R473" s="314"/>
      <c r="T473" s="498"/>
      <c r="U473" s="521"/>
    </row>
    <row r="474" spans="3:21">
      <c r="C474" s="314"/>
      <c r="G474" s="167"/>
      <c r="J474" s="314"/>
      <c r="K474" s="314"/>
      <c r="M474" s="350"/>
      <c r="O474" s="225"/>
      <c r="R474" s="314"/>
      <c r="T474" s="498"/>
      <c r="U474" s="521"/>
    </row>
    <row r="475" spans="3:21">
      <c r="C475" s="314"/>
      <c r="G475" s="167"/>
      <c r="J475" s="314"/>
      <c r="K475" s="314"/>
      <c r="M475" s="350"/>
      <c r="O475" s="225"/>
      <c r="R475" s="314"/>
      <c r="T475" s="498"/>
      <c r="U475" s="521"/>
    </row>
    <row r="476" spans="3:21">
      <c r="C476" s="314"/>
      <c r="G476" s="167"/>
      <c r="J476" s="314"/>
      <c r="K476" s="314"/>
      <c r="M476" s="350"/>
      <c r="O476" s="225"/>
      <c r="R476" s="314"/>
      <c r="T476" s="498"/>
      <c r="U476" s="521"/>
    </row>
    <row r="477" spans="3:21">
      <c r="C477" s="314"/>
      <c r="G477" s="167"/>
      <c r="J477" s="314"/>
      <c r="K477" s="314"/>
      <c r="M477" s="350"/>
      <c r="O477" s="225"/>
      <c r="R477" s="314"/>
      <c r="T477" s="498"/>
      <c r="U477" s="521"/>
    </row>
    <row r="478" spans="3:21">
      <c r="C478" s="314"/>
      <c r="G478" s="167"/>
      <c r="J478" s="314"/>
      <c r="K478" s="314"/>
      <c r="M478" s="350"/>
      <c r="O478" s="225"/>
      <c r="R478" s="314"/>
      <c r="T478" s="498"/>
      <c r="U478" s="521"/>
    </row>
    <row r="479" spans="3:21">
      <c r="C479" s="314"/>
      <c r="G479" s="167"/>
      <c r="J479" s="314"/>
      <c r="K479" s="314"/>
      <c r="M479" s="350"/>
      <c r="O479" s="225"/>
      <c r="R479" s="314"/>
      <c r="T479" s="498"/>
      <c r="U479" s="521"/>
    </row>
    <row r="480" spans="3:21">
      <c r="C480" s="314"/>
      <c r="G480" s="167"/>
      <c r="J480" s="314"/>
      <c r="K480" s="314"/>
      <c r="M480" s="350"/>
      <c r="O480" s="225"/>
      <c r="R480" s="314"/>
      <c r="T480" s="498"/>
      <c r="U480" s="521"/>
    </row>
    <row r="481" spans="3:21">
      <c r="C481" s="314"/>
      <c r="G481" s="167"/>
      <c r="J481" s="314"/>
      <c r="K481" s="314"/>
      <c r="M481" s="350"/>
      <c r="O481" s="225"/>
      <c r="R481" s="314"/>
      <c r="T481" s="498"/>
      <c r="U481" s="521"/>
    </row>
    <row r="482" spans="3:21">
      <c r="C482" s="314"/>
      <c r="G482" s="167"/>
      <c r="J482" s="314"/>
      <c r="K482" s="314"/>
      <c r="M482" s="350"/>
      <c r="O482" s="225"/>
      <c r="R482" s="314"/>
      <c r="T482" s="498"/>
      <c r="U482" s="521"/>
    </row>
    <row r="483" spans="3:21">
      <c r="C483" s="314"/>
      <c r="G483" s="167"/>
      <c r="J483" s="314"/>
      <c r="K483" s="314"/>
      <c r="M483" s="350"/>
      <c r="O483" s="225"/>
      <c r="R483" s="314"/>
      <c r="T483" s="498"/>
      <c r="U483" s="521"/>
    </row>
    <row r="484" spans="3:21">
      <c r="C484" s="314"/>
      <c r="G484" s="167"/>
      <c r="J484" s="314"/>
      <c r="K484" s="314"/>
      <c r="M484" s="350"/>
      <c r="O484" s="225"/>
      <c r="R484" s="314"/>
      <c r="T484" s="498"/>
      <c r="U484" s="521"/>
    </row>
    <row r="485" spans="3:21">
      <c r="C485" s="314"/>
      <c r="G485" s="167"/>
      <c r="J485" s="314"/>
      <c r="K485" s="314"/>
      <c r="M485" s="350"/>
      <c r="O485" s="225"/>
      <c r="R485" s="314"/>
      <c r="T485" s="498"/>
      <c r="U485" s="521"/>
    </row>
    <row r="486" spans="3:21">
      <c r="C486" s="314"/>
      <c r="G486" s="167"/>
      <c r="J486" s="314"/>
      <c r="K486" s="314"/>
      <c r="M486" s="350"/>
      <c r="O486" s="225"/>
      <c r="R486" s="314"/>
      <c r="T486" s="498"/>
      <c r="U486" s="521"/>
    </row>
    <row r="487" spans="3:21">
      <c r="C487" s="314"/>
      <c r="G487" s="167"/>
      <c r="J487" s="314"/>
      <c r="K487" s="314"/>
      <c r="M487" s="350"/>
      <c r="O487" s="225"/>
      <c r="R487" s="314"/>
      <c r="T487" s="498"/>
      <c r="U487" s="521"/>
    </row>
    <row r="488" spans="3:21">
      <c r="C488" s="314"/>
      <c r="G488" s="167"/>
      <c r="J488" s="314"/>
      <c r="K488" s="314"/>
      <c r="M488" s="350"/>
      <c r="O488" s="225"/>
      <c r="R488" s="314"/>
      <c r="T488" s="498"/>
      <c r="U488" s="521"/>
    </row>
    <row r="489" spans="3:21">
      <c r="C489" s="314"/>
      <c r="G489" s="167"/>
      <c r="J489" s="314"/>
      <c r="K489" s="314"/>
      <c r="M489" s="350"/>
      <c r="O489" s="225"/>
      <c r="R489" s="314"/>
      <c r="T489" s="498"/>
      <c r="U489" s="521"/>
    </row>
    <row r="490" spans="3:21">
      <c r="C490" s="314"/>
      <c r="G490" s="167"/>
      <c r="J490" s="314"/>
      <c r="K490" s="314"/>
      <c r="M490" s="350"/>
      <c r="O490" s="225"/>
      <c r="R490" s="314"/>
      <c r="T490" s="498"/>
      <c r="U490" s="521"/>
    </row>
    <row r="491" spans="3:21">
      <c r="C491" s="314"/>
      <c r="G491" s="167"/>
      <c r="J491" s="314"/>
      <c r="K491" s="314"/>
      <c r="M491" s="350"/>
      <c r="O491" s="225"/>
      <c r="R491" s="314"/>
      <c r="T491" s="498"/>
      <c r="U491" s="521"/>
    </row>
    <row r="492" spans="3:21">
      <c r="C492" s="314"/>
      <c r="G492" s="167"/>
      <c r="J492" s="314"/>
      <c r="K492" s="314"/>
      <c r="M492" s="350"/>
      <c r="O492" s="225"/>
      <c r="R492" s="314"/>
      <c r="T492" s="498"/>
      <c r="U492" s="521"/>
    </row>
    <row r="493" spans="3:21">
      <c r="C493" s="314"/>
      <c r="G493" s="167"/>
      <c r="J493" s="314"/>
      <c r="K493" s="314"/>
      <c r="M493" s="350"/>
      <c r="O493" s="225"/>
      <c r="R493" s="314"/>
      <c r="T493" s="498"/>
      <c r="U493" s="521"/>
    </row>
    <row r="494" spans="3:21">
      <c r="C494" s="314"/>
      <c r="G494" s="167"/>
      <c r="J494" s="314"/>
      <c r="K494" s="314"/>
      <c r="M494" s="350"/>
      <c r="O494" s="225"/>
      <c r="R494" s="314"/>
      <c r="T494" s="498"/>
      <c r="U494" s="521"/>
    </row>
    <row r="495" spans="3:21">
      <c r="C495" s="314"/>
      <c r="G495" s="167"/>
      <c r="J495" s="314"/>
      <c r="K495" s="314"/>
      <c r="M495" s="350"/>
      <c r="O495" s="225"/>
      <c r="R495" s="314"/>
      <c r="T495" s="498"/>
      <c r="U495" s="521"/>
    </row>
    <row r="496" spans="3:21">
      <c r="C496" s="314"/>
      <c r="G496" s="167"/>
      <c r="J496" s="314"/>
      <c r="K496" s="314"/>
      <c r="M496" s="350"/>
      <c r="O496" s="225"/>
      <c r="R496" s="314"/>
      <c r="T496" s="498"/>
      <c r="U496" s="521"/>
    </row>
    <row r="497" spans="3:21">
      <c r="C497" s="314"/>
      <c r="G497" s="167"/>
      <c r="J497" s="314"/>
      <c r="K497" s="314"/>
      <c r="M497" s="350"/>
      <c r="O497" s="225"/>
      <c r="R497" s="314"/>
      <c r="T497" s="498"/>
      <c r="U497" s="521"/>
    </row>
    <row r="498" spans="3:21">
      <c r="C498" s="314"/>
      <c r="G498" s="167"/>
      <c r="J498" s="314"/>
      <c r="K498" s="314"/>
      <c r="M498" s="350"/>
      <c r="O498" s="225"/>
      <c r="R498" s="314"/>
      <c r="T498" s="498"/>
      <c r="U498" s="521"/>
    </row>
    <row r="499" spans="3:21">
      <c r="C499" s="314"/>
      <c r="G499" s="167"/>
      <c r="J499" s="314"/>
      <c r="K499" s="314"/>
      <c r="M499" s="350"/>
      <c r="O499" s="225"/>
      <c r="R499" s="314"/>
      <c r="T499" s="498"/>
      <c r="U499" s="521"/>
    </row>
    <row r="500" spans="3:21">
      <c r="C500" s="314"/>
      <c r="G500" s="167"/>
      <c r="J500" s="314"/>
      <c r="K500" s="314"/>
      <c r="M500" s="350"/>
      <c r="O500" s="225"/>
      <c r="R500" s="314"/>
      <c r="T500" s="498"/>
      <c r="U500" s="521"/>
    </row>
    <row r="501" spans="3:21">
      <c r="C501" s="314"/>
      <c r="G501" s="167"/>
      <c r="J501" s="314"/>
      <c r="K501" s="314"/>
      <c r="M501" s="350"/>
      <c r="O501" s="225"/>
      <c r="R501" s="314"/>
      <c r="T501" s="498"/>
      <c r="U501" s="521"/>
    </row>
    <row r="502" spans="3:21">
      <c r="C502" s="314"/>
      <c r="G502" s="167"/>
      <c r="J502" s="314"/>
      <c r="K502" s="314"/>
      <c r="M502" s="350"/>
      <c r="O502" s="225"/>
      <c r="R502" s="314"/>
      <c r="T502" s="498"/>
      <c r="U502" s="521"/>
    </row>
    <row r="503" spans="3:21">
      <c r="C503" s="314"/>
      <c r="G503" s="167"/>
      <c r="J503" s="314"/>
      <c r="K503" s="314"/>
      <c r="M503" s="350"/>
      <c r="O503" s="225"/>
      <c r="R503" s="314"/>
      <c r="T503" s="498"/>
      <c r="U503" s="521"/>
    </row>
    <row r="504" spans="3:21">
      <c r="C504" s="314"/>
      <c r="G504" s="167"/>
      <c r="J504" s="314"/>
      <c r="K504" s="314"/>
      <c r="M504" s="350"/>
      <c r="O504" s="225"/>
      <c r="R504" s="314"/>
      <c r="T504" s="498"/>
      <c r="U504" s="521"/>
    </row>
    <row r="505" spans="3:21">
      <c r="C505" s="314"/>
      <c r="G505" s="167"/>
      <c r="J505" s="314"/>
      <c r="K505" s="314"/>
      <c r="M505" s="350"/>
      <c r="O505" s="225"/>
      <c r="R505" s="314"/>
      <c r="T505" s="498"/>
      <c r="U505" s="521"/>
    </row>
    <row r="506" spans="3:21">
      <c r="C506" s="314"/>
      <c r="G506" s="167"/>
      <c r="J506" s="314"/>
      <c r="K506" s="314"/>
      <c r="M506" s="350"/>
      <c r="O506" s="225"/>
      <c r="R506" s="314"/>
      <c r="T506" s="498"/>
      <c r="U506" s="521"/>
    </row>
    <row r="507" spans="3:21">
      <c r="C507" s="314"/>
      <c r="G507" s="167"/>
      <c r="J507" s="314"/>
      <c r="K507" s="314"/>
      <c r="M507" s="350"/>
      <c r="O507" s="225"/>
      <c r="R507" s="314"/>
      <c r="T507" s="498"/>
      <c r="U507" s="521"/>
    </row>
    <row r="508" spans="3:21">
      <c r="C508" s="314"/>
      <c r="G508" s="167"/>
      <c r="J508" s="314"/>
      <c r="K508" s="314"/>
      <c r="M508" s="350"/>
      <c r="O508" s="225"/>
      <c r="R508" s="314"/>
      <c r="T508" s="498"/>
      <c r="U508" s="521"/>
    </row>
    <row r="509" spans="3:21">
      <c r="C509" s="314"/>
      <c r="G509" s="167"/>
      <c r="J509" s="314"/>
      <c r="K509" s="314"/>
      <c r="M509" s="350"/>
      <c r="O509" s="225"/>
      <c r="R509" s="314"/>
      <c r="T509" s="498"/>
      <c r="U509" s="521"/>
    </row>
    <row r="510" spans="3:21">
      <c r="C510" s="314"/>
      <c r="G510" s="167"/>
      <c r="J510" s="314"/>
      <c r="K510" s="314"/>
      <c r="M510" s="350"/>
      <c r="O510" s="225"/>
      <c r="R510" s="314"/>
      <c r="T510" s="498"/>
      <c r="U510" s="521"/>
    </row>
    <row r="511" spans="3:21">
      <c r="C511" s="314"/>
      <c r="G511" s="167"/>
      <c r="J511" s="314"/>
      <c r="K511" s="314"/>
      <c r="M511" s="350"/>
      <c r="O511" s="225"/>
      <c r="R511" s="314"/>
      <c r="T511" s="498"/>
      <c r="U511" s="521"/>
    </row>
    <row r="512" spans="3:21">
      <c r="C512" s="314"/>
      <c r="G512" s="167"/>
      <c r="J512" s="314"/>
      <c r="K512" s="314"/>
      <c r="M512" s="350"/>
      <c r="O512" s="225"/>
      <c r="R512" s="314"/>
      <c r="T512" s="498"/>
      <c r="U512" s="521"/>
    </row>
    <row r="513" spans="3:21">
      <c r="C513" s="314"/>
      <c r="G513" s="167"/>
      <c r="J513" s="314"/>
      <c r="K513" s="314"/>
      <c r="M513" s="350"/>
      <c r="O513" s="225"/>
      <c r="R513" s="314"/>
      <c r="T513" s="498"/>
      <c r="U513" s="521"/>
    </row>
    <row r="514" spans="3:21">
      <c r="C514" s="314"/>
      <c r="G514" s="167"/>
      <c r="J514" s="314"/>
      <c r="K514" s="314"/>
      <c r="M514" s="350"/>
      <c r="O514" s="225"/>
      <c r="R514" s="314"/>
      <c r="T514" s="498"/>
      <c r="U514" s="521"/>
    </row>
    <row r="515" spans="3:21">
      <c r="C515" s="314"/>
      <c r="G515" s="167"/>
      <c r="J515" s="314"/>
      <c r="K515" s="314"/>
      <c r="M515" s="350"/>
      <c r="O515" s="225"/>
      <c r="R515" s="314"/>
      <c r="T515" s="498"/>
      <c r="U515" s="521"/>
    </row>
    <row r="516" spans="3:21">
      <c r="C516" s="314"/>
      <c r="G516" s="167"/>
      <c r="J516" s="314"/>
      <c r="K516" s="314"/>
      <c r="M516" s="350"/>
      <c r="O516" s="225"/>
      <c r="R516" s="314"/>
      <c r="T516" s="498"/>
      <c r="U516" s="521"/>
    </row>
    <row r="517" spans="3:21">
      <c r="C517" s="314"/>
      <c r="G517" s="167"/>
      <c r="J517" s="314"/>
      <c r="K517" s="314"/>
      <c r="M517" s="350"/>
      <c r="O517" s="225"/>
      <c r="R517" s="314"/>
      <c r="T517" s="498"/>
      <c r="U517" s="521"/>
    </row>
    <row r="518" spans="3:21">
      <c r="C518" s="314"/>
      <c r="G518" s="167"/>
      <c r="J518" s="314"/>
      <c r="K518" s="314"/>
      <c r="M518" s="350"/>
      <c r="O518" s="225"/>
      <c r="R518" s="314"/>
      <c r="T518" s="498"/>
      <c r="U518" s="521"/>
    </row>
    <row r="519" spans="3:21">
      <c r="C519" s="314"/>
      <c r="G519" s="167"/>
      <c r="J519" s="314"/>
      <c r="K519" s="314"/>
      <c r="M519" s="350"/>
      <c r="O519" s="225"/>
      <c r="R519" s="314"/>
      <c r="T519" s="498"/>
      <c r="U519" s="521"/>
    </row>
    <row r="520" spans="3:21">
      <c r="C520" s="314"/>
      <c r="G520" s="167"/>
      <c r="J520" s="314"/>
      <c r="K520" s="314"/>
      <c r="M520" s="350"/>
      <c r="O520" s="225"/>
      <c r="R520" s="314"/>
      <c r="T520" s="498"/>
      <c r="U520" s="521"/>
    </row>
    <row r="521" spans="3:21">
      <c r="C521" s="314"/>
      <c r="G521" s="167"/>
      <c r="J521" s="314"/>
      <c r="K521" s="314"/>
      <c r="M521" s="350"/>
      <c r="O521" s="225"/>
      <c r="R521" s="314"/>
      <c r="T521" s="498"/>
      <c r="U521" s="521"/>
    </row>
    <row r="522" spans="3:21">
      <c r="C522" s="314"/>
      <c r="G522" s="167"/>
      <c r="J522" s="314"/>
      <c r="K522" s="314"/>
      <c r="M522" s="350"/>
      <c r="O522" s="225"/>
      <c r="R522" s="314"/>
      <c r="T522" s="498"/>
      <c r="U522" s="521"/>
    </row>
    <row r="523" spans="3:21">
      <c r="C523" s="314"/>
      <c r="G523" s="167"/>
      <c r="J523" s="314"/>
      <c r="K523" s="314"/>
      <c r="M523" s="350"/>
      <c r="O523" s="225"/>
      <c r="R523" s="314"/>
      <c r="T523" s="498"/>
      <c r="U523" s="521"/>
    </row>
    <row r="524" spans="3:21">
      <c r="C524" s="314"/>
      <c r="G524" s="167"/>
      <c r="J524" s="314"/>
      <c r="K524" s="314"/>
      <c r="M524" s="350"/>
      <c r="O524" s="225"/>
      <c r="R524" s="314"/>
      <c r="T524" s="498"/>
      <c r="U524" s="521"/>
    </row>
    <row r="525" spans="3:21">
      <c r="C525" s="314"/>
      <c r="G525" s="167"/>
      <c r="J525" s="314"/>
      <c r="K525" s="314"/>
      <c r="M525" s="350"/>
      <c r="O525" s="225"/>
      <c r="R525" s="314"/>
      <c r="T525" s="498"/>
      <c r="U525" s="521"/>
    </row>
    <row r="526" spans="3:21">
      <c r="C526" s="314"/>
      <c r="G526" s="167"/>
      <c r="J526" s="314"/>
      <c r="K526" s="314"/>
      <c r="M526" s="350"/>
      <c r="O526" s="225"/>
      <c r="R526" s="314"/>
      <c r="T526" s="498"/>
      <c r="U526" s="521"/>
    </row>
    <row r="527" spans="3:21">
      <c r="C527" s="314"/>
      <c r="G527" s="167"/>
      <c r="J527" s="314"/>
      <c r="K527" s="314"/>
      <c r="M527" s="350"/>
      <c r="O527" s="225"/>
      <c r="R527" s="314"/>
      <c r="T527" s="498"/>
      <c r="U527" s="521"/>
    </row>
    <row r="528" spans="3:21">
      <c r="C528" s="314"/>
      <c r="G528" s="167"/>
      <c r="J528" s="314"/>
      <c r="K528" s="314"/>
      <c r="M528" s="350"/>
      <c r="O528" s="225"/>
      <c r="R528" s="314"/>
      <c r="T528" s="498"/>
      <c r="U528" s="521"/>
    </row>
    <row r="529" spans="3:21">
      <c r="C529" s="314"/>
      <c r="G529" s="167"/>
      <c r="J529" s="314"/>
      <c r="K529" s="314"/>
      <c r="M529" s="350"/>
      <c r="O529" s="225"/>
      <c r="R529" s="314"/>
      <c r="T529" s="498"/>
      <c r="U529" s="521"/>
    </row>
    <row r="530" spans="3:21">
      <c r="C530" s="314"/>
      <c r="G530" s="167"/>
      <c r="J530" s="314"/>
      <c r="K530" s="314"/>
      <c r="M530" s="350"/>
      <c r="O530" s="225"/>
      <c r="R530" s="314"/>
      <c r="T530" s="498"/>
      <c r="U530" s="521"/>
    </row>
    <row r="531" spans="3:21">
      <c r="C531" s="314"/>
      <c r="G531" s="167"/>
      <c r="J531" s="314"/>
      <c r="K531" s="314"/>
      <c r="M531" s="350"/>
      <c r="O531" s="225"/>
      <c r="R531" s="314"/>
      <c r="T531" s="498"/>
      <c r="U531" s="521"/>
    </row>
    <row r="532" spans="3:21">
      <c r="C532" s="314"/>
      <c r="G532" s="167"/>
      <c r="J532" s="314"/>
      <c r="K532" s="314"/>
      <c r="M532" s="350"/>
      <c r="O532" s="225"/>
      <c r="R532" s="314"/>
      <c r="T532" s="498"/>
      <c r="U532" s="521"/>
    </row>
    <row r="533" spans="3:21">
      <c r="C533" s="314"/>
      <c r="G533" s="167"/>
      <c r="J533" s="314"/>
      <c r="K533" s="314"/>
      <c r="M533" s="350"/>
      <c r="O533" s="225"/>
      <c r="R533" s="314"/>
      <c r="T533" s="498"/>
      <c r="U533" s="521"/>
    </row>
    <row r="534" spans="3:21">
      <c r="C534" s="314"/>
      <c r="G534" s="167"/>
      <c r="J534" s="314"/>
      <c r="K534" s="314"/>
      <c r="M534" s="350"/>
      <c r="O534" s="225"/>
      <c r="R534" s="314"/>
      <c r="T534" s="498"/>
      <c r="U534" s="521"/>
    </row>
    <row r="535" spans="3:21">
      <c r="C535" s="314"/>
      <c r="G535" s="167"/>
      <c r="J535" s="314"/>
      <c r="K535" s="314"/>
      <c r="M535" s="350"/>
      <c r="O535" s="225"/>
      <c r="R535" s="314"/>
      <c r="T535" s="498"/>
      <c r="U535" s="521"/>
    </row>
    <row r="536" spans="3:21">
      <c r="C536" s="314"/>
      <c r="G536" s="167"/>
      <c r="J536" s="314"/>
      <c r="K536" s="314"/>
      <c r="M536" s="350"/>
      <c r="O536" s="225"/>
      <c r="R536" s="314"/>
      <c r="T536" s="498"/>
      <c r="U536" s="521"/>
    </row>
    <row r="537" spans="3:21">
      <c r="C537" s="314"/>
      <c r="G537" s="167"/>
      <c r="J537" s="314"/>
      <c r="K537" s="314"/>
      <c r="M537" s="350"/>
      <c r="O537" s="225"/>
      <c r="R537" s="314"/>
      <c r="T537" s="498"/>
      <c r="U537" s="521"/>
    </row>
    <row r="538" spans="3:21">
      <c r="C538" s="314"/>
      <c r="G538" s="167"/>
      <c r="J538" s="314"/>
      <c r="K538" s="314"/>
      <c r="M538" s="350"/>
      <c r="O538" s="225"/>
      <c r="R538" s="314"/>
      <c r="T538" s="498"/>
      <c r="U538" s="521"/>
    </row>
    <row r="539" spans="3:21">
      <c r="C539" s="314"/>
      <c r="G539" s="167"/>
      <c r="J539" s="314"/>
      <c r="K539" s="314"/>
      <c r="M539" s="350"/>
      <c r="O539" s="225"/>
      <c r="R539" s="314"/>
      <c r="T539" s="498"/>
      <c r="U539" s="521"/>
    </row>
    <row r="540" spans="3:21">
      <c r="C540" s="314"/>
      <c r="G540" s="167"/>
      <c r="J540" s="314"/>
      <c r="K540" s="314"/>
      <c r="M540" s="350"/>
      <c r="O540" s="225"/>
      <c r="R540" s="314"/>
      <c r="T540" s="498"/>
      <c r="U540" s="521"/>
    </row>
    <row r="541" spans="3:21">
      <c r="C541" s="314"/>
      <c r="G541" s="167"/>
      <c r="J541" s="314"/>
      <c r="K541" s="314"/>
      <c r="M541" s="350"/>
      <c r="O541" s="225"/>
      <c r="R541" s="314"/>
      <c r="T541" s="498"/>
      <c r="U541" s="521"/>
    </row>
    <row r="542" spans="3:21">
      <c r="C542" s="314"/>
      <c r="G542" s="167"/>
      <c r="J542" s="314"/>
      <c r="K542" s="314"/>
      <c r="M542" s="350"/>
      <c r="O542" s="225"/>
      <c r="R542" s="314"/>
      <c r="T542" s="498"/>
      <c r="U542" s="521"/>
    </row>
    <row r="543" spans="3:21">
      <c r="C543" s="314"/>
      <c r="G543" s="167"/>
      <c r="J543" s="314"/>
      <c r="K543" s="314"/>
      <c r="M543" s="350"/>
      <c r="O543" s="225"/>
      <c r="R543" s="314"/>
      <c r="T543" s="498"/>
      <c r="U543" s="521"/>
    </row>
    <row r="544" spans="3:21">
      <c r="C544" s="314"/>
      <c r="G544" s="167"/>
      <c r="J544" s="314"/>
      <c r="K544" s="314"/>
      <c r="M544" s="350"/>
      <c r="O544" s="225"/>
      <c r="R544" s="314"/>
      <c r="T544" s="498"/>
      <c r="U544" s="521"/>
    </row>
    <row r="545" spans="3:21">
      <c r="C545" s="314"/>
      <c r="G545" s="167"/>
      <c r="J545" s="314"/>
      <c r="K545" s="314"/>
      <c r="M545" s="350"/>
      <c r="O545" s="225"/>
      <c r="R545" s="314"/>
      <c r="T545" s="498"/>
      <c r="U545" s="521"/>
    </row>
    <row r="546" spans="3:21">
      <c r="C546" s="314"/>
      <c r="G546" s="167"/>
      <c r="J546" s="314"/>
      <c r="K546" s="314"/>
      <c r="M546" s="350"/>
      <c r="O546" s="225"/>
      <c r="R546" s="314"/>
      <c r="T546" s="498"/>
      <c r="U546" s="521"/>
    </row>
    <row r="547" spans="3:21">
      <c r="C547" s="314"/>
      <c r="G547" s="167"/>
      <c r="J547" s="314"/>
      <c r="K547" s="314"/>
      <c r="M547" s="350"/>
      <c r="O547" s="225"/>
      <c r="R547" s="314"/>
      <c r="T547" s="498"/>
      <c r="U547" s="521"/>
    </row>
    <row r="548" spans="3:21">
      <c r="C548" s="314"/>
      <c r="G548" s="167"/>
      <c r="J548" s="314"/>
      <c r="K548" s="314"/>
      <c r="M548" s="350"/>
      <c r="O548" s="225"/>
      <c r="R548" s="314"/>
      <c r="T548" s="498"/>
      <c r="U548" s="521"/>
    </row>
    <row r="549" spans="3:21">
      <c r="C549" s="314"/>
      <c r="G549" s="167"/>
      <c r="J549" s="314"/>
      <c r="K549" s="314"/>
      <c r="M549" s="350"/>
      <c r="O549" s="225"/>
      <c r="R549" s="314"/>
      <c r="T549" s="498"/>
      <c r="U549" s="521"/>
    </row>
    <row r="550" spans="3:21">
      <c r="C550" s="314"/>
      <c r="G550" s="167"/>
      <c r="J550" s="314"/>
      <c r="K550" s="314"/>
      <c r="M550" s="350"/>
      <c r="O550" s="225"/>
      <c r="R550" s="314"/>
      <c r="T550" s="498"/>
      <c r="U550" s="521"/>
    </row>
    <row r="551" spans="3:21">
      <c r="C551" s="314"/>
      <c r="G551" s="167"/>
      <c r="J551" s="314"/>
      <c r="K551" s="314"/>
      <c r="M551" s="350"/>
      <c r="O551" s="225"/>
      <c r="R551" s="314"/>
      <c r="T551" s="498"/>
      <c r="U551" s="521"/>
    </row>
    <row r="552" spans="3:21">
      <c r="C552" s="314"/>
      <c r="G552" s="167"/>
      <c r="J552" s="314"/>
      <c r="K552" s="314"/>
      <c r="M552" s="350"/>
      <c r="O552" s="225"/>
      <c r="R552" s="314"/>
      <c r="T552" s="498"/>
      <c r="U552" s="521"/>
    </row>
    <row r="553" spans="3:21">
      <c r="C553" s="314"/>
      <c r="G553" s="167"/>
      <c r="J553" s="314"/>
      <c r="K553" s="314"/>
      <c r="M553" s="350"/>
      <c r="O553" s="225"/>
      <c r="R553" s="314"/>
      <c r="T553" s="498"/>
      <c r="U553" s="521"/>
    </row>
    <row r="554" spans="3:21">
      <c r="C554" s="314"/>
      <c r="G554" s="167"/>
      <c r="J554" s="314"/>
      <c r="K554" s="314"/>
      <c r="M554" s="350"/>
      <c r="O554" s="225"/>
      <c r="R554" s="314"/>
      <c r="T554" s="498"/>
      <c r="U554" s="521"/>
    </row>
    <row r="555" spans="3:21">
      <c r="C555" s="314"/>
      <c r="G555" s="167"/>
      <c r="J555" s="314"/>
      <c r="K555" s="314"/>
      <c r="M555" s="350"/>
      <c r="O555" s="225"/>
      <c r="R555" s="314"/>
      <c r="T555" s="498"/>
      <c r="U555" s="521"/>
    </row>
    <row r="556" spans="3:21">
      <c r="C556" s="314"/>
      <c r="G556" s="167"/>
      <c r="J556" s="314"/>
      <c r="K556" s="314"/>
      <c r="M556" s="350"/>
      <c r="O556" s="225"/>
      <c r="R556" s="314"/>
      <c r="T556" s="498"/>
      <c r="U556" s="521"/>
    </row>
    <row r="557" spans="3:21">
      <c r="C557" s="314"/>
      <c r="G557" s="167"/>
      <c r="J557" s="314"/>
      <c r="K557" s="314"/>
      <c r="M557" s="350"/>
      <c r="O557" s="225"/>
      <c r="R557" s="314"/>
      <c r="T557" s="498"/>
      <c r="U557" s="521"/>
    </row>
    <row r="558" spans="3:21">
      <c r="C558" s="314"/>
      <c r="G558" s="167"/>
      <c r="J558" s="314"/>
      <c r="K558" s="314"/>
      <c r="M558" s="350"/>
      <c r="O558" s="225"/>
      <c r="R558" s="314"/>
      <c r="T558" s="498"/>
      <c r="U558" s="521"/>
    </row>
    <row r="559" spans="3:21">
      <c r="C559" s="314"/>
      <c r="G559" s="167"/>
      <c r="J559" s="314"/>
      <c r="K559" s="314"/>
      <c r="M559" s="350"/>
      <c r="O559" s="225"/>
      <c r="R559" s="314"/>
      <c r="T559" s="498"/>
      <c r="U559" s="521"/>
    </row>
    <row r="560" spans="3:21">
      <c r="C560" s="314"/>
      <c r="G560" s="167"/>
      <c r="J560" s="314"/>
      <c r="K560" s="314"/>
      <c r="M560" s="350"/>
      <c r="O560" s="225"/>
      <c r="R560" s="314"/>
      <c r="T560" s="498"/>
      <c r="U560" s="521"/>
    </row>
    <row r="561" spans="3:21">
      <c r="C561" s="314"/>
      <c r="G561" s="167"/>
      <c r="J561" s="314"/>
      <c r="K561" s="314"/>
      <c r="M561" s="350"/>
      <c r="O561" s="225"/>
      <c r="R561" s="314"/>
      <c r="T561" s="498"/>
      <c r="U561" s="521"/>
    </row>
    <row r="562" spans="3:21">
      <c r="C562" s="314"/>
      <c r="G562" s="167"/>
      <c r="J562" s="314"/>
      <c r="K562" s="314"/>
      <c r="M562" s="350"/>
      <c r="O562" s="225"/>
      <c r="R562" s="314"/>
      <c r="T562" s="498"/>
      <c r="U562" s="521"/>
    </row>
    <row r="563" spans="3:21">
      <c r="C563" s="314"/>
      <c r="G563" s="167"/>
      <c r="J563" s="314"/>
      <c r="K563" s="314"/>
      <c r="M563" s="350"/>
      <c r="O563" s="225"/>
      <c r="R563" s="314"/>
      <c r="T563" s="498"/>
      <c r="U563" s="521"/>
    </row>
    <row r="564" spans="3:21">
      <c r="C564" s="314"/>
      <c r="G564" s="167"/>
      <c r="J564" s="314"/>
      <c r="K564" s="314"/>
      <c r="M564" s="350"/>
      <c r="O564" s="225"/>
      <c r="R564" s="314"/>
      <c r="T564" s="498"/>
      <c r="U564" s="521"/>
    </row>
    <row r="565" spans="3:21">
      <c r="C565" s="314"/>
      <c r="G565" s="167"/>
      <c r="J565" s="314"/>
      <c r="K565" s="314"/>
      <c r="M565" s="350"/>
      <c r="O565" s="225"/>
      <c r="R565" s="314"/>
      <c r="T565" s="498"/>
      <c r="U565" s="521"/>
    </row>
    <row r="566" spans="3:21">
      <c r="C566" s="314"/>
      <c r="G566" s="167"/>
      <c r="J566" s="314"/>
      <c r="K566" s="314"/>
      <c r="M566" s="350"/>
      <c r="O566" s="225"/>
      <c r="R566" s="314"/>
      <c r="T566" s="498"/>
      <c r="U566" s="521"/>
    </row>
    <row r="567" spans="3:21">
      <c r="C567" s="314"/>
      <c r="G567" s="167"/>
      <c r="J567" s="314"/>
      <c r="K567" s="314"/>
      <c r="M567" s="350"/>
      <c r="O567" s="225"/>
      <c r="R567" s="314"/>
      <c r="T567" s="498"/>
      <c r="U567" s="521"/>
    </row>
    <row r="568" spans="3:21">
      <c r="C568" s="314"/>
      <c r="G568" s="167"/>
      <c r="J568" s="314"/>
      <c r="K568" s="314"/>
      <c r="M568" s="350"/>
      <c r="O568" s="225"/>
      <c r="R568" s="314"/>
      <c r="T568" s="498"/>
      <c r="U568" s="521"/>
    </row>
    <row r="569" spans="3:21">
      <c r="C569" s="314"/>
      <c r="G569" s="167"/>
      <c r="J569" s="314"/>
      <c r="K569" s="314"/>
      <c r="M569" s="350"/>
      <c r="O569" s="225"/>
      <c r="R569" s="314"/>
      <c r="T569" s="498"/>
      <c r="U569" s="521"/>
    </row>
    <row r="570" spans="3:21">
      <c r="C570" s="314"/>
      <c r="G570" s="167"/>
      <c r="J570" s="314"/>
      <c r="K570" s="314"/>
      <c r="M570" s="350"/>
      <c r="O570" s="225"/>
      <c r="R570" s="314"/>
      <c r="T570" s="498"/>
      <c r="U570" s="521"/>
    </row>
    <row r="571" spans="3:21">
      <c r="C571" s="314"/>
      <c r="G571" s="167"/>
      <c r="J571" s="314"/>
      <c r="K571" s="314"/>
      <c r="M571" s="350"/>
      <c r="O571" s="225"/>
      <c r="R571" s="314"/>
      <c r="T571" s="498"/>
      <c r="U571" s="521"/>
    </row>
    <row r="572" spans="3:21">
      <c r="C572" s="314"/>
      <c r="G572" s="167"/>
      <c r="J572" s="314"/>
      <c r="K572" s="314"/>
      <c r="M572" s="350"/>
      <c r="O572" s="225"/>
      <c r="R572" s="314"/>
      <c r="T572" s="498"/>
      <c r="U572" s="521"/>
    </row>
    <row r="573" spans="3:21">
      <c r="C573" s="314"/>
      <c r="G573" s="167"/>
      <c r="J573" s="314"/>
      <c r="K573" s="314"/>
      <c r="M573" s="350"/>
      <c r="O573" s="225"/>
      <c r="R573" s="314"/>
      <c r="T573" s="498"/>
      <c r="U573" s="521"/>
    </row>
    <row r="574" spans="3:21">
      <c r="C574" s="314"/>
      <c r="G574" s="167"/>
      <c r="J574" s="314"/>
      <c r="K574" s="314"/>
      <c r="M574" s="350"/>
      <c r="O574" s="225"/>
      <c r="R574" s="314"/>
      <c r="T574" s="498"/>
      <c r="U574" s="521"/>
    </row>
    <row r="575" spans="3:21">
      <c r="C575" s="314"/>
      <c r="G575" s="167"/>
      <c r="J575" s="314"/>
      <c r="K575" s="314"/>
      <c r="M575" s="350"/>
      <c r="O575" s="225"/>
      <c r="R575" s="314"/>
      <c r="T575" s="498"/>
      <c r="U575" s="521"/>
    </row>
    <row r="576" spans="3:21">
      <c r="C576" s="314"/>
      <c r="G576" s="167"/>
      <c r="J576" s="314"/>
      <c r="K576" s="314"/>
      <c r="M576" s="350"/>
      <c r="O576" s="225"/>
      <c r="R576" s="314"/>
      <c r="T576" s="498"/>
      <c r="U576" s="521"/>
    </row>
    <row r="577" spans="3:21">
      <c r="C577" s="314"/>
      <c r="G577" s="167"/>
      <c r="J577" s="314"/>
      <c r="K577" s="314"/>
      <c r="M577" s="350"/>
      <c r="O577" s="225"/>
      <c r="R577" s="314"/>
      <c r="T577" s="498"/>
      <c r="U577" s="521"/>
    </row>
    <row r="578" spans="3:21">
      <c r="C578" s="314"/>
      <c r="G578" s="167"/>
      <c r="J578" s="314"/>
      <c r="K578" s="314"/>
      <c r="M578" s="350"/>
      <c r="O578" s="225"/>
      <c r="R578" s="314"/>
      <c r="T578" s="498"/>
      <c r="U578" s="521"/>
    </row>
    <row r="579" spans="3:21">
      <c r="C579" s="314"/>
      <c r="G579" s="167"/>
      <c r="J579" s="314"/>
      <c r="K579" s="314"/>
      <c r="M579" s="350"/>
      <c r="O579" s="225"/>
      <c r="R579" s="314"/>
      <c r="T579" s="498"/>
      <c r="U579" s="521"/>
    </row>
    <row r="580" spans="3:21">
      <c r="C580" s="314"/>
      <c r="G580" s="167"/>
      <c r="J580" s="314"/>
      <c r="K580" s="314"/>
      <c r="M580" s="350"/>
      <c r="O580" s="225"/>
      <c r="R580" s="314"/>
      <c r="T580" s="498"/>
      <c r="U580" s="521"/>
    </row>
    <row r="581" spans="3:21">
      <c r="C581" s="314"/>
      <c r="G581" s="167"/>
      <c r="J581" s="314"/>
      <c r="K581" s="314"/>
      <c r="M581" s="350"/>
      <c r="O581" s="225"/>
      <c r="R581" s="314"/>
      <c r="T581" s="498"/>
      <c r="U581" s="521"/>
    </row>
    <row r="582" spans="3:21">
      <c r="C582" s="314"/>
      <c r="G582" s="167"/>
      <c r="J582" s="314"/>
      <c r="K582" s="314"/>
      <c r="M582" s="350"/>
      <c r="O582" s="225"/>
      <c r="R582" s="314"/>
      <c r="T582" s="498"/>
      <c r="U582" s="521"/>
    </row>
    <row r="583" spans="3:21">
      <c r="C583" s="314"/>
      <c r="G583" s="167"/>
      <c r="J583" s="314"/>
      <c r="K583" s="314"/>
      <c r="M583" s="350"/>
      <c r="O583" s="225"/>
      <c r="R583" s="314"/>
      <c r="T583" s="498"/>
      <c r="U583" s="521"/>
    </row>
    <row r="584" spans="3:21">
      <c r="C584" s="314"/>
      <c r="G584" s="167"/>
      <c r="J584" s="314"/>
      <c r="K584" s="314"/>
      <c r="M584" s="350"/>
      <c r="O584" s="225"/>
      <c r="R584" s="314"/>
      <c r="T584" s="498"/>
      <c r="U584" s="521"/>
    </row>
    <row r="585" spans="3:21">
      <c r="C585" s="314"/>
      <c r="G585" s="167"/>
      <c r="J585" s="314"/>
      <c r="K585" s="314"/>
      <c r="M585" s="350"/>
      <c r="O585" s="225"/>
      <c r="R585" s="314"/>
      <c r="T585" s="498"/>
      <c r="U585" s="521"/>
    </row>
    <row r="586" spans="3:21">
      <c r="C586" s="314"/>
      <c r="G586" s="167"/>
      <c r="J586" s="314"/>
      <c r="K586" s="314"/>
      <c r="M586" s="350"/>
      <c r="O586" s="225"/>
      <c r="R586" s="314"/>
      <c r="T586" s="498"/>
      <c r="U586" s="521"/>
    </row>
    <row r="587" spans="3:21">
      <c r="C587" s="314"/>
      <c r="G587" s="167"/>
      <c r="J587" s="314"/>
      <c r="K587" s="314"/>
      <c r="M587" s="350"/>
      <c r="O587" s="225"/>
      <c r="R587" s="314"/>
      <c r="T587" s="498"/>
      <c r="U587" s="521"/>
    </row>
    <row r="588" spans="3:21">
      <c r="C588" s="314"/>
      <c r="G588" s="167"/>
      <c r="J588" s="314"/>
      <c r="K588" s="314"/>
      <c r="M588" s="350"/>
      <c r="O588" s="225"/>
      <c r="R588" s="314"/>
      <c r="T588" s="498"/>
      <c r="U588" s="521"/>
    </row>
    <row r="589" spans="3:21">
      <c r="C589" s="314"/>
      <c r="G589" s="167"/>
      <c r="J589" s="314"/>
      <c r="K589" s="314"/>
      <c r="M589" s="350"/>
      <c r="O589" s="225"/>
      <c r="R589" s="314"/>
      <c r="T589" s="498"/>
      <c r="U589" s="521"/>
    </row>
    <row r="590" spans="3:21">
      <c r="C590" s="314"/>
      <c r="G590" s="167"/>
      <c r="J590" s="314"/>
      <c r="K590" s="314"/>
      <c r="M590" s="350"/>
      <c r="O590" s="225"/>
      <c r="R590" s="314"/>
      <c r="T590" s="498"/>
      <c r="U590" s="521"/>
    </row>
    <row r="591" spans="3:21">
      <c r="C591" s="314"/>
      <c r="G591" s="167"/>
      <c r="J591" s="314"/>
      <c r="K591" s="314"/>
      <c r="M591" s="350"/>
      <c r="O591" s="225"/>
      <c r="R591" s="314"/>
      <c r="T591" s="498"/>
      <c r="U591" s="521"/>
    </row>
    <row r="592" spans="3:21">
      <c r="C592" s="314"/>
      <c r="G592" s="167"/>
      <c r="J592" s="314"/>
      <c r="K592" s="314"/>
      <c r="M592" s="350"/>
      <c r="O592" s="225"/>
      <c r="R592" s="314"/>
      <c r="T592" s="498"/>
      <c r="U592" s="521"/>
    </row>
    <row r="593" spans="3:21">
      <c r="C593" s="314"/>
      <c r="G593" s="167"/>
      <c r="J593" s="314"/>
      <c r="K593" s="314"/>
      <c r="M593" s="350"/>
      <c r="O593" s="225"/>
      <c r="R593" s="314"/>
      <c r="T593" s="498"/>
      <c r="U593" s="521"/>
    </row>
    <row r="594" spans="3:21">
      <c r="C594" s="314"/>
      <c r="G594" s="167"/>
      <c r="J594" s="314"/>
      <c r="K594" s="314"/>
      <c r="M594" s="350"/>
      <c r="O594" s="225"/>
      <c r="R594" s="314"/>
      <c r="T594" s="498"/>
      <c r="U594" s="521"/>
    </row>
    <row r="595" spans="3:21">
      <c r="C595" s="314"/>
      <c r="G595" s="167"/>
      <c r="J595" s="314"/>
      <c r="K595" s="314"/>
      <c r="M595" s="350"/>
      <c r="O595" s="225"/>
      <c r="R595" s="314"/>
      <c r="T595" s="498"/>
      <c r="U595" s="521"/>
    </row>
    <row r="596" spans="3:21">
      <c r="C596" s="314"/>
      <c r="G596" s="167"/>
      <c r="J596" s="314"/>
      <c r="K596" s="314"/>
      <c r="M596" s="350"/>
      <c r="O596" s="225"/>
      <c r="R596" s="314"/>
      <c r="T596" s="498"/>
      <c r="U596" s="521"/>
    </row>
    <row r="597" spans="3:21">
      <c r="C597" s="314"/>
      <c r="G597" s="167"/>
      <c r="J597" s="314"/>
      <c r="K597" s="314"/>
      <c r="M597" s="350"/>
      <c r="O597" s="225"/>
      <c r="R597" s="314"/>
      <c r="T597" s="498"/>
      <c r="U597" s="521"/>
    </row>
    <row r="598" spans="3:21">
      <c r="C598" s="314"/>
      <c r="G598" s="167"/>
      <c r="J598" s="314"/>
      <c r="K598" s="314"/>
      <c r="M598" s="350"/>
      <c r="O598" s="225"/>
      <c r="R598" s="314"/>
      <c r="T598" s="498"/>
      <c r="U598" s="521"/>
    </row>
    <row r="599" spans="3:21">
      <c r="C599" s="314"/>
      <c r="G599" s="167"/>
      <c r="J599" s="314"/>
      <c r="K599" s="314"/>
      <c r="M599" s="350"/>
      <c r="O599" s="225"/>
      <c r="R599" s="314"/>
      <c r="T599" s="498"/>
      <c r="U599" s="521"/>
    </row>
    <row r="600" spans="3:21">
      <c r="C600" s="314"/>
      <c r="G600" s="167"/>
      <c r="J600" s="314"/>
      <c r="K600" s="314"/>
      <c r="M600" s="350"/>
      <c r="O600" s="225"/>
      <c r="R600" s="314"/>
      <c r="T600" s="498"/>
      <c r="U600" s="521"/>
    </row>
    <row r="601" spans="3:21">
      <c r="C601" s="314"/>
      <c r="G601" s="167"/>
      <c r="J601" s="314"/>
      <c r="K601" s="314"/>
      <c r="M601" s="350"/>
      <c r="O601" s="225"/>
      <c r="R601" s="314"/>
      <c r="T601" s="498"/>
      <c r="U601" s="521"/>
    </row>
    <row r="602" spans="3:21">
      <c r="C602" s="314"/>
      <c r="G602" s="167"/>
      <c r="J602" s="314"/>
      <c r="K602" s="314"/>
      <c r="M602" s="350"/>
      <c r="O602" s="225"/>
      <c r="R602" s="314"/>
      <c r="T602" s="498"/>
      <c r="U602" s="521"/>
    </row>
    <row r="603" spans="3:21">
      <c r="C603" s="314"/>
      <c r="G603" s="167"/>
      <c r="J603" s="314"/>
      <c r="K603" s="314"/>
      <c r="M603" s="350"/>
      <c r="O603" s="225"/>
      <c r="R603" s="314"/>
      <c r="T603" s="498"/>
      <c r="U603" s="521"/>
    </row>
    <row r="604" spans="3:21">
      <c r="C604" s="314"/>
      <c r="G604" s="167"/>
      <c r="J604" s="314"/>
      <c r="K604" s="314"/>
      <c r="M604" s="350"/>
      <c r="O604" s="225"/>
      <c r="R604" s="314"/>
      <c r="T604" s="498"/>
      <c r="U604" s="521"/>
    </row>
    <row r="605" spans="3:21">
      <c r="C605" s="314"/>
      <c r="G605" s="167"/>
      <c r="J605" s="314"/>
      <c r="K605" s="314"/>
      <c r="M605" s="350"/>
      <c r="O605" s="225"/>
      <c r="R605" s="314"/>
      <c r="T605" s="498"/>
      <c r="U605" s="521"/>
    </row>
    <row r="606" spans="3:21">
      <c r="C606" s="314"/>
      <c r="G606" s="167"/>
      <c r="J606" s="314"/>
      <c r="K606" s="314"/>
      <c r="M606" s="350"/>
      <c r="O606" s="225"/>
      <c r="R606" s="314"/>
      <c r="T606" s="498"/>
      <c r="U606" s="521"/>
    </row>
    <row r="607" spans="3:21">
      <c r="C607" s="314"/>
      <c r="G607" s="167"/>
      <c r="J607" s="314"/>
      <c r="K607" s="314"/>
      <c r="M607" s="350"/>
      <c r="O607" s="225"/>
      <c r="R607" s="314"/>
      <c r="T607" s="498"/>
      <c r="U607" s="521"/>
    </row>
    <row r="608" spans="3:21">
      <c r="C608" s="314"/>
      <c r="G608" s="167"/>
      <c r="J608" s="314"/>
      <c r="K608" s="314"/>
      <c r="M608" s="350"/>
      <c r="O608" s="225"/>
      <c r="R608" s="314"/>
      <c r="T608" s="498"/>
      <c r="U608" s="521"/>
    </row>
    <row r="609" spans="3:21">
      <c r="C609" s="314"/>
      <c r="G609" s="167"/>
      <c r="J609" s="314"/>
      <c r="K609" s="314"/>
      <c r="M609" s="350"/>
      <c r="O609" s="225"/>
      <c r="R609" s="314"/>
      <c r="T609" s="498"/>
      <c r="U609" s="521"/>
    </row>
    <row r="610" spans="3:21">
      <c r="C610" s="314"/>
      <c r="G610" s="167"/>
      <c r="J610" s="314"/>
      <c r="K610" s="314"/>
      <c r="M610" s="350"/>
      <c r="O610" s="225"/>
      <c r="R610" s="314"/>
      <c r="T610" s="498"/>
      <c r="U610" s="521"/>
    </row>
    <row r="611" spans="3:21">
      <c r="C611" s="314"/>
      <c r="G611" s="167"/>
      <c r="J611" s="314"/>
      <c r="K611" s="314"/>
      <c r="M611" s="350"/>
      <c r="O611" s="225"/>
      <c r="R611" s="314"/>
      <c r="T611" s="498"/>
      <c r="U611" s="521"/>
    </row>
    <row r="612" spans="3:21">
      <c r="C612" s="314"/>
      <c r="G612" s="167"/>
      <c r="J612" s="314"/>
      <c r="K612" s="314"/>
      <c r="M612" s="350"/>
      <c r="O612" s="225"/>
      <c r="R612" s="314"/>
      <c r="T612" s="498"/>
      <c r="U612" s="521"/>
    </row>
    <row r="613" spans="3:21">
      <c r="C613" s="314"/>
      <c r="G613" s="167"/>
      <c r="J613" s="314"/>
      <c r="K613" s="314"/>
      <c r="M613" s="350"/>
      <c r="O613" s="225"/>
      <c r="R613" s="314"/>
      <c r="T613" s="498"/>
      <c r="U613" s="521"/>
    </row>
    <row r="614" spans="3:21">
      <c r="C614" s="314"/>
      <c r="G614" s="167"/>
      <c r="J614" s="314"/>
      <c r="K614" s="314"/>
      <c r="M614" s="350"/>
      <c r="O614" s="225"/>
      <c r="R614" s="314"/>
      <c r="T614" s="498"/>
      <c r="U614" s="521"/>
    </row>
    <row r="615" spans="3:21">
      <c r="C615" s="314"/>
      <c r="G615" s="167"/>
      <c r="J615" s="314"/>
      <c r="K615" s="314"/>
      <c r="M615" s="350"/>
      <c r="O615" s="225"/>
      <c r="R615" s="314"/>
      <c r="T615" s="498"/>
      <c r="U615" s="521"/>
    </row>
    <row r="616" spans="3:21">
      <c r="C616" s="314"/>
      <c r="G616" s="167"/>
      <c r="J616" s="314"/>
      <c r="K616" s="314"/>
      <c r="M616" s="350"/>
      <c r="O616" s="225"/>
      <c r="R616" s="314"/>
      <c r="T616" s="498"/>
      <c r="U616" s="521"/>
    </row>
    <row r="617" spans="3:21">
      <c r="C617" s="314"/>
      <c r="G617" s="167"/>
      <c r="J617" s="314"/>
      <c r="K617" s="314"/>
      <c r="M617" s="350"/>
      <c r="O617" s="225"/>
      <c r="R617" s="314"/>
      <c r="T617" s="498"/>
      <c r="U617" s="521"/>
    </row>
    <row r="618" spans="3:21">
      <c r="C618" s="314"/>
      <c r="G618" s="167"/>
      <c r="J618" s="314"/>
      <c r="K618" s="314"/>
      <c r="M618" s="350"/>
      <c r="O618" s="225"/>
      <c r="R618" s="314"/>
      <c r="T618" s="498"/>
      <c r="U618" s="521"/>
    </row>
    <row r="619" spans="3:21">
      <c r="C619" s="314"/>
      <c r="G619" s="167"/>
      <c r="J619" s="314"/>
      <c r="K619" s="314"/>
      <c r="M619" s="350"/>
      <c r="O619" s="225"/>
      <c r="R619" s="314"/>
      <c r="T619" s="498"/>
      <c r="U619" s="521"/>
    </row>
    <row r="620" spans="3:21">
      <c r="C620" s="314"/>
      <c r="G620" s="167"/>
      <c r="J620" s="314"/>
      <c r="K620" s="314"/>
      <c r="M620" s="350"/>
      <c r="O620" s="225"/>
      <c r="R620" s="314"/>
      <c r="T620" s="498"/>
      <c r="U620" s="521"/>
    </row>
    <row r="621" spans="3:21">
      <c r="C621" s="314"/>
      <c r="G621" s="167"/>
      <c r="J621" s="314"/>
      <c r="K621" s="314"/>
      <c r="M621" s="350"/>
      <c r="O621" s="225"/>
      <c r="R621" s="314"/>
      <c r="T621" s="498"/>
      <c r="U621" s="521"/>
    </row>
    <row r="622" spans="3:21">
      <c r="C622" s="314"/>
      <c r="G622" s="167"/>
      <c r="J622" s="314"/>
      <c r="K622" s="314"/>
      <c r="M622" s="350"/>
      <c r="O622" s="225"/>
      <c r="R622" s="314"/>
      <c r="T622" s="498"/>
      <c r="U622" s="521"/>
    </row>
    <row r="623" spans="3:21">
      <c r="C623" s="314"/>
      <c r="G623" s="167"/>
      <c r="J623" s="314"/>
      <c r="K623" s="314"/>
      <c r="M623" s="350"/>
      <c r="O623" s="225"/>
      <c r="R623" s="314"/>
      <c r="T623" s="498"/>
      <c r="U623" s="521"/>
    </row>
    <row r="624" spans="3:21">
      <c r="C624" s="314"/>
      <c r="G624" s="167"/>
      <c r="J624" s="314"/>
      <c r="K624" s="314"/>
      <c r="M624" s="350"/>
      <c r="O624" s="225"/>
      <c r="R624" s="314"/>
      <c r="T624" s="498"/>
      <c r="U624" s="521"/>
    </row>
    <row r="625" spans="3:21">
      <c r="C625" s="314"/>
      <c r="G625" s="167"/>
      <c r="J625" s="314"/>
      <c r="K625" s="314"/>
      <c r="M625" s="350"/>
      <c r="O625" s="225"/>
      <c r="R625" s="314"/>
      <c r="T625" s="498"/>
      <c r="U625" s="521"/>
    </row>
    <row r="626" spans="3:21">
      <c r="C626" s="314"/>
      <c r="G626" s="167"/>
      <c r="J626" s="314"/>
      <c r="K626" s="314"/>
      <c r="M626" s="350"/>
      <c r="O626" s="225"/>
      <c r="R626" s="314"/>
      <c r="T626" s="498"/>
      <c r="U626" s="521"/>
    </row>
    <row r="627" spans="3:21">
      <c r="C627" s="314"/>
      <c r="G627" s="167"/>
      <c r="J627" s="314"/>
      <c r="K627" s="314"/>
      <c r="M627" s="350"/>
      <c r="O627" s="225"/>
      <c r="R627" s="314"/>
      <c r="T627" s="498"/>
      <c r="U627" s="521"/>
    </row>
    <row r="628" spans="3:21">
      <c r="C628" s="314"/>
      <c r="G628" s="167"/>
      <c r="J628" s="314"/>
      <c r="K628" s="314"/>
      <c r="M628" s="350"/>
      <c r="O628" s="225"/>
      <c r="R628" s="314"/>
      <c r="T628" s="498"/>
      <c r="U628" s="521"/>
    </row>
    <row r="629" spans="3:21">
      <c r="C629" s="314"/>
      <c r="G629" s="167"/>
      <c r="J629" s="314"/>
      <c r="K629" s="314"/>
      <c r="M629" s="350"/>
      <c r="O629" s="225"/>
      <c r="R629" s="314"/>
      <c r="T629" s="498"/>
      <c r="U629" s="521"/>
    </row>
    <row r="630" spans="3:21">
      <c r="C630" s="314"/>
      <c r="G630" s="167"/>
      <c r="J630" s="314"/>
      <c r="K630" s="314"/>
      <c r="M630" s="350"/>
      <c r="O630" s="225"/>
      <c r="R630" s="314"/>
      <c r="T630" s="498"/>
      <c r="U630" s="521"/>
    </row>
    <row r="631" spans="3:21">
      <c r="C631" s="314"/>
      <c r="G631" s="167"/>
      <c r="J631" s="314"/>
      <c r="K631" s="314"/>
      <c r="M631" s="350"/>
      <c r="O631" s="225"/>
      <c r="R631" s="314"/>
      <c r="T631" s="498"/>
      <c r="U631" s="521"/>
    </row>
    <row r="632" spans="3:21">
      <c r="C632" s="314"/>
      <c r="G632" s="167"/>
      <c r="J632" s="314"/>
      <c r="K632" s="314"/>
      <c r="M632" s="350"/>
      <c r="O632" s="225"/>
      <c r="R632" s="314"/>
      <c r="T632" s="498"/>
      <c r="U632" s="521"/>
    </row>
    <row r="633" spans="3:21">
      <c r="C633" s="314"/>
      <c r="G633" s="167"/>
      <c r="J633" s="314"/>
      <c r="K633" s="314"/>
      <c r="M633" s="350"/>
      <c r="O633" s="225"/>
      <c r="R633" s="314"/>
      <c r="T633" s="498"/>
      <c r="U633" s="521"/>
    </row>
    <row r="634" spans="3:21">
      <c r="C634" s="314"/>
      <c r="G634" s="167"/>
      <c r="J634" s="314"/>
      <c r="K634" s="314"/>
      <c r="M634" s="350"/>
      <c r="O634" s="225"/>
      <c r="R634" s="314"/>
      <c r="T634" s="498"/>
      <c r="U634" s="521"/>
    </row>
    <row r="635" spans="3:21">
      <c r="C635" s="314"/>
      <c r="G635" s="167"/>
      <c r="J635" s="314"/>
      <c r="K635" s="314"/>
      <c r="M635" s="350"/>
      <c r="O635" s="225"/>
      <c r="R635" s="314"/>
      <c r="T635" s="498"/>
      <c r="U635" s="521"/>
    </row>
    <row r="636" spans="3:21">
      <c r="C636" s="314"/>
      <c r="G636" s="167"/>
      <c r="J636" s="314"/>
      <c r="K636" s="314"/>
      <c r="M636" s="350"/>
      <c r="O636" s="225"/>
      <c r="R636" s="314"/>
      <c r="T636" s="498"/>
      <c r="U636" s="521"/>
    </row>
    <row r="637" spans="3:21">
      <c r="C637" s="314"/>
      <c r="G637" s="167"/>
      <c r="J637" s="314"/>
      <c r="K637" s="314"/>
      <c r="M637" s="350"/>
      <c r="O637" s="225"/>
      <c r="R637" s="314"/>
      <c r="T637" s="498"/>
      <c r="U637" s="521"/>
    </row>
    <row r="638" spans="3:21">
      <c r="C638" s="314"/>
      <c r="G638" s="167"/>
      <c r="J638" s="314"/>
      <c r="K638" s="314"/>
      <c r="M638" s="350"/>
      <c r="O638" s="225"/>
      <c r="R638" s="314"/>
      <c r="T638" s="498"/>
      <c r="U638" s="521"/>
    </row>
    <row r="639" spans="3:21">
      <c r="C639" s="314"/>
      <c r="G639" s="167"/>
      <c r="J639" s="314"/>
      <c r="K639" s="314"/>
      <c r="M639" s="350"/>
      <c r="O639" s="225"/>
      <c r="R639" s="314"/>
      <c r="T639" s="498"/>
      <c r="U639" s="521"/>
    </row>
    <row r="640" spans="3:21">
      <c r="C640" s="314"/>
      <c r="G640" s="167"/>
      <c r="J640" s="314"/>
      <c r="K640" s="314"/>
      <c r="M640" s="350"/>
      <c r="O640" s="225"/>
      <c r="R640" s="314"/>
      <c r="T640" s="498"/>
      <c r="U640" s="521"/>
    </row>
    <row r="641" spans="3:21">
      <c r="C641" s="314"/>
      <c r="G641" s="167"/>
      <c r="J641" s="314"/>
      <c r="K641" s="314"/>
      <c r="M641" s="350"/>
      <c r="O641" s="225"/>
      <c r="R641" s="314"/>
      <c r="T641" s="498"/>
      <c r="U641" s="521"/>
    </row>
    <row r="642" spans="3:21">
      <c r="C642" s="314"/>
      <c r="G642" s="167"/>
      <c r="J642" s="314"/>
      <c r="K642" s="314"/>
      <c r="M642" s="350"/>
      <c r="O642" s="225"/>
      <c r="R642" s="314"/>
      <c r="T642" s="498"/>
      <c r="U642" s="521"/>
    </row>
    <row r="643" spans="3:21">
      <c r="C643" s="314"/>
      <c r="G643" s="167"/>
      <c r="J643" s="314"/>
      <c r="K643" s="314"/>
      <c r="M643" s="350"/>
      <c r="O643" s="225"/>
      <c r="R643" s="314"/>
      <c r="T643" s="498"/>
      <c r="U643" s="521"/>
    </row>
    <row r="644" spans="3:21">
      <c r="C644" s="314"/>
      <c r="G644" s="167"/>
      <c r="J644" s="314"/>
      <c r="K644" s="314"/>
      <c r="M644" s="350"/>
      <c r="O644" s="225"/>
      <c r="R644" s="314"/>
      <c r="T644" s="498"/>
      <c r="U644" s="521"/>
    </row>
    <row r="645" spans="3:21">
      <c r="C645" s="314"/>
      <c r="G645" s="167"/>
      <c r="J645" s="314"/>
      <c r="K645" s="314"/>
      <c r="M645" s="350"/>
      <c r="O645" s="225"/>
      <c r="R645" s="314"/>
      <c r="T645" s="498"/>
      <c r="U645" s="521"/>
    </row>
    <row r="646" spans="3:21">
      <c r="C646" s="314"/>
      <c r="G646" s="167"/>
      <c r="J646" s="314"/>
      <c r="K646" s="314"/>
      <c r="M646" s="350"/>
      <c r="O646" s="225"/>
      <c r="R646" s="314"/>
      <c r="T646" s="498"/>
      <c r="U646" s="521"/>
    </row>
    <row r="647" spans="3:21">
      <c r="C647" s="314"/>
      <c r="G647" s="167"/>
      <c r="J647" s="314"/>
      <c r="K647" s="314"/>
      <c r="M647" s="350"/>
      <c r="O647" s="225"/>
      <c r="R647" s="314"/>
      <c r="T647" s="498"/>
      <c r="U647" s="521"/>
    </row>
    <row r="648" spans="3:21">
      <c r="C648" s="314"/>
      <c r="G648" s="167"/>
      <c r="J648" s="314"/>
      <c r="K648" s="314"/>
      <c r="M648" s="350"/>
      <c r="O648" s="225"/>
      <c r="R648" s="314"/>
      <c r="T648" s="498"/>
      <c r="U648" s="521"/>
    </row>
    <row r="649" spans="3:21">
      <c r="C649" s="314"/>
      <c r="G649" s="167"/>
      <c r="J649" s="314"/>
      <c r="K649" s="314"/>
      <c r="M649" s="350"/>
      <c r="O649" s="225"/>
      <c r="R649" s="314"/>
      <c r="T649" s="498"/>
      <c r="U649" s="521"/>
    </row>
    <row r="650" spans="3:21">
      <c r="C650" s="314"/>
      <c r="G650" s="167"/>
      <c r="J650" s="314"/>
      <c r="K650" s="314"/>
      <c r="M650" s="350"/>
      <c r="O650" s="225"/>
      <c r="R650" s="314"/>
      <c r="T650" s="498"/>
      <c r="U650" s="521"/>
    </row>
    <row r="651" spans="3:21">
      <c r="C651" s="314"/>
      <c r="G651" s="167"/>
      <c r="J651" s="314"/>
      <c r="K651" s="314"/>
      <c r="M651" s="350"/>
      <c r="O651" s="225"/>
      <c r="R651" s="314"/>
      <c r="T651" s="498"/>
      <c r="U651" s="521"/>
    </row>
    <row r="652" spans="3:21">
      <c r="C652" s="314"/>
      <c r="G652" s="167"/>
      <c r="J652" s="314"/>
      <c r="K652" s="314"/>
      <c r="M652" s="350"/>
      <c r="O652" s="225"/>
      <c r="R652" s="314"/>
      <c r="T652" s="498"/>
      <c r="U652" s="521"/>
    </row>
    <row r="653" spans="3:21">
      <c r="C653" s="314"/>
      <c r="G653" s="167"/>
      <c r="J653" s="314"/>
      <c r="K653" s="314"/>
      <c r="M653" s="350"/>
      <c r="O653" s="225"/>
      <c r="R653" s="314"/>
      <c r="T653" s="498"/>
      <c r="U653" s="521"/>
    </row>
    <row r="654" spans="3:21">
      <c r="C654" s="314"/>
      <c r="G654" s="167"/>
      <c r="J654" s="314"/>
      <c r="K654" s="314"/>
      <c r="M654" s="350"/>
      <c r="O654" s="225"/>
      <c r="R654" s="314"/>
      <c r="T654" s="498"/>
      <c r="U654" s="521"/>
    </row>
    <row r="655" spans="3:21">
      <c r="C655" s="314"/>
      <c r="G655" s="167"/>
      <c r="J655" s="314"/>
      <c r="K655" s="314"/>
      <c r="M655" s="350"/>
      <c r="O655" s="225"/>
      <c r="R655" s="314"/>
      <c r="T655" s="498"/>
      <c r="U655" s="521"/>
    </row>
    <row r="656" spans="3:21">
      <c r="C656" s="314"/>
      <c r="G656" s="167"/>
      <c r="J656" s="314"/>
      <c r="K656" s="314"/>
      <c r="M656" s="350"/>
      <c r="O656" s="225"/>
      <c r="R656" s="314"/>
      <c r="T656" s="498"/>
      <c r="U656" s="521"/>
    </row>
    <row r="657" spans="3:21">
      <c r="C657" s="314"/>
      <c r="G657" s="167"/>
      <c r="J657" s="314"/>
      <c r="K657" s="314"/>
      <c r="M657" s="350"/>
      <c r="O657" s="225"/>
      <c r="R657" s="314"/>
      <c r="T657" s="498"/>
      <c r="U657" s="521"/>
    </row>
    <row r="658" spans="3:21">
      <c r="C658" s="314"/>
      <c r="G658" s="167"/>
      <c r="J658" s="314"/>
      <c r="K658" s="314"/>
      <c r="M658" s="350"/>
      <c r="O658" s="225"/>
      <c r="R658" s="314"/>
      <c r="T658" s="498"/>
      <c r="U658" s="521"/>
    </row>
    <row r="659" spans="3:21">
      <c r="C659" s="314"/>
      <c r="G659" s="167"/>
      <c r="J659" s="314"/>
      <c r="K659" s="314"/>
      <c r="M659" s="350"/>
      <c r="O659" s="225"/>
      <c r="R659" s="314"/>
      <c r="T659" s="498"/>
      <c r="U659" s="521"/>
    </row>
    <row r="660" spans="3:21">
      <c r="C660" s="314"/>
      <c r="G660" s="167"/>
      <c r="J660" s="314"/>
      <c r="K660" s="314"/>
      <c r="M660" s="350"/>
      <c r="O660" s="225"/>
      <c r="R660" s="314"/>
      <c r="T660" s="498"/>
      <c r="U660" s="521"/>
    </row>
    <row r="661" spans="3:21">
      <c r="C661" s="314"/>
      <c r="G661" s="167"/>
      <c r="J661" s="314"/>
      <c r="K661" s="314"/>
      <c r="M661" s="350"/>
      <c r="O661" s="225"/>
      <c r="R661" s="314"/>
      <c r="T661" s="498"/>
      <c r="U661" s="521"/>
    </row>
    <row r="662" spans="3:21">
      <c r="C662" s="314"/>
      <c r="G662" s="167"/>
      <c r="J662" s="314"/>
      <c r="K662" s="314"/>
      <c r="M662" s="350"/>
      <c r="O662" s="225"/>
      <c r="R662" s="314"/>
      <c r="T662" s="498"/>
      <c r="U662" s="521"/>
    </row>
    <row r="663" spans="3:21">
      <c r="C663" s="314"/>
      <c r="G663" s="167"/>
      <c r="J663" s="314"/>
      <c r="K663" s="314"/>
      <c r="M663" s="350"/>
      <c r="O663" s="225"/>
      <c r="R663" s="314"/>
      <c r="T663" s="498"/>
      <c r="U663" s="521"/>
    </row>
    <row r="664" spans="3:21">
      <c r="C664" s="314"/>
      <c r="G664" s="167"/>
      <c r="J664" s="314"/>
      <c r="K664" s="314"/>
      <c r="M664" s="350"/>
      <c r="O664" s="225"/>
      <c r="R664" s="314"/>
      <c r="T664" s="498"/>
      <c r="U664" s="521"/>
    </row>
    <row r="665" spans="3:21">
      <c r="C665" s="314"/>
      <c r="G665" s="167"/>
      <c r="J665" s="314"/>
      <c r="K665" s="314"/>
      <c r="M665" s="350"/>
      <c r="O665" s="225"/>
      <c r="R665" s="314"/>
      <c r="T665" s="498"/>
      <c r="U665" s="521"/>
    </row>
    <row r="666" spans="3:21">
      <c r="C666" s="314"/>
      <c r="G666" s="167"/>
      <c r="J666" s="314"/>
      <c r="K666" s="314"/>
      <c r="M666" s="350"/>
      <c r="O666" s="225"/>
      <c r="R666" s="314"/>
      <c r="T666" s="498"/>
      <c r="U666" s="521"/>
    </row>
    <row r="667" spans="3:21">
      <c r="C667" s="314"/>
      <c r="G667" s="167"/>
      <c r="J667" s="314"/>
      <c r="K667" s="314"/>
      <c r="M667" s="350"/>
      <c r="O667" s="225"/>
      <c r="R667" s="314"/>
      <c r="T667" s="498"/>
      <c r="U667" s="521"/>
    </row>
    <row r="668" spans="3:21">
      <c r="C668" s="314"/>
      <c r="G668" s="167"/>
      <c r="J668" s="314"/>
      <c r="K668" s="314"/>
      <c r="M668" s="350"/>
      <c r="O668" s="225"/>
      <c r="R668" s="314"/>
      <c r="T668" s="498"/>
      <c r="U668" s="521"/>
    </row>
    <row r="669" spans="3:21">
      <c r="C669" s="314"/>
      <c r="G669" s="167"/>
      <c r="J669" s="314"/>
      <c r="K669" s="314"/>
      <c r="M669" s="350"/>
      <c r="O669" s="225"/>
      <c r="R669" s="314"/>
      <c r="T669" s="498"/>
      <c r="U669" s="521"/>
    </row>
    <row r="670" spans="3:21">
      <c r="C670" s="314"/>
      <c r="G670" s="167"/>
      <c r="J670" s="314"/>
      <c r="K670" s="314"/>
      <c r="M670" s="350"/>
      <c r="O670" s="225"/>
      <c r="R670" s="314"/>
      <c r="T670" s="498"/>
      <c r="U670" s="521"/>
    </row>
    <row r="671" spans="3:21">
      <c r="C671" s="314"/>
      <c r="G671" s="167"/>
      <c r="J671" s="314"/>
      <c r="K671" s="314"/>
      <c r="M671" s="350"/>
      <c r="O671" s="225"/>
      <c r="R671" s="314"/>
      <c r="T671" s="498"/>
      <c r="U671" s="521"/>
    </row>
    <row r="672" spans="3:21">
      <c r="C672" s="314"/>
      <c r="G672" s="167"/>
      <c r="J672" s="314"/>
      <c r="K672" s="314"/>
      <c r="M672" s="350"/>
      <c r="O672" s="225"/>
      <c r="R672" s="314"/>
      <c r="T672" s="498"/>
      <c r="U672" s="521"/>
    </row>
    <row r="673" spans="3:21">
      <c r="C673" s="314"/>
      <c r="G673" s="167"/>
      <c r="J673" s="314"/>
      <c r="K673" s="314"/>
      <c r="M673" s="350"/>
      <c r="O673" s="225"/>
      <c r="R673" s="314"/>
      <c r="T673" s="498"/>
      <c r="U673" s="521"/>
    </row>
    <row r="674" spans="3:21">
      <c r="C674" s="314"/>
      <c r="G674" s="167"/>
      <c r="J674" s="314"/>
      <c r="K674" s="314"/>
      <c r="M674" s="350"/>
      <c r="O674" s="225"/>
      <c r="R674" s="314"/>
      <c r="T674" s="498"/>
      <c r="U674" s="521"/>
    </row>
    <row r="675" spans="3:21">
      <c r="C675" s="314"/>
      <c r="G675" s="167"/>
      <c r="J675" s="314"/>
      <c r="K675" s="314"/>
      <c r="M675" s="350"/>
      <c r="O675" s="225"/>
      <c r="R675" s="314"/>
      <c r="T675" s="498"/>
      <c r="U675" s="521"/>
    </row>
    <row r="676" spans="3:21">
      <c r="C676" s="314"/>
      <c r="G676" s="167"/>
      <c r="J676" s="314"/>
      <c r="K676" s="314"/>
      <c r="M676" s="350"/>
      <c r="O676" s="225"/>
      <c r="R676" s="314"/>
      <c r="T676" s="498"/>
      <c r="U676" s="521"/>
    </row>
    <row r="677" spans="3:21">
      <c r="C677" s="314"/>
      <c r="G677" s="167"/>
      <c r="J677" s="314"/>
      <c r="K677" s="314"/>
      <c r="M677" s="350"/>
      <c r="O677" s="225"/>
      <c r="R677" s="314"/>
      <c r="T677" s="498"/>
      <c r="U677" s="521"/>
    </row>
    <row r="678" spans="3:21">
      <c r="C678" s="314"/>
      <c r="G678" s="167"/>
      <c r="J678" s="314"/>
      <c r="K678" s="314"/>
      <c r="M678" s="350"/>
      <c r="O678" s="225"/>
      <c r="R678" s="314"/>
      <c r="T678" s="498"/>
      <c r="U678" s="521"/>
    </row>
    <row r="679" spans="3:21">
      <c r="C679" s="314"/>
      <c r="G679" s="167"/>
      <c r="J679" s="314"/>
      <c r="K679" s="314"/>
      <c r="M679" s="350"/>
      <c r="O679" s="225"/>
      <c r="R679" s="314"/>
      <c r="T679" s="498"/>
      <c r="U679" s="521"/>
    </row>
    <row r="680" spans="3:21">
      <c r="C680" s="314"/>
      <c r="G680" s="167"/>
      <c r="J680" s="314"/>
      <c r="K680" s="314"/>
      <c r="M680" s="350"/>
      <c r="O680" s="225"/>
      <c r="R680" s="314"/>
      <c r="T680" s="498"/>
      <c r="U680" s="521"/>
    </row>
    <row r="681" spans="3:21">
      <c r="C681" s="314"/>
      <c r="G681" s="167"/>
      <c r="J681" s="314"/>
      <c r="K681" s="314"/>
      <c r="M681" s="350"/>
      <c r="O681" s="225"/>
      <c r="R681" s="314"/>
      <c r="T681" s="498"/>
      <c r="U681" s="521"/>
    </row>
    <row r="682" spans="3:21">
      <c r="C682" s="314"/>
      <c r="G682" s="167"/>
      <c r="J682" s="314"/>
      <c r="K682" s="314"/>
      <c r="M682" s="350"/>
      <c r="O682" s="225"/>
      <c r="R682" s="314"/>
      <c r="T682" s="498"/>
      <c r="U682" s="521"/>
    </row>
    <row r="683" spans="3:21">
      <c r="C683" s="314"/>
      <c r="G683" s="167"/>
      <c r="J683" s="314"/>
      <c r="K683" s="314"/>
      <c r="M683" s="350"/>
      <c r="O683" s="225"/>
      <c r="R683" s="314"/>
      <c r="T683" s="498"/>
      <c r="U683" s="521"/>
    </row>
    <row r="684" spans="3:21">
      <c r="C684" s="314"/>
      <c r="G684" s="167"/>
      <c r="J684" s="314"/>
      <c r="K684" s="314"/>
      <c r="M684" s="350"/>
      <c r="O684" s="225"/>
      <c r="R684" s="314"/>
      <c r="T684" s="498"/>
      <c r="U684" s="521"/>
    </row>
    <row r="685" spans="3:21">
      <c r="C685" s="314"/>
      <c r="G685" s="167"/>
      <c r="J685" s="314"/>
      <c r="K685" s="314"/>
      <c r="M685" s="350"/>
      <c r="O685" s="225"/>
      <c r="R685" s="314"/>
      <c r="T685" s="498"/>
      <c r="U685" s="521"/>
    </row>
    <row r="686" spans="3:21">
      <c r="C686" s="314"/>
      <c r="G686" s="167"/>
      <c r="J686" s="314"/>
      <c r="K686" s="314"/>
      <c r="M686" s="350"/>
      <c r="O686" s="225"/>
      <c r="R686" s="314"/>
      <c r="T686" s="498"/>
      <c r="U686" s="521"/>
    </row>
    <row r="687" spans="3:21">
      <c r="C687" s="314"/>
      <c r="G687" s="167"/>
      <c r="J687" s="314"/>
      <c r="K687" s="314"/>
      <c r="M687" s="350"/>
      <c r="O687" s="225"/>
      <c r="R687" s="314"/>
      <c r="T687" s="498"/>
      <c r="U687" s="521"/>
    </row>
    <row r="688" spans="3:21">
      <c r="C688" s="314"/>
      <c r="G688" s="167"/>
      <c r="J688" s="314"/>
      <c r="K688" s="314"/>
      <c r="M688" s="350"/>
      <c r="O688" s="225"/>
      <c r="R688" s="314"/>
      <c r="T688" s="498"/>
      <c r="U688" s="521"/>
    </row>
    <row r="689" spans="3:21">
      <c r="C689" s="314"/>
      <c r="G689" s="167"/>
      <c r="J689" s="314"/>
      <c r="K689" s="314"/>
      <c r="M689" s="350"/>
      <c r="O689" s="225"/>
      <c r="R689" s="314"/>
      <c r="T689" s="498"/>
      <c r="U689" s="521"/>
    </row>
    <row r="690" spans="3:21">
      <c r="C690" s="314"/>
      <c r="G690" s="167"/>
      <c r="J690" s="314"/>
      <c r="K690" s="314"/>
      <c r="M690" s="350"/>
      <c r="O690" s="225"/>
      <c r="R690" s="314"/>
      <c r="T690" s="498"/>
      <c r="U690" s="521"/>
    </row>
    <row r="691" spans="3:21">
      <c r="C691" s="314"/>
      <c r="G691" s="167"/>
      <c r="J691" s="314"/>
      <c r="K691" s="314"/>
      <c r="M691" s="350"/>
      <c r="O691" s="225"/>
      <c r="R691" s="314"/>
      <c r="T691" s="498"/>
      <c r="U691" s="521"/>
    </row>
    <row r="692" spans="3:21">
      <c r="C692" s="314"/>
      <c r="G692" s="167"/>
      <c r="J692" s="314"/>
      <c r="K692" s="314"/>
      <c r="M692" s="350"/>
      <c r="O692" s="225"/>
      <c r="R692" s="314"/>
      <c r="T692" s="498"/>
      <c r="U692" s="521"/>
    </row>
    <row r="693" spans="3:21">
      <c r="C693" s="314"/>
      <c r="G693" s="167"/>
      <c r="J693" s="314"/>
      <c r="K693" s="314"/>
      <c r="M693" s="350"/>
      <c r="O693" s="225"/>
      <c r="R693" s="314"/>
      <c r="T693" s="498"/>
      <c r="U693" s="521"/>
    </row>
    <row r="694" spans="3:21">
      <c r="C694" s="314"/>
      <c r="G694" s="167"/>
      <c r="J694" s="314"/>
      <c r="K694" s="314"/>
      <c r="M694" s="350"/>
      <c r="O694" s="225"/>
      <c r="R694" s="314"/>
      <c r="T694" s="498"/>
      <c r="U694" s="521"/>
    </row>
    <row r="695" spans="3:21">
      <c r="C695" s="314"/>
      <c r="G695" s="167"/>
      <c r="J695" s="314"/>
      <c r="K695" s="314"/>
      <c r="M695" s="350"/>
      <c r="O695" s="225"/>
      <c r="R695" s="314"/>
      <c r="T695" s="498"/>
      <c r="U695" s="521"/>
    </row>
    <row r="696" spans="3:21">
      <c r="C696" s="314"/>
      <c r="G696" s="167"/>
      <c r="J696" s="314"/>
      <c r="K696" s="314"/>
      <c r="M696" s="350"/>
      <c r="O696" s="225"/>
      <c r="R696" s="314"/>
      <c r="T696" s="498"/>
      <c r="U696" s="521"/>
    </row>
    <row r="697" spans="3:21">
      <c r="C697" s="314"/>
      <c r="G697" s="167"/>
      <c r="J697" s="314"/>
      <c r="K697" s="314"/>
      <c r="M697" s="350"/>
      <c r="O697" s="225"/>
      <c r="R697" s="314"/>
      <c r="T697" s="498"/>
      <c r="U697" s="521"/>
    </row>
    <row r="698" spans="3:21">
      <c r="C698" s="314"/>
      <c r="G698" s="167"/>
      <c r="J698" s="314"/>
      <c r="K698" s="314"/>
      <c r="M698" s="350"/>
      <c r="O698" s="225"/>
      <c r="R698" s="314"/>
      <c r="T698" s="498"/>
      <c r="U698" s="521"/>
    </row>
    <row r="699" spans="3:21">
      <c r="C699" s="314"/>
      <c r="G699" s="167"/>
      <c r="J699" s="314"/>
      <c r="K699" s="314"/>
      <c r="M699" s="350"/>
      <c r="O699" s="225"/>
      <c r="R699" s="314"/>
      <c r="T699" s="498"/>
      <c r="U699" s="521"/>
    </row>
    <row r="700" spans="3:21">
      <c r="C700" s="314"/>
      <c r="G700" s="167"/>
      <c r="J700" s="314"/>
      <c r="K700" s="314"/>
      <c r="M700" s="350"/>
      <c r="O700" s="225"/>
      <c r="R700" s="314"/>
      <c r="T700" s="498"/>
      <c r="U700" s="521"/>
    </row>
    <row r="701" spans="3:21">
      <c r="C701" s="314"/>
      <c r="G701" s="167"/>
      <c r="J701" s="314"/>
      <c r="K701" s="314"/>
      <c r="M701" s="350"/>
      <c r="O701" s="225"/>
      <c r="R701" s="314"/>
      <c r="T701" s="498"/>
      <c r="U701" s="521"/>
    </row>
    <row r="702" spans="3:21">
      <c r="C702" s="314"/>
      <c r="G702" s="167"/>
      <c r="J702" s="314"/>
      <c r="K702" s="314"/>
      <c r="M702" s="350"/>
      <c r="O702" s="225"/>
      <c r="R702" s="314"/>
      <c r="T702" s="498"/>
      <c r="U702" s="521"/>
    </row>
    <row r="703" spans="3:21">
      <c r="C703" s="314"/>
      <c r="G703" s="167"/>
      <c r="J703" s="314"/>
      <c r="K703" s="314"/>
      <c r="M703" s="350"/>
      <c r="O703" s="225"/>
      <c r="R703" s="314"/>
      <c r="T703" s="498"/>
      <c r="U703" s="521"/>
    </row>
    <row r="704" spans="3:21">
      <c r="C704" s="314"/>
      <c r="G704" s="167"/>
      <c r="J704" s="314"/>
      <c r="K704" s="314"/>
      <c r="M704" s="350"/>
      <c r="O704" s="225"/>
      <c r="R704" s="314"/>
      <c r="T704" s="498"/>
      <c r="U704" s="521"/>
    </row>
    <row r="705" spans="3:21">
      <c r="C705" s="314"/>
      <c r="G705" s="167"/>
      <c r="J705" s="314"/>
      <c r="K705" s="314"/>
      <c r="M705" s="350"/>
      <c r="O705" s="225"/>
      <c r="R705" s="314"/>
      <c r="T705" s="498"/>
      <c r="U705" s="521"/>
    </row>
    <row r="706" spans="3:21">
      <c r="C706" s="314"/>
      <c r="G706" s="167"/>
      <c r="J706" s="314"/>
      <c r="K706" s="314"/>
      <c r="M706" s="350"/>
      <c r="O706" s="225"/>
      <c r="R706" s="314"/>
      <c r="T706" s="498"/>
      <c r="U706" s="521"/>
    </row>
    <row r="707" spans="3:21">
      <c r="C707" s="314"/>
      <c r="G707" s="167"/>
      <c r="J707" s="314"/>
      <c r="K707" s="314"/>
      <c r="M707" s="350"/>
      <c r="O707" s="225"/>
      <c r="R707" s="314"/>
      <c r="T707" s="498"/>
      <c r="U707" s="521"/>
    </row>
    <row r="708" spans="3:21">
      <c r="C708" s="314"/>
      <c r="G708" s="167"/>
      <c r="J708" s="314"/>
      <c r="K708" s="314"/>
      <c r="M708" s="350"/>
      <c r="O708" s="225"/>
      <c r="R708" s="314"/>
      <c r="T708" s="498"/>
      <c r="U708" s="521"/>
    </row>
    <row r="709" spans="3:21">
      <c r="C709" s="314"/>
      <c r="G709" s="167"/>
      <c r="J709" s="314"/>
      <c r="K709" s="314"/>
      <c r="M709" s="350"/>
      <c r="O709" s="225"/>
      <c r="R709" s="314"/>
      <c r="T709" s="498"/>
      <c r="U709" s="521"/>
    </row>
    <row r="710" spans="3:21">
      <c r="C710" s="314"/>
      <c r="G710" s="167"/>
      <c r="J710" s="314"/>
      <c r="K710" s="314"/>
      <c r="M710" s="350"/>
      <c r="O710" s="225"/>
      <c r="R710" s="314"/>
      <c r="T710" s="498"/>
      <c r="U710" s="521"/>
    </row>
    <row r="711" spans="3:21">
      <c r="C711" s="314"/>
      <c r="G711" s="167"/>
      <c r="J711" s="314"/>
      <c r="K711" s="314"/>
      <c r="M711" s="350"/>
      <c r="O711" s="225"/>
      <c r="R711" s="314"/>
      <c r="T711" s="498"/>
      <c r="U711" s="521"/>
    </row>
    <row r="712" spans="3:21">
      <c r="C712" s="314"/>
      <c r="G712" s="167"/>
      <c r="J712" s="314"/>
      <c r="K712" s="314"/>
      <c r="M712" s="350"/>
      <c r="O712" s="225"/>
      <c r="R712" s="314"/>
      <c r="T712" s="498"/>
      <c r="U712" s="521"/>
    </row>
    <row r="713" spans="3:21">
      <c r="C713" s="314"/>
      <c r="G713" s="167"/>
      <c r="J713" s="314"/>
      <c r="K713" s="314"/>
      <c r="M713" s="350"/>
      <c r="O713" s="225"/>
      <c r="R713" s="314"/>
      <c r="T713" s="498"/>
      <c r="U713" s="521"/>
    </row>
    <row r="714" spans="3:21">
      <c r="C714" s="314"/>
      <c r="G714" s="167"/>
      <c r="J714" s="314"/>
      <c r="K714" s="314"/>
      <c r="M714" s="350"/>
      <c r="O714" s="225"/>
      <c r="R714" s="314"/>
      <c r="T714" s="498"/>
      <c r="U714" s="521"/>
    </row>
    <row r="715" spans="3:21">
      <c r="C715" s="314"/>
      <c r="G715" s="167"/>
      <c r="J715" s="314"/>
      <c r="K715" s="314"/>
      <c r="M715" s="350"/>
      <c r="O715" s="225"/>
      <c r="R715" s="314"/>
      <c r="T715" s="498"/>
      <c r="U715" s="521"/>
    </row>
    <row r="716" spans="3:21">
      <c r="C716" s="314"/>
      <c r="G716" s="167"/>
      <c r="J716" s="314"/>
      <c r="K716" s="314"/>
      <c r="M716" s="350"/>
      <c r="O716" s="225"/>
      <c r="R716" s="314"/>
      <c r="T716" s="498"/>
      <c r="U716" s="521"/>
    </row>
    <row r="717" spans="3:21">
      <c r="C717" s="314"/>
      <c r="G717" s="167"/>
      <c r="J717" s="314"/>
      <c r="K717" s="314"/>
      <c r="M717" s="350"/>
      <c r="O717" s="225"/>
      <c r="R717" s="314"/>
      <c r="T717" s="498"/>
      <c r="U717" s="521"/>
    </row>
    <row r="718" spans="3:21">
      <c r="C718" s="314"/>
      <c r="G718" s="167"/>
      <c r="J718" s="314"/>
      <c r="K718" s="314"/>
      <c r="M718" s="350"/>
      <c r="O718" s="225"/>
      <c r="R718" s="314"/>
      <c r="T718" s="498"/>
      <c r="U718" s="521"/>
    </row>
    <row r="719" spans="3:21">
      <c r="C719" s="314"/>
      <c r="G719" s="167"/>
      <c r="J719" s="314"/>
      <c r="K719" s="314"/>
      <c r="M719" s="350"/>
      <c r="O719" s="225"/>
      <c r="R719" s="314"/>
      <c r="T719" s="498"/>
      <c r="U719" s="521"/>
    </row>
    <row r="720" spans="3:21">
      <c r="C720" s="314"/>
      <c r="G720" s="167"/>
      <c r="J720" s="314"/>
      <c r="K720" s="314"/>
      <c r="M720" s="350"/>
      <c r="O720" s="225"/>
      <c r="R720" s="314"/>
      <c r="T720" s="498"/>
      <c r="U720" s="521"/>
    </row>
    <row r="721" spans="3:21">
      <c r="C721" s="314"/>
      <c r="G721" s="167"/>
      <c r="J721" s="314"/>
      <c r="K721" s="314"/>
      <c r="M721" s="350"/>
      <c r="O721" s="225"/>
      <c r="R721" s="314"/>
      <c r="T721" s="498"/>
      <c r="U721" s="521"/>
    </row>
    <row r="722" spans="3:21">
      <c r="C722" s="314"/>
      <c r="G722" s="167"/>
      <c r="J722" s="314"/>
      <c r="K722" s="314"/>
      <c r="M722" s="350"/>
      <c r="O722" s="225"/>
      <c r="R722" s="314"/>
      <c r="T722" s="498"/>
      <c r="U722" s="521"/>
    </row>
    <row r="723" spans="3:21">
      <c r="C723" s="314"/>
      <c r="G723" s="167"/>
      <c r="J723" s="314"/>
      <c r="K723" s="314"/>
      <c r="M723" s="350"/>
      <c r="O723" s="225"/>
      <c r="R723" s="314"/>
      <c r="T723" s="498"/>
      <c r="U723" s="521"/>
    </row>
    <row r="724" spans="3:21">
      <c r="C724" s="314"/>
      <c r="G724" s="167"/>
      <c r="J724" s="314"/>
      <c r="K724" s="314"/>
      <c r="M724" s="350"/>
      <c r="O724" s="225"/>
      <c r="R724" s="314"/>
      <c r="T724" s="498"/>
      <c r="U724" s="521"/>
    </row>
    <row r="725" spans="3:21">
      <c r="C725" s="314"/>
      <c r="G725" s="167"/>
      <c r="J725" s="314"/>
      <c r="K725" s="314"/>
      <c r="M725" s="350"/>
      <c r="O725" s="225"/>
      <c r="R725" s="314"/>
      <c r="T725" s="498"/>
      <c r="U725" s="521"/>
    </row>
    <row r="726" spans="3:21">
      <c r="C726" s="314"/>
      <c r="G726" s="167"/>
      <c r="J726" s="314"/>
      <c r="K726" s="314"/>
      <c r="M726" s="350"/>
      <c r="O726" s="225"/>
      <c r="R726" s="314"/>
      <c r="T726" s="498"/>
      <c r="U726" s="521"/>
    </row>
    <row r="727" spans="3:21">
      <c r="C727" s="314"/>
      <c r="G727" s="167"/>
      <c r="J727" s="314"/>
      <c r="K727" s="314"/>
      <c r="M727" s="350"/>
      <c r="O727" s="225"/>
      <c r="R727" s="314"/>
      <c r="T727" s="498"/>
      <c r="U727" s="521"/>
    </row>
    <row r="728" spans="3:21">
      <c r="C728" s="314"/>
      <c r="G728" s="167"/>
      <c r="J728" s="314"/>
      <c r="K728" s="314"/>
      <c r="M728" s="350"/>
      <c r="O728" s="225"/>
      <c r="R728" s="314"/>
      <c r="T728" s="498"/>
      <c r="U728" s="521"/>
    </row>
    <row r="729" spans="3:21">
      <c r="C729" s="314"/>
      <c r="G729" s="167"/>
      <c r="J729" s="314"/>
      <c r="K729" s="314"/>
      <c r="M729" s="350"/>
      <c r="O729" s="225"/>
      <c r="R729" s="314"/>
      <c r="T729" s="498"/>
      <c r="U729" s="521"/>
    </row>
    <row r="730" spans="3:21">
      <c r="C730" s="314"/>
      <c r="G730" s="167"/>
      <c r="J730" s="314"/>
      <c r="K730" s="314"/>
      <c r="M730" s="350"/>
      <c r="O730" s="225"/>
      <c r="R730" s="314"/>
      <c r="T730" s="498"/>
      <c r="U730" s="521"/>
    </row>
    <row r="731" spans="3:21">
      <c r="C731" s="314"/>
      <c r="G731" s="167"/>
      <c r="J731" s="314"/>
      <c r="K731" s="314"/>
      <c r="M731" s="350"/>
      <c r="O731" s="225"/>
      <c r="R731" s="314"/>
      <c r="T731" s="498"/>
      <c r="U731" s="521"/>
    </row>
    <row r="732" spans="3:21">
      <c r="C732" s="314"/>
      <c r="G732" s="167"/>
      <c r="J732" s="314"/>
      <c r="K732" s="314"/>
      <c r="M732" s="350"/>
      <c r="O732" s="225"/>
      <c r="R732" s="314"/>
      <c r="T732" s="498"/>
      <c r="U732" s="521"/>
    </row>
    <row r="733" spans="3:21">
      <c r="C733" s="314"/>
      <c r="G733" s="167"/>
      <c r="J733" s="314"/>
      <c r="K733" s="314"/>
      <c r="M733" s="350"/>
      <c r="O733" s="225"/>
      <c r="R733" s="314"/>
      <c r="T733" s="498"/>
      <c r="U733" s="521"/>
    </row>
    <row r="734" spans="3:21">
      <c r="C734" s="314"/>
      <c r="G734" s="167"/>
      <c r="J734" s="314"/>
      <c r="K734" s="314"/>
      <c r="M734" s="350"/>
      <c r="O734" s="225"/>
      <c r="R734" s="314"/>
      <c r="T734" s="498"/>
      <c r="U734" s="521"/>
    </row>
    <row r="735" spans="3:21">
      <c r="C735" s="314"/>
      <c r="G735" s="167"/>
      <c r="J735" s="314"/>
      <c r="K735" s="314"/>
      <c r="M735" s="350"/>
      <c r="O735" s="225"/>
      <c r="R735" s="314"/>
      <c r="T735" s="498"/>
      <c r="U735" s="521"/>
    </row>
    <row r="736" spans="3:21">
      <c r="C736" s="314"/>
      <c r="G736" s="167"/>
      <c r="J736" s="314"/>
      <c r="K736" s="314"/>
      <c r="M736" s="350"/>
      <c r="O736" s="225"/>
      <c r="R736" s="314"/>
      <c r="T736" s="498"/>
      <c r="U736" s="521"/>
    </row>
    <row r="737" spans="3:21">
      <c r="C737" s="314"/>
      <c r="G737" s="167"/>
      <c r="J737" s="314"/>
      <c r="K737" s="314"/>
      <c r="M737" s="350"/>
      <c r="O737" s="225"/>
      <c r="R737" s="314"/>
      <c r="T737" s="498"/>
      <c r="U737" s="521"/>
    </row>
    <row r="738" spans="3:21">
      <c r="C738" s="314"/>
      <c r="G738" s="167"/>
      <c r="J738" s="314"/>
      <c r="K738" s="314"/>
      <c r="M738" s="350"/>
      <c r="O738" s="225"/>
      <c r="R738" s="314"/>
      <c r="T738" s="498"/>
      <c r="U738" s="521"/>
    </row>
    <row r="739" spans="3:21">
      <c r="C739" s="314"/>
      <c r="G739" s="167"/>
      <c r="J739" s="314"/>
      <c r="K739" s="314"/>
      <c r="M739" s="350"/>
      <c r="O739" s="225"/>
      <c r="R739" s="314"/>
      <c r="T739" s="498"/>
      <c r="U739" s="521"/>
    </row>
    <row r="740" spans="3:21">
      <c r="C740" s="314"/>
      <c r="G740" s="167"/>
      <c r="J740" s="314"/>
      <c r="K740" s="314"/>
      <c r="M740" s="350"/>
      <c r="O740" s="225"/>
      <c r="R740" s="314"/>
      <c r="T740" s="498"/>
      <c r="U740" s="521"/>
    </row>
    <row r="741" spans="3:21">
      <c r="C741" s="314"/>
      <c r="G741" s="167"/>
      <c r="J741" s="314"/>
      <c r="K741" s="314"/>
      <c r="M741" s="350"/>
      <c r="O741" s="225"/>
      <c r="R741" s="314"/>
      <c r="T741" s="498"/>
      <c r="U741" s="521"/>
    </row>
    <row r="742" spans="3:21">
      <c r="C742" s="314"/>
      <c r="G742" s="167"/>
      <c r="J742" s="314"/>
      <c r="K742" s="314"/>
      <c r="M742" s="350"/>
      <c r="O742" s="225"/>
      <c r="R742" s="314"/>
      <c r="T742" s="498"/>
      <c r="U742" s="521"/>
    </row>
    <row r="743" spans="3:21">
      <c r="C743" s="314"/>
      <c r="G743" s="167"/>
      <c r="J743" s="314"/>
      <c r="K743" s="314"/>
      <c r="M743" s="350"/>
      <c r="O743" s="225"/>
      <c r="R743" s="314"/>
      <c r="T743" s="498"/>
      <c r="U743" s="521"/>
    </row>
    <row r="744" spans="3:21">
      <c r="C744" s="314"/>
      <c r="G744" s="167"/>
      <c r="J744" s="314"/>
      <c r="K744" s="314"/>
      <c r="M744" s="350"/>
      <c r="O744" s="225"/>
      <c r="R744" s="314"/>
      <c r="T744" s="498"/>
      <c r="U744" s="521"/>
    </row>
    <row r="745" spans="3:21">
      <c r="C745" s="314"/>
      <c r="G745" s="167"/>
      <c r="J745" s="314"/>
      <c r="K745" s="314"/>
      <c r="M745" s="350"/>
      <c r="O745" s="225"/>
      <c r="R745" s="314"/>
      <c r="T745" s="498"/>
      <c r="U745" s="521"/>
    </row>
    <row r="746" spans="3:21">
      <c r="C746" s="314"/>
      <c r="G746" s="167"/>
      <c r="J746" s="314"/>
      <c r="K746" s="314"/>
      <c r="M746" s="350"/>
      <c r="O746" s="225"/>
      <c r="R746" s="314"/>
      <c r="T746" s="498"/>
      <c r="U746" s="521"/>
    </row>
    <row r="747" spans="3:21">
      <c r="C747" s="314"/>
      <c r="G747" s="167"/>
      <c r="J747" s="314"/>
      <c r="K747" s="314"/>
      <c r="M747" s="350"/>
      <c r="O747" s="225"/>
      <c r="R747" s="314"/>
      <c r="T747" s="498"/>
      <c r="U747" s="521"/>
    </row>
    <row r="748" spans="3:21">
      <c r="C748" s="314"/>
      <c r="G748" s="167"/>
      <c r="J748" s="314"/>
      <c r="K748" s="314"/>
      <c r="M748" s="350"/>
      <c r="O748" s="225"/>
      <c r="R748" s="314"/>
      <c r="T748" s="498"/>
      <c r="U748" s="521"/>
    </row>
    <row r="749" spans="3:21">
      <c r="C749" s="314"/>
      <c r="G749" s="167"/>
      <c r="J749" s="314"/>
      <c r="K749" s="314"/>
      <c r="M749" s="350"/>
      <c r="O749" s="225"/>
      <c r="R749" s="314"/>
      <c r="T749" s="498"/>
      <c r="U749" s="521"/>
    </row>
    <row r="750" spans="3:21">
      <c r="C750" s="314"/>
      <c r="G750" s="167"/>
      <c r="J750" s="314"/>
      <c r="K750" s="314"/>
      <c r="M750" s="350"/>
      <c r="O750" s="225"/>
      <c r="R750" s="314"/>
      <c r="T750" s="498"/>
      <c r="U750" s="521"/>
    </row>
    <row r="751" spans="3:21">
      <c r="C751" s="314"/>
      <c r="G751" s="167"/>
      <c r="J751" s="314"/>
      <c r="K751" s="314"/>
      <c r="M751" s="350"/>
      <c r="O751" s="225"/>
      <c r="R751" s="314"/>
      <c r="T751" s="498"/>
      <c r="U751" s="521"/>
    </row>
    <row r="752" spans="3:21">
      <c r="C752" s="314"/>
      <c r="G752" s="167"/>
      <c r="J752" s="314"/>
      <c r="K752" s="314"/>
      <c r="M752" s="350"/>
      <c r="O752" s="225"/>
      <c r="R752" s="314"/>
      <c r="T752" s="498"/>
      <c r="U752" s="521"/>
    </row>
    <row r="753" spans="3:21">
      <c r="C753" s="314"/>
      <c r="G753" s="167"/>
      <c r="J753" s="314"/>
      <c r="K753" s="314"/>
      <c r="M753" s="350"/>
      <c r="O753" s="225"/>
      <c r="R753" s="314"/>
      <c r="T753" s="498"/>
      <c r="U753" s="521"/>
    </row>
    <row r="754" spans="3:21">
      <c r="C754" s="314"/>
      <c r="G754" s="167"/>
      <c r="J754" s="314"/>
      <c r="K754" s="314"/>
      <c r="M754" s="350"/>
      <c r="O754" s="225"/>
      <c r="R754" s="314"/>
      <c r="T754" s="498"/>
      <c r="U754" s="521"/>
    </row>
    <row r="755" spans="3:21">
      <c r="C755" s="314"/>
      <c r="G755" s="167"/>
      <c r="J755" s="314"/>
      <c r="K755" s="314"/>
      <c r="M755" s="350"/>
      <c r="O755" s="225"/>
      <c r="R755" s="314"/>
      <c r="T755" s="498"/>
      <c r="U755" s="521"/>
    </row>
    <row r="756" spans="3:21">
      <c r="C756" s="314"/>
      <c r="G756" s="167"/>
      <c r="J756" s="314"/>
      <c r="K756" s="314"/>
      <c r="M756" s="350"/>
      <c r="O756" s="225"/>
      <c r="R756" s="314"/>
      <c r="T756" s="498"/>
      <c r="U756" s="521"/>
    </row>
    <row r="757" spans="3:21">
      <c r="C757" s="314"/>
      <c r="G757" s="167"/>
      <c r="J757" s="314"/>
      <c r="K757" s="314"/>
      <c r="M757" s="350"/>
      <c r="O757" s="225"/>
      <c r="R757" s="314"/>
      <c r="T757" s="498"/>
      <c r="U757" s="521"/>
    </row>
    <row r="758" spans="3:21">
      <c r="C758" s="314"/>
      <c r="G758" s="167"/>
      <c r="J758" s="314"/>
      <c r="K758" s="314"/>
      <c r="M758" s="350"/>
      <c r="O758" s="225"/>
      <c r="R758" s="314"/>
      <c r="T758" s="498"/>
      <c r="U758" s="521"/>
    </row>
    <row r="759" spans="3:21">
      <c r="C759" s="314"/>
      <c r="G759" s="167"/>
      <c r="J759" s="314"/>
      <c r="K759" s="314"/>
      <c r="M759" s="350"/>
      <c r="O759" s="225"/>
      <c r="R759" s="314"/>
      <c r="T759" s="498"/>
      <c r="U759" s="521"/>
    </row>
    <row r="760" spans="3:21">
      <c r="C760" s="314"/>
      <c r="G760" s="167"/>
      <c r="J760" s="314"/>
      <c r="K760" s="314"/>
      <c r="M760" s="350"/>
      <c r="O760" s="225"/>
      <c r="R760" s="314"/>
      <c r="T760" s="498"/>
      <c r="U760" s="521"/>
    </row>
    <row r="761" spans="3:21">
      <c r="C761" s="314"/>
      <c r="G761" s="167"/>
      <c r="J761" s="314"/>
      <c r="K761" s="314"/>
      <c r="M761" s="350"/>
      <c r="O761" s="225"/>
      <c r="R761" s="314"/>
      <c r="T761" s="498"/>
      <c r="U761" s="521"/>
    </row>
    <row r="762" spans="3:21">
      <c r="C762" s="314"/>
      <c r="G762" s="167"/>
      <c r="J762" s="314"/>
      <c r="K762" s="314"/>
      <c r="M762" s="350"/>
      <c r="O762" s="225"/>
      <c r="R762" s="314"/>
      <c r="T762" s="498"/>
      <c r="U762" s="521"/>
    </row>
    <row r="763" spans="3:21">
      <c r="C763" s="314"/>
      <c r="G763" s="167"/>
      <c r="J763" s="314"/>
      <c r="K763" s="314"/>
      <c r="M763" s="350"/>
      <c r="O763" s="225"/>
      <c r="R763" s="314"/>
      <c r="T763" s="498"/>
      <c r="U763" s="521"/>
    </row>
    <row r="764" spans="3:21">
      <c r="C764" s="314"/>
      <c r="G764" s="167"/>
      <c r="J764" s="314"/>
      <c r="K764" s="314"/>
      <c r="M764" s="350"/>
      <c r="O764" s="225"/>
      <c r="R764" s="314"/>
      <c r="T764" s="498"/>
      <c r="U764" s="521"/>
    </row>
    <row r="765" spans="3:21">
      <c r="C765" s="314"/>
      <c r="G765" s="167"/>
      <c r="J765" s="314"/>
      <c r="K765" s="314"/>
      <c r="M765" s="350"/>
      <c r="O765" s="225"/>
      <c r="R765" s="314"/>
      <c r="T765" s="498"/>
      <c r="U765" s="521"/>
    </row>
    <row r="766" spans="3:21">
      <c r="C766" s="314"/>
      <c r="G766" s="167"/>
      <c r="J766" s="314"/>
      <c r="K766" s="314"/>
      <c r="M766" s="350"/>
      <c r="O766" s="225"/>
      <c r="R766" s="314"/>
      <c r="T766" s="498"/>
      <c r="U766" s="521"/>
    </row>
    <row r="767" spans="3:21">
      <c r="C767" s="314"/>
      <c r="G767" s="167"/>
      <c r="J767" s="314"/>
      <c r="K767" s="314"/>
      <c r="M767" s="350"/>
      <c r="O767" s="225"/>
      <c r="R767" s="314"/>
      <c r="T767" s="498"/>
      <c r="U767" s="521"/>
    </row>
    <row r="768" spans="3:21">
      <c r="C768" s="314"/>
      <c r="G768" s="167"/>
      <c r="J768" s="314"/>
      <c r="K768" s="314"/>
      <c r="M768" s="350"/>
      <c r="O768" s="225"/>
      <c r="R768" s="314"/>
      <c r="T768" s="498"/>
      <c r="U768" s="521"/>
    </row>
    <row r="769" spans="3:21">
      <c r="C769" s="314"/>
      <c r="G769" s="167"/>
      <c r="J769" s="314"/>
      <c r="K769" s="314"/>
      <c r="M769" s="350"/>
      <c r="O769" s="225"/>
      <c r="R769" s="314"/>
      <c r="T769" s="498"/>
      <c r="U769" s="521"/>
    </row>
    <row r="770" spans="3:21">
      <c r="C770" s="314"/>
      <c r="G770" s="167"/>
      <c r="J770" s="314"/>
      <c r="K770" s="314"/>
      <c r="M770" s="350"/>
      <c r="O770" s="225"/>
      <c r="R770" s="314"/>
      <c r="T770" s="498"/>
      <c r="U770" s="521"/>
    </row>
    <row r="771" spans="3:21">
      <c r="C771" s="314"/>
      <c r="G771" s="167"/>
      <c r="J771" s="314"/>
      <c r="K771" s="314"/>
      <c r="M771" s="350"/>
      <c r="O771" s="225"/>
      <c r="R771" s="314"/>
      <c r="T771" s="498"/>
      <c r="U771" s="521"/>
    </row>
    <row r="772" spans="3:21">
      <c r="C772" s="314"/>
      <c r="G772" s="167"/>
      <c r="J772" s="314"/>
      <c r="K772" s="314"/>
      <c r="M772" s="350"/>
      <c r="O772" s="225"/>
      <c r="R772" s="314"/>
      <c r="T772" s="498"/>
      <c r="U772" s="521"/>
    </row>
    <row r="773" spans="3:21">
      <c r="C773" s="314"/>
      <c r="G773" s="167"/>
      <c r="J773" s="314"/>
      <c r="K773" s="314"/>
      <c r="M773" s="350"/>
      <c r="O773" s="225"/>
      <c r="R773" s="314"/>
      <c r="T773" s="498"/>
      <c r="U773" s="521"/>
    </row>
    <row r="774" spans="3:21">
      <c r="C774" s="314"/>
      <c r="G774" s="167"/>
      <c r="J774" s="314"/>
      <c r="K774" s="314"/>
      <c r="M774" s="350"/>
      <c r="O774" s="225"/>
      <c r="R774" s="314"/>
      <c r="T774" s="498"/>
      <c r="U774" s="521"/>
    </row>
    <row r="775" spans="3:21">
      <c r="C775" s="314"/>
      <c r="G775" s="167"/>
      <c r="J775" s="314"/>
      <c r="K775" s="314"/>
      <c r="M775" s="350"/>
      <c r="O775" s="225"/>
      <c r="R775" s="314"/>
      <c r="T775" s="498"/>
      <c r="U775" s="521"/>
    </row>
    <row r="776" spans="3:21">
      <c r="C776" s="314"/>
      <c r="G776" s="167"/>
      <c r="J776" s="314"/>
      <c r="K776" s="314"/>
      <c r="M776" s="350"/>
      <c r="O776" s="225"/>
      <c r="R776" s="314"/>
      <c r="T776" s="498"/>
      <c r="U776" s="521"/>
    </row>
    <row r="777" spans="3:21">
      <c r="C777" s="314"/>
      <c r="G777" s="167"/>
      <c r="J777" s="314"/>
      <c r="K777" s="314"/>
      <c r="M777" s="350"/>
      <c r="O777" s="225"/>
      <c r="R777" s="314"/>
      <c r="T777" s="498"/>
      <c r="U777" s="521"/>
    </row>
    <row r="778" spans="3:21">
      <c r="C778" s="314"/>
      <c r="G778" s="167"/>
      <c r="J778" s="314"/>
      <c r="K778" s="314"/>
      <c r="M778" s="350"/>
      <c r="O778" s="225"/>
      <c r="R778" s="314"/>
      <c r="T778" s="498"/>
      <c r="U778" s="521"/>
    </row>
    <row r="779" spans="3:21">
      <c r="C779" s="314"/>
      <c r="G779" s="167"/>
      <c r="J779" s="314"/>
      <c r="K779" s="314"/>
      <c r="M779" s="350"/>
      <c r="O779" s="225"/>
      <c r="R779" s="314"/>
      <c r="T779" s="498"/>
      <c r="U779" s="521"/>
    </row>
    <row r="780" spans="3:21">
      <c r="C780" s="314"/>
      <c r="G780" s="167"/>
      <c r="J780" s="314"/>
      <c r="K780" s="314"/>
      <c r="M780" s="350"/>
      <c r="O780" s="225"/>
      <c r="R780" s="314"/>
      <c r="T780" s="498"/>
      <c r="U780" s="521"/>
    </row>
    <row r="781" spans="3:21">
      <c r="C781" s="314"/>
      <c r="G781" s="167"/>
      <c r="J781" s="314"/>
      <c r="K781" s="314"/>
      <c r="M781" s="350"/>
      <c r="O781" s="225"/>
      <c r="R781" s="314"/>
      <c r="T781" s="498"/>
      <c r="U781" s="521"/>
    </row>
    <row r="782" spans="3:21">
      <c r="C782" s="314"/>
      <c r="G782" s="167"/>
      <c r="J782" s="314"/>
      <c r="K782" s="314"/>
      <c r="M782" s="350"/>
      <c r="O782" s="225"/>
      <c r="R782" s="314"/>
      <c r="T782" s="498"/>
      <c r="U782" s="521"/>
    </row>
    <row r="783" spans="3:21">
      <c r="C783" s="314"/>
      <c r="G783" s="167"/>
      <c r="J783" s="314"/>
      <c r="K783" s="314"/>
      <c r="M783" s="350"/>
      <c r="O783" s="225"/>
      <c r="R783" s="314"/>
      <c r="T783" s="498"/>
      <c r="U783" s="521"/>
    </row>
    <row r="784" spans="3:21">
      <c r="C784" s="314"/>
      <c r="G784" s="167"/>
      <c r="J784" s="314"/>
      <c r="K784" s="314"/>
      <c r="M784" s="350"/>
      <c r="O784" s="225"/>
      <c r="R784" s="314"/>
      <c r="T784" s="498"/>
      <c r="U784" s="521"/>
    </row>
    <row r="785" spans="3:21">
      <c r="C785" s="314"/>
      <c r="G785" s="167"/>
      <c r="J785" s="314"/>
      <c r="K785" s="314"/>
      <c r="M785" s="350"/>
      <c r="O785" s="225"/>
      <c r="R785" s="314"/>
      <c r="T785" s="498"/>
      <c r="U785" s="521"/>
    </row>
    <row r="786" spans="3:21">
      <c r="C786" s="314"/>
      <c r="G786" s="167"/>
      <c r="J786" s="314"/>
      <c r="K786" s="314"/>
      <c r="M786" s="350"/>
      <c r="O786" s="225"/>
      <c r="R786" s="314"/>
      <c r="T786" s="498"/>
      <c r="U786" s="521"/>
    </row>
    <row r="787" spans="3:21">
      <c r="C787" s="314"/>
      <c r="G787" s="167"/>
      <c r="J787" s="314"/>
      <c r="K787" s="314"/>
      <c r="M787" s="350"/>
      <c r="O787" s="225"/>
      <c r="R787" s="314"/>
      <c r="T787" s="498"/>
      <c r="U787" s="521"/>
    </row>
    <row r="788" spans="3:21">
      <c r="C788" s="314"/>
      <c r="G788" s="167"/>
      <c r="J788" s="314"/>
      <c r="K788" s="314"/>
      <c r="M788" s="350"/>
      <c r="O788" s="225"/>
      <c r="R788" s="314"/>
      <c r="T788" s="498"/>
      <c r="U788" s="521"/>
    </row>
    <row r="789" spans="3:21">
      <c r="C789" s="314"/>
      <c r="G789" s="167"/>
      <c r="J789" s="314"/>
      <c r="K789" s="314"/>
      <c r="M789" s="350"/>
      <c r="O789" s="225"/>
      <c r="R789" s="314"/>
      <c r="T789" s="498"/>
      <c r="U789" s="521"/>
    </row>
    <row r="790" spans="3:21">
      <c r="C790" s="314"/>
      <c r="G790" s="167"/>
      <c r="J790" s="314"/>
      <c r="K790" s="314"/>
      <c r="M790" s="350"/>
      <c r="O790" s="225"/>
      <c r="R790" s="314"/>
      <c r="T790" s="498"/>
      <c r="U790" s="521"/>
    </row>
    <row r="791" spans="3:21">
      <c r="C791" s="314"/>
      <c r="G791" s="167"/>
      <c r="J791" s="314"/>
      <c r="K791" s="314"/>
      <c r="M791" s="350"/>
      <c r="O791" s="225"/>
      <c r="R791" s="314"/>
      <c r="T791" s="498"/>
      <c r="U791" s="521"/>
    </row>
    <row r="792" spans="3:21">
      <c r="C792" s="314"/>
      <c r="G792" s="167"/>
      <c r="J792" s="314"/>
      <c r="K792" s="314"/>
      <c r="M792" s="350"/>
      <c r="O792" s="225"/>
      <c r="R792" s="314"/>
      <c r="T792" s="498"/>
      <c r="U792" s="521"/>
    </row>
    <row r="793" spans="3:21">
      <c r="C793" s="314"/>
      <c r="G793" s="167"/>
      <c r="J793" s="314"/>
      <c r="K793" s="314"/>
      <c r="M793" s="350"/>
      <c r="O793" s="225"/>
      <c r="R793" s="314"/>
      <c r="T793" s="498"/>
      <c r="U793" s="521"/>
    </row>
    <row r="794" spans="3:21">
      <c r="C794" s="314"/>
      <c r="G794" s="167"/>
      <c r="J794" s="314"/>
      <c r="K794" s="314"/>
      <c r="M794" s="350"/>
      <c r="O794" s="225"/>
      <c r="R794" s="314"/>
      <c r="T794" s="498"/>
      <c r="U794" s="521"/>
    </row>
    <row r="795" spans="3:21">
      <c r="C795" s="314"/>
      <c r="G795" s="167"/>
      <c r="J795" s="314"/>
      <c r="K795" s="314"/>
      <c r="M795" s="350"/>
      <c r="O795" s="225"/>
      <c r="R795" s="314"/>
      <c r="T795" s="498"/>
      <c r="U795" s="521"/>
    </row>
    <row r="796" spans="3:21">
      <c r="C796" s="314"/>
      <c r="G796" s="167"/>
      <c r="J796" s="314"/>
      <c r="K796" s="314"/>
      <c r="M796" s="350"/>
      <c r="O796" s="225"/>
      <c r="R796" s="314"/>
      <c r="T796" s="498"/>
      <c r="U796" s="521"/>
    </row>
    <row r="797" spans="3:21">
      <c r="C797" s="314"/>
      <c r="G797" s="167"/>
      <c r="J797" s="314"/>
      <c r="K797" s="314"/>
      <c r="M797" s="350"/>
      <c r="O797" s="225"/>
      <c r="R797" s="314"/>
      <c r="T797" s="498"/>
      <c r="U797" s="521"/>
    </row>
    <row r="798" spans="3:21">
      <c r="C798" s="314"/>
      <c r="G798" s="167"/>
      <c r="J798" s="314"/>
      <c r="K798" s="314"/>
      <c r="M798" s="350"/>
      <c r="O798" s="225"/>
      <c r="R798" s="314"/>
      <c r="T798" s="498"/>
      <c r="U798" s="521"/>
    </row>
    <row r="799" spans="3:21">
      <c r="C799" s="314"/>
      <c r="G799" s="167"/>
      <c r="J799" s="314"/>
      <c r="K799" s="314"/>
      <c r="M799" s="350"/>
      <c r="O799" s="225"/>
      <c r="R799" s="314"/>
      <c r="T799" s="498"/>
      <c r="U799" s="521"/>
    </row>
    <row r="800" spans="3:21">
      <c r="C800" s="314"/>
      <c r="G800" s="167"/>
      <c r="J800" s="314"/>
      <c r="K800" s="314"/>
      <c r="M800" s="350"/>
      <c r="O800" s="225"/>
      <c r="R800" s="314"/>
      <c r="T800" s="498"/>
      <c r="U800" s="521"/>
    </row>
    <row r="801" spans="3:21">
      <c r="C801" s="314"/>
      <c r="G801" s="167"/>
      <c r="J801" s="314"/>
      <c r="K801" s="314"/>
      <c r="M801" s="350"/>
      <c r="O801" s="225"/>
      <c r="R801" s="314"/>
      <c r="T801" s="498"/>
      <c r="U801" s="521"/>
    </row>
    <row r="802" spans="3:21">
      <c r="C802" s="314"/>
      <c r="G802" s="167"/>
      <c r="J802" s="314"/>
      <c r="K802" s="314"/>
      <c r="M802" s="350"/>
      <c r="O802" s="225"/>
      <c r="R802" s="314"/>
      <c r="T802" s="498"/>
      <c r="U802" s="521"/>
    </row>
    <row r="803" spans="3:21">
      <c r="C803" s="314"/>
      <c r="G803" s="167"/>
      <c r="J803" s="314"/>
      <c r="K803" s="314"/>
      <c r="M803" s="350"/>
      <c r="O803" s="225"/>
      <c r="R803" s="314"/>
      <c r="T803" s="498"/>
      <c r="U803" s="521"/>
    </row>
    <row r="804" spans="3:21">
      <c r="C804" s="314"/>
      <c r="G804" s="167"/>
      <c r="J804" s="314"/>
      <c r="K804" s="314"/>
      <c r="M804" s="350"/>
      <c r="O804" s="225"/>
      <c r="R804" s="314"/>
      <c r="T804" s="498"/>
      <c r="U804" s="521"/>
    </row>
    <row r="805" spans="3:21">
      <c r="C805" s="314"/>
      <c r="G805" s="167"/>
      <c r="J805" s="314"/>
      <c r="K805" s="314"/>
      <c r="M805" s="350"/>
      <c r="O805" s="225"/>
      <c r="R805" s="314"/>
      <c r="T805" s="498"/>
      <c r="U805" s="521"/>
    </row>
    <row r="806" spans="3:21">
      <c r="C806" s="314"/>
      <c r="G806" s="167"/>
      <c r="J806" s="314"/>
      <c r="K806" s="314"/>
      <c r="M806" s="350"/>
      <c r="O806" s="225"/>
      <c r="R806" s="314"/>
      <c r="T806" s="498"/>
      <c r="U806" s="521"/>
    </row>
    <row r="807" spans="3:21">
      <c r="C807" s="314"/>
      <c r="G807" s="167"/>
      <c r="J807" s="314"/>
      <c r="K807" s="314"/>
      <c r="M807" s="350"/>
      <c r="O807" s="225"/>
      <c r="R807" s="314"/>
      <c r="T807" s="498"/>
      <c r="U807" s="521"/>
    </row>
    <row r="808" spans="3:21">
      <c r="C808" s="314"/>
      <c r="G808" s="167"/>
      <c r="J808" s="314"/>
      <c r="K808" s="314"/>
      <c r="M808" s="350"/>
      <c r="O808" s="225"/>
      <c r="R808" s="314"/>
      <c r="T808" s="498"/>
      <c r="U808" s="521"/>
    </row>
    <row r="809" spans="3:21">
      <c r="C809" s="314"/>
      <c r="G809" s="167"/>
      <c r="J809" s="314"/>
      <c r="K809" s="314"/>
      <c r="M809" s="350"/>
      <c r="O809" s="225"/>
      <c r="R809" s="314"/>
      <c r="T809" s="498"/>
      <c r="U809" s="521"/>
    </row>
    <row r="810" spans="3:21">
      <c r="C810" s="314"/>
      <c r="G810" s="167"/>
      <c r="J810" s="314"/>
      <c r="K810" s="314"/>
      <c r="M810" s="350"/>
      <c r="O810" s="225"/>
      <c r="R810" s="314"/>
      <c r="T810" s="498"/>
      <c r="U810" s="521"/>
    </row>
    <row r="811" spans="3:21">
      <c r="C811" s="314"/>
      <c r="G811" s="167"/>
      <c r="J811" s="314"/>
      <c r="K811" s="314"/>
      <c r="M811" s="350"/>
      <c r="O811" s="225"/>
      <c r="R811" s="314"/>
      <c r="T811" s="498"/>
      <c r="U811" s="521"/>
    </row>
    <row r="812" spans="3:21">
      <c r="C812" s="314"/>
      <c r="G812" s="167"/>
      <c r="J812" s="314"/>
      <c r="K812" s="314"/>
      <c r="M812" s="350"/>
      <c r="O812" s="225"/>
      <c r="R812" s="314"/>
      <c r="T812" s="498"/>
      <c r="U812" s="521"/>
    </row>
    <row r="813" spans="3:21">
      <c r="C813" s="314"/>
      <c r="G813" s="167"/>
      <c r="J813" s="314"/>
      <c r="K813" s="314"/>
      <c r="M813" s="350"/>
      <c r="O813" s="225"/>
      <c r="R813" s="314"/>
      <c r="T813" s="498"/>
      <c r="U813" s="521"/>
    </row>
    <row r="814" spans="3:21">
      <c r="C814" s="314"/>
      <c r="G814" s="167"/>
      <c r="J814" s="314"/>
      <c r="K814" s="314"/>
      <c r="M814" s="350"/>
      <c r="O814" s="225"/>
      <c r="R814" s="314"/>
      <c r="T814" s="498"/>
      <c r="U814" s="521"/>
    </row>
    <row r="815" spans="3:21">
      <c r="C815" s="314"/>
      <c r="G815" s="167"/>
      <c r="J815" s="314"/>
      <c r="K815" s="314"/>
      <c r="M815" s="350"/>
      <c r="O815" s="225"/>
      <c r="R815" s="314"/>
      <c r="T815" s="498"/>
      <c r="U815" s="521"/>
    </row>
    <row r="816" spans="3:21">
      <c r="C816" s="314"/>
      <c r="G816" s="167"/>
      <c r="J816" s="314"/>
      <c r="K816" s="314"/>
      <c r="M816" s="350"/>
      <c r="O816" s="225"/>
      <c r="R816" s="314"/>
      <c r="T816" s="498"/>
      <c r="U816" s="521"/>
    </row>
    <row r="817" spans="3:21">
      <c r="C817" s="314"/>
      <c r="G817" s="167"/>
      <c r="J817" s="314"/>
      <c r="K817" s="314"/>
      <c r="M817" s="350"/>
      <c r="O817" s="225"/>
      <c r="R817" s="314"/>
      <c r="T817" s="498"/>
      <c r="U817" s="521"/>
    </row>
    <row r="818" spans="3:21">
      <c r="C818" s="314"/>
      <c r="G818" s="167"/>
      <c r="J818" s="314"/>
      <c r="K818" s="314"/>
      <c r="M818" s="350"/>
      <c r="O818" s="225"/>
      <c r="R818" s="314"/>
      <c r="T818" s="498"/>
      <c r="U818" s="521"/>
    </row>
    <row r="819" spans="3:21">
      <c r="C819" s="314"/>
      <c r="G819" s="167"/>
      <c r="J819" s="314"/>
      <c r="K819" s="314"/>
      <c r="M819" s="350"/>
      <c r="O819" s="225"/>
      <c r="R819" s="314"/>
      <c r="T819" s="498"/>
      <c r="U819" s="521"/>
    </row>
    <row r="820" spans="3:21">
      <c r="C820" s="314"/>
      <c r="G820" s="167"/>
      <c r="J820" s="314"/>
      <c r="K820" s="314"/>
      <c r="M820" s="350"/>
      <c r="O820" s="225"/>
      <c r="R820" s="314"/>
      <c r="T820" s="498"/>
      <c r="U820" s="521"/>
    </row>
    <row r="821" spans="3:21">
      <c r="C821" s="314"/>
      <c r="G821" s="167"/>
      <c r="J821" s="314"/>
      <c r="K821" s="314"/>
      <c r="M821" s="350"/>
      <c r="O821" s="225"/>
      <c r="R821" s="314"/>
      <c r="T821" s="498"/>
      <c r="U821" s="521"/>
    </row>
    <row r="822" spans="3:21">
      <c r="C822" s="314"/>
      <c r="G822" s="167"/>
      <c r="J822" s="314"/>
      <c r="K822" s="314"/>
      <c r="M822" s="350"/>
      <c r="O822" s="225"/>
      <c r="R822" s="314"/>
      <c r="T822" s="498"/>
      <c r="U822" s="521"/>
    </row>
    <row r="823" spans="3:21">
      <c r="C823" s="314"/>
      <c r="G823" s="167"/>
      <c r="J823" s="314"/>
      <c r="K823" s="314"/>
      <c r="M823" s="350"/>
      <c r="O823" s="225"/>
      <c r="R823" s="314"/>
      <c r="T823" s="498"/>
      <c r="U823" s="521"/>
    </row>
    <row r="824" spans="3:21">
      <c r="C824" s="314"/>
      <c r="G824" s="167"/>
      <c r="J824" s="314"/>
      <c r="K824" s="314"/>
      <c r="M824" s="350"/>
      <c r="O824" s="225"/>
      <c r="R824" s="314"/>
      <c r="T824" s="498"/>
      <c r="U824" s="521"/>
    </row>
    <row r="825" spans="3:21">
      <c r="C825" s="314"/>
      <c r="G825" s="167"/>
      <c r="J825" s="314"/>
      <c r="K825" s="314"/>
      <c r="M825" s="350"/>
      <c r="O825" s="225"/>
      <c r="R825" s="314"/>
      <c r="T825" s="498"/>
      <c r="U825" s="521"/>
    </row>
    <row r="826" spans="3:21">
      <c r="C826" s="314"/>
      <c r="G826" s="167"/>
      <c r="J826" s="314"/>
      <c r="K826" s="314"/>
      <c r="M826" s="350"/>
      <c r="O826" s="225"/>
      <c r="R826" s="314"/>
      <c r="T826" s="498"/>
      <c r="U826" s="521"/>
    </row>
    <row r="827" spans="3:21">
      <c r="C827" s="314"/>
      <c r="G827" s="167"/>
      <c r="J827" s="314"/>
      <c r="K827" s="314"/>
      <c r="M827" s="350"/>
      <c r="O827" s="225"/>
      <c r="R827" s="314"/>
      <c r="T827" s="498"/>
      <c r="U827" s="521"/>
    </row>
    <row r="828" spans="3:21">
      <c r="C828" s="314"/>
      <c r="G828" s="167"/>
      <c r="J828" s="314"/>
      <c r="K828" s="314"/>
      <c r="M828" s="350"/>
      <c r="O828" s="225"/>
      <c r="R828" s="314"/>
      <c r="T828" s="498"/>
      <c r="U828" s="521"/>
    </row>
    <row r="829" spans="3:21">
      <c r="C829" s="314"/>
      <c r="G829" s="167"/>
      <c r="J829" s="314"/>
      <c r="K829" s="314"/>
      <c r="M829" s="350"/>
      <c r="O829" s="225"/>
      <c r="R829" s="314"/>
      <c r="T829" s="498"/>
      <c r="U829" s="521"/>
    </row>
    <row r="830" spans="3:21">
      <c r="C830" s="314"/>
      <c r="G830" s="167"/>
      <c r="J830" s="314"/>
      <c r="K830" s="314"/>
      <c r="M830" s="350"/>
      <c r="O830" s="225"/>
      <c r="R830" s="314"/>
      <c r="T830" s="498"/>
      <c r="U830" s="521"/>
    </row>
    <row r="831" spans="3:21">
      <c r="C831" s="314"/>
      <c r="G831" s="167"/>
      <c r="J831" s="314"/>
      <c r="K831" s="314"/>
      <c r="M831" s="350"/>
      <c r="O831" s="225"/>
      <c r="R831" s="314"/>
      <c r="T831" s="498"/>
      <c r="U831" s="521"/>
    </row>
    <row r="832" spans="3:21">
      <c r="C832" s="314"/>
      <c r="G832" s="167"/>
      <c r="J832" s="314"/>
      <c r="K832" s="314"/>
      <c r="M832" s="350"/>
      <c r="O832" s="225"/>
      <c r="R832" s="314"/>
      <c r="T832" s="498"/>
      <c r="U832" s="521"/>
    </row>
    <row r="833" spans="3:21">
      <c r="C833" s="314"/>
      <c r="G833" s="167"/>
      <c r="J833" s="314"/>
      <c r="K833" s="314"/>
      <c r="M833" s="350"/>
      <c r="O833" s="225"/>
      <c r="R833" s="314"/>
      <c r="T833" s="498"/>
      <c r="U833" s="521"/>
    </row>
    <row r="834" spans="3:21">
      <c r="C834" s="314"/>
      <c r="G834" s="167"/>
      <c r="J834" s="314"/>
      <c r="K834" s="314"/>
      <c r="M834" s="350"/>
      <c r="O834" s="225"/>
      <c r="R834" s="314"/>
      <c r="T834" s="498"/>
      <c r="U834" s="521"/>
    </row>
    <row r="835" spans="3:21">
      <c r="C835" s="314"/>
      <c r="G835" s="167"/>
      <c r="J835" s="314"/>
      <c r="K835" s="314"/>
      <c r="M835" s="350"/>
      <c r="O835" s="225"/>
      <c r="R835" s="314"/>
      <c r="T835" s="498"/>
      <c r="U835" s="521"/>
    </row>
    <row r="836" spans="3:21">
      <c r="C836" s="314"/>
      <c r="G836" s="167"/>
      <c r="J836" s="314"/>
      <c r="K836" s="314"/>
      <c r="M836" s="350"/>
      <c r="O836" s="225"/>
      <c r="R836" s="314"/>
      <c r="T836" s="498"/>
      <c r="U836" s="521"/>
    </row>
    <row r="837" spans="3:21">
      <c r="C837" s="314"/>
      <c r="G837" s="167"/>
      <c r="J837" s="314"/>
      <c r="K837" s="314"/>
      <c r="M837" s="350"/>
      <c r="O837" s="225"/>
      <c r="R837" s="314"/>
      <c r="T837" s="498"/>
      <c r="U837" s="521"/>
    </row>
    <row r="838" spans="3:21">
      <c r="C838" s="314"/>
      <c r="G838" s="167"/>
      <c r="J838" s="314"/>
      <c r="K838" s="314"/>
      <c r="M838" s="350"/>
      <c r="O838" s="225"/>
      <c r="R838" s="314"/>
      <c r="T838" s="498"/>
      <c r="U838" s="521"/>
    </row>
    <row r="839" spans="3:21">
      <c r="C839" s="314"/>
      <c r="G839" s="167"/>
      <c r="J839" s="314"/>
      <c r="K839" s="314"/>
      <c r="M839" s="350"/>
      <c r="O839" s="225"/>
      <c r="R839" s="314"/>
      <c r="T839" s="498"/>
      <c r="U839" s="521"/>
    </row>
    <row r="840" spans="3:21">
      <c r="C840" s="314"/>
      <c r="G840" s="167"/>
      <c r="J840" s="314"/>
      <c r="K840" s="314"/>
      <c r="M840" s="350"/>
      <c r="O840" s="225"/>
      <c r="R840" s="314"/>
      <c r="T840" s="498"/>
      <c r="U840" s="521"/>
    </row>
    <row r="841" spans="3:21">
      <c r="C841" s="314"/>
      <c r="G841" s="167"/>
      <c r="J841" s="314"/>
      <c r="K841" s="314"/>
      <c r="M841" s="350"/>
      <c r="O841" s="225"/>
      <c r="R841" s="314"/>
      <c r="T841" s="498"/>
      <c r="U841" s="521"/>
    </row>
    <row r="842" spans="3:21">
      <c r="C842" s="314"/>
      <c r="G842" s="167"/>
      <c r="J842" s="314"/>
      <c r="K842" s="314"/>
      <c r="M842" s="350"/>
      <c r="O842" s="225"/>
      <c r="R842" s="314"/>
      <c r="T842" s="498"/>
      <c r="U842" s="521"/>
    </row>
    <row r="843" spans="3:21">
      <c r="C843" s="314"/>
      <c r="G843" s="167"/>
      <c r="J843" s="314"/>
      <c r="K843" s="314"/>
      <c r="M843" s="350"/>
      <c r="O843" s="225"/>
      <c r="R843" s="314"/>
      <c r="T843" s="498"/>
      <c r="U843" s="521"/>
    </row>
    <row r="844" spans="3:21">
      <c r="C844" s="314"/>
      <c r="G844" s="167"/>
      <c r="J844" s="314"/>
      <c r="K844" s="314"/>
      <c r="M844" s="350"/>
      <c r="O844" s="225"/>
      <c r="R844" s="314"/>
      <c r="T844" s="498"/>
      <c r="U844" s="521"/>
    </row>
    <row r="845" spans="3:21">
      <c r="C845" s="314"/>
      <c r="G845" s="167"/>
      <c r="J845" s="314"/>
      <c r="K845" s="314"/>
      <c r="M845" s="350"/>
      <c r="O845" s="225"/>
      <c r="R845" s="314"/>
      <c r="T845" s="498"/>
      <c r="U845" s="521"/>
    </row>
    <row r="846" spans="3:21">
      <c r="C846" s="314"/>
      <c r="G846" s="167"/>
      <c r="J846" s="314"/>
      <c r="K846" s="314"/>
      <c r="M846" s="350"/>
      <c r="O846" s="225"/>
      <c r="R846" s="314"/>
      <c r="T846" s="498"/>
      <c r="U846" s="521"/>
    </row>
    <row r="847" spans="3:21">
      <c r="C847" s="314"/>
      <c r="G847" s="167"/>
      <c r="J847" s="314"/>
      <c r="K847" s="314"/>
      <c r="M847" s="350"/>
      <c r="O847" s="225"/>
      <c r="R847" s="314"/>
      <c r="T847" s="498"/>
      <c r="U847" s="521"/>
    </row>
    <row r="848" spans="3:21">
      <c r="C848" s="314"/>
      <c r="G848" s="167"/>
      <c r="J848" s="314"/>
      <c r="K848" s="314"/>
      <c r="M848" s="350"/>
      <c r="O848" s="225"/>
      <c r="R848" s="314"/>
      <c r="T848" s="498"/>
      <c r="U848" s="521"/>
    </row>
    <row r="849" spans="3:21">
      <c r="C849" s="314"/>
      <c r="G849" s="167"/>
      <c r="J849" s="314"/>
      <c r="K849" s="314"/>
      <c r="M849" s="350"/>
      <c r="O849" s="225"/>
      <c r="R849" s="314"/>
      <c r="T849" s="498"/>
      <c r="U849" s="521"/>
    </row>
    <row r="850" spans="3:21">
      <c r="C850" s="314"/>
      <c r="G850" s="167"/>
      <c r="J850" s="314"/>
      <c r="K850" s="314"/>
      <c r="M850" s="350"/>
      <c r="O850" s="225"/>
      <c r="R850" s="314"/>
      <c r="T850" s="498"/>
      <c r="U850" s="521"/>
    </row>
    <row r="851" spans="3:21">
      <c r="C851" s="314"/>
      <c r="G851" s="167"/>
      <c r="J851" s="314"/>
      <c r="K851" s="314"/>
      <c r="M851" s="350"/>
      <c r="O851" s="225"/>
      <c r="R851" s="314"/>
      <c r="T851" s="498"/>
      <c r="U851" s="521"/>
    </row>
    <row r="852" spans="3:21">
      <c r="C852" s="314"/>
      <c r="G852" s="167"/>
      <c r="J852" s="314"/>
      <c r="K852" s="314"/>
      <c r="M852" s="350"/>
      <c r="O852" s="225"/>
      <c r="R852" s="314"/>
      <c r="T852" s="498"/>
      <c r="U852" s="521"/>
    </row>
    <row r="853" spans="3:21">
      <c r="C853" s="314"/>
      <c r="G853" s="167"/>
      <c r="J853" s="314"/>
      <c r="K853" s="314"/>
      <c r="M853" s="350"/>
      <c r="O853" s="225"/>
      <c r="R853" s="314"/>
      <c r="T853" s="498"/>
      <c r="U853" s="521"/>
    </row>
    <row r="854" spans="3:21">
      <c r="C854" s="314"/>
      <c r="G854" s="167"/>
      <c r="J854" s="314"/>
      <c r="K854" s="314"/>
      <c r="M854" s="350"/>
      <c r="O854" s="225"/>
      <c r="R854" s="314"/>
      <c r="T854" s="498"/>
      <c r="U854" s="521"/>
    </row>
    <row r="855" spans="3:21">
      <c r="C855" s="314"/>
      <c r="G855" s="167"/>
      <c r="J855" s="314"/>
      <c r="K855" s="314"/>
      <c r="M855" s="350"/>
      <c r="O855" s="225"/>
      <c r="R855" s="314"/>
      <c r="T855" s="498"/>
      <c r="U855" s="521"/>
    </row>
    <row r="856" spans="3:21">
      <c r="C856" s="314"/>
      <c r="G856" s="167"/>
      <c r="J856" s="314"/>
      <c r="K856" s="314"/>
      <c r="M856" s="350"/>
      <c r="O856" s="225"/>
      <c r="R856" s="314"/>
      <c r="T856" s="498"/>
      <c r="U856" s="521"/>
    </row>
    <row r="857" spans="3:21">
      <c r="C857" s="314"/>
      <c r="G857" s="167"/>
      <c r="J857" s="314"/>
      <c r="K857" s="314"/>
      <c r="M857" s="350"/>
      <c r="O857" s="225"/>
      <c r="R857" s="314"/>
      <c r="T857" s="498"/>
      <c r="U857" s="521"/>
    </row>
    <row r="858" spans="3:21">
      <c r="C858" s="314"/>
      <c r="G858" s="167"/>
      <c r="J858" s="314"/>
      <c r="K858" s="314"/>
      <c r="M858" s="350"/>
      <c r="O858" s="225"/>
      <c r="R858" s="314"/>
      <c r="T858" s="498"/>
      <c r="U858" s="521"/>
    </row>
    <row r="859" spans="3:21">
      <c r="C859" s="314"/>
      <c r="G859" s="167"/>
      <c r="J859" s="314"/>
      <c r="K859" s="314"/>
      <c r="M859" s="350"/>
      <c r="O859" s="225"/>
      <c r="R859" s="314"/>
      <c r="T859" s="498"/>
      <c r="U859" s="521"/>
    </row>
    <row r="860" spans="3:21">
      <c r="C860" s="314"/>
      <c r="G860" s="167"/>
      <c r="J860" s="314"/>
      <c r="K860" s="314"/>
      <c r="M860" s="350"/>
      <c r="O860" s="225"/>
      <c r="R860" s="314"/>
      <c r="T860" s="498"/>
      <c r="U860" s="521"/>
    </row>
    <row r="861" spans="3:21">
      <c r="C861" s="314"/>
      <c r="G861" s="167"/>
      <c r="J861" s="314"/>
      <c r="K861" s="314"/>
      <c r="M861" s="350"/>
      <c r="O861" s="225"/>
      <c r="R861" s="314"/>
      <c r="T861" s="498"/>
      <c r="U861" s="521"/>
    </row>
    <row r="862" spans="3:21">
      <c r="C862" s="314"/>
      <c r="G862" s="167"/>
      <c r="J862" s="314"/>
      <c r="K862" s="314"/>
      <c r="M862" s="350"/>
      <c r="O862" s="225"/>
      <c r="R862" s="314"/>
      <c r="T862" s="498"/>
      <c r="U862" s="521"/>
    </row>
    <row r="863" spans="3:21">
      <c r="C863" s="314"/>
      <c r="G863" s="167"/>
      <c r="J863" s="314"/>
      <c r="K863" s="314"/>
      <c r="M863" s="350"/>
      <c r="O863" s="225"/>
      <c r="R863" s="314"/>
      <c r="T863" s="498"/>
      <c r="U863" s="521"/>
    </row>
    <row r="864" spans="3:21">
      <c r="C864" s="314"/>
      <c r="G864" s="167"/>
      <c r="J864" s="314"/>
      <c r="K864" s="314"/>
      <c r="M864" s="350"/>
      <c r="O864" s="225"/>
      <c r="R864" s="314"/>
      <c r="T864" s="498"/>
      <c r="U864" s="521"/>
    </row>
    <row r="865" spans="3:21">
      <c r="C865" s="314"/>
      <c r="G865" s="167"/>
      <c r="J865" s="314"/>
      <c r="K865" s="314"/>
      <c r="M865" s="350"/>
      <c r="O865" s="225"/>
      <c r="R865" s="314"/>
      <c r="T865" s="498"/>
      <c r="U865" s="521"/>
    </row>
    <row r="866" spans="3:21">
      <c r="C866" s="314"/>
      <c r="G866" s="167"/>
      <c r="J866" s="314"/>
      <c r="K866" s="314"/>
      <c r="M866" s="350"/>
      <c r="O866" s="225"/>
      <c r="R866" s="314"/>
      <c r="T866" s="498"/>
      <c r="U866" s="521"/>
    </row>
    <row r="867" spans="3:21">
      <c r="C867" s="314"/>
      <c r="G867" s="167"/>
      <c r="J867" s="314"/>
      <c r="K867" s="314"/>
      <c r="M867" s="350"/>
      <c r="O867" s="225"/>
      <c r="R867" s="314"/>
      <c r="T867" s="498"/>
      <c r="U867" s="521"/>
    </row>
    <row r="868" spans="3:21">
      <c r="C868" s="314"/>
      <c r="G868" s="167"/>
      <c r="J868" s="314"/>
      <c r="K868" s="314"/>
      <c r="M868" s="350"/>
      <c r="O868" s="225"/>
      <c r="R868" s="314"/>
      <c r="T868" s="498"/>
      <c r="U868" s="521"/>
    </row>
    <row r="869" spans="3:21">
      <c r="C869" s="314"/>
      <c r="G869" s="167"/>
      <c r="J869" s="314"/>
      <c r="K869" s="314"/>
      <c r="M869" s="350"/>
      <c r="O869" s="225"/>
      <c r="R869" s="314"/>
      <c r="T869" s="498"/>
      <c r="U869" s="521"/>
    </row>
    <row r="870" spans="3:21">
      <c r="C870" s="314"/>
      <c r="G870" s="167"/>
      <c r="J870" s="314"/>
      <c r="K870" s="314"/>
      <c r="M870" s="350"/>
      <c r="O870" s="225"/>
      <c r="R870" s="314"/>
      <c r="T870" s="498"/>
      <c r="U870" s="521"/>
    </row>
    <row r="871" spans="3:21">
      <c r="C871" s="314"/>
      <c r="G871" s="167"/>
      <c r="J871" s="314"/>
      <c r="K871" s="314"/>
      <c r="M871" s="350"/>
      <c r="O871" s="225"/>
      <c r="R871" s="314"/>
      <c r="T871" s="498"/>
      <c r="U871" s="521"/>
    </row>
    <row r="872" spans="3:21">
      <c r="C872" s="314"/>
      <c r="G872" s="167"/>
      <c r="J872" s="314"/>
      <c r="K872" s="314"/>
      <c r="M872" s="350"/>
      <c r="O872" s="225"/>
      <c r="R872" s="314"/>
      <c r="T872" s="498"/>
      <c r="U872" s="521"/>
    </row>
    <row r="873" spans="3:21">
      <c r="C873" s="314"/>
      <c r="G873" s="167"/>
      <c r="J873" s="314"/>
      <c r="K873" s="314"/>
      <c r="M873" s="350"/>
      <c r="O873" s="225"/>
      <c r="R873" s="314"/>
      <c r="T873" s="498"/>
      <c r="U873" s="521"/>
    </row>
    <row r="874" spans="3:21">
      <c r="C874" s="314"/>
      <c r="G874" s="167"/>
      <c r="J874" s="314"/>
      <c r="K874" s="314"/>
      <c r="M874" s="350"/>
      <c r="O874" s="225"/>
      <c r="R874" s="314"/>
      <c r="T874" s="498"/>
      <c r="U874" s="521"/>
    </row>
    <row r="875" spans="3:21">
      <c r="C875" s="314"/>
      <c r="G875" s="167"/>
      <c r="J875" s="314"/>
      <c r="K875" s="314"/>
      <c r="M875" s="350"/>
      <c r="O875" s="225"/>
      <c r="R875" s="314"/>
      <c r="T875" s="498"/>
      <c r="U875" s="521"/>
    </row>
    <row r="876" spans="3:21">
      <c r="C876" s="314"/>
      <c r="G876" s="167"/>
      <c r="J876" s="314"/>
      <c r="K876" s="314"/>
      <c r="M876" s="350"/>
      <c r="O876" s="225"/>
      <c r="R876" s="314"/>
      <c r="T876" s="498"/>
      <c r="U876" s="521"/>
    </row>
    <row r="877" spans="3:21">
      <c r="C877" s="314"/>
      <c r="G877" s="167"/>
      <c r="J877" s="314"/>
      <c r="K877" s="314"/>
      <c r="M877" s="350"/>
      <c r="O877" s="225"/>
      <c r="R877" s="314"/>
      <c r="T877" s="498"/>
      <c r="U877" s="521"/>
    </row>
    <row r="878" spans="3:21">
      <c r="C878" s="314"/>
      <c r="G878" s="167"/>
      <c r="J878" s="314"/>
      <c r="K878" s="314"/>
      <c r="M878" s="350"/>
      <c r="O878" s="225"/>
      <c r="R878" s="314"/>
      <c r="T878" s="498"/>
      <c r="U878" s="521"/>
    </row>
    <row r="879" spans="3:21">
      <c r="C879" s="314"/>
      <c r="G879" s="167"/>
      <c r="J879" s="314"/>
      <c r="K879" s="314"/>
      <c r="M879" s="350"/>
      <c r="O879" s="225"/>
      <c r="R879" s="314"/>
      <c r="T879" s="498"/>
      <c r="U879" s="521"/>
    </row>
    <row r="880" spans="3:21">
      <c r="C880" s="314"/>
      <c r="G880" s="167"/>
      <c r="J880" s="314"/>
      <c r="K880" s="314"/>
      <c r="M880" s="350"/>
      <c r="O880" s="225"/>
      <c r="R880" s="314"/>
      <c r="T880" s="498"/>
      <c r="U880" s="521"/>
    </row>
    <row r="881" spans="3:21">
      <c r="C881" s="314"/>
      <c r="G881" s="167"/>
      <c r="J881" s="314"/>
      <c r="K881" s="314"/>
      <c r="M881" s="350"/>
      <c r="O881" s="225"/>
      <c r="R881" s="314"/>
      <c r="T881" s="498"/>
      <c r="U881" s="521"/>
    </row>
    <row r="882" spans="3:21">
      <c r="C882" s="314"/>
      <c r="G882" s="167"/>
      <c r="J882" s="314"/>
      <c r="K882" s="314"/>
      <c r="M882" s="350"/>
      <c r="O882" s="225"/>
      <c r="R882" s="314"/>
      <c r="T882" s="498"/>
      <c r="U882" s="521"/>
    </row>
    <row r="883" spans="3:21">
      <c r="C883" s="314"/>
      <c r="G883" s="167"/>
      <c r="J883" s="314"/>
      <c r="K883" s="314"/>
      <c r="M883" s="350"/>
      <c r="O883" s="225"/>
      <c r="R883" s="314"/>
      <c r="T883" s="498"/>
      <c r="U883" s="521"/>
    </row>
    <row r="884" spans="3:21">
      <c r="C884" s="314"/>
      <c r="G884" s="167"/>
      <c r="J884" s="314"/>
      <c r="K884" s="314"/>
      <c r="M884" s="350"/>
      <c r="O884" s="225"/>
      <c r="R884" s="314"/>
      <c r="T884" s="498"/>
      <c r="U884" s="521"/>
    </row>
    <row r="885" spans="3:21">
      <c r="C885" s="314"/>
      <c r="G885" s="167"/>
      <c r="J885" s="314"/>
      <c r="K885" s="314"/>
      <c r="M885" s="350"/>
      <c r="O885" s="225"/>
      <c r="R885" s="314"/>
      <c r="T885" s="498"/>
      <c r="U885" s="521"/>
    </row>
    <row r="886" spans="3:21">
      <c r="C886" s="314"/>
      <c r="G886" s="167"/>
      <c r="J886" s="314"/>
      <c r="K886" s="314"/>
      <c r="M886" s="350"/>
      <c r="O886" s="225"/>
      <c r="R886" s="314"/>
      <c r="T886" s="498"/>
      <c r="U886" s="521"/>
    </row>
    <row r="887" spans="3:21">
      <c r="C887" s="314"/>
      <c r="G887" s="167"/>
      <c r="J887" s="314"/>
      <c r="K887" s="314"/>
      <c r="M887" s="350"/>
      <c r="O887" s="225"/>
      <c r="R887" s="314"/>
      <c r="T887" s="498"/>
      <c r="U887" s="521"/>
    </row>
    <row r="888" spans="3:21">
      <c r="C888" s="314"/>
      <c r="G888" s="167"/>
      <c r="J888" s="314"/>
      <c r="K888" s="314"/>
      <c r="M888" s="350"/>
      <c r="O888" s="225"/>
      <c r="R888" s="314"/>
      <c r="T888" s="498"/>
      <c r="U888" s="521"/>
    </row>
    <row r="889" spans="3:21">
      <c r="C889" s="314"/>
      <c r="G889" s="167"/>
      <c r="J889" s="314"/>
      <c r="K889" s="314"/>
      <c r="M889" s="350"/>
      <c r="O889" s="225"/>
      <c r="R889" s="314"/>
      <c r="T889" s="498"/>
      <c r="U889" s="521"/>
    </row>
    <row r="890" spans="3:21">
      <c r="C890" s="314"/>
      <c r="G890" s="167"/>
      <c r="J890" s="314"/>
      <c r="K890" s="314"/>
      <c r="M890" s="350"/>
      <c r="O890" s="225"/>
      <c r="R890" s="314"/>
      <c r="T890" s="498"/>
      <c r="U890" s="521"/>
    </row>
    <row r="891" spans="3:21">
      <c r="C891" s="314"/>
      <c r="G891" s="167"/>
      <c r="J891" s="314"/>
      <c r="K891" s="314"/>
      <c r="M891" s="350"/>
      <c r="O891" s="225"/>
      <c r="R891" s="314"/>
      <c r="T891" s="498"/>
      <c r="U891" s="521"/>
    </row>
    <row r="892" spans="3:21">
      <c r="C892" s="314"/>
      <c r="G892" s="167"/>
      <c r="J892" s="314"/>
      <c r="K892" s="314"/>
      <c r="M892" s="350"/>
      <c r="O892" s="225"/>
      <c r="R892" s="314"/>
      <c r="T892" s="498"/>
      <c r="U892" s="521"/>
    </row>
    <row r="893" spans="3:21">
      <c r="C893" s="314"/>
      <c r="G893" s="167"/>
      <c r="J893" s="314"/>
      <c r="K893" s="314"/>
      <c r="M893" s="350"/>
      <c r="O893" s="225"/>
      <c r="R893" s="314"/>
      <c r="T893" s="498"/>
      <c r="U893" s="521"/>
    </row>
    <row r="894" spans="3:21">
      <c r="C894" s="314"/>
      <c r="G894" s="167"/>
      <c r="J894" s="314"/>
      <c r="K894" s="314"/>
      <c r="M894" s="350"/>
      <c r="O894" s="225"/>
      <c r="R894" s="314"/>
      <c r="T894" s="498"/>
      <c r="U894" s="521"/>
    </row>
    <row r="895" spans="3:21">
      <c r="C895" s="314"/>
      <c r="G895" s="167"/>
      <c r="J895" s="314"/>
      <c r="K895" s="314"/>
      <c r="M895" s="350"/>
      <c r="O895" s="225"/>
      <c r="R895" s="314"/>
      <c r="T895" s="498"/>
      <c r="U895" s="521"/>
    </row>
    <row r="896" spans="3:21">
      <c r="C896" s="314"/>
      <c r="G896" s="167"/>
      <c r="J896" s="314"/>
      <c r="K896" s="314"/>
      <c r="M896" s="350"/>
      <c r="O896" s="225"/>
      <c r="R896" s="314"/>
      <c r="T896" s="498"/>
      <c r="U896" s="521"/>
    </row>
    <row r="897" spans="3:21">
      <c r="C897" s="314"/>
      <c r="G897" s="167"/>
      <c r="J897" s="314"/>
      <c r="K897" s="314"/>
      <c r="M897" s="350"/>
      <c r="O897" s="225"/>
      <c r="R897" s="314"/>
      <c r="T897" s="498"/>
      <c r="U897" s="521"/>
    </row>
    <row r="898" spans="3:21">
      <c r="C898" s="314"/>
      <c r="G898" s="167"/>
      <c r="J898" s="314"/>
      <c r="K898" s="314"/>
      <c r="M898" s="350"/>
      <c r="O898" s="225"/>
      <c r="R898" s="314"/>
      <c r="T898" s="498"/>
      <c r="U898" s="521"/>
    </row>
    <row r="899" spans="3:21">
      <c r="C899" s="314"/>
      <c r="G899" s="167"/>
      <c r="J899" s="314"/>
      <c r="K899" s="314"/>
      <c r="M899" s="350"/>
      <c r="O899" s="225"/>
      <c r="R899" s="314"/>
      <c r="T899" s="498"/>
      <c r="U899" s="521"/>
    </row>
    <row r="900" spans="3:21">
      <c r="C900" s="314"/>
      <c r="G900" s="167"/>
      <c r="J900" s="314"/>
      <c r="K900" s="314"/>
      <c r="M900" s="350"/>
      <c r="O900" s="225"/>
      <c r="R900" s="314"/>
      <c r="T900" s="498"/>
      <c r="U900" s="521"/>
    </row>
    <row r="901" spans="3:21">
      <c r="C901" s="314"/>
      <c r="G901" s="167"/>
      <c r="J901" s="314"/>
      <c r="K901" s="314"/>
      <c r="M901" s="350"/>
      <c r="O901" s="225"/>
      <c r="R901" s="314"/>
      <c r="T901" s="498"/>
      <c r="U901" s="521"/>
    </row>
    <row r="902" spans="3:21">
      <c r="C902" s="314"/>
      <c r="G902" s="167"/>
      <c r="J902" s="314"/>
      <c r="K902" s="314"/>
      <c r="M902" s="350"/>
      <c r="O902" s="225"/>
      <c r="R902" s="314"/>
      <c r="T902" s="498"/>
      <c r="U902" s="521"/>
    </row>
    <row r="903" spans="3:21">
      <c r="C903" s="314"/>
      <c r="G903" s="167"/>
      <c r="J903" s="314"/>
      <c r="K903" s="314"/>
      <c r="M903" s="350"/>
      <c r="O903" s="225"/>
      <c r="R903" s="314"/>
      <c r="T903" s="498"/>
      <c r="U903" s="521"/>
    </row>
    <row r="904" spans="3:21">
      <c r="C904" s="314"/>
      <c r="G904" s="167"/>
      <c r="J904" s="314"/>
      <c r="K904" s="314"/>
      <c r="M904" s="350"/>
      <c r="O904" s="225"/>
      <c r="R904" s="314"/>
      <c r="T904" s="498"/>
      <c r="U904" s="521"/>
    </row>
    <row r="905" spans="3:21">
      <c r="C905" s="314"/>
      <c r="G905" s="167"/>
      <c r="J905" s="314"/>
      <c r="K905" s="314"/>
      <c r="M905" s="350"/>
      <c r="O905" s="225"/>
      <c r="R905" s="314"/>
      <c r="T905" s="498"/>
      <c r="U905" s="521"/>
    </row>
    <row r="906" spans="3:21">
      <c r="C906" s="314"/>
      <c r="G906" s="167"/>
      <c r="J906" s="314"/>
      <c r="K906" s="314"/>
      <c r="M906" s="350"/>
      <c r="O906" s="225"/>
      <c r="R906" s="314"/>
      <c r="T906" s="498"/>
      <c r="U906" s="521"/>
    </row>
    <row r="907" spans="3:21">
      <c r="C907" s="314"/>
      <c r="G907" s="167"/>
      <c r="J907" s="314"/>
      <c r="K907" s="314"/>
      <c r="M907" s="350"/>
      <c r="O907" s="225"/>
      <c r="R907" s="314"/>
      <c r="T907" s="498"/>
      <c r="U907" s="521"/>
    </row>
    <row r="908" spans="3:21">
      <c r="C908" s="314"/>
      <c r="G908" s="167"/>
      <c r="J908" s="314"/>
      <c r="K908" s="314"/>
      <c r="M908" s="350"/>
      <c r="O908" s="225"/>
      <c r="R908" s="314"/>
      <c r="T908" s="498"/>
      <c r="U908" s="521"/>
    </row>
    <row r="909" spans="3:21">
      <c r="C909" s="314"/>
      <c r="G909" s="167"/>
      <c r="J909" s="314"/>
      <c r="K909" s="314"/>
      <c r="M909" s="350"/>
      <c r="O909" s="225"/>
      <c r="R909" s="314"/>
      <c r="T909" s="498"/>
      <c r="U909" s="521"/>
    </row>
    <row r="910" spans="3:21">
      <c r="C910" s="314"/>
      <c r="G910" s="167"/>
      <c r="J910" s="314"/>
      <c r="K910" s="314"/>
      <c r="M910" s="350"/>
      <c r="O910" s="225"/>
      <c r="R910" s="314"/>
      <c r="T910" s="498"/>
      <c r="U910" s="521"/>
    </row>
    <row r="911" spans="3:21">
      <c r="C911" s="314"/>
      <c r="G911" s="167"/>
      <c r="J911" s="314"/>
      <c r="K911" s="314"/>
      <c r="M911" s="350"/>
      <c r="O911" s="225"/>
      <c r="R911" s="314"/>
      <c r="T911" s="498"/>
      <c r="U911" s="521"/>
    </row>
    <row r="912" spans="3:21">
      <c r="C912" s="314"/>
      <c r="G912" s="167"/>
      <c r="J912" s="314"/>
      <c r="K912" s="314"/>
      <c r="M912" s="350"/>
      <c r="O912" s="225"/>
      <c r="R912" s="314"/>
      <c r="T912" s="498"/>
      <c r="U912" s="521"/>
    </row>
    <row r="913" spans="3:21">
      <c r="C913" s="314"/>
      <c r="G913" s="167"/>
      <c r="J913" s="314"/>
      <c r="K913" s="314"/>
      <c r="M913" s="350"/>
      <c r="O913" s="225"/>
      <c r="R913" s="314"/>
      <c r="T913" s="498"/>
      <c r="U913" s="521"/>
    </row>
    <row r="914" spans="3:21">
      <c r="C914" s="314"/>
      <c r="G914" s="167"/>
      <c r="J914" s="314"/>
      <c r="K914" s="314"/>
      <c r="M914" s="350"/>
      <c r="O914" s="225"/>
      <c r="R914" s="314"/>
      <c r="T914" s="498"/>
      <c r="U914" s="521"/>
    </row>
    <row r="915" spans="3:21">
      <c r="C915" s="314"/>
      <c r="G915" s="167"/>
      <c r="J915" s="314"/>
      <c r="K915" s="314"/>
      <c r="M915" s="350"/>
      <c r="O915" s="225"/>
      <c r="R915" s="314"/>
      <c r="T915" s="498"/>
      <c r="U915" s="521"/>
    </row>
    <row r="916" spans="3:21">
      <c r="C916" s="314"/>
      <c r="G916" s="167"/>
      <c r="J916" s="314"/>
      <c r="K916" s="314"/>
      <c r="M916" s="350"/>
      <c r="O916" s="225"/>
      <c r="R916" s="314"/>
      <c r="T916" s="498"/>
      <c r="U916" s="521"/>
    </row>
    <row r="917" spans="3:21">
      <c r="C917" s="314"/>
      <c r="G917" s="167"/>
      <c r="J917" s="314"/>
      <c r="K917" s="314"/>
      <c r="M917" s="350"/>
      <c r="O917" s="225"/>
      <c r="R917" s="314"/>
      <c r="T917" s="498"/>
      <c r="U917" s="521"/>
    </row>
    <row r="918" spans="3:21">
      <c r="C918" s="314"/>
      <c r="G918" s="167"/>
      <c r="J918" s="314"/>
      <c r="K918" s="314"/>
      <c r="M918" s="350"/>
      <c r="O918" s="225"/>
      <c r="R918" s="314"/>
      <c r="T918" s="498"/>
      <c r="U918" s="521"/>
    </row>
    <row r="919" spans="3:21">
      <c r="C919" s="314"/>
      <c r="G919" s="167"/>
      <c r="J919" s="314"/>
      <c r="K919" s="314"/>
      <c r="M919" s="350"/>
      <c r="O919" s="225"/>
      <c r="R919" s="314"/>
      <c r="T919" s="498"/>
      <c r="U919" s="521"/>
    </row>
    <row r="920" spans="3:21">
      <c r="C920" s="314"/>
      <c r="G920" s="167"/>
      <c r="J920" s="314"/>
      <c r="K920" s="314"/>
      <c r="M920" s="350"/>
      <c r="O920" s="225"/>
      <c r="R920" s="314"/>
      <c r="T920" s="498"/>
      <c r="U920" s="521"/>
    </row>
    <row r="921" spans="3:21">
      <c r="C921" s="314"/>
      <c r="G921" s="167"/>
      <c r="J921" s="314"/>
      <c r="K921" s="314"/>
      <c r="M921" s="350"/>
      <c r="O921" s="225"/>
      <c r="R921" s="314"/>
      <c r="T921" s="498"/>
      <c r="U921" s="521"/>
    </row>
    <row r="922" spans="3:21">
      <c r="C922" s="314"/>
      <c r="G922" s="167"/>
      <c r="J922" s="314"/>
      <c r="K922" s="314"/>
      <c r="M922" s="350"/>
      <c r="O922" s="225"/>
      <c r="R922" s="314"/>
      <c r="T922" s="498"/>
      <c r="U922" s="521"/>
    </row>
    <row r="923" spans="3:21">
      <c r="C923" s="314"/>
      <c r="G923" s="167"/>
      <c r="J923" s="314"/>
      <c r="K923" s="314"/>
      <c r="M923" s="350"/>
      <c r="O923" s="225"/>
      <c r="R923" s="314"/>
      <c r="T923" s="498"/>
      <c r="U923" s="521"/>
    </row>
    <row r="924" spans="3:21">
      <c r="C924" s="314"/>
      <c r="G924" s="167"/>
      <c r="J924" s="314"/>
      <c r="K924" s="314"/>
      <c r="M924" s="350"/>
      <c r="O924" s="225"/>
      <c r="R924" s="314"/>
      <c r="T924" s="498"/>
      <c r="U924" s="521"/>
    </row>
    <row r="925" spans="3:21">
      <c r="C925" s="314"/>
      <c r="G925" s="167"/>
      <c r="J925" s="314"/>
      <c r="K925" s="314"/>
      <c r="M925" s="350"/>
      <c r="O925" s="225"/>
      <c r="R925" s="314"/>
      <c r="T925" s="498"/>
      <c r="U925" s="521"/>
    </row>
    <row r="926" spans="3:21">
      <c r="C926" s="314"/>
      <c r="G926" s="167"/>
      <c r="J926" s="314"/>
      <c r="K926" s="314"/>
      <c r="M926" s="350"/>
      <c r="O926" s="225"/>
      <c r="R926" s="314"/>
      <c r="T926" s="498"/>
      <c r="U926" s="521"/>
    </row>
    <row r="927" spans="3:21">
      <c r="C927" s="314"/>
      <c r="G927" s="167"/>
      <c r="J927" s="314"/>
      <c r="K927" s="314"/>
      <c r="M927" s="350"/>
      <c r="O927" s="225"/>
      <c r="R927" s="314"/>
      <c r="T927" s="498"/>
      <c r="U927" s="521"/>
    </row>
    <row r="928" spans="3:21">
      <c r="C928" s="314"/>
      <c r="G928" s="167"/>
      <c r="J928" s="314"/>
      <c r="K928" s="314"/>
      <c r="M928" s="350"/>
      <c r="O928" s="225"/>
      <c r="R928" s="314"/>
      <c r="T928" s="498"/>
      <c r="U928" s="521"/>
    </row>
    <row r="929" spans="3:21">
      <c r="C929" s="314"/>
      <c r="G929" s="167"/>
      <c r="J929" s="314"/>
      <c r="K929" s="314"/>
      <c r="M929" s="350"/>
      <c r="O929" s="225"/>
      <c r="R929" s="314"/>
      <c r="T929" s="498"/>
      <c r="U929" s="521"/>
    </row>
    <row r="930" spans="3:21">
      <c r="C930" s="314"/>
      <c r="G930" s="167"/>
      <c r="J930" s="314"/>
      <c r="K930" s="314"/>
      <c r="M930" s="350"/>
      <c r="O930" s="225"/>
      <c r="R930" s="314"/>
      <c r="T930" s="498"/>
      <c r="U930" s="521"/>
    </row>
    <row r="931" spans="3:21">
      <c r="C931" s="314"/>
      <c r="G931" s="167"/>
      <c r="J931" s="314"/>
      <c r="K931" s="314"/>
      <c r="M931" s="350"/>
      <c r="O931" s="225"/>
      <c r="R931" s="314"/>
      <c r="T931" s="498"/>
      <c r="U931" s="521"/>
    </row>
    <row r="932" spans="3:21">
      <c r="C932" s="314"/>
      <c r="G932" s="167"/>
      <c r="J932" s="314"/>
      <c r="K932" s="314"/>
      <c r="M932" s="350"/>
      <c r="O932" s="225"/>
      <c r="R932" s="314"/>
      <c r="T932" s="498"/>
      <c r="U932" s="521"/>
    </row>
    <row r="933" spans="3:21">
      <c r="C933" s="314"/>
      <c r="G933" s="167"/>
      <c r="J933" s="314"/>
      <c r="K933" s="314"/>
      <c r="M933" s="350"/>
      <c r="O933" s="225"/>
      <c r="R933" s="314"/>
      <c r="T933" s="498"/>
      <c r="U933" s="521"/>
    </row>
    <row r="934" spans="3:21">
      <c r="C934" s="314"/>
      <c r="G934" s="167"/>
      <c r="J934" s="314"/>
      <c r="K934" s="314"/>
      <c r="M934" s="350"/>
      <c r="O934" s="225"/>
      <c r="R934" s="314"/>
      <c r="T934" s="498"/>
      <c r="U934" s="521"/>
    </row>
    <row r="935" spans="3:21">
      <c r="C935" s="314"/>
      <c r="G935" s="167"/>
      <c r="J935" s="314"/>
      <c r="K935" s="314"/>
      <c r="M935" s="350"/>
      <c r="O935" s="225"/>
      <c r="R935" s="314"/>
      <c r="T935" s="498"/>
      <c r="U935" s="521"/>
    </row>
    <row r="936" spans="3:21">
      <c r="C936" s="314"/>
      <c r="G936" s="167"/>
      <c r="J936" s="314"/>
      <c r="K936" s="314"/>
      <c r="M936" s="350"/>
      <c r="O936" s="225"/>
      <c r="R936" s="314"/>
      <c r="T936" s="498"/>
      <c r="U936" s="521"/>
    </row>
    <row r="937" spans="3:21">
      <c r="C937" s="314"/>
      <c r="G937" s="167"/>
      <c r="J937" s="314"/>
      <c r="K937" s="314"/>
      <c r="M937" s="350"/>
      <c r="O937" s="225"/>
      <c r="R937" s="314"/>
      <c r="T937" s="498"/>
      <c r="U937" s="521"/>
    </row>
    <row r="938" spans="3:21">
      <c r="C938" s="314"/>
      <c r="G938" s="167"/>
      <c r="J938" s="314"/>
      <c r="K938" s="314"/>
      <c r="M938" s="350"/>
      <c r="O938" s="225"/>
      <c r="R938" s="314"/>
      <c r="T938" s="498"/>
      <c r="U938" s="521"/>
    </row>
    <row r="939" spans="3:21">
      <c r="C939" s="314"/>
      <c r="G939" s="167"/>
      <c r="J939" s="314"/>
      <c r="K939" s="314"/>
      <c r="M939" s="350"/>
      <c r="O939" s="225"/>
      <c r="R939" s="314"/>
      <c r="T939" s="498"/>
      <c r="U939" s="521"/>
    </row>
    <row r="940" spans="3:21">
      <c r="C940" s="314"/>
      <c r="G940" s="167"/>
      <c r="J940" s="314"/>
      <c r="K940" s="314"/>
      <c r="M940" s="350"/>
      <c r="O940" s="225"/>
      <c r="R940" s="314"/>
      <c r="T940" s="498"/>
      <c r="U940" s="521"/>
    </row>
    <row r="941" spans="3:21">
      <c r="C941" s="314"/>
      <c r="G941" s="167"/>
      <c r="J941" s="314"/>
      <c r="K941" s="314"/>
      <c r="M941" s="350"/>
      <c r="O941" s="225"/>
      <c r="R941" s="314"/>
      <c r="T941" s="498"/>
      <c r="U941" s="521"/>
    </row>
    <row r="942" spans="3:21">
      <c r="C942" s="314"/>
      <c r="G942" s="167"/>
      <c r="J942" s="314"/>
      <c r="K942" s="314"/>
      <c r="M942" s="350"/>
      <c r="O942" s="225"/>
      <c r="R942" s="314"/>
      <c r="T942" s="498"/>
      <c r="U942" s="521"/>
    </row>
    <row r="943" spans="3:21">
      <c r="C943" s="314"/>
      <c r="G943" s="167"/>
      <c r="J943" s="314"/>
      <c r="K943" s="314"/>
      <c r="M943" s="350"/>
      <c r="O943" s="225"/>
      <c r="R943" s="314"/>
      <c r="T943" s="498"/>
      <c r="U943" s="521"/>
    </row>
    <row r="944" spans="3:21">
      <c r="C944" s="314"/>
      <c r="G944" s="167"/>
      <c r="J944" s="314"/>
      <c r="K944" s="314"/>
      <c r="M944" s="350"/>
      <c r="O944" s="225"/>
      <c r="R944" s="314"/>
      <c r="T944" s="498"/>
      <c r="U944" s="521"/>
    </row>
    <row r="945" spans="3:21">
      <c r="C945" s="314"/>
      <c r="G945" s="167"/>
      <c r="J945" s="314"/>
      <c r="K945" s="314"/>
      <c r="M945" s="350"/>
      <c r="O945" s="225"/>
      <c r="R945" s="314"/>
      <c r="T945" s="498"/>
      <c r="U945" s="521"/>
    </row>
    <row r="946" spans="3:21">
      <c r="C946" s="314"/>
      <c r="G946" s="167"/>
      <c r="J946" s="314"/>
      <c r="K946" s="314"/>
      <c r="M946" s="350"/>
      <c r="O946" s="225"/>
      <c r="R946" s="314"/>
      <c r="T946" s="498"/>
      <c r="U946" s="521"/>
    </row>
    <row r="947" spans="3:21">
      <c r="C947" s="314"/>
      <c r="G947" s="167"/>
      <c r="J947" s="314"/>
      <c r="K947" s="314"/>
      <c r="M947" s="350"/>
      <c r="O947" s="225"/>
      <c r="R947" s="314"/>
      <c r="T947" s="498"/>
      <c r="U947" s="521"/>
    </row>
    <row r="948" spans="3:21">
      <c r="C948" s="314"/>
      <c r="G948" s="167"/>
      <c r="J948" s="314"/>
      <c r="K948" s="314"/>
      <c r="M948" s="350"/>
      <c r="O948" s="225"/>
      <c r="R948" s="314"/>
      <c r="T948" s="498"/>
      <c r="U948" s="521"/>
    </row>
    <row r="949" spans="3:21">
      <c r="C949" s="314"/>
      <c r="G949" s="167"/>
      <c r="J949" s="314"/>
      <c r="K949" s="314"/>
      <c r="M949" s="350"/>
      <c r="O949" s="225"/>
      <c r="R949" s="314"/>
      <c r="T949" s="498"/>
      <c r="U949" s="521"/>
    </row>
    <row r="950" spans="3:21">
      <c r="C950" s="314"/>
      <c r="G950" s="167"/>
      <c r="J950" s="314"/>
      <c r="K950" s="314"/>
      <c r="M950" s="350"/>
      <c r="O950" s="225"/>
      <c r="R950" s="314"/>
      <c r="T950" s="498"/>
      <c r="U950" s="521"/>
    </row>
    <row r="951" spans="3:21">
      <c r="C951" s="314"/>
      <c r="G951" s="167"/>
      <c r="J951" s="314"/>
      <c r="K951" s="314"/>
      <c r="M951" s="350"/>
      <c r="O951" s="225"/>
      <c r="R951" s="314"/>
      <c r="T951" s="498"/>
      <c r="U951" s="521"/>
    </row>
    <row r="952" spans="3:21">
      <c r="C952" s="314"/>
      <c r="G952" s="167"/>
      <c r="J952" s="314"/>
      <c r="K952" s="314"/>
      <c r="M952" s="350"/>
      <c r="O952" s="225"/>
      <c r="R952" s="314"/>
      <c r="T952" s="498"/>
      <c r="U952" s="521"/>
    </row>
    <row r="953" spans="3:21">
      <c r="C953" s="314"/>
      <c r="G953" s="167"/>
      <c r="J953" s="314"/>
      <c r="K953" s="314"/>
      <c r="M953" s="350"/>
      <c r="O953" s="225"/>
      <c r="R953" s="314"/>
      <c r="T953" s="498"/>
      <c r="U953" s="521"/>
    </row>
    <row r="954" spans="3:21">
      <c r="C954" s="314"/>
      <c r="G954" s="167"/>
      <c r="J954" s="314"/>
      <c r="K954" s="314"/>
      <c r="M954" s="350"/>
      <c r="O954" s="225"/>
      <c r="R954" s="314"/>
      <c r="T954" s="498"/>
      <c r="U954" s="521"/>
    </row>
    <row r="955" spans="3:21">
      <c r="C955" s="314"/>
      <c r="G955" s="167"/>
      <c r="J955" s="314"/>
      <c r="K955" s="314"/>
      <c r="M955" s="350"/>
      <c r="O955" s="225"/>
      <c r="R955" s="314"/>
      <c r="T955" s="498"/>
      <c r="U955" s="521"/>
    </row>
    <row r="956" spans="3:21">
      <c r="C956" s="314"/>
      <c r="G956" s="167"/>
      <c r="J956" s="314"/>
      <c r="K956" s="314"/>
      <c r="M956" s="350"/>
      <c r="O956" s="225"/>
      <c r="R956" s="314"/>
      <c r="T956" s="498"/>
      <c r="U956" s="521"/>
    </row>
    <row r="957" spans="3:21">
      <c r="C957" s="314"/>
      <c r="G957" s="167"/>
      <c r="J957" s="314"/>
      <c r="K957" s="314"/>
      <c r="M957" s="350"/>
      <c r="O957" s="225"/>
      <c r="R957" s="314"/>
      <c r="T957" s="498"/>
      <c r="U957" s="521"/>
    </row>
    <row r="958" spans="3:21">
      <c r="C958" s="314"/>
      <c r="G958" s="167"/>
      <c r="J958" s="314"/>
      <c r="K958" s="314"/>
      <c r="M958" s="350"/>
      <c r="O958" s="225"/>
      <c r="R958" s="314"/>
      <c r="T958" s="498"/>
      <c r="U958" s="521"/>
    </row>
    <row r="959" spans="3:21">
      <c r="C959" s="314"/>
      <c r="G959" s="167"/>
      <c r="J959" s="314"/>
      <c r="K959" s="314"/>
      <c r="M959" s="350"/>
      <c r="O959" s="225"/>
      <c r="R959" s="314"/>
      <c r="T959" s="498"/>
      <c r="U959" s="521"/>
    </row>
    <row r="960" spans="3:21">
      <c r="C960" s="314"/>
      <c r="G960" s="167"/>
      <c r="J960" s="314"/>
      <c r="K960" s="314"/>
      <c r="M960" s="350"/>
      <c r="O960" s="225"/>
      <c r="R960" s="314"/>
      <c r="T960" s="498"/>
      <c r="U960" s="521"/>
    </row>
    <row r="961" spans="3:21">
      <c r="C961" s="314"/>
      <c r="G961" s="167"/>
      <c r="J961" s="314"/>
      <c r="K961" s="314"/>
      <c r="M961" s="350"/>
      <c r="O961" s="225"/>
      <c r="R961" s="314"/>
      <c r="T961" s="498"/>
      <c r="U961" s="521"/>
    </row>
    <row r="962" spans="3:21">
      <c r="C962" s="314"/>
      <c r="G962" s="167"/>
      <c r="J962" s="314"/>
      <c r="K962" s="314"/>
      <c r="M962" s="350"/>
      <c r="O962" s="225"/>
      <c r="R962" s="314"/>
      <c r="T962" s="498"/>
      <c r="U962" s="521"/>
    </row>
    <row r="963" spans="3:21">
      <c r="C963" s="314"/>
      <c r="G963" s="167"/>
      <c r="J963" s="314"/>
      <c r="K963" s="314"/>
      <c r="M963" s="350"/>
      <c r="O963" s="225"/>
      <c r="R963" s="314"/>
      <c r="T963" s="498"/>
      <c r="U963" s="521"/>
    </row>
    <row r="964" spans="3:21">
      <c r="C964" s="314"/>
      <c r="G964" s="167"/>
      <c r="J964" s="314"/>
      <c r="K964" s="314"/>
      <c r="M964" s="350"/>
      <c r="O964" s="225"/>
      <c r="R964" s="314"/>
      <c r="T964" s="498"/>
      <c r="U964" s="521"/>
    </row>
    <row r="965" spans="3:21">
      <c r="C965" s="314"/>
      <c r="G965" s="167"/>
      <c r="J965" s="314"/>
      <c r="K965" s="314"/>
      <c r="M965" s="350"/>
      <c r="O965" s="225"/>
      <c r="R965" s="314"/>
      <c r="T965" s="498"/>
      <c r="U965" s="521"/>
    </row>
    <row r="966" spans="3:21">
      <c r="C966" s="314"/>
      <c r="G966" s="167"/>
      <c r="J966" s="314"/>
      <c r="K966" s="314"/>
      <c r="M966" s="350"/>
      <c r="O966" s="225"/>
      <c r="R966" s="314"/>
      <c r="T966" s="498"/>
      <c r="U966" s="521"/>
    </row>
    <row r="967" spans="3:21">
      <c r="C967" s="314"/>
      <c r="G967" s="167"/>
      <c r="J967" s="314"/>
      <c r="K967" s="314"/>
      <c r="M967" s="350"/>
      <c r="O967" s="225"/>
      <c r="R967" s="314"/>
      <c r="T967" s="498"/>
      <c r="U967" s="521"/>
    </row>
    <row r="968" spans="3:21">
      <c r="C968" s="314"/>
      <c r="G968" s="167"/>
      <c r="J968" s="314"/>
      <c r="K968" s="314"/>
      <c r="M968" s="350"/>
      <c r="O968" s="225"/>
      <c r="R968" s="314"/>
      <c r="T968" s="498"/>
      <c r="U968" s="521"/>
    </row>
    <row r="969" spans="3:21">
      <c r="C969" s="314"/>
      <c r="G969" s="167"/>
      <c r="J969" s="314"/>
      <c r="K969" s="314"/>
      <c r="M969" s="350"/>
      <c r="O969" s="225"/>
      <c r="R969" s="314"/>
      <c r="T969" s="498"/>
      <c r="U969" s="521"/>
    </row>
    <row r="970" spans="3:21">
      <c r="C970" s="314"/>
      <c r="G970" s="167"/>
      <c r="J970" s="314"/>
      <c r="K970" s="314"/>
      <c r="M970" s="350"/>
      <c r="O970" s="225"/>
      <c r="R970" s="314"/>
      <c r="T970" s="498"/>
      <c r="U970" s="521"/>
    </row>
    <row r="971" spans="3:21">
      <c r="C971" s="314"/>
      <c r="G971" s="167"/>
      <c r="J971" s="314"/>
      <c r="K971" s="314"/>
      <c r="M971" s="350"/>
      <c r="O971" s="225"/>
      <c r="R971" s="314"/>
      <c r="T971" s="498"/>
      <c r="U971" s="521"/>
    </row>
    <row r="972" spans="3:21">
      <c r="C972" s="314"/>
      <c r="G972" s="167"/>
      <c r="J972" s="314"/>
      <c r="K972" s="314"/>
      <c r="M972" s="350"/>
      <c r="O972" s="225"/>
      <c r="R972" s="314"/>
      <c r="T972" s="498"/>
      <c r="U972" s="521"/>
    </row>
    <row r="973" spans="3:21">
      <c r="C973" s="314"/>
      <c r="G973" s="167"/>
      <c r="J973" s="314"/>
      <c r="K973" s="314"/>
      <c r="M973" s="350"/>
      <c r="O973" s="225"/>
      <c r="R973" s="314"/>
      <c r="T973" s="498"/>
      <c r="U973" s="521"/>
    </row>
    <row r="974" spans="3:21">
      <c r="C974" s="314"/>
      <c r="G974" s="167"/>
      <c r="J974" s="314"/>
      <c r="K974" s="314"/>
      <c r="M974" s="350"/>
      <c r="O974" s="225"/>
      <c r="R974" s="314"/>
      <c r="T974" s="498"/>
      <c r="U974" s="521"/>
    </row>
    <row r="975" spans="3:21">
      <c r="C975" s="314"/>
      <c r="G975" s="167"/>
      <c r="J975" s="314"/>
      <c r="K975" s="314"/>
      <c r="M975" s="350"/>
      <c r="O975" s="225"/>
      <c r="R975" s="314"/>
      <c r="T975" s="498"/>
      <c r="U975" s="521"/>
    </row>
    <row r="976" spans="3:21">
      <c r="C976" s="314"/>
      <c r="G976" s="167"/>
      <c r="J976" s="314"/>
      <c r="K976" s="314"/>
      <c r="M976" s="350"/>
      <c r="O976" s="225"/>
      <c r="R976" s="314"/>
      <c r="T976" s="498"/>
      <c r="U976" s="521"/>
    </row>
    <row r="977" spans="3:21">
      <c r="C977" s="314"/>
      <c r="G977" s="167"/>
      <c r="J977" s="314"/>
      <c r="K977" s="314"/>
      <c r="M977" s="350"/>
      <c r="O977" s="225"/>
      <c r="R977" s="314"/>
      <c r="T977" s="498"/>
      <c r="U977" s="521"/>
    </row>
    <row r="978" spans="3:21">
      <c r="C978" s="314"/>
      <c r="G978" s="167"/>
      <c r="J978" s="314"/>
      <c r="K978" s="314"/>
      <c r="M978" s="350"/>
      <c r="O978" s="225"/>
      <c r="R978" s="314"/>
      <c r="T978" s="498"/>
      <c r="U978" s="521"/>
    </row>
    <row r="979" spans="3:21">
      <c r="C979" s="314"/>
      <c r="G979" s="167"/>
      <c r="J979" s="314"/>
      <c r="K979" s="314"/>
      <c r="M979" s="350"/>
      <c r="O979" s="225"/>
      <c r="R979" s="314"/>
      <c r="T979" s="498"/>
      <c r="U979" s="521"/>
    </row>
    <row r="980" spans="3:21">
      <c r="C980" s="314"/>
      <c r="G980" s="167"/>
      <c r="J980" s="314"/>
      <c r="K980" s="314"/>
      <c r="M980" s="350"/>
      <c r="O980" s="225"/>
      <c r="R980" s="314"/>
      <c r="T980" s="498"/>
      <c r="U980" s="521"/>
    </row>
    <row r="981" spans="3:21">
      <c r="C981" s="314"/>
      <c r="G981" s="167"/>
      <c r="J981" s="314"/>
      <c r="K981" s="314"/>
      <c r="M981" s="350"/>
      <c r="O981" s="225"/>
      <c r="R981" s="314"/>
      <c r="T981" s="498"/>
      <c r="U981" s="521"/>
    </row>
    <row r="982" spans="3:21">
      <c r="C982" s="314"/>
      <c r="G982" s="167"/>
      <c r="J982" s="314"/>
      <c r="K982" s="314"/>
      <c r="M982" s="350"/>
      <c r="O982" s="225"/>
      <c r="R982" s="314"/>
      <c r="T982" s="498"/>
      <c r="U982" s="521"/>
    </row>
    <row r="983" spans="3:21">
      <c r="C983" s="314"/>
      <c r="G983" s="167"/>
      <c r="J983" s="314"/>
      <c r="K983" s="314"/>
      <c r="M983" s="350"/>
      <c r="O983" s="225"/>
      <c r="R983" s="314"/>
      <c r="T983" s="498"/>
      <c r="U983" s="521"/>
    </row>
    <row r="984" spans="3:21">
      <c r="C984" s="314"/>
      <c r="G984" s="167"/>
      <c r="J984" s="314"/>
      <c r="K984" s="314"/>
      <c r="M984" s="350"/>
      <c r="O984" s="225"/>
      <c r="R984" s="314"/>
      <c r="T984" s="498"/>
      <c r="U984" s="521"/>
    </row>
    <row r="985" spans="3:21">
      <c r="C985" s="314"/>
      <c r="G985" s="167"/>
      <c r="J985" s="314"/>
      <c r="K985" s="314"/>
      <c r="M985" s="350"/>
      <c r="O985" s="225"/>
      <c r="R985" s="314"/>
      <c r="T985" s="498"/>
      <c r="U985" s="521"/>
    </row>
    <row r="986" spans="3:21">
      <c r="C986" s="314"/>
      <c r="G986" s="167"/>
      <c r="J986" s="314"/>
      <c r="K986" s="314"/>
      <c r="M986" s="350"/>
      <c r="O986" s="225"/>
      <c r="R986" s="314"/>
      <c r="T986" s="498"/>
      <c r="U986" s="521"/>
    </row>
    <row r="987" spans="3:21">
      <c r="C987" s="314"/>
      <c r="G987" s="167"/>
      <c r="J987" s="314"/>
      <c r="K987" s="314"/>
      <c r="M987" s="350"/>
      <c r="O987" s="225"/>
      <c r="R987" s="314"/>
      <c r="T987" s="498"/>
      <c r="U987" s="521"/>
    </row>
    <row r="988" spans="3:21">
      <c r="C988" s="314"/>
      <c r="G988" s="167"/>
      <c r="J988" s="314"/>
      <c r="K988" s="314"/>
      <c r="M988" s="350"/>
      <c r="O988" s="225"/>
      <c r="R988" s="314"/>
      <c r="T988" s="498"/>
      <c r="U988" s="521"/>
    </row>
    <row r="989" spans="3:21">
      <c r="C989" s="314"/>
      <c r="G989" s="167"/>
      <c r="J989" s="314"/>
      <c r="K989" s="314"/>
      <c r="M989" s="350"/>
      <c r="O989" s="225"/>
      <c r="R989" s="314"/>
      <c r="T989" s="498"/>
      <c r="U989" s="521"/>
    </row>
    <row r="990" spans="3:21">
      <c r="C990" s="314"/>
      <c r="G990" s="167"/>
      <c r="J990" s="314"/>
      <c r="K990" s="314"/>
      <c r="M990" s="350"/>
      <c r="O990" s="225"/>
      <c r="R990" s="314"/>
      <c r="T990" s="498"/>
      <c r="U990" s="521"/>
    </row>
    <row r="991" spans="3:21">
      <c r="C991" s="314"/>
      <c r="G991" s="167"/>
      <c r="J991" s="314"/>
      <c r="K991" s="314"/>
      <c r="M991" s="350"/>
      <c r="O991" s="225"/>
      <c r="R991" s="314"/>
      <c r="T991" s="498"/>
      <c r="U991" s="521"/>
    </row>
    <row r="992" spans="3:21">
      <c r="C992" s="314"/>
      <c r="G992" s="167"/>
      <c r="J992" s="314"/>
      <c r="K992" s="314"/>
      <c r="M992" s="350"/>
      <c r="O992" s="225"/>
      <c r="R992" s="314"/>
      <c r="T992" s="498"/>
      <c r="U992" s="521"/>
    </row>
    <row r="993" spans="3:21">
      <c r="C993" s="314"/>
      <c r="G993" s="167"/>
      <c r="J993" s="314"/>
      <c r="K993" s="314"/>
      <c r="M993" s="350"/>
      <c r="O993" s="225"/>
      <c r="R993" s="314"/>
      <c r="T993" s="498"/>
      <c r="U993" s="521"/>
    </row>
    <row r="994" spans="3:21">
      <c r="C994" s="314"/>
      <c r="G994" s="167"/>
      <c r="J994" s="314"/>
      <c r="K994" s="314"/>
      <c r="M994" s="350"/>
      <c r="O994" s="225"/>
      <c r="R994" s="314"/>
      <c r="T994" s="498"/>
      <c r="U994" s="521"/>
    </row>
    <row r="995" spans="3:21">
      <c r="C995" s="314"/>
      <c r="G995" s="167"/>
      <c r="J995" s="314"/>
      <c r="K995" s="314"/>
      <c r="M995" s="350"/>
      <c r="O995" s="225"/>
      <c r="R995" s="314"/>
      <c r="T995" s="498"/>
      <c r="U995" s="521"/>
    </row>
    <row r="996" spans="3:21">
      <c r="C996" s="314"/>
      <c r="G996" s="167"/>
      <c r="J996" s="314"/>
      <c r="K996" s="314"/>
      <c r="M996" s="350"/>
      <c r="O996" s="225"/>
      <c r="R996" s="314"/>
      <c r="T996" s="498"/>
      <c r="U996" s="521"/>
    </row>
    <row r="997" spans="3:21">
      <c r="C997" s="314"/>
      <c r="G997" s="167"/>
      <c r="J997" s="314"/>
      <c r="K997" s="314"/>
      <c r="M997" s="350"/>
      <c r="O997" s="225"/>
      <c r="R997" s="314"/>
      <c r="T997" s="498"/>
      <c r="U997" s="521"/>
    </row>
    <row r="998" spans="3:21">
      <c r="C998" s="314"/>
      <c r="G998" s="167"/>
      <c r="J998" s="314"/>
      <c r="K998" s="314"/>
      <c r="M998" s="350"/>
      <c r="O998" s="225"/>
      <c r="R998" s="314"/>
      <c r="T998" s="498"/>
      <c r="U998" s="521"/>
    </row>
    <row r="999" spans="3:21">
      <c r="C999" s="314"/>
      <c r="G999" s="167"/>
      <c r="J999" s="314"/>
      <c r="K999" s="314"/>
      <c r="M999" s="350"/>
      <c r="O999" s="225"/>
      <c r="R999" s="314"/>
      <c r="T999" s="498"/>
      <c r="U999" s="521"/>
    </row>
    <row r="1000" spans="3:21">
      <c r="C1000" s="314"/>
      <c r="G1000" s="167"/>
      <c r="J1000" s="314"/>
      <c r="K1000" s="314"/>
      <c r="M1000" s="350"/>
      <c r="O1000" s="225"/>
      <c r="R1000" s="314"/>
      <c r="T1000" s="498"/>
      <c r="U1000" s="521"/>
    </row>
    <row r="1001" spans="3:21">
      <c r="C1001" s="314"/>
      <c r="G1001" s="167"/>
      <c r="J1001" s="314"/>
      <c r="K1001" s="314"/>
      <c r="M1001" s="350"/>
      <c r="O1001" s="225"/>
      <c r="R1001" s="314"/>
      <c r="T1001" s="498"/>
      <c r="U1001" s="521"/>
    </row>
    <row r="1002" spans="3:21">
      <c r="C1002" s="314"/>
      <c r="G1002" s="167"/>
      <c r="J1002" s="314"/>
      <c r="K1002" s="314"/>
      <c r="M1002" s="350"/>
      <c r="O1002" s="225"/>
      <c r="R1002" s="314"/>
      <c r="T1002" s="498"/>
      <c r="U1002" s="521"/>
    </row>
    <row r="1003" spans="3:21">
      <c r="C1003" s="314"/>
      <c r="G1003" s="167"/>
      <c r="J1003" s="314"/>
      <c r="K1003" s="314"/>
      <c r="M1003" s="350"/>
      <c r="O1003" s="225"/>
      <c r="R1003" s="314"/>
      <c r="T1003" s="498"/>
      <c r="U1003" s="521"/>
    </row>
    <row r="1004" spans="3:21">
      <c r="C1004" s="314"/>
      <c r="G1004" s="167"/>
      <c r="J1004" s="314"/>
      <c r="K1004" s="314"/>
      <c r="M1004" s="350"/>
      <c r="O1004" s="225"/>
      <c r="R1004" s="314"/>
      <c r="T1004" s="498"/>
      <c r="U1004" s="521"/>
    </row>
    <row r="1005" spans="3:21">
      <c r="C1005" s="314"/>
      <c r="G1005" s="167"/>
      <c r="J1005" s="314"/>
      <c r="K1005" s="314"/>
      <c r="M1005" s="350"/>
      <c r="O1005" s="225"/>
      <c r="R1005" s="314"/>
      <c r="T1005" s="498"/>
      <c r="U1005" s="521"/>
    </row>
    <row r="1006" spans="3:21">
      <c r="C1006" s="314"/>
      <c r="G1006" s="167"/>
      <c r="J1006" s="314"/>
      <c r="K1006" s="314"/>
      <c r="M1006" s="350"/>
      <c r="O1006" s="225"/>
      <c r="R1006" s="314"/>
      <c r="T1006" s="498"/>
      <c r="U1006" s="521"/>
    </row>
    <row r="1007" spans="3:21">
      <c r="C1007" s="314"/>
      <c r="G1007" s="167"/>
      <c r="J1007" s="314"/>
      <c r="K1007" s="314"/>
      <c r="M1007" s="350"/>
      <c r="O1007" s="225"/>
      <c r="R1007" s="314"/>
      <c r="T1007" s="498"/>
      <c r="U1007" s="521"/>
    </row>
    <row r="1008" spans="3:21">
      <c r="C1008" s="314"/>
      <c r="G1008" s="167"/>
      <c r="J1008" s="314"/>
      <c r="K1008" s="314"/>
      <c r="M1008" s="350"/>
      <c r="O1008" s="225"/>
      <c r="R1008" s="314"/>
      <c r="T1008" s="498"/>
      <c r="U1008" s="521"/>
    </row>
    <row r="1009" spans="3:21">
      <c r="C1009" s="314"/>
      <c r="G1009" s="167"/>
      <c r="J1009" s="314"/>
      <c r="K1009" s="314"/>
      <c r="M1009" s="350"/>
      <c r="O1009" s="225"/>
      <c r="R1009" s="314"/>
      <c r="T1009" s="498"/>
      <c r="U1009" s="521"/>
    </row>
    <row r="1010" spans="3:21">
      <c r="C1010" s="314"/>
      <c r="G1010" s="167"/>
      <c r="J1010" s="314"/>
      <c r="K1010" s="314"/>
      <c r="M1010" s="350"/>
      <c r="O1010" s="225"/>
      <c r="R1010" s="314"/>
      <c r="T1010" s="498"/>
      <c r="U1010" s="521"/>
    </row>
    <row r="1011" spans="3:21">
      <c r="C1011" s="314"/>
      <c r="G1011" s="167"/>
      <c r="J1011" s="314"/>
      <c r="K1011" s="314"/>
      <c r="M1011" s="350"/>
      <c r="O1011" s="225"/>
      <c r="R1011" s="314"/>
      <c r="T1011" s="498"/>
      <c r="U1011" s="521"/>
    </row>
    <row r="1012" spans="3:21">
      <c r="C1012" s="314"/>
      <c r="G1012" s="167"/>
      <c r="J1012" s="314"/>
      <c r="K1012" s="314"/>
      <c r="M1012" s="350"/>
      <c r="O1012" s="225"/>
      <c r="R1012" s="314"/>
      <c r="T1012" s="498"/>
      <c r="U1012" s="521"/>
    </row>
    <row r="1013" spans="3:21">
      <c r="C1013" s="314"/>
      <c r="G1013" s="167"/>
      <c r="J1013" s="314"/>
      <c r="K1013" s="314"/>
      <c r="M1013" s="350"/>
      <c r="O1013" s="225"/>
      <c r="R1013" s="314"/>
      <c r="T1013" s="498"/>
      <c r="U1013" s="521"/>
    </row>
    <row r="1014" spans="3:21">
      <c r="C1014" s="314"/>
      <c r="G1014" s="167"/>
      <c r="J1014" s="314"/>
      <c r="K1014" s="314"/>
      <c r="M1014" s="350"/>
      <c r="O1014" s="225"/>
      <c r="R1014" s="314"/>
      <c r="T1014" s="498"/>
      <c r="U1014" s="521"/>
    </row>
    <row r="1015" spans="3:21">
      <c r="C1015" s="314"/>
      <c r="G1015" s="167"/>
      <c r="J1015" s="314"/>
      <c r="K1015" s="314"/>
      <c r="M1015" s="350"/>
      <c r="O1015" s="225"/>
      <c r="R1015" s="314"/>
      <c r="T1015" s="498"/>
      <c r="U1015" s="521"/>
    </row>
    <row r="1016" spans="3:21">
      <c r="C1016" s="314"/>
      <c r="G1016" s="167"/>
      <c r="J1016" s="314"/>
      <c r="K1016" s="314"/>
      <c r="M1016" s="350"/>
      <c r="O1016" s="225"/>
      <c r="R1016" s="314"/>
      <c r="T1016" s="498"/>
      <c r="U1016" s="521"/>
    </row>
    <row r="1017" spans="3:21">
      <c r="C1017" s="314"/>
      <c r="G1017" s="167"/>
      <c r="J1017" s="314"/>
      <c r="K1017" s="314"/>
      <c r="M1017" s="350"/>
      <c r="O1017" s="225"/>
      <c r="R1017" s="314"/>
      <c r="T1017" s="498"/>
      <c r="U1017" s="521"/>
    </row>
    <row r="1018" spans="3:21">
      <c r="C1018" s="314"/>
      <c r="G1018" s="167"/>
      <c r="J1018" s="314"/>
      <c r="K1018" s="314"/>
      <c r="M1018" s="350"/>
      <c r="O1018" s="225"/>
      <c r="R1018" s="314"/>
      <c r="T1018" s="498"/>
      <c r="U1018" s="521"/>
    </row>
    <row r="1019" spans="3:21">
      <c r="C1019" s="314"/>
      <c r="G1019" s="167"/>
      <c r="J1019" s="314"/>
      <c r="K1019" s="314"/>
      <c r="M1019" s="350"/>
      <c r="O1019" s="225"/>
      <c r="R1019" s="314"/>
      <c r="T1019" s="498"/>
      <c r="U1019" s="521"/>
    </row>
    <row r="1020" spans="3:21">
      <c r="C1020" s="314"/>
      <c r="G1020" s="167"/>
      <c r="J1020" s="314"/>
      <c r="K1020" s="314"/>
      <c r="M1020" s="350"/>
      <c r="O1020" s="225"/>
      <c r="R1020" s="314"/>
      <c r="T1020" s="498"/>
      <c r="U1020" s="521"/>
    </row>
    <row r="1021" spans="3:21">
      <c r="C1021" s="314"/>
      <c r="G1021" s="167"/>
      <c r="J1021" s="314"/>
      <c r="K1021" s="314"/>
      <c r="M1021" s="350"/>
      <c r="O1021" s="225"/>
      <c r="R1021" s="314"/>
      <c r="T1021" s="498"/>
      <c r="U1021" s="521"/>
    </row>
    <row r="1022" spans="3:21">
      <c r="C1022" s="314"/>
      <c r="G1022" s="167"/>
      <c r="J1022" s="314"/>
      <c r="K1022" s="314"/>
      <c r="M1022" s="350"/>
      <c r="O1022" s="225"/>
      <c r="R1022" s="314"/>
      <c r="T1022" s="498"/>
      <c r="U1022" s="521"/>
    </row>
    <row r="1023" spans="3:21">
      <c r="C1023" s="314"/>
      <c r="G1023" s="167"/>
      <c r="J1023" s="314"/>
      <c r="K1023" s="314"/>
      <c r="M1023" s="350"/>
      <c r="O1023" s="225"/>
      <c r="R1023" s="314"/>
      <c r="T1023" s="498"/>
      <c r="U1023" s="521"/>
    </row>
    <row r="1024" spans="3:21">
      <c r="C1024" s="314"/>
      <c r="G1024" s="167"/>
      <c r="J1024" s="314"/>
      <c r="K1024" s="314"/>
      <c r="M1024" s="350"/>
      <c r="O1024" s="225"/>
      <c r="R1024" s="314"/>
      <c r="T1024" s="498"/>
      <c r="U1024" s="521"/>
    </row>
    <row r="1025" spans="3:21">
      <c r="C1025" s="314"/>
      <c r="G1025" s="167"/>
      <c r="J1025" s="314"/>
      <c r="K1025" s="314"/>
      <c r="M1025" s="350"/>
      <c r="O1025" s="225"/>
      <c r="R1025" s="314"/>
      <c r="T1025" s="498"/>
      <c r="U1025" s="521"/>
    </row>
    <row r="1026" spans="3:21">
      <c r="C1026" s="314"/>
      <c r="G1026" s="167"/>
      <c r="J1026" s="314"/>
      <c r="K1026" s="314"/>
      <c r="M1026" s="350"/>
      <c r="O1026" s="225"/>
      <c r="R1026" s="314"/>
      <c r="T1026" s="498"/>
      <c r="U1026" s="521"/>
    </row>
    <row r="1027" spans="3:21">
      <c r="C1027" s="314"/>
      <c r="G1027" s="167"/>
      <c r="J1027" s="314"/>
      <c r="K1027" s="314"/>
      <c r="M1027" s="350"/>
      <c r="O1027" s="225"/>
      <c r="R1027" s="314"/>
      <c r="T1027" s="498"/>
      <c r="U1027" s="521"/>
    </row>
    <row r="1028" spans="3:21">
      <c r="C1028" s="314"/>
      <c r="G1028" s="167"/>
      <c r="J1028" s="314"/>
      <c r="K1028" s="314"/>
      <c r="M1028" s="350"/>
      <c r="O1028" s="225"/>
      <c r="R1028" s="314"/>
      <c r="T1028" s="498"/>
      <c r="U1028" s="521"/>
    </row>
    <row r="1029" spans="3:21">
      <c r="C1029" s="314"/>
      <c r="G1029" s="167"/>
      <c r="J1029" s="314"/>
      <c r="K1029" s="314"/>
      <c r="M1029" s="350"/>
      <c r="O1029" s="225"/>
      <c r="R1029" s="314"/>
      <c r="T1029" s="498"/>
      <c r="U1029" s="521"/>
    </row>
    <row r="1030" spans="3:21">
      <c r="C1030" s="314"/>
      <c r="G1030" s="167"/>
      <c r="J1030" s="314"/>
      <c r="K1030" s="314"/>
      <c r="M1030" s="350"/>
      <c r="O1030" s="225"/>
      <c r="R1030" s="314"/>
      <c r="T1030" s="498"/>
      <c r="U1030" s="521"/>
    </row>
    <row r="1031" spans="3:21">
      <c r="C1031" s="314"/>
      <c r="G1031" s="167"/>
      <c r="J1031" s="314"/>
      <c r="K1031" s="314"/>
      <c r="M1031" s="350"/>
      <c r="O1031" s="225"/>
      <c r="R1031" s="314"/>
      <c r="T1031" s="498"/>
      <c r="U1031" s="521"/>
    </row>
    <row r="1032" spans="3:21">
      <c r="C1032" s="314"/>
      <c r="G1032" s="167"/>
      <c r="J1032" s="314"/>
      <c r="K1032" s="314"/>
      <c r="M1032" s="350"/>
      <c r="O1032" s="225"/>
      <c r="R1032" s="314"/>
      <c r="T1032" s="498"/>
      <c r="U1032" s="521"/>
    </row>
    <row r="1033" spans="3:21">
      <c r="C1033" s="314"/>
      <c r="G1033" s="167"/>
      <c r="J1033" s="314"/>
      <c r="K1033" s="314"/>
      <c r="M1033" s="350"/>
      <c r="O1033" s="225"/>
      <c r="R1033" s="314"/>
      <c r="T1033" s="498"/>
      <c r="U1033" s="521"/>
    </row>
    <row r="1034" spans="3:21">
      <c r="C1034" s="314"/>
      <c r="G1034" s="167"/>
      <c r="J1034" s="314"/>
      <c r="K1034" s="314"/>
      <c r="M1034" s="350"/>
      <c r="O1034" s="225"/>
      <c r="R1034" s="314"/>
      <c r="T1034" s="498"/>
      <c r="U1034" s="521"/>
    </row>
    <row r="1035" spans="3:21">
      <c r="C1035" s="314"/>
      <c r="G1035" s="167"/>
      <c r="J1035" s="314"/>
      <c r="K1035" s="314"/>
      <c r="M1035" s="350"/>
      <c r="O1035" s="225"/>
      <c r="R1035" s="314"/>
      <c r="T1035" s="498"/>
      <c r="U1035" s="521"/>
    </row>
    <row r="1036" spans="3:21">
      <c r="C1036" s="314"/>
      <c r="G1036" s="167"/>
      <c r="J1036" s="314"/>
      <c r="K1036" s="314"/>
      <c r="M1036" s="350"/>
      <c r="O1036" s="225"/>
      <c r="R1036" s="314"/>
      <c r="T1036" s="498"/>
      <c r="U1036" s="521"/>
    </row>
    <row r="1037" spans="3:21">
      <c r="C1037" s="314"/>
      <c r="G1037" s="167"/>
      <c r="J1037" s="314"/>
      <c r="K1037" s="314"/>
      <c r="M1037" s="350"/>
      <c r="O1037" s="225"/>
      <c r="R1037" s="314"/>
      <c r="T1037" s="498"/>
      <c r="U1037" s="521"/>
    </row>
    <row r="1038" spans="3:21">
      <c r="C1038" s="314"/>
      <c r="G1038" s="167"/>
      <c r="J1038" s="314"/>
      <c r="K1038" s="314"/>
      <c r="M1038" s="350"/>
      <c r="O1038" s="225"/>
      <c r="R1038" s="314"/>
      <c r="T1038" s="498"/>
      <c r="U1038" s="521"/>
    </row>
    <row r="1039" spans="3:21">
      <c r="C1039" s="314"/>
      <c r="G1039" s="167"/>
      <c r="J1039" s="314"/>
      <c r="K1039" s="314"/>
      <c r="M1039" s="350"/>
      <c r="O1039" s="225"/>
      <c r="R1039" s="314"/>
      <c r="T1039" s="498"/>
      <c r="U1039" s="521"/>
    </row>
    <row r="1040" spans="3:21">
      <c r="C1040" s="314"/>
      <c r="G1040" s="167"/>
      <c r="J1040" s="314"/>
      <c r="K1040" s="314"/>
      <c r="M1040" s="350"/>
      <c r="O1040" s="225"/>
      <c r="R1040" s="314"/>
      <c r="T1040" s="498"/>
      <c r="U1040" s="521"/>
    </row>
    <row r="1041" spans="3:21">
      <c r="C1041" s="314"/>
      <c r="G1041" s="167"/>
      <c r="J1041" s="314"/>
      <c r="K1041" s="314"/>
      <c r="M1041" s="350"/>
      <c r="O1041" s="225"/>
      <c r="R1041" s="314"/>
      <c r="T1041" s="498"/>
      <c r="U1041" s="521"/>
    </row>
    <row r="1042" spans="3:21">
      <c r="C1042" s="314"/>
      <c r="G1042" s="167"/>
      <c r="J1042" s="314"/>
      <c r="K1042" s="314"/>
      <c r="M1042" s="350"/>
      <c r="O1042" s="225"/>
      <c r="R1042" s="314"/>
      <c r="T1042" s="498"/>
      <c r="U1042" s="521"/>
    </row>
    <row r="1043" spans="3:21">
      <c r="C1043" s="314"/>
      <c r="G1043" s="167"/>
      <c r="J1043" s="314"/>
      <c r="K1043" s="314"/>
      <c r="M1043" s="350"/>
      <c r="O1043" s="225"/>
      <c r="R1043" s="314"/>
      <c r="T1043" s="498"/>
      <c r="U1043" s="521"/>
    </row>
    <row r="1044" spans="3:21">
      <c r="C1044" s="314"/>
      <c r="G1044" s="167"/>
      <c r="J1044" s="314"/>
      <c r="K1044" s="314"/>
      <c r="M1044" s="350"/>
      <c r="O1044" s="225"/>
      <c r="R1044" s="314"/>
      <c r="T1044" s="498"/>
      <c r="U1044" s="521"/>
    </row>
    <row r="1045" spans="3:21">
      <c r="C1045" s="314"/>
      <c r="G1045" s="167"/>
      <c r="J1045" s="314"/>
      <c r="K1045" s="314"/>
      <c r="M1045" s="350"/>
      <c r="O1045" s="225"/>
      <c r="R1045" s="314"/>
      <c r="T1045" s="498"/>
      <c r="U1045" s="521"/>
    </row>
    <row r="1046" spans="3:21">
      <c r="C1046" s="314"/>
      <c r="G1046" s="167"/>
      <c r="J1046" s="314"/>
      <c r="K1046" s="314"/>
      <c r="M1046" s="350"/>
      <c r="R1046" s="314"/>
      <c r="T1046" s="499"/>
      <c r="U1046" s="522"/>
    </row>
    <row r="1047" spans="3:21">
      <c r="C1047" s="314"/>
      <c r="G1047" s="167"/>
      <c r="J1047" s="314"/>
      <c r="K1047" s="314"/>
      <c r="M1047" s="350"/>
      <c r="R1047" s="314"/>
      <c r="T1047" s="499"/>
      <c r="U1047" s="522"/>
    </row>
    <row r="1048" spans="3:21">
      <c r="C1048" s="314"/>
      <c r="G1048" s="167"/>
      <c r="J1048" s="314"/>
      <c r="K1048" s="314"/>
      <c r="M1048" s="350"/>
      <c r="R1048" s="314"/>
      <c r="T1048" s="499"/>
      <c r="U1048" s="522"/>
    </row>
    <row r="1049" spans="3:21">
      <c r="C1049" s="314"/>
      <c r="G1049" s="167"/>
      <c r="J1049" s="314"/>
      <c r="K1049" s="314"/>
      <c r="M1049" s="350"/>
      <c r="R1049" s="314"/>
      <c r="T1049" s="499"/>
      <c r="U1049" s="522"/>
    </row>
    <row r="1050" spans="3:21">
      <c r="C1050" s="314"/>
    </row>
    <row r="1051" spans="3:21">
      <c r="C1051" s="314"/>
    </row>
  </sheetData>
  <mergeCells count="3">
    <mergeCell ref="B1:E1"/>
    <mergeCell ref="B6:F6"/>
    <mergeCell ref="H7:I7"/>
  </mergeCells>
  <conditionalFormatting sqref="E2">
    <cfRule type="notContainsBlanks" dxfId="1" priority="1">
      <formula>LEN(TRIM(E2))&gt;0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Y1046"/>
  <sheetViews>
    <sheetView workbookViewId="0">
      <pane ySplit="6" topLeftCell="A7" activePane="bottomLeft" state="frozen"/>
      <selection pane="bottomLeft" activeCell="B10" sqref="B10"/>
    </sheetView>
  </sheetViews>
  <sheetFormatPr baseColWidth="10" defaultColWidth="14.5" defaultRowHeight="15" customHeight="1"/>
  <cols>
    <col min="1" max="1" width="2.83203125" customWidth="1"/>
    <col min="2" max="2" width="13.6640625" customWidth="1"/>
    <col min="3" max="3" width="14.6640625" customWidth="1"/>
    <col min="4" max="4" width="12.33203125" customWidth="1"/>
    <col min="5" max="5" width="15.1640625" customWidth="1"/>
    <col min="6" max="6" width="16.83203125" customWidth="1"/>
    <col min="7" max="7" width="74.5" customWidth="1"/>
    <col min="8" max="8" width="6.83203125" customWidth="1"/>
    <col min="9" max="9" width="5.5" customWidth="1"/>
    <col min="10" max="11" width="13" customWidth="1"/>
    <col min="12" max="12" width="4.5" customWidth="1"/>
    <col min="13" max="13" width="13.5" customWidth="1"/>
    <col min="14" max="14" width="4.6640625" customWidth="1"/>
    <col min="15" max="15" width="6.83203125" customWidth="1"/>
    <col min="16" max="16" width="4.83203125" customWidth="1"/>
    <col min="17" max="17" width="18.83203125" customWidth="1"/>
    <col min="18" max="18" width="20.6640625" customWidth="1"/>
    <col min="19" max="19" width="6.1640625" customWidth="1"/>
    <col min="20" max="20" width="26.1640625" customWidth="1"/>
    <col min="21" max="21" width="23.33203125" customWidth="1"/>
  </cols>
  <sheetData>
    <row r="1" spans="1:22" ht="63.75" customHeight="1">
      <c r="A1" s="465"/>
      <c r="B1" s="550"/>
      <c r="C1" s="543"/>
      <c r="D1" s="543"/>
      <c r="E1" s="543"/>
      <c r="G1" s="166"/>
      <c r="H1" s="297"/>
      <c r="I1" s="297"/>
      <c r="J1" s="314"/>
      <c r="K1" s="8"/>
      <c r="L1" s="297"/>
      <c r="M1" s="297"/>
      <c r="N1" s="297"/>
      <c r="O1" s="297"/>
      <c r="P1" s="297"/>
      <c r="Q1" s="297"/>
      <c r="R1" s="314"/>
      <c r="S1" s="297"/>
      <c r="T1" s="466"/>
      <c r="V1" s="1"/>
    </row>
    <row r="2" spans="1:22" ht="16">
      <c r="A2" s="1"/>
      <c r="B2" s="318" t="s">
        <v>1</v>
      </c>
      <c r="C2" s="319">
        <v>1275000</v>
      </c>
      <c r="D2" s="319"/>
      <c r="E2" s="320">
        <f>C3/C2</f>
        <v>0.13851764705882352</v>
      </c>
      <c r="F2" s="49"/>
      <c r="G2" s="49"/>
      <c r="H2" s="90"/>
      <c r="I2" s="90"/>
      <c r="J2" s="300"/>
      <c r="K2" s="300"/>
      <c r="L2" s="90"/>
      <c r="M2" s="321"/>
      <c r="N2" s="90"/>
      <c r="O2" s="90"/>
      <c r="P2" s="90"/>
      <c r="Q2" s="90"/>
      <c r="R2" s="300"/>
      <c r="S2" s="90"/>
      <c r="T2" s="467"/>
      <c r="U2" s="199"/>
      <c r="V2" s="1"/>
    </row>
    <row r="3" spans="1:22" ht="16">
      <c r="A3" s="1"/>
      <c r="B3" s="322" t="s">
        <v>2</v>
      </c>
      <c r="C3" s="319">
        <f>SUM(K8:K178)</f>
        <v>176610</v>
      </c>
      <c r="D3" s="319"/>
      <c r="E3" s="323" t="s">
        <v>3</v>
      </c>
      <c r="F3" s="324"/>
      <c r="G3" s="431"/>
      <c r="H3" s="299"/>
      <c r="I3" s="90"/>
      <c r="J3" s="468"/>
      <c r="K3" s="468"/>
      <c r="L3" s="299"/>
      <c r="M3" s="325"/>
      <c r="N3" s="299"/>
      <c r="O3" s="299"/>
      <c r="P3" s="299"/>
      <c r="Q3" s="299"/>
      <c r="R3" s="468"/>
      <c r="S3" s="299"/>
      <c r="T3" s="469"/>
      <c r="U3" s="299"/>
      <c r="V3" s="1"/>
    </row>
    <row r="4" spans="1:22">
      <c r="A4" s="1"/>
      <c r="B4" s="326" t="s">
        <v>2218</v>
      </c>
      <c r="C4" s="326">
        <f ca="1">(E5-TODAY())</f>
        <v>-4</v>
      </c>
      <c r="D4" s="326"/>
      <c r="E4" s="17"/>
      <c r="F4" s="327"/>
      <c r="G4" s="431"/>
      <c r="H4" s="90"/>
      <c r="J4" s="300"/>
      <c r="K4" s="314"/>
      <c r="L4" s="90"/>
      <c r="M4" s="321"/>
      <c r="N4" s="90"/>
      <c r="O4" s="90"/>
      <c r="P4" s="90"/>
      <c r="Q4" s="90"/>
      <c r="R4" s="300"/>
      <c r="S4" s="90"/>
      <c r="T4" s="467"/>
      <c r="U4" s="90"/>
      <c r="V4" s="1"/>
    </row>
    <row r="5" spans="1:22" ht="16">
      <c r="A5" s="1"/>
      <c r="B5" s="328" t="s">
        <v>6</v>
      </c>
      <c r="C5" s="329">
        <f ca="1">TODAY()</f>
        <v>46026</v>
      </c>
      <c r="D5" s="328"/>
      <c r="E5" s="330">
        <v>46022</v>
      </c>
      <c r="F5" s="90"/>
      <c r="G5" s="299"/>
      <c r="H5" s="90"/>
      <c r="I5" s="90"/>
      <c r="J5" s="300"/>
      <c r="K5" s="300"/>
      <c r="L5" s="90"/>
      <c r="M5" s="321"/>
      <c r="N5" s="301"/>
      <c r="O5" s="303"/>
      <c r="P5" s="90"/>
      <c r="Q5" s="304"/>
      <c r="R5" s="300"/>
      <c r="S5" s="90"/>
      <c r="T5" s="61"/>
      <c r="U5" s="305"/>
      <c r="V5" s="1"/>
    </row>
    <row r="6" spans="1:22" ht="26.25" customHeight="1">
      <c r="A6" s="1"/>
      <c r="B6" s="549" t="s">
        <v>2734</v>
      </c>
      <c r="C6" s="537"/>
      <c r="D6" s="537"/>
      <c r="E6" s="537"/>
      <c r="F6" s="537"/>
      <c r="G6" s="26"/>
      <c r="H6" s="23"/>
      <c r="I6" s="23"/>
      <c r="J6" s="23"/>
      <c r="K6" s="23"/>
      <c r="L6" s="23"/>
      <c r="M6" s="331"/>
      <c r="N6" s="23"/>
      <c r="O6" s="211"/>
      <c r="P6" s="23"/>
      <c r="Q6" s="332"/>
      <c r="R6" s="25"/>
      <c r="S6" s="26"/>
      <c r="T6" s="470"/>
      <c r="U6" s="306"/>
      <c r="V6" s="1"/>
    </row>
    <row r="7" spans="1:22" ht="14.25" customHeight="1">
      <c r="A7" s="98"/>
      <c r="B7" s="38" t="s">
        <v>18</v>
      </c>
      <c r="C7" s="38" t="s">
        <v>3442</v>
      </c>
      <c r="D7" s="38" t="s">
        <v>19</v>
      </c>
      <c r="E7" s="38" t="s">
        <v>20</v>
      </c>
      <c r="F7" s="38" t="s">
        <v>21</v>
      </c>
      <c r="G7" s="39" t="s">
        <v>2018</v>
      </c>
      <c r="H7" s="538" t="s">
        <v>22</v>
      </c>
      <c r="I7" s="528"/>
      <c r="J7" s="40" t="s">
        <v>4046</v>
      </c>
      <c r="K7" s="41" t="s">
        <v>23</v>
      </c>
      <c r="L7" s="501" t="b">
        <v>1</v>
      </c>
      <c r="M7" s="502" t="s">
        <v>6079</v>
      </c>
      <c r="N7" s="43"/>
      <c r="O7" s="213"/>
      <c r="P7" s="45"/>
      <c r="Q7" s="342" t="s">
        <v>6383</v>
      </c>
      <c r="R7" s="503" t="s">
        <v>6080</v>
      </c>
      <c r="S7" s="47"/>
      <c r="T7" s="309" t="s">
        <v>6081</v>
      </c>
      <c r="U7" s="307"/>
      <c r="V7" s="100" t="s">
        <v>24</v>
      </c>
    </row>
    <row r="8" spans="1:22" ht="15" customHeight="1">
      <c r="A8" s="1"/>
      <c r="B8" s="343" t="s">
        <v>6655</v>
      </c>
      <c r="C8" s="151" t="s">
        <v>3706</v>
      </c>
      <c r="D8" s="151" t="s">
        <v>418</v>
      </c>
      <c r="E8" s="151" t="s">
        <v>3373</v>
      </c>
      <c r="F8" s="151" t="s">
        <v>607</v>
      </c>
      <c r="G8" s="151" t="s">
        <v>6671</v>
      </c>
      <c r="H8" s="334" t="s">
        <v>30</v>
      </c>
      <c r="I8" s="151">
        <v>1</v>
      </c>
      <c r="J8" s="496">
        <v>122500</v>
      </c>
      <c r="K8" s="472">
        <f t="shared" ref="K8:K13" si="0">(I8*J8)</f>
        <v>122500</v>
      </c>
      <c r="L8" s="501"/>
      <c r="M8" s="504"/>
      <c r="N8" s="57"/>
      <c r="O8" s="226"/>
      <c r="P8" s="191"/>
      <c r="Q8" s="342"/>
      <c r="R8" s="173"/>
      <c r="S8" s="57"/>
      <c r="T8" s="309"/>
      <c r="U8" s="227"/>
      <c r="V8" s="54"/>
    </row>
    <row r="9" spans="1:22" ht="15" customHeight="1">
      <c r="A9" s="1"/>
      <c r="B9" s="71" t="s">
        <v>6672</v>
      </c>
      <c r="C9" s="53" t="s">
        <v>3487</v>
      </c>
      <c r="D9" s="151" t="s">
        <v>51</v>
      </c>
      <c r="E9" s="53" t="s">
        <v>89</v>
      </c>
      <c r="F9" s="53" t="s">
        <v>1872</v>
      </c>
      <c r="G9" s="66" t="s">
        <v>6673</v>
      </c>
      <c r="H9" s="131" t="s">
        <v>30</v>
      </c>
      <c r="I9" s="66">
        <v>1</v>
      </c>
      <c r="J9" s="472"/>
      <c r="K9" s="472">
        <f t="shared" si="0"/>
        <v>0</v>
      </c>
      <c r="L9" s="501"/>
      <c r="M9" s="504"/>
      <c r="N9" s="57"/>
      <c r="O9" s="226"/>
      <c r="P9" s="191"/>
      <c r="Q9" s="433"/>
      <c r="R9" s="433"/>
      <c r="S9" s="57"/>
      <c r="T9" s="507"/>
      <c r="U9" s="227"/>
      <c r="V9" s="54"/>
    </row>
    <row r="10" spans="1:22" ht="15" customHeight="1">
      <c r="A10" s="18"/>
      <c r="B10" s="71" t="s">
        <v>6672</v>
      </c>
      <c r="C10" s="151" t="s">
        <v>3458</v>
      </c>
      <c r="D10" s="151" t="s">
        <v>51</v>
      </c>
      <c r="E10" s="151" t="s">
        <v>201</v>
      </c>
      <c r="F10" s="151" t="s">
        <v>202</v>
      </c>
      <c r="G10" s="151" t="s">
        <v>3459</v>
      </c>
      <c r="H10" s="334" t="s">
        <v>30</v>
      </c>
      <c r="I10" s="151">
        <v>10</v>
      </c>
      <c r="J10" s="496">
        <v>795</v>
      </c>
      <c r="K10" s="472">
        <f t="shared" si="0"/>
        <v>7950</v>
      </c>
      <c r="L10" s="501"/>
      <c r="M10" s="504"/>
      <c r="N10" s="348"/>
      <c r="O10" s="477"/>
      <c r="P10" s="191"/>
      <c r="Q10" s="342"/>
      <c r="R10" s="523"/>
      <c r="S10" s="57"/>
      <c r="T10" s="309"/>
      <c r="U10" s="345"/>
      <c r="V10" s="54"/>
    </row>
    <row r="11" spans="1:22" ht="15" customHeight="1">
      <c r="A11" s="18"/>
      <c r="B11" s="71" t="s">
        <v>6672</v>
      </c>
      <c r="C11" s="151" t="s">
        <v>3458</v>
      </c>
      <c r="D11" s="151" t="s">
        <v>51</v>
      </c>
      <c r="E11" s="151" t="s">
        <v>201</v>
      </c>
      <c r="F11" s="151" t="s">
        <v>202</v>
      </c>
      <c r="G11" s="340" t="s">
        <v>6568</v>
      </c>
      <c r="H11" s="334" t="s">
        <v>30</v>
      </c>
      <c r="I11" s="151">
        <v>12</v>
      </c>
      <c r="J11" s="496">
        <v>300</v>
      </c>
      <c r="K11" s="472">
        <f t="shared" si="0"/>
        <v>3600</v>
      </c>
      <c r="L11" s="501"/>
      <c r="M11" s="504"/>
      <c r="N11" s="348"/>
      <c r="O11" s="508"/>
      <c r="P11" s="191"/>
      <c r="Q11" s="342"/>
      <c r="R11" s="524"/>
      <c r="S11" s="57"/>
      <c r="T11" s="309"/>
      <c r="U11" s="345"/>
      <c r="V11" s="54"/>
    </row>
    <row r="12" spans="1:22" ht="15" customHeight="1">
      <c r="A12" s="162"/>
      <c r="B12" s="71" t="s">
        <v>6672</v>
      </c>
      <c r="C12" s="151" t="s">
        <v>3458</v>
      </c>
      <c r="D12" s="151" t="s">
        <v>51</v>
      </c>
      <c r="E12" s="151" t="s">
        <v>201</v>
      </c>
      <c r="F12" s="151" t="s">
        <v>202</v>
      </c>
      <c r="G12" s="340" t="s">
        <v>3005</v>
      </c>
      <c r="H12" s="334" t="s">
        <v>30</v>
      </c>
      <c r="I12" s="151">
        <v>168</v>
      </c>
      <c r="J12" s="496">
        <v>45</v>
      </c>
      <c r="K12" s="472">
        <f t="shared" si="0"/>
        <v>7560</v>
      </c>
      <c r="L12" s="501"/>
      <c r="M12" s="510"/>
      <c r="N12" s="348"/>
      <c r="O12" s="477"/>
      <c r="P12" s="191"/>
      <c r="Q12" s="342"/>
      <c r="R12" s="524"/>
      <c r="S12" s="57"/>
      <c r="T12" s="309"/>
      <c r="U12" s="345"/>
      <c r="V12" s="54"/>
    </row>
    <row r="13" spans="1:22" ht="15" customHeight="1">
      <c r="A13" s="162"/>
      <c r="B13" s="71" t="s">
        <v>6672</v>
      </c>
      <c r="C13" s="151" t="s">
        <v>3548</v>
      </c>
      <c r="D13" s="151" t="s">
        <v>51</v>
      </c>
      <c r="E13" s="151" t="s">
        <v>137</v>
      </c>
      <c r="F13" s="151" t="s">
        <v>6674</v>
      </c>
      <c r="G13" s="66" t="s">
        <v>6673</v>
      </c>
      <c r="H13" s="334" t="s">
        <v>30</v>
      </c>
      <c r="I13" s="151">
        <v>1</v>
      </c>
      <c r="J13" s="496">
        <v>35000</v>
      </c>
      <c r="K13" s="472">
        <f t="shared" si="0"/>
        <v>35000</v>
      </c>
      <c r="L13" s="501"/>
      <c r="M13" s="510"/>
      <c r="N13" s="348"/>
      <c r="O13" s="477"/>
      <c r="P13" s="191"/>
      <c r="Q13" s="342"/>
      <c r="R13" s="524"/>
      <c r="S13" s="57"/>
      <c r="T13" s="309"/>
      <c r="U13" s="345"/>
      <c r="V13" s="54"/>
    </row>
    <row r="14" spans="1:22" ht="15" customHeight="1">
      <c r="A14" s="162"/>
      <c r="B14" s="343"/>
      <c r="C14" s="151"/>
      <c r="D14" s="151"/>
      <c r="E14" s="151"/>
      <c r="F14" s="151"/>
      <c r="G14" s="151"/>
      <c r="H14" s="334"/>
      <c r="I14" s="151"/>
      <c r="J14" s="496"/>
      <c r="K14" s="472"/>
      <c r="L14" s="501"/>
      <c r="M14" s="510"/>
      <c r="N14" s="348"/>
      <c r="O14" s="477"/>
      <c r="P14" s="191"/>
      <c r="Q14" s="342"/>
      <c r="R14" s="524"/>
      <c r="S14" s="57"/>
      <c r="T14" s="309"/>
      <c r="U14" s="345"/>
      <c r="V14" s="54"/>
    </row>
    <row r="15" spans="1:22" ht="15" customHeight="1">
      <c r="A15" s="162"/>
      <c r="B15" s="343"/>
      <c r="C15" s="151"/>
      <c r="D15" s="151"/>
      <c r="E15" s="151"/>
      <c r="F15" s="151"/>
      <c r="G15" s="151"/>
      <c r="H15" s="334"/>
      <c r="I15" s="151"/>
      <c r="J15" s="496"/>
      <c r="K15" s="472"/>
      <c r="L15" s="501"/>
      <c r="M15" s="510"/>
      <c r="N15" s="348"/>
      <c r="O15" s="477"/>
      <c r="P15" s="191"/>
      <c r="Q15" s="342"/>
      <c r="R15" s="524"/>
      <c r="S15" s="57"/>
      <c r="T15" s="309"/>
      <c r="U15" s="345"/>
      <c r="V15" s="54"/>
    </row>
    <row r="16" spans="1:22" ht="15" customHeight="1">
      <c r="A16" s="162"/>
      <c r="B16" s="343"/>
      <c r="C16" s="151"/>
      <c r="D16" s="151"/>
      <c r="E16" s="151"/>
      <c r="F16" s="151"/>
      <c r="G16" s="151"/>
      <c r="H16" s="334"/>
      <c r="I16" s="151"/>
      <c r="J16" s="496"/>
      <c r="K16" s="472"/>
      <c r="L16" s="501"/>
      <c r="M16" s="510"/>
      <c r="N16" s="348"/>
      <c r="O16" s="477"/>
      <c r="P16" s="191"/>
      <c r="Q16" s="342"/>
      <c r="R16" s="524"/>
      <c r="S16" s="57"/>
      <c r="T16" s="309"/>
      <c r="U16" s="345"/>
      <c r="V16" s="54"/>
    </row>
    <row r="17" spans="1:25" ht="15" customHeight="1">
      <c r="A17" s="162"/>
      <c r="B17" s="343"/>
      <c r="C17" s="151"/>
      <c r="D17" s="151"/>
      <c r="E17" s="151"/>
      <c r="F17" s="151"/>
      <c r="G17" s="151"/>
      <c r="H17" s="334"/>
      <c r="I17" s="151"/>
      <c r="J17" s="496"/>
      <c r="K17" s="472"/>
      <c r="L17" s="501"/>
      <c r="M17" s="510"/>
      <c r="N17" s="348"/>
      <c r="O17" s="477"/>
      <c r="P17" s="191"/>
      <c r="Q17" s="342"/>
      <c r="R17" s="524"/>
      <c r="S17" s="57"/>
      <c r="T17" s="309"/>
      <c r="U17" s="345"/>
      <c r="V17" s="54"/>
    </row>
    <row r="18" spans="1:25" ht="15" customHeight="1">
      <c r="A18" s="162"/>
      <c r="B18" s="343"/>
      <c r="C18" s="151"/>
      <c r="D18" s="151"/>
      <c r="E18" s="151"/>
      <c r="F18" s="151"/>
      <c r="G18" s="151"/>
      <c r="H18" s="334"/>
      <c r="I18" s="151"/>
      <c r="J18" s="496"/>
      <c r="K18" s="472"/>
      <c r="L18" s="501"/>
      <c r="M18" s="510"/>
      <c r="N18" s="348"/>
      <c r="O18" s="477"/>
      <c r="P18" s="191"/>
      <c r="Q18" s="342"/>
      <c r="R18" s="524"/>
      <c r="S18" s="57"/>
      <c r="T18" s="309"/>
      <c r="U18" s="345"/>
      <c r="V18" s="54"/>
    </row>
    <row r="19" spans="1:25" ht="15" customHeight="1">
      <c r="A19" s="162"/>
      <c r="B19" s="343"/>
      <c r="C19" s="151"/>
      <c r="D19" s="151"/>
      <c r="E19" s="151"/>
      <c r="F19" s="151"/>
      <c r="G19" s="151"/>
      <c r="H19" s="334"/>
      <c r="I19" s="151"/>
      <c r="J19" s="496"/>
      <c r="K19" s="472"/>
      <c r="L19" s="501"/>
      <c r="M19" s="510"/>
      <c r="N19" s="348"/>
      <c r="O19" s="477"/>
      <c r="P19" s="191"/>
      <c r="Q19" s="342"/>
      <c r="R19" s="505"/>
      <c r="S19" s="57"/>
      <c r="T19" s="309"/>
      <c r="U19" s="345"/>
      <c r="V19" s="54"/>
    </row>
    <row r="20" spans="1:25" ht="15" customHeight="1">
      <c r="A20" s="162"/>
      <c r="B20" s="343"/>
      <c r="C20" s="151"/>
      <c r="D20" s="151"/>
      <c r="E20" s="151"/>
      <c r="F20" s="151"/>
      <c r="G20" s="151"/>
      <c r="H20" s="334"/>
      <c r="I20" s="151"/>
      <c r="J20" s="496"/>
      <c r="K20" s="472"/>
      <c r="L20" s="501"/>
      <c r="M20" s="510"/>
      <c r="N20" s="348"/>
      <c r="O20" s="477"/>
      <c r="P20" s="191"/>
      <c r="Q20" s="342"/>
      <c r="R20" s="524"/>
      <c r="S20" s="57"/>
      <c r="T20" s="309"/>
      <c r="U20" s="345"/>
      <c r="V20" s="54"/>
    </row>
    <row r="21" spans="1:25" ht="15" customHeight="1">
      <c r="A21" s="162"/>
      <c r="B21" s="343"/>
      <c r="C21" s="151"/>
      <c r="D21" s="151"/>
      <c r="E21" s="151"/>
      <c r="F21" s="151"/>
      <c r="G21" s="151"/>
      <c r="H21" s="334"/>
      <c r="I21" s="151"/>
      <c r="J21" s="496"/>
      <c r="K21" s="472"/>
      <c r="L21" s="501"/>
      <c r="M21" s="510"/>
      <c r="N21" s="348"/>
      <c r="O21" s="508"/>
      <c r="P21" s="191"/>
      <c r="Q21" s="433"/>
      <c r="R21" s="505"/>
      <c r="S21" s="57"/>
      <c r="T21" s="507"/>
      <c r="U21" s="345"/>
      <c r="V21" s="54"/>
    </row>
    <row r="22" spans="1:25" ht="15" customHeight="1">
      <c r="A22" s="162"/>
      <c r="B22" s="343"/>
      <c r="C22" s="151"/>
      <c r="D22" s="151"/>
      <c r="E22" s="151"/>
      <c r="F22" s="151"/>
      <c r="G22" s="151"/>
      <c r="H22" s="334"/>
      <c r="I22" s="151"/>
      <c r="J22" s="496"/>
      <c r="K22" s="472"/>
      <c r="L22" s="501"/>
      <c r="M22" s="510"/>
      <c r="N22" s="348"/>
      <c r="O22" s="477"/>
      <c r="P22" s="191"/>
      <c r="Q22" s="433"/>
      <c r="R22" s="505"/>
      <c r="S22" s="57"/>
      <c r="T22" s="507"/>
      <c r="U22" s="345"/>
      <c r="V22" s="54"/>
    </row>
    <row r="23" spans="1:25" ht="15" customHeight="1">
      <c r="A23" s="162"/>
      <c r="B23" s="343"/>
      <c r="C23" s="151"/>
      <c r="D23" s="151"/>
      <c r="E23" s="151"/>
      <c r="F23" s="151"/>
      <c r="G23" s="151"/>
      <c r="H23" s="334"/>
      <c r="I23" s="151"/>
      <c r="J23" s="496"/>
      <c r="K23" s="472"/>
      <c r="L23" s="501"/>
      <c r="M23" s="510"/>
      <c r="N23" s="348"/>
      <c r="O23" s="508"/>
      <c r="P23" s="191"/>
      <c r="Q23" s="433"/>
      <c r="R23" s="524"/>
      <c r="S23" s="57"/>
      <c r="T23" s="507"/>
      <c r="U23" s="345"/>
      <c r="V23" s="54"/>
    </row>
    <row r="24" spans="1:25" ht="15" customHeight="1">
      <c r="A24" s="162"/>
      <c r="B24" s="343"/>
      <c r="C24" s="151"/>
      <c r="D24" s="151"/>
      <c r="E24" s="151"/>
      <c r="F24" s="151"/>
      <c r="G24" s="151"/>
      <c r="H24" s="334"/>
      <c r="I24" s="151"/>
      <c r="J24" s="496"/>
      <c r="K24" s="472"/>
      <c r="L24" s="501"/>
      <c r="M24" s="510"/>
      <c r="N24" s="348"/>
      <c r="O24" s="508"/>
      <c r="P24" s="191"/>
      <c r="Q24" s="342"/>
      <c r="R24" s="524"/>
      <c r="S24" s="57"/>
      <c r="T24" s="309"/>
      <c r="U24" s="345"/>
      <c r="V24" s="54"/>
    </row>
    <row r="25" spans="1:25" ht="15" customHeight="1">
      <c r="A25" s="162"/>
      <c r="B25" s="343"/>
      <c r="C25" s="151"/>
      <c r="D25" s="151"/>
      <c r="E25" s="151"/>
      <c r="F25" s="151"/>
      <c r="G25" s="151"/>
      <c r="H25" s="334"/>
      <c r="I25" s="151"/>
      <c r="J25" s="496"/>
      <c r="K25" s="472"/>
      <c r="L25" s="501"/>
      <c r="M25" s="510"/>
      <c r="N25" s="348"/>
      <c r="O25" s="508"/>
      <c r="P25" s="191"/>
      <c r="Q25" s="342"/>
      <c r="R25" s="524"/>
      <c r="S25" s="57"/>
      <c r="T25" s="309"/>
      <c r="U25" s="511" t="s">
        <v>6423</v>
      </c>
      <c r="V25" s="54"/>
    </row>
    <row r="26" spans="1:25" ht="15" customHeight="1">
      <c r="A26" s="475"/>
      <c r="B26" s="343"/>
      <c r="C26" s="151"/>
      <c r="D26" s="151"/>
      <c r="E26" s="151"/>
      <c r="F26" s="151"/>
      <c r="G26" s="151"/>
      <c r="H26" s="334"/>
      <c r="I26" s="151"/>
      <c r="J26" s="496"/>
      <c r="K26" s="472"/>
      <c r="L26" s="501"/>
      <c r="M26" s="510"/>
      <c r="N26" s="348"/>
      <c r="O26" s="508"/>
      <c r="P26" s="191"/>
      <c r="Q26" s="342"/>
      <c r="R26" s="524"/>
      <c r="S26" s="57"/>
      <c r="T26" s="309"/>
      <c r="U26" s="345"/>
      <c r="V26" s="364"/>
    </row>
    <row r="27" spans="1:25" ht="15" customHeight="1">
      <c r="A27" s="162"/>
      <c r="B27" s="343"/>
      <c r="C27" s="151"/>
      <c r="D27" s="151"/>
      <c r="E27" s="151"/>
      <c r="F27" s="151"/>
      <c r="G27" s="151"/>
      <c r="H27" s="334"/>
      <c r="I27" s="151"/>
      <c r="J27" s="496"/>
      <c r="K27" s="472"/>
      <c r="L27" s="501"/>
      <c r="M27" s="510"/>
      <c r="N27" s="348"/>
      <c r="O27" s="508"/>
      <c r="P27" s="191"/>
      <c r="Q27" s="342"/>
      <c r="R27" s="524"/>
      <c r="S27" s="57"/>
      <c r="T27" s="309"/>
      <c r="U27" s="345"/>
      <c r="V27" s="54"/>
    </row>
    <row r="28" spans="1:25" ht="15" customHeight="1">
      <c r="A28" s="162"/>
      <c r="B28" s="343"/>
      <c r="C28" s="151"/>
      <c r="D28" s="151"/>
      <c r="E28" s="151"/>
      <c r="F28" s="151"/>
      <c r="G28" s="151"/>
      <c r="H28" s="334"/>
      <c r="I28" s="151"/>
      <c r="J28" s="496"/>
      <c r="K28" s="472"/>
      <c r="L28" s="501"/>
      <c r="M28" s="510"/>
      <c r="N28" s="348"/>
      <c r="O28" s="508"/>
      <c r="P28" s="191"/>
      <c r="Q28" s="433"/>
      <c r="R28" s="505"/>
      <c r="S28" s="57"/>
      <c r="T28" s="507"/>
      <c r="U28" s="345"/>
      <c r="V28" s="54"/>
    </row>
    <row r="29" spans="1:25" ht="15" customHeight="1">
      <c r="A29" s="162"/>
      <c r="B29" s="343"/>
      <c r="C29" s="151"/>
      <c r="D29" s="151"/>
      <c r="E29" s="151"/>
      <c r="F29" s="151"/>
      <c r="G29" s="151"/>
      <c r="H29" s="334"/>
      <c r="I29" s="151"/>
      <c r="J29" s="496"/>
      <c r="K29" s="472"/>
      <c r="L29" s="501"/>
      <c r="M29" s="510"/>
      <c r="N29" s="348"/>
      <c r="O29" s="508"/>
      <c r="P29" s="191"/>
      <c r="Q29" s="342"/>
      <c r="R29" s="505"/>
      <c r="S29" s="57"/>
      <c r="T29" s="309"/>
      <c r="U29" s="345"/>
      <c r="V29" s="54"/>
    </row>
    <row r="30" spans="1:25" ht="15" customHeight="1">
      <c r="A30" s="101"/>
      <c r="B30" s="343"/>
      <c r="C30" s="151"/>
      <c r="D30" s="151"/>
      <c r="E30" s="151"/>
      <c r="F30" s="151"/>
      <c r="G30" s="151"/>
      <c r="H30" s="334"/>
      <c r="I30" s="151"/>
      <c r="J30" s="496"/>
      <c r="K30" s="472"/>
      <c r="L30" s="501"/>
      <c r="M30" s="510"/>
      <c r="N30" s="348"/>
      <c r="O30" s="508"/>
      <c r="P30" s="191"/>
      <c r="Q30" s="342"/>
      <c r="R30" s="524"/>
      <c r="S30" s="57"/>
      <c r="T30" s="309"/>
      <c r="U30" s="345"/>
      <c r="V30" s="54"/>
      <c r="X30" s="193"/>
      <c r="Y30" s="193"/>
    </row>
    <row r="31" spans="1:25" ht="15" customHeight="1">
      <c r="A31" s="101"/>
      <c r="B31" s="343"/>
      <c r="C31" s="151"/>
      <c r="D31" s="151"/>
      <c r="E31" s="151"/>
      <c r="F31" s="151"/>
      <c r="G31" s="151"/>
      <c r="H31" s="334"/>
      <c r="I31" s="151"/>
      <c r="J31" s="496"/>
      <c r="K31" s="472"/>
      <c r="L31" s="501"/>
      <c r="M31" s="510"/>
      <c r="N31" s="348"/>
      <c r="O31" s="508"/>
      <c r="P31" s="191"/>
      <c r="Q31" s="342"/>
      <c r="R31" s="505"/>
      <c r="S31" s="57"/>
      <c r="T31" s="309"/>
      <c r="U31" s="345"/>
      <c r="V31" s="54"/>
      <c r="X31" s="193"/>
      <c r="Y31" s="193"/>
    </row>
    <row r="32" spans="1:25" ht="15" customHeight="1">
      <c r="A32" s="162"/>
      <c r="B32" s="343"/>
      <c r="C32" s="151"/>
      <c r="D32" s="151"/>
      <c r="E32" s="151"/>
      <c r="F32" s="151"/>
      <c r="G32" s="151"/>
      <c r="H32" s="334"/>
      <c r="I32" s="151"/>
      <c r="J32" s="496"/>
      <c r="K32" s="472"/>
      <c r="L32" s="501"/>
      <c r="M32" s="510"/>
      <c r="N32" s="348"/>
      <c r="O32" s="508"/>
      <c r="P32" s="191"/>
      <c r="Q32" s="342"/>
      <c r="R32" s="524"/>
      <c r="S32" s="57"/>
      <c r="T32" s="309"/>
      <c r="U32" s="345"/>
      <c r="V32" s="54"/>
    </row>
    <row r="33" spans="1:22" ht="15" customHeight="1">
      <c r="A33" s="162"/>
      <c r="B33" s="343"/>
      <c r="C33" s="151"/>
      <c r="D33" s="151"/>
      <c r="E33" s="151"/>
      <c r="F33" s="151"/>
      <c r="G33" s="151"/>
      <c r="H33" s="334"/>
      <c r="I33" s="151"/>
      <c r="J33" s="496"/>
      <c r="K33" s="472"/>
      <c r="L33" s="501"/>
      <c r="M33" s="510"/>
      <c r="N33" s="348"/>
      <c r="O33" s="508"/>
      <c r="P33" s="191"/>
      <c r="Q33" s="342"/>
      <c r="R33" s="524"/>
      <c r="S33" s="57"/>
      <c r="T33" s="309"/>
      <c r="U33" s="345"/>
      <c r="V33" s="54"/>
    </row>
    <row r="34" spans="1:22" ht="15" customHeight="1">
      <c r="A34" s="162"/>
      <c r="B34" s="343"/>
      <c r="C34" s="151"/>
      <c r="D34" s="151"/>
      <c r="E34" s="151"/>
      <c r="F34" s="151"/>
      <c r="G34" s="151"/>
      <c r="H34" s="334"/>
      <c r="I34" s="151"/>
      <c r="J34" s="496"/>
      <c r="K34" s="472"/>
      <c r="L34" s="501"/>
      <c r="M34" s="510"/>
      <c r="N34" s="348"/>
      <c r="O34" s="508"/>
      <c r="P34" s="191"/>
      <c r="Q34" s="342"/>
      <c r="R34" s="505"/>
      <c r="S34" s="57"/>
      <c r="T34" s="309"/>
      <c r="U34" s="345"/>
      <c r="V34" s="54"/>
    </row>
    <row r="35" spans="1:22" ht="15" customHeight="1">
      <c r="A35" s="162"/>
      <c r="B35" s="343"/>
      <c r="C35" s="151"/>
      <c r="D35" s="151"/>
      <c r="E35" s="151"/>
      <c r="F35" s="151"/>
      <c r="G35" s="151"/>
      <c r="H35" s="334"/>
      <c r="I35" s="151"/>
      <c r="J35" s="496"/>
      <c r="K35" s="472"/>
      <c r="L35" s="501"/>
      <c r="M35" s="510"/>
      <c r="N35" s="348"/>
      <c r="O35" s="508"/>
      <c r="P35" s="191"/>
      <c r="Q35" s="342"/>
      <c r="R35" s="524"/>
      <c r="S35" s="57"/>
      <c r="T35" s="309"/>
      <c r="U35" s="345"/>
      <c r="V35" s="54"/>
    </row>
    <row r="36" spans="1:22" ht="15" customHeight="1">
      <c r="A36" s="162"/>
      <c r="B36" s="343"/>
      <c r="C36" s="151"/>
      <c r="D36" s="151"/>
      <c r="E36" s="151"/>
      <c r="F36" s="151"/>
      <c r="G36" s="151"/>
      <c r="H36" s="334"/>
      <c r="I36" s="151"/>
      <c r="J36" s="496"/>
      <c r="K36" s="472"/>
      <c r="L36" s="501"/>
      <c r="M36" s="510"/>
      <c r="N36" s="348"/>
      <c r="O36" s="508"/>
      <c r="P36" s="191"/>
      <c r="Q36" s="342"/>
      <c r="R36" s="524"/>
      <c r="S36" s="57"/>
      <c r="T36" s="309"/>
      <c r="U36" s="345"/>
      <c r="V36" s="54"/>
    </row>
    <row r="37" spans="1:22" ht="15" customHeight="1">
      <c r="A37" s="162"/>
      <c r="B37" s="343"/>
      <c r="C37" s="151"/>
      <c r="D37" s="151"/>
      <c r="E37" s="151"/>
      <c r="F37" s="151"/>
      <c r="G37" s="151"/>
      <c r="H37" s="334"/>
      <c r="I37" s="151"/>
      <c r="J37" s="496"/>
      <c r="K37" s="472"/>
      <c r="L37" s="501"/>
      <c r="M37" s="510"/>
      <c r="N37" s="348"/>
      <c r="O37" s="508"/>
      <c r="P37" s="191"/>
      <c r="Q37" s="342"/>
      <c r="R37" s="505"/>
      <c r="S37" s="57"/>
      <c r="T37" s="309"/>
      <c r="U37" s="345"/>
      <c r="V37" s="54"/>
    </row>
    <row r="38" spans="1:22" ht="15" customHeight="1">
      <c r="A38" s="162"/>
      <c r="B38" s="343"/>
      <c r="C38" s="151"/>
      <c r="D38" s="151"/>
      <c r="E38" s="151"/>
      <c r="F38" s="151"/>
      <c r="G38" s="151"/>
      <c r="H38" s="334"/>
      <c r="I38" s="151"/>
      <c r="J38" s="496"/>
      <c r="K38" s="472"/>
      <c r="L38" s="501"/>
      <c r="M38" s="510"/>
      <c r="N38" s="348"/>
      <c r="O38" s="508"/>
      <c r="P38" s="191"/>
      <c r="Q38" s="342"/>
      <c r="R38" s="524"/>
      <c r="S38" s="57"/>
      <c r="T38" s="309"/>
      <c r="U38" s="345"/>
      <c r="V38" s="54"/>
    </row>
    <row r="39" spans="1:22" ht="15" customHeight="1">
      <c r="A39" s="162"/>
      <c r="B39" s="343"/>
      <c r="C39" s="151"/>
      <c r="D39" s="151"/>
      <c r="E39" s="151"/>
      <c r="F39" s="151"/>
      <c r="G39" s="151"/>
      <c r="H39" s="334"/>
      <c r="I39" s="151"/>
      <c r="J39" s="496"/>
      <c r="K39" s="472"/>
      <c r="L39" s="501"/>
      <c r="M39" s="510"/>
      <c r="N39" s="348"/>
      <c r="O39" s="508"/>
      <c r="P39" s="191"/>
      <c r="Q39" s="342"/>
      <c r="R39" s="524"/>
      <c r="S39" s="57"/>
      <c r="T39" s="309"/>
      <c r="U39" s="345"/>
      <c r="V39" s="54"/>
    </row>
    <row r="40" spans="1:22" ht="15" customHeight="1">
      <c r="A40" s="162"/>
      <c r="B40" s="343"/>
      <c r="C40" s="151"/>
      <c r="D40" s="151"/>
      <c r="E40" s="151"/>
      <c r="F40" s="151"/>
      <c r="G40" s="151"/>
      <c r="H40" s="334"/>
      <c r="I40" s="151"/>
      <c r="J40" s="496"/>
      <c r="K40" s="472"/>
      <c r="L40" s="501"/>
      <c r="M40" s="510"/>
      <c r="N40" s="348"/>
      <c r="O40" s="508"/>
      <c r="P40" s="191"/>
      <c r="Q40" s="342"/>
      <c r="R40" s="505"/>
      <c r="S40" s="57"/>
      <c r="T40" s="309"/>
      <c r="U40" s="345"/>
      <c r="V40" s="54"/>
    </row>
    <row r="41" spans="1:22" ht="15" customHeight="1">
      <c r="A41" s="162"/>
      <c r="B41" s="343"/>
      <c r="C41" s="151"/>
      <c r="D41" s="151"/>
      <c r="E41" s="151"/>
      <c r="F41" s="151"/>
      <c r="G41" s="151"/>
      <c r="H41" s="334"/>
      <c r="I41" s="151"/>
      <c r="J41" s="496"/>
      <c r="K41" s="472"/>
      <c r="L41" s="501"/>
      <c r="M41" s="510"/>
      <c r="N41" s="348"/>
      <c r="O41" s="508"/>
      <c r="P41" s="191"/>
      <c r="Q41" s="342"/>
      <c r="R41" s="524"/>
      <c r="S41" s="57"/>
      <c r="T41" s="309"/>
      <c r="U41" s="345"/>
      <c r="V41" s="54"/>
    </row>
    <row r="42" spans="1:22" ht="15" customHeight="1">
      <c r="A42" s="162"/>
      <c r="B42" s="343"/>
      <c r="C42" s="151"/>
      <c r="D42" s="151"/>
      <c r="E42" s="151"/>
      <c r="F42" s="151"/>
      <c r="G42" s="151"/>
      <c r="H42" s="334"/>
      <c r="I42" s="151"/>
      <c r="J42" s="496"/>
      <c r="K42" s="472"/>
      <c r="L42" s="501"/>
      <c r="M42" s="510"/>
      <c r="N42" s="348"/>
      <c r="O42" s="508"/>
      <c r="P42" s="191"/>
      <c r="Q42" s="342"/>
      <c r="R42" s="524"/>
      <c r="S42" s="57"/>
      <c r="T42" s="309"/>
      <c r="U42" s="345"/>
      <c r="V42" s="54"/>
    </row>
    <row r="43" spans="1:22" ht="15" customHeight="1">
      <c r="A43" s="162"/>
      <c r="B43" s="343"/>
      <c r="C43" s="151"/>
      <c r="D43" s="151"/>
      <c r="E43" s="151"/>
      <c r="F43" s="151"/>
      <c r="G43" s="151"/>
      <c r="H43" s="334"/>
      <c r="I43" s="151"/>
      <c r="J43" s="496"/>
      <c r="K43" s="472"/>
      <c r="L43" s="501"/>
      <c r="M43" s="510"/>
      <c r="N43" s="348"/>
      <c r="O43" s="508"/>
      <c r="P43" s="191"/>
      <c r="Q43" s="364"/>
      <c r="R43" s="505"/>
      <c r="S43" s="57"/>
      <c r="T43" s="507"/>
      <c r="U43" s="345"/>
      <c r="V43" s="54"/>
    </row>
    <row r="44" spans="1:22" ht="15" customHeight="1">
      <c r="A44" s="162"/>
      <c r="B44" s="343"/>
      <c r="C44" s="151"/>
      <c r="D44" s="151"/>
      <c r="E44" s="151"/>
      <c r="F44" s="151"/>
      <c r="G44" s="151"/>
      <c r="H44" s="334"/>
      <c r="I44" s="151"/>
      <c r="J44" s="496"/>
      <c r="K44" s="472"/>
      <c r="L44" s="501"/>
      <c r="M44" s="510"/>
      <c r="N44" s="348"/>
      <c r="O44" s="508"/>
      <c r="P44" s="191"/>
      <c r="Q44" s="364"/>
      <c r="R44" s="505"/>
      <c r="S44" s="57"/>
      <c r="T44" s="507"/>
      <c r="U44" s="345"/>
      <c r="V44" s="54"/>
    </row>
    <row r="45" spans="1:22" ht="15" customHeight="1">
      <c r="A45" s="162"/>
      <c r="B45" s="343"/>
      <c r="C45" s="151"/>
      <c r="D45" s="151"/>
      <c r="E45" s="151"/>
      <c r="F45" s="151"/>
      <c r="G45" s="151"/>
      <c r="H45" s="334"/>
      <c r="I45" s="151"/>
      <c r="J45" s="496"/>
      <c r="K45" s="472"/>
      <c r="L45" s="501"/>
      <c r="M45" s="510"/>
      <c r="N45" s="348"/>
      <c r="O45" s="508"/>
      <c r="P45" s="191"/>
      <c r="Q45" s="364"/>
      <c r="R45" s="505"/>
      <c r="S45" s="57"/>
      <c r="T45" s="507"/>
      <c r="U45" s="345"/>
      <c r="V45" s="54"/>
    </row>
    <row r="46" spans="1:22" ht="15" customHeight="1">
      <c r="A46" s="162"/>
      <c r="B46" s="343"/>
      <c r="C46" s="151"/>
      <c r="D46" s="151"/>
      <c r="E46" s="151"/>
      <c r="F46" s="151"/>
      <c r="G46" s="151"/>
      <c r="H46" s="334"/>
      <c r="I46" s="151"/>
      <c r="J46" s="496"/>
      <c r="K46" s="472"/>
      <c r="L46" s="501"/>
      <c r="M46" s="510"/>
      <c r="N46" s="348"/>
      <c r="O46" s="508"/>
      <c r="P46" s="191"/>
      <c r="Q46" s="342"/>
      <c r="R46" s="524"/>
      <c r="S46" s="57"/>
      <c r="T46" s="309"/>
      <c r="U46" s="345"/>
      <c r="V46" s="54"/>
    </row>
    <row r="47" spans="1:22" ht="15" customHeight="1">
      <c r="A47" s="162"/>
      <c r="B47" s="343"/>
      <c r="C47" s="151"/>
      <c r="D47" s="151"/>
      <c r="E47" s="151"/>
      <c r="F47" s="151"/>
      <c r="G47" s="151"/>
      <c r="H47" s="334"/>
      <c r="I47" s="151"/>
      <c r="J47" s="496"/>
      <c r="K47" s="472"/>
      <c r="L47" s="501"/>
      <c r="M47" s="510"/>
      <c r="N47" s="348"/>
      <c r="O47" s="508"/>
      <c r="P47" s="191"/>
      <c r="Q47" s="433"/>
      <c r="R47" s="524"/>
      <c r="S47" s="57"/>
      <c r="T47" s="507"/>
      <c r="U47" s="345"/>
      <c r="V47" s="54"/>
    </row>
    <row r="48" spans="1:22" ht="15" customHeight="1">
      <c r="A48" s="162"/>
      <c r="B48" s="343"/>
      <c r="C48" s="151"/>
      <c r="D48" s="151"/>
      <c r="E48" s="151"/>
      <c r="F48" s="151"/>
      <c r="G48" s="151"/>
      <c r="H48" s="334"/>
      <c r="I48" s="151"/>
      <c r="J48" s="496"/>
      <c r="K48" s="472"/>
      <c r="L48" s="501"/>
      <c r="M48" s="510"/>
      <c r="N48" s="348"/>
      <c r="O48" s="508"/>
      <c r="P48" s="191"/>
      <c r="Q48" s="342"/>
      <c r="R48" s="505"/>
      <c r="S48" s="57"/>
      <c r="T48" s="309"/>
      <c r="U48" s="345"/>
      <c r="V48" s="54"/>
    </row>
    <row r="49" spans="1:25" ht="15" customHeight="1">
      <c r="A49" s="162"/>
      <c r="B49" s="343"/>
      <c r="C49" s="151"/>
      <c r="D49" s="151"/>
      <c r="E49" s="151"/>
      <c r="F49" s="151"/>
      <c r="G49" s="340"/>
      <c r="H49" s="334"/>
      <c r="I49" s="151"/>
      <c r="J49" s="496"/>
      <c r="K49" s="472"/>
      <c r="L49" s="501"/>
      <c r="M49" s="510"/>
      <c r="N49" s="348"/>
      <c r="O49" s="508"/>
      <c r="P49" s="191"/>
      <c r="Q49" s="342"/>
      <c r="R49" s="524"/>
      <c r="S49" s="57"/>
      <c r="T49" s="309"/>
      <c r="U49" s="345"/>
      <c r="V49" s="54"/>
    </row>
    <row r="50" spans="1:25" ht="15" customHeight="1">
      <c r="A50" s="455"/>
      <c r="B50" s="512"/>
      <c r="C50" s="340"/>
      <c r="D50" s="340"/>
      <c r="E50" s="340"/>
      <c r="F50" s="340"/>
      <c r="G50" s="340"/>
      <c r="H50" s="334"/>
      <c r="I50" s="151"/>
      <c r="J50" s="496"/>
      <c r="K50" s="472"/>
      <c r="L50" s="501"/>
      <c r="M50" s="510"/>
      <c r="N50" s="348"/>
      <c r="O50" s="508"/>
      <c r="P50" s="191"/>
      <c r="Q50" s="342"/>
      <c r="R50" s="524"/>
      <c r="S50" s="57"/>
      <c r="T50" s="309"/>
      <c r="U50" s="349"/>
      <c r="V50" s="336"/>
      <c r="X50" s="462"/>
      <c r="Y50" s="462"/>
    </row>
    <row r="51" spans="1:25" ht="15" customHeight="1">
      <c r="A51" s="447"/>
      <c r="B51" s="512"/>
      <c r="C51" s="340"/>
      <c r="D51" s="340"/>
      <c r="E51" s="340"/>
      <c r="F51" s="340"/>
      <c r="G51" s="340"/>
      <c r="H51" s="334"/>
      <c r="I51" s="151"/>
      <c r="J51" s="496"/>
      <c r="K51" s="472"/>
      <c r="L51" s="501"/>
      <c r="M51" s="510"/>
      <c r="N51" s="348"/>
      <c r="O51" s="508"/>
      <c r="P51" s="191"/>
      <c r="Q51" s="342"/>
      <c r="R51" s="524"/>
      <c r="S51" s="57"/>
      <c r="T51" s="309"/>
      <c r="U51" s="513"/>
      <c r="V51" s="452"/>
      <c r="X51" s="453"/>
      <c r="Y51" s="453"/>
    </row>
    <row r="52" spans="1:25" ht="15" customHeight="1">
      <c r="A52" s="447"/>
      <c r="B52" s="512"/>
      <c r="C52" s="340"/>
      <c r="D52" s="340"/>
      <c r="E52" s="340"/>
      <c r="F52" s="340"/>
      <c r="G52" s="340"/>
      <c r="H52" s="334"/>
      <c r="I52" s="151"/>
      <c r="J52" s="496"/>
      <c r="K52" s="472"/>
      <c r="L52" s="501"/>
      <c r="M52" s="510"/>
      <c r="N52" s="348"/>
      <c r="O52" s="508"/>
      <c r="P52" s="191"/>
      <c r="Q52" s="342"/>
      <c r="R52" s="524"/>
      <c r="S52" s="57"/>
      <c r="T52" s="309"/>
      <c r="U52" s="513"/>
      <c r="V52" s="452"/>
      <c r="X52" s="453"/>
      <c r="Y52" s="453"/>
    </row>
    <row r="53" spans="1:25" ht="15" customHeight="1">
      <c r="A53" s="162"/>
      <c r="B53" s="512"/>
      <c r="C53" s="151"/>
      <c r="D53" s="151"/>
      <c r="E53" s="151"/>
      <c r="F53" s="151"/>
      <c r="G53" s="151"/>
      <c r="H53" s="334"/>
      <c r="I53" s="151"/>
      <c r="J53" s="496"/>
      <c r="K53" s="472"/>
      <c r="L53" s="501"/>
      <c r="M53" s="510"/>
      <c r="N53" s="348"/>
      <c r="O53" s="508"/>
      <c r="P53" s="191"/>
      <c r="Q53" s="342"/>
      <c r="R53" s="524"/>
      <c r="S53" s="57"/>
      <c r="T53" s="309"/>
      <c r="U53" s="511"/>
      <c r="V53" s="54"/>
    </row>
    <row r="54" spans="1:25" ht="15" customHeight="1">
      <c r="A54" s="162"/>
      <c r="B54" s="512"/>
      <c r="C54" s="151"/>
      <c r="D54" s="151"/>
      <c r="E54" s="151"/>
      <c r="F54" s="151"/>
      <c r="G54" s="151"/>
      <c r="H54" s="334"/>
      <c r="I54" s="151"/>
      <c r="J54" s="496"/>
      <c r="K54" s="472"/>
      <c r="L54" s="501"/>
      <c r="M54" s="510"/>
      <c r="N54" s="348"/>
      <c r="O54" s="508"/>
      <c r="P54" s="191"/>
      <c r="Q54" s="342"/>
      <c r="R54" s="524"/>
      <c r="S54" s="57"/>
      <c r="T54" s="309"/>
      <c r="U54" s="345"/>
      <c r="V54" s="54"/>
    </row>
    <row r="55" spans="1:25" ht="15" customHeight="1">
      <c r="A55" s="162"/>
      <c r="B55" s="512"/>
      <c r="C55" s="151"/>
      <c r="D55" s="151"/>
      <c r="E55" s="151"/>
      <c r="F55" s="151"/>
      <c r="G55" s="151"/>
      <c r="H55" s="334"/>
      <c r="I55" s="151"/>
      <c r="J55" s="496"/>
      <c r="K55" s="472"/>
      <c r="L55" s="501"/>
      <c r="M55" s="510"/>
      <c r="N55" s="348"/>
      <c r="O55" s="508"/>
      <c r="P55" s="191"/>
      <c r="Q55" s="342"/>
      <c r="R55" s="505"/>
      <c r="S55" s="57"/>
      <c r="T55" s="309"/>
      <c r="U55" s="345"/>
      <c r="V55" s="54"/>
    </row>
    <row r="56" spans="1:25" ht="15" customHeight="1">
      <c r="A56" s="162"/>
      <c r="B56" s="512"/>
      <c r="C56" s="151"/>
      <c r="D56" s="151"/>
      <c r="E56" s="151"/>
      <c r="F56" s="151"/>
      <c r="G56" s="151"/>
      <c r="H56" s="334"/>
      <c r="I56" s="151"/>
      <c r="J56" s="496"/>
      <c r="K56" s="472"/>
      <c r="L56" s="501"/>
      <c r="M56" s="510"/>
      <c r="N56" s="348"/>
      <c r="O56" s="508"/>
      <c r="P56" s="191"/>
      <c r="Q56" s="364"/>
      <c r="R56" s="505"/>
      <c r="S56" s="57"/>
      <c r="T56" s="507"/>
      <c r="U56" s="345"/>
      <c r="V56" s="54"/>
    </row>
    <row r="57" spans="1:25" ht="15" customHeight="1">
      <c r="A57" s="162"/>
      <c r="B57" s="512"/>
      <c r="C57" s="151"/>
      <c r="D57" s="151"/>
      <c r="E57" s="151"/>
      <c r="F57" s="151"/>
      <c r="G57" s="151"/>
      <c r="H57" s="334"/>
      <c r="I57" s="151"/>
      <c r="J57" s="496"/>
      <c r="K57" s="472"/>
      <c r="L57" s="501"/>
      <c r="M57" s="510"/>
      <c r="N57" s="348"/>
      <c r="O57" s="508"/>
      <c r="P57" s="191"/>
      <c r="Q57" s="342"/>
      <c r="R57" s="524"/>
      <c r="S57" s="57"/>
      <c r="T57" s="309"/>
      <c r="U57" s="345"/>
      <c r="V57" s="54"/>
    </row>
    <row r="58" spans="1:25" ht="15" customHeight="1">
      <c r="A58" s="162"/>
      <c r="B58" s="512"/>
      <c r="C58" s="151"/>
      <c r="D58" s="151"/>
      <c r="E58" s="151"/>
      <c r="F58" s="151"/>
      <c r="G58" s="151"/>
      <c r="H58" s="334"/>
      <c r="I58" s="151"/>
      <c r="J58" s="496"/>
      <c r="K58" s="472"/>
      <c r="L58" s="501"/>
      <c r="M58" s="510"/>
      <c r="N58" s="348"/>
      <c r="O58" s="508"/>
      <c r="P58" s="191"/>
      <c r="Q58" s="364"/>
      <c r="R58" s="505"/>
      <c r="S58" s="57"/>
      <c r="T58" s="507"/>
      <c r="U58" s="511"/>
      <c r="V58" s="54"/>
    </row>
    <row r="59" spans="1:25" ht="15" customHeight="1">
      <c r="A59" s="162"/>
      <c r="B59" s="343"/>
      <c r="C59" s="151"/>
      <c r="D59" s="151"/>
      <c r="E59" s="151"/>
      <c r="F59" s="151"/>
      <c r="G59" s="151"/>
      <c r="H59" s="334"/>
      <c r="I59" s="151"/>
      <c r="J59" s="496"/>
      <c r="K59" s="472"/>
      <c r="L59" s="501"/>
      <c r="M59" s="510"/>
      <c r="N59" s="348"/>
      <c r="O59" s="508"/>
      <c r="P59" s="191"/>
      <c r="Q59" s="342"/>
      <c r="R59" s="524"/>
      <c r="S59" s="57"/>
      <c r="T59" s="309"/>
      <c r="U59" s="345"/>
      <c r="V59" s="54"/>
    </row>
    <row r="60" spans="1:25" ht="15" customHeight="1">
      <c r="A60" s="162"/>
      <c r="B60" s="343"/>
      <c r="C60" s="151"/>
      <c r="D60" s="151"/>
      <c r="E60" s="151"/>
      <c r="F60" s="151"/>
      <c r="G60" s="151"/>
      <c r="H60" s="334"/>
      <c r="I60" s="151"/>
      <c r="J60" s="496"/>
      <c r="K60" s="472"/>
      <c r="L60" s="501"/>
      <c r="M60" s="510"/>
      <c r="N60" s="348"/>
      <c r="O60" s="508"/>
      <c r="P60" s="191"/>
      <c r="Q60" s="342"/>
      <c r="R60" s="505"/>
      <c r="S60" s="57"/>
      <c r="T60" s="309"/>
      <c r="U60" s="345"/>
      <c r="V60" s="54"/>
    </row>
    <row r="61" spans="1:25" ht="15" customHeight="1">
      <c r="A61" s="162"/>
      <c r="B61" s="343"/>
      <c r="C61" s="151"/>
      <c r="D61" s="151"/>
      <c r="E61" s="151"/>
      <c r="F61" s="151"/>
      <c r="G61" s="151"/>
      <c r="H61" s="334"/>
      <c r="I61" s="151"/>
      <c r="J61" s="496"/>
      <c r="K61" s="472"/>
      <c r="L61" s="501"/>
      <c r="M61" s="510"/>
      <c r="N61" s="348"/>
      <c r="O61" s="508"/>
      <c r="P61" s="191"/>
      <c r="Q61" s="342"/>
      <c r="R61" s="524"/>
      <c r="S61" s="57"/>
      <c r="T61" s="309"/>
      <c r="U61" s="345"/>
      <c r="V61" s="54"/>
    </row>
    <row r="62" spans="1:25" ht="15" customHeight="1">
      <c r="A62" s="162"/>
      <c r="B62" s="343"/>
      <c r="C62" s="151"/>
      <c r="D62" s="151"/>
      <c r="E62" s="151"/>
      <c r="F62" s="151"/>
      <c r="G62" s="151"/>
      <c r="H62" s="334"/>
      <c r="I62" s="151"/>
      <c r="J62" s="496"/>
      <c r="K62" s="472"/>
      <c r="L62" s="501"/>
      <c r="M62" s="510"/>
      <c r="N62" s="348"/>
      <c r="O62" s="508"/>
      <c r="P62" s="191"/>
      <c r="Q62" s="342"/>
      <c r="R62" s="524"/>
      <c r="S62" s="57"/>
      <c r="T62" s="309"/>
      <c r="U62" s="345"/>
      <c r="V62" s="54"/>
    </row>
    <row r="63" spans="1:25" ht="16">
      <c r="A63" s="162"/>
      <c r="B63" s="512"/>
      <c r="C63" s="151"/>
      <c r="D63" s="151"/>
      <c r="E63" s="151"/>
      <c r="F63" s="151"/>
      <c r="G63" s="151"/>
      <c r="H63" s="334"/>
      <c r="I63" s="151"/>
      <c r="J63" s="496"/>
      <c r="K63" s="472"/>
      <c r="L63" s="501"/>
      <c r="M63" s="510"/>
      <c r="N63" s="348"/>
      <c r="O63" s="508"/>
      <c r="P63" s="191"/>
      <c r="Q63" s="342"/>
      <c r="R63" s="524"/>
      <c r="S63" s="57"/>
      <c r="T63" s="309"/>
      <c r="U63" s="345"/>
      <c r="V63" s="54"/>
    </row>
    <row r="64" spans="1:25" ht="16">
      <c r="A64" s="162"/>
      <c r="B64" s="343"/>
      <c r="C64" s="151"/>
      <c r="D64" s="151"/>
      <c r="E64" s="151"/>
      <c r="F64" s="151"/>
      <c r="G64" s="151"/>
      <c r="H64" s="334"/>
      <c r="I64" s="151"/>
      <c r="J64" s="496"/>
      <c r="K64" s="472"/>
      <c r="L64" s="501"/>
      <c r="M64" s="510"/>
      <c r="N64" s="348"/>
      <c r="O64" s="508"/>
      <c r="P64" s="191"/>
      <c r="Q64" s="342"/>
      <c r="R64" s="524"/>
      <c r="S64" s="57"/>
      <c r="T64" s="507"/>
      <c r="U64" s="345"/>
      <c r="V64" s="54"/>
    </row>
    <row r="65" spans="1:22">
      <c r="A65" s="162"/>
      <c r="B65" s="343"/>
      <c r="C65" s="151"/>
      <c r="D65" s="151"/>
      <c r="E65" s="151"/>
      <c r="F65" s="151"/>
      <c r="G65" s="151"/>
      <c r="H65" s="334"/>
      <c r="I65" s="151"/>
      <c r="J65" s="496"/>
      <c r="K65" s="472"/>
      <c r="L65" s="501"/>
      <c r="M65" s="510"/>
      <c r="N65" s="348"/>
      <c r="O65" s="508"/>
      <c r="P65" s="191"/>
      <c r="Q65" s="433"/>
      <c r="R65" s="505"/>
      <c r="S65" s="57"/>
      <c r="T65" s="507"/>
      <c r="U65" s="511"/>
      <c r="V65" s="54"/>
    </row>
    <row r="66" spans="1:22" ht="16">
      <c r="A66" s="162"/>
      <c r="B66" s="343"/>
      <c r="C66" s="151"/>
      <c r="D66" s="151"/>
      <c r="E66" s="151"/>
      <c r="F66" s="151"/>
      <c r="G66" s="151"/>
      <c r="H66" s="334"/>
      <c r="I66" s="151"/>
      <c r="J66" s="496"/>
      <c r="K66" s="472"/>
      <c r="L66" s="501"/>
      <c r="M66" s="510"/>
      <c r="N66" s="348"/>
      <c r="O66" s="508"/>
      <c r="P66" s="191"/>
      <c r="Q66" s="342"/>
      <c r="R66" s="524"/>
      <c r="S66" s="57"/>
      <c r="T66" s="309"/>
      <c r="U66" s="345"/>
      <c r="V66" s="54"/>
    </row>
    <row r="67" spans="1:22" ht="16">
      <c r="A67" s="162"/>
      <c r="B67" s="343" t="s">
        <v>6484</v>
      </c>
      <c r="C67" s="151"/>
      <c r="D67" s="151"/>
      <c r="E67" s="151"/>
      <c r="F67" s="151"/>
      <c r="G67" s="151"/>
      <c r="H67" s="334"/>
      <c r="I67" s="151"/>
      <c r="J67" s="496"/>
      <c r="K67" s="472"/>
      <c r="L67" s="501"/>
      <c r="M67" s="510"/>
      <c r="N67" s="348"/>
      <c r="O67" s="508"/>
      <c r="P67" s="191"/>
      <c r="Q67" s="364"/>
      <c r="R67" s="505"/>
      <c r="S67" s="57"/>
      <c r="T67" s="507"/>
      <c r="U67" s="345"/>
      <c r="V67" s="54"/>
    </row>
    <row r="68" spans="1:22" ht="16">
      <c r="A68" s="162"/>
      <c r="B68" s="343" t="s">
        <v>6484</v>
      </c>
      <c r="C68" s="151"/>
      <c r="D68" s="151"/>
      <c r="E68" s="151"/>
      <c r="F68" s="151"/>
      <c r="G68" s="151"/>
      <c r="H68" s="334"/>
      <c r="I68" s="151"/>
      <c r="J68" s="496"/>
      <c r="K68" s="472"/>
      <c r="L68" s="501"/>
      <c r="M68" s="510"/>
      <c r="N68" s="348"/>
      <c r="O68" s="508"/>
      <c r="P68" s="191"/>
      <c r="Q68" s="364"/>
      <c r="R68" s="505"/>
      <c r="S68" s="57"/>
      <c r="T68" s="507"/>
      <c r="U68" s="345"/>
      <c r="V68" s="54"/>
    </row>
    <row r="69" spans="1:22" ht="13.5" customHeight="1">
      <c r="A69" s="162"/>
      <c r="B69" s="343" t="s">
        <v>6484</v>
      </c>
      <c r="C69" s="151"/>
      <c r="D69" s="151"/>
      <c r="E69" s="151"/>
      <c r="F69" s="151"/>
      <c r="G69" s="151"/>
      <c r="H69" s="334"/>
      <c r="I69" s="151"/>
      <c r="J69" s="496"/>
      <c r="K69" s="472"/>
      <c r="L69" s="501"/>
      <c r="M69" s="510"/>
      <c r="N69" s="348"/>
      <c r="O69" s="508"/>
      <c r="P69" s="191"/>
      <c r="Q69" s="364"/>
      <c r="R69" s="505"/>
      <c r="S69" s="57"/>
      <c r="T69" s="507"/>
      <c r="U69" s="345"/>
      <c r="V69" s="54"/>
    </row>
    <row r="70" spans="1:22" ht="16">
      <c r="A70" s="162"/>
      <c r="B70" s="343" t="s">
        <v>6484</v>
      </c>
      <c r="C70" s="151"/>
      <c r="D70" s="151"/>
      <c r="E70" s="151"/>
      <c r="F70" s="151"/>
      <c r="G70" s="151"/>
      <c r="H70" s="334"/>
      <c r="I70" s="151"/>
      <c r="J70" s="496"/>
      <c r="K70" s="472"/>
      <c r="L70" s="501"/>
      <c r="M70" s="510"/>
      <c r="N70" s="348"/>
      <c r="O70" s="508"/>
      <c r="P70" s="191"/>
      <c r="Q70" s="364"/>
      <c r="R70" s="523"/>
      <c r="S70" s="57"/>
      <c r="T70" s="507"/>
      <c r="U70" s="345"/>
      <c r="V70" s="54"/>
    </row>
    <row r="71" spans="1:22" ht="16">
      <c r="A71" s="162"/>
      <c r="B71" s="343" t="s">
        <v>6499</v>
      </c>
      <c r="C71" s="151"/>
      <c r="D71" s="151"/>
      <c r="E71" s="151"/>
      <c r="F71" s="151"/>
      <c r="G71" s="151"/>
      <c r="H71" s="334"/>
      <c r="I71" s="151"/>
      <c r="J71" s="496"/>
      <c r="K71" s="472"/>
      <c r="L71" s="501"/>
      <c r="M71" s="510"/>
      <c r="N71" s="348"/>
      <c r="O71" s="508"/>
      <c r="P71" s="191"/>
      <c r="Q71" s="364"/>
      <c r="R71" s="523"/>
      <c r="S71" s="57"/>
      <c r="T71" s="507"/>
      <c r="U71" s="345"/>
      <c r="V71" s="54"/>
    </row>
    <row r="72" spans="1:22" ht="16">
      <c r="A72" s="162"/>
      <c r="B72" s="343" t="s">
        <v>6499</v>
      </c>
      <c r="C72" s="151"/>
      <c r="D72" s="151"/>
      <c r="E72" s="151"/>
      <c r="F72" s="151"/>
      <c r="G72" s="151"/>
      <c r="H72" s="334"/>
      <c r="I72" s="151"/>
      <c r="J72" s="496"/>
      <c r="K72" s="472"/>
      <c r="L72" s="501"/>
      <c r="M72" s="510"/>
      <c r="N72" s="348"/>
      <c r="O72" s="508"/>
      <c r="P72" s="191"/>
      <c r="Q72" s="364"/>
      <c r="R72" s="523"/>
      <c r="S72" s="57"/>
      <c r="T72" s="507"/>
      <c r="U72" s="345"/>
      <c r="V72" s="54"/>
    </row>
    <row r="73" spans="1:22">
      <c r="A73" s="162"/>
      <c r="B73" s="343" t="s">
        <v>6504</v>
      </c>
      <c r="C73" s="151"/>
      <c r="D73" s="151"/>
      <c r="E73" s="151"/>
      <c r="F73" s="151"/>
      <c r="G73" s="151"/>
      <c r="H73" s="334"/>
      <c r="I73" s="151"/>
      <c r="J73" s="496"/>
      <c r="K73" s="472"/>
      <c r="L73" s="501"/>
      <c r="M73" s="510"/>
      <c r="N73" s="348"/>
      <c r="O73" s="508"/>
      <c r="P73" s="191"/>
      <c r="Q73" s="342"/>
      <c r="R73" s="524"/>
      <c r="S73" s="57"/>
      <c r="T73" s="309"/>
      <c r="U73" s="511"/>
      <c r="V73" s="54"/>
    </row>
    <row r="74" spans="1:22">
      <c r="A74" s="162"/>
      <c r="B74" s="343" t="s">
        <v>6504</v>
      </c>
      <c r="C74" s="151"/>
      <c r="D74" s="151"/>
      <c r="E74" s="151"/>
      <c r="F74" s="151"/>
      <c r="G74" s="151"/>
      <c r="H74" s="334"/>
      <c r="I74" s="151"/>
      <c r="J74" s="496"/>
      <c r="K74" s="472"/>
      <c r="L74" s="501"/>
      <c r="M74" s="510"/>
      <c r="N74" s="348"/>
      <c r="O74" s="508"/>
      <c r="P74" s="191"/>
      <c r="Q74" s="364"/>
      <c r="R74" s="505"/>
      <c r="S74" s="57"/>
      <c r="T74" s="507"/>
      <c r="U74" s="511"/>
      <c r="V74" s="54"/>
    </row>
    <row r="75" spans="1:22" ht="16">
      <c r="A75" s="162"/>
      <c r="B75" s="343" t="s">
        <v>6504</v>
      </c>
      <c r="C75" s="151"/>
      <c r="D75" s="151"/>
      <c r="E75" s="151"/>
      <c r="F75" s="151"/>
      <c r="G75" s="151"/>
      <c r="H75" s="334"/>
      <c r="I75" s="151"/>
      <c r="J75" s="496"/>
      <c r="K75" s="472"/>
      <c r="L75" s="501"/>
      <c r="M75" s="510"/>
      <c r="N75" s="348"/>
      <c r="O75" s="508"/>
      <c r="P75" s="191"/>
      <c r="Q75" s="342"/>
      <c r="R75" s="524"/>
      <c r="S75" s="57"/>
      <c r="T75" s="309"/>
      <c r="U75" s="345"/>
      <c r="V75" s="54"/>
    </row>
    <row r="76" spans="1:22" ht="16">
      <c r="A76" s="162"/>
      <c r="B76" s="343" t="s">
        <v>6504</v>
      </c>
      <c r="C76" s="151"/>
      <c r="D76" s="151"/>
      <c r="E76" s="151"/>
      <c r="F76" s="151"/>
      <c r="G76" s="151"/>
      <c r="H76" s="334"/>
      <c r="I76" s="151"/>
      <c r="J76" s="496"/>
      <c r="K76" s="472"/>
      <c r="L76" s="501"/>
      <c r="M76" s="510"/>
      <c r="N76" s="348"/>
      <c r="O76" s="508"/>
      <c r="P76" s="191"/>
      <c r="Q76" s="342"/>
      <c r="R76" s="173"/>
      <c r="S76" s="57"/>
      <c r="T76" s="309"/>
      <c r="U76" s="345"/>
      <c r="V76" s="54"/>
    </row>
    <row r="77" spans="1:22" ht="14.25" customHeight="1">
      <c r="A77" s="162"/>
      <c r="B77" s="343" t="s">
        <v>6504</v>
      </c>
      <c r="C77" s="151"/>
      <c r="D77" s="151"/>
      <c r="E77" s="151"/>
      <c r="F77" s="151"/>
      <c r="G77" s="151"/>
      <c r="H77" s="334"/>
      <c r="I77" s="151"/>
      <c r="J77" s="496"/>
      <c r="K77" s="472"/>
      <c r="L77" s="501"/>
      <c r="M77" s="510"/>
      <c r="N77" s="348"/>
      <c r="O77" s="508"/>
      <c r="P77" s="191"/>
      <c r="Q77" s="342"/>
      <c r="R77" s="524"/>
      <c r="S77" s="57"/>
      <c r="T77" s="309"/>
      <c r="U77" s="345"/>
      <c r="V77" s="54"/>
    </row>
    <row r="78" spans="1:22" ht="16">
      <c r="A78" s="101"/>
      <c r="B78" s="343" t="s">
        <v>6504</v>
      </c>
      <c r="C78" s="151"/>
      <c r="D78" s="151"/>
      <c r="E78" s="151"/>
      <c r="F78" s="151"/>
      <c r="G78" s="151"/>
      <c r="H78" s="334"/>
      <c r="I78" s="151"/>
      <c r="J78" s="496"/>
      <c r="K78" s="472"/>
      <c r="L78" s="501"/>
      <c r="M78" s="510"/>
      <c r="N78" s="348"/>
      <c r="O78" s="508"/>
      <c r="P78" s="191"/>
      <c r="Q78" s="342"/>
      <c r="R78" s="525"/>
      <c r="S78" s="57"/>
      <c r="T78" s="309"/>
      <c r="U78" s="345"/>
      <c r="V78" s="54"/>
    </row>
    <row r="79" spans="1:22" ht="16">
      <c r="A79" s="162"/>
      <c r="B79" s="343" t="s">
        <v>6518</v>
      </c>
      <c r="C79" s="151"/>
      <c r="D79" s="151"/>
      <c r="E79" s="151"/>
      <c r="F79" s="151"/>
      <c r="G79" s="151"/>
      <c r="H79" s="334"/>
      <c r="I79" s="151"/>
      <c r="J79" s="496"/>
      <c r="K79" s="472"/>
      <c r="L79" s="501"/>
      <c r="M79" s="510"/>
      <c r="N79" s="348"/>
      <c r="O79" s="508"/>
      <c r="P79" s="191"/>
      <c r="Q79" s="364"/>
      <c r="R79" s="505"/>
      <c r="S79" s="57"/>
      <c r="T79" s="507"/>
      <c r="U79" s="345"/>
      <c r="V79" s="54"/>
    </row>
    <row r="80" spans="1:22" ht="16">
      <c r="A80" s="162"/>
      <c r="B80" s="343" t="s">
        <v>6518</v>
      </c>
      <c r="C80" s="151"/>
      <c r="D80" s="151"/>
      <c r="E80" s="151"/>
      <c r="F80" s="151"/>
      <c r="G80" s="151"/>
      <c r="H80" s="334"/>
      <c r="I80" s="151"/>
      <c r="J80" s="496"/>
      <c r="K80" s="472"/>
      <c r="L80" s="501"/>
      <c r="M80" s="510"/>
      <c r="N80" s="348"/>
      <c r="O80" s="508"/>
      <c r="P80" s="191"/>
      <c r="Q80" s="342"/>
      <c r="R80" s="524"/>
      <c r="S80" s="57"/>
      <c r="T80" s="309"/>
      <c r="U80" s="345"/>
      <c r="V80" s="54"/>
    </row>
    <row r="81" spans="1:22" ht="16">
      <c r="A81" s="162"/>
      <c r="B81" s="343" t="s">
        <v>6518</v>
      </c>
      <c r="C81" s="151"/>
      <c r="D81" s="151"/>
      <c r="E81" s="151"/>
      <c r="F81" s="151"/>
      <c r="G81" s="151"/>
      <c r="H81" s="334"/>
      <c r="I81" s="151"/>
      <c r="J81" s="496"/>
      <c r="K81" s="472"/>
      <c r="L81" s="501"/>
      <c r="M81" s="510"/>
      <c r="N81" s="348"/>
      <c r="O81" s="508"/>
      <c r="P81" s="191"/>
      <c r="Q81" s="364"/>
      <c r="R81" s="524"/>
      <c r="S81" s="57"/>
      <c r="T81" s="309"/>
      <c r="U81" s="345"/>
      <c r="V81" s="54"/>
    </row>
    <row r="82" spans="1:22" ht="16">
      <c r="A82" s="162"/>
      <c r="B82" s="343" t="s">
        <v>6518</v>
      </c>
      <c r="C82" s="151"/>
      <c r="D82" s="151"/>
      <c r="E82" s="151"/>
      <c r="F82" s="151"/>
      <c r="G82" s="151"/>
      <c r="H82" s="334"/>
      <c r="I82" s="151"/>
      <c r="J82" s="496"/>
      <c r="K82" s="472"/>
      <c r="L82" s="501"/>
      <c r="M82" s="510"/>
      <c r="N82" s="348"/>
      <c r="O82" s="508"/>
      <c r="P82" s="191"/>
      <c r="Q82" s="342"/>
      <c r="R82" s="524"/>
      <c r="S82" s="57"/>
      <c r="T82" s="309"/>
      <c r="U82" s="345"/>
      <c r="V82" s="54"/>
    </row>
    <row r="83" spans="1:22" ht="16">
      <c r="A83" s="162"/>
      <c r="B83" s="343" t="s">
        <v>6518</v>
      </c>
      <c r="C83" s="151"/>
      <c r="D83" s="151"/>
      <c r="E83" s="151"/>
      <c r="F83" s="151"/>
      <c r="G83" s="151"/>
      <c r="H83" s="334"/>
      <c r="I83" s="151"/>
      <c r="J83" s="496"/>
      <c r="K83" s="472"/>
      <c r="L83" s="501"/>
      <c r="M83" s="510"/>
      <c r="N83" s="348"/>
      <c r="O83" s="508"/>
      <c r="P83" s="191"/>
      <c r="Q83" s="342"/>
      <c r="R83" s="524"/>
      <c r="S83" s="57"/>
      <c r="T83" s="309"/>
      <c r="U83" s="345"/>
      <c r="V83" s="54"/>
    </row>
    <row r="84" spans="1:22" ht="16">
      <c r="A84" s="162"/>
      <c r="B84" s="343" t="s">
        <v>6518</v>
      </c>
      <c r="C84" s="151"/>
      <c r="D84" s="151"/>
      <c r="E84" s="151"/>
      <c r="F84" s="151"/>
      <c r="G84" s="151"/>
      <c r="H84" s="334"/>
      <c r="I84" s="151"/>
      <c r="J84" s="496"/>
      <c r="K84" s="472"/>
      <c r="L84" s="501"/>
      <c r="M84" s="510"/>
      <c r="N84" s="348"/>
      <c r="O84" s="508"/>
      <c r="P84" s="191"/>
      <c r="Q84" s="364"/>
      <c r="R84" s="505"/>
      <c r="S84" s="57"/>
      <c r="T84" s="507"/>
      <c r="U84" s="345"/>
      <c r="V84" s="54"/>
    </row>
    <row r="85" spans="1:22" ht="16">
      <c r="A85" s="162"/>
      <c r="B85" s="343" t="s">
        <v>6518</v>
      </c>
      <c r="C85" s="151"/>
      <c r="D85" s="151"/>
      <c r="E85" s="151"/>
      <c r="F85" s="151"/>
      <c r="G85" s="151"/>
      <c r="H85" s="334"/>
      <c r="I85" s="151"/>
      <c r="J85" s="496"/>
      <c r="K85" s="472"/>
      <c r="L85" s="501"/>
      <c r="M85" s="510"/>
      <c r="N85" s="348"/>
      <c r="O85" s="508"/>
      <c r="P85" s="191"/>
      <c r="Q85" s="342"/>
      <c r="R85" s="524"/>
      <c r="S85" s="57"/>
      <c r="T85" s="309"/>
      <c r="U85" s="345"/>
      <c r="V85" s="54"/>
    </row>
    <row r="86" spans="1:22">
      <c r="A86" s="162"/>
      <c r="B86" s="343" t="s">
        <v>6518</v>
      </c>
      <c r="C86" s="151"/>
      <c r="D86" s="151"/>
      <c r="E86" s="151"/>
      <c r="F86" s="151"/>
      <c r="G86" s="151"/>
      <c r="H86" s="334"/>
      <c r="I86" s="151"/>
      <c r="J86" s="496"/>
      <c r="K86" s="472"/>
      <c r="L86" s="501"/>
      <c r="M86" s="510"/>
      <c r="N86" s="348"/>
      <c r="O86" s="508"/>
      <c r="P86" s="191"/>
      <c r="Q86" s="342"/>
      <c r="R86" s="524"/>
      <c r="S86" s="57"/>
      <c r="T86" s="309"/>
      <c r="U86" s="515"/>
      <c r="V86" s="54"/>
    </row>
    <row r="87" spans="1:22">
      <c r="A87" s="162" t="s">
        <v>3617</v>
      </c>
      <c r="B87" s="343" t="s">
        <v>6518</v>
      </c>
      <c r="C87" s="151"/>
      <c r="D87" s="151"/>
      <c r="E87" s="151"/>
      <c r="F87" s="151"/>
      <c r="G87" s="151"/>
      <c r="H87" s="334"/>
      <c r="I87" s="151"/>
      <c r="J87" s="496"/>
      <c r="K87" s="472"/>
      <c r="L87" s="501"/>
      <c r="M87" s="510"/>
      <c r="N87" s="348"/>
      <c r="O87" s="508"/>
      <c r="P87" s="191"/>
      <c r="Q87" s="433"/>
      <c r="R87" s="524"/>
      <c r="S87" s="57"/>
      <c r="T87" s="57"/>
      <c r="V87" s="54"/>
    </row>
    <row r="88" spans="1:22">
      <c r="A88" s="162"/>
      <c r="B88" s="71" t="s">
        <v>6539</v>
      </c>
      <c r="C88" s="53"/>
      <c r="D88" s="53"/>
      <c r="E88" s="53"/>
      <c r="F88" s="53"/>
      <c r="G88" s="80"/>
      <c r="H88" s="334"/>
      <c r="I88" s="151"/>
      <c r="J88" s="496"/>
      <c r="K88" s="472"/>
      <c r="L88" s="501"/>
      <c r="M88" s="510"/>
      <c r="N88" s="348"/>
      <c r="O88" s="508"/>
      <c r="P88" s="191"/>
      <c r="Q88" s="433"/>
      <c r="R88" s="523"/>
      <c r="S88" s="57"/>
      <c r="T88" s="348"/>
      <c r="V88" s="54"/>
    </row>
    <row r="89" spans="1:22">
      <c r="A89" s="162"/>
      <c r="B89" s="71" t="s">
        <v>6539</v>
      </c>
      <c r="C89" s="53"/>
      <c r="D89" s="53"/>
      <c r="E89" s="53"/>
      <c r="F89" s="53"/>
      <c r="G89" s="151"/>
      <c r="H89" s="334"/>
      <c r="I89" s="151"/>
      <c r="J89" s="496"/>
      <c r="K89" s="472"/>
      <c r="L89" s="501"/>
      <c r="M89" s="510"/>
      <c r="N89" s="348"/>
      <c r="O89" s="508"/>
      <c r="P89" s="191"/>
      <c r="Q89" s="342"/>
      <c r="R89" s="524"/>
      <c r="S89" s="57"/>
      <c r="T89" s="173"/>
      <c r="V89" s="54"/>
    </row>
    <row r="90" spans="1:22" ht="16">
      <c r="A90" s="162"/>
      <c r="B90" s="71" t="s">
        <v>6539</v>
      </c>
      <c r="C90" s="53"/>
      <c r="D90" s="53"/>
      <c r="E90" s="53"/>
      <c r="F90" s="53"/>
      <c r="G90" s="151"/>
      <c r="H90" s="334"/>
      <c r="I90" s="151"/>
      <c r="J90" s="496"/>
      <c r="K90" s="472"/>
      <c r="L90" s="501"/>
      <c r="M90" s="510"/>
      <c r="N90" s="348"/>
      <c r="O90" s="508"/>
      <c r="P90" s="191"/>
      <c r="Q90" s="433"/>
      <c r="R90" s="523"/>
      <c r="S90" s="57"/>
      <c r="T90" s="348"/>
      <c r="U90" s="345"/>
      <c r="V90" s="54"/>
    </row>
    <row r="91" spans="1:22" ht="16">
      <c r="A91" s="162"/>
      <c r="B91" s="71" t="s">
        <v>6539</v>
      </c>
      <c r="C91" s="53"/>
      <c r="D91" s="53"/>
      <c r="E91" s="53"/>
      <c r="F91" s="53"/>
      <c r="G91" s="151"/>
      <c r="H91" s="334"/>
      <c r="I91" s="151"/>
      <c r="J91" s="496"/>
      <c r="K91" s="472"/>
      <c r="L91" s="501"/>
      <c r="M91" s="510"/>
      <c r="N91" s="348"/>
      <c r="O91" s="508"/>
      <c r="P91" s="191"/>
      <c r="Q91" s="433"/>
      <c r="R91" s="523"/>
      <c r="S91" s="57"/>
      <c r="T91" s="348"/>
      <c r="U91" s="345"/>
      <c r="V91" s="54"/>
    </row>
    <row r="92" spans="1:22" ht="16">
      <c r="A92" s="162"/>
      <c r="B92" s="343" t="s">
        <v>6547</v>
      </c>
      <c r="C92" s="151"/>
      <c r="D92" s="151"/>
      <c r="E92" s="151"/>
      <c r="F92" s="151"/>
      <c r="G92" s="151"/>
      <c r="H92" s="334"/>
      <c r="I92" s="151"/>
      <c r="J92" s="496"/>
      <c r="K92" s="472"/>
      <c r="L92" s="501"/>
      <c r="M92" s="510"/>
      <c r="N92" s="348"/>
      <c r="O92" s="508"/>
      <c r="P92" s="191"/>
      <c r="Q92" s="433"/>
      <c r="R92" s="524"/>
      <c r="S92" s="57"/>
      <c r="T92" s="348"/>
      <c r="U92" s="345"/>
      <c r="V92" s="54"/>
    </row>
    <row r="93" spans="1:22" ht="16">
      <c r="A93" s="162"/>
      <c r="B93" s="343" t="s">
        <v>6547</v>
      </c>
      <c r="C93" s="151"/>
      <c r="D93" s="151"/>
      <c r="E93" s="151"/>
      <c r="F93" s="151"/>
      <c r="G93" s="151"/>
      <c r="H93" s="334"/>
      <c r="I93" s="151"/>
      <c r="J93" s="496"/>
      <c r="K93" s="472"/>
      <c r="L93" s="501"/>
      <c r="M93" s="510"/>
      <c r="N93" s="348"/>
      <c r="O93" s="508"/>
      <c r="P93" s="191"/>
      <c r="Q93" s="433"/>
      <c r="R93" s="433"/>
      <c r="S93" s="57"/>
      <c r="T93" s="348"/>
      <c r="U93" s="345"/>
      <c r="V93" s="54"/>
    </row>
    <row r="94" spans="1:22" ht="16">
      <c r="A94" s="162"/>
      <c r="B94" s="343" t="s">
        <v>2843</v>
      </c>
      <c r="C94" s="151"/>
      <c r="D94" s="151"/>
      <c r="E94" s="151"/>
      <c r="F94" s="151"/>
      <c r="G94" s="151"/>
      <c r="H94" s="334"/>
      <c r="I94" s="151"/>
      <c r="J94" s="496"/>
      <c r="K94" s="472"/>
      <c r="L94" s="501"/>
      <c r="M94" s="510"/>
      <c r="N94" s="348"/>
      <c r="O94" s="508"/>
      <c r="P94" s="191"/>
      <c r="Q94" s="433"/>
      <c r="R94" s="433"/>
      <c r="S94" s="57"/>
      <c r="T94" s="348"/>
      <c r="U94" s="345"/>
      <c r="V94" s="54"/>
    </row>
    <row r="95" spans="1:22" ht="16">
      <c r="A95" s="162"/>
      <c r="B95" s="343" t="s">
        <v>2843</v>
      </c>
      <c r="C95" s="151"/>
      <c r="D95" s="151"/>
      <c r="E95" s="151"/>
      <c r="F95" s="151"/>
      <c r="G95" s="340"/>
      <c r="H95" s="334"/>
      <c r="I95" s="151"/>
      <c r="J95" s="496"/>
      <c r="K95" s="472"/>
      <c r="L95" s="501"/>
      <c r="M95" s="510"/>
      <c r="N95" s="348"/>
      <c r="O95" s="508"/>
      <c r="P95" s="191"/>
      <c r="Q95" s="433"/>
      <c r="R95" s="433"/>
      <c r="S95" s="57"/>
      <c r="T95" s="433"/>
      <c r="U95" s="345"/>
      <c r="V95" s="54"/>
    </row>
    <row r="96" spans="1:22" ht="16">
      <c r="A96" s="162"/>
      <c r="B96" s="343" t="s">
        <v>2843</v>
      </c>
      <c r="C96" s="151"/>
      <c r="D96" s="151"/>
      <c r="E96" s="151"/>
      <c r="F96" s="151"/>
      <c r="G96" s="340"/>
      <c r="H96" s="334"/>
      <c r="I96" s="151"/>
      <c r="J96" s="151"/>
      <c r="K96" s="472"/>
      <c r="L96" s="501"/>
      <c r="M96" s="510"/>
      <c r="N96" s="348"/>
      <c r="O96" s="508"/>
      <c r="P96" s="191"/>
      <c r="Q96" s="433"/>
      <c r="R96" s="433"/>
      <c r="S96" s="57"/>
      <c r="T96" s="433"/>
      <c r="U96" s="345"/>
      <c r="V96" s="54"/>
    </row>
    <row r="97" spans="1:22" ht="16">
      <c r="A97" s="162"/>
      <c r="B97" s="343" t="s">
        <v>2843</v>
      </c>
      <c r="C97" s="151"/>
      <c r="D97" s="151"/>
      <c r="E97" s="151"/>
      <c r="F97" s="151"/>
      <c r="G97" s="151"/>
      <c r="H97" s="334"/>
      <c r="I97" s="151"/>
      <c r="J97" s="496"/>
      <c r="K97" s="472"/>
      <c r="L97" s="501"/>
      <c r="M97" s="510"/>
      <c r="N97" s="348"/>
      <c r="O97" s="508"/>
      <c r="P97" s="191"/>
      <c r="Q97" s="433"/>
      <c r="R97" s="433"/>
      <c r="S97" s="57"/>
      <c r="T97" s="433"/>
      <c r="U97" s="345"/>
      <c r="V97" s="54"/>
    </row>
    <row r="98" spans="1:22" ht="16">
      <c r="A98" s="162"/>
      <c r="B98" s="343" t="s">
        <v>2843</v>
      </c>
      <c r="C98" s="151"/>
      <c r="D98" s="151"/>
      <c r="E98" s="151"/>
      <c r="F98" s="151"/>
      <c r="G98" s="151"/>
      <c r="H98" s="334"/>
      <c r="I98" s="151"/>
      <c r="J98" s="496"/>
      <c r="K98" s="472"/>
      <c r="L98" s="501"/>
      <c r="M98" s="510"/>
      <c r="N98" s="348"/>
      <c r="O98" s="508"/>
      <c r="P98" s="191"/>
      <c r="Q98" s="433"/>
      <c r="R98" s="433"/>
      <c r="S98" s="57"/>
      <c r="T98" s="57"/>
      <c r="U98" s="345"/>
      <c r="V98" s="54"/>
    </row>
    <row r="99" spans="1:22" ht="16">
      <c r="A99" s="162"/>
      <c r="B99" s="343" t="s">
        <v>6557</v>
      </c>
      <c r="C99" s="151"/>
      <c r="D99" s="151"/>
      <c r="E99" s="151"/>
      <c r="F99" s="151"/>
      <c r="G99" s="151"/>
      <c r="H99" s="334"/>
      <c r="I99" s="151"/>
      <c r="J99" s="496"/>
      <c r="K99" s="472"/>
      <c r="L99" s="501"/>
      <c r="M99" s="510"/>
      <c r="N99" s="348"/>
      <c r="O99" s="508"/>
      <c r="P99" s="191"/>
      <c r="Q99" s="433"/>
      <c r="R99" s="433"/>
      <c r="S99" s="57"/>
      <c r="T99" s="57"/>
      <c r="U99" s="345"/>
      <c r="V99" s="54"/>
    </row>
    <row r="100" spans="1:22" ht="16">
      <c r="A100" s="162"/>
      <c r="B100" s="343" t="s">
        <v>6557</v>
      </c>
      <c r="C100" s="151"/>
      <c r="D100" s="151"/>
      <c r="E100" s="151"/>
      <c r="F100" s="151"/>
      <c r="G100" s="151"/>
      <c r="H100" s="334"/>
      <c r="I100" s="151"/>
      <c r="J100" s="496"/>
      <c r="K100" s="472"/>
      <c r="L100" s="501"/>
      <c r="M100" s="510"/>
      <c r="N100" s="348"/>
      <c r="O100" s="508"/>
      <c r="P100" s="191"/>
      <c r="Q100" s="433"/>
      <c r="R100" s="433"/>
      <c r="S100" s="57"/>
      <c r="T100" s="348"/>
      <c r="U100" s="345"/>
      <c r="V100" s="54"/>
    </row>
    <row r="101" spans="1:22" ht="16">
      <c r="A101" s="372"/>
      <c r="B101" s="343"/>
      <c r="C101" s="151"/>
      <c r="D101" s="151"/>
      <c r="E101" s="151"/>
      <c r="F101" s="151"/>
      <c r="G101" s="340"/>
      <c r="H101" s="334"/>
      <c r="I101" s="151"/>
      <c r="J101" s="496"/>
      <c r="K101" s="472"/>
      <c r="L101" s="501"/>
      <c r="M101" s="510"/>
      <c r="N101" s="348"/>
      <c r="O101" s="508"/>
      <c r="P101" s="191"/>
      <c r="Q101" s="433"/>
      <c r="R101" s="433"/>
      <c r="S101" s="57"/>
      <c r="T101" s="348"/>
      <c r="U101" s="345"/>
      <c r="V101" s="54"/>
    </row>
    <row r="102" spans="1:22" ht="16">
      <c r="A102" s="162"/>
      <c r="B102" s="343"/>
      <c r="C102" s="151"/>
      <c r="D102" s="151"/>
      <c r="E102" s="151"/>
      <c r="F102" s="151"/>
      <c r="G102" s="422"/>
      <c r="H102" s="334"/>
      <c r="I102" s="151"/>
      <c r="J102" s="496"/>
      <c r="K102" s="472"/>
      <c r="L102" s="501"/>
      <c r="M102" s="510"/>
      <c r="N102" s="348"/>
      <c r="O102" s="508"/>
      <c r="P102" s="191"/>
      <c r="Q102" s="433"/>
      <c r="R102" s="433"/>
      <c r="S102" s="57"/>
      <c r="T102" s="348"/>
      <c r="U102" s="345"/>
      <c r="V102" s="54"/>
    </row>
    <row r="103" spans="1:22" ht="16">
      <c r="A103" s="162"/>
      <c r="B103" s="71" t="s">
        <v>6594</v>
      </c>
      <c r="C103" s="53"/>
      <c r="D103" s="53"/>
      <c r="E103" s="53"/>
      <c r="F103" s="53"/>
      <c r="G103" s="151"/>
      <c r="H103" s="334"/>
      <c r="I103" s="151"/>
      <c r="J103" s="496"/>
      <c r="K103" s="472"/>
      <c r="L103" s="501"/>
      <c r="M103" s="510"/>
      <c r="N103" s="348"/>
      <c r="O103" s="508"/>
      <c r="P103" s="191"/>
      <c r="Q103" s="433"/>
      <c r="R103" s="433"/>
      <c r="S103" s="57"/>
      <c r="T103" s="348"/>
      <c r="U103" s="345"/>
      <c r="V103" s="54"/>
    </row>
    <row r="104" spans="1:22" ht="16">
      <c r="A104" s="162"/>
      <c r="B104" s="343"/>
      <c r="C104" s="151"/>
      <c r="D104" s="151"/>
      <c r="E104" s="151"/>
      <c r="F104" s="151"/>
      <c r="G104" s="340"/>
      <c r="H104" s="334"/>
      <c r="I104" s="151"/>
      <c r="J104" s="496"/>
      <c r="K104" s="472"/>
      <c r="L104" s="501"/>
      <c r="M104" s="510"/>
      <c r="N104" s="348"/>
      <c r="O104" s="508"/>
      <c r="P104" s="191"/>
      <c r="Q104" s="433"/>
      <c r="R104" s="433"/>
      <c r="S104" s="57"/>
      <c r="T104" s="348"/>
      <c r="U104" s="345"/>
      <c r="V104" s="54"/>
    </row>
    <row r="105" spans="1:22" ht="16">
      <c r="A105" s="162"/>
      <c r="B105" s="343"/>
      <c r="C105" s="151"/>
      <c r="D105" s="151"/>
      <c r="E105" s="151"/>
      <c r="F105" s="151"/>
      <c r="G105" s="151"/>
      <c r="H105" s="334"/>
      <c r="I105" s="151"/>
      <c r="J105" s="496"/>
      <c r="K105" s="472"/>
      <c r="L105" s="501"/>
      <c r="M105" s="510"/>
      <c r="N105" s="348"/>
      <c r="O105" s="508"/>
      <c r="P105" s="191"/>
      <c r="Q105" s="433"/>
      <c r="R105" s="433"/>
      <c r="S105" s="57"/>
      <c r="T105" s="348"/>
      <c r="U105" s="345"/>
      <c r="V105" s="54"/>
    </row>
    <row r="106" spans="1:22" ht="16">
      <c r="A106" s="162"/>
      <c r="B106" s="343"/>
      <c r="C106" s="151"/>
      <c r="D106" s="151"/>
      <c r="E106" s="151"/>
      <c r="F106" s="151"/>
      <c r="G106" s="340"/>
      <c r="H106" s="334"/>
      <c r="I106" s="151"/>
      <c r="J106" s="496"/>
      <c r="K106" s="472"/>
      <c r="L106" s="501"/>
      <c r="M106" s="510"/>
      <c r="N106" s="348"/>
      <c r="O106" s="508"/>
      <c r="P106" s="191"/>
      <c r="Q106" s="433"/>
      <c r="R106" s="433"/>
      <c r="S106" s="57"/>
      <c r="T106" s="348"/>
      <c r="U106" s="345"/>
      <c r="V106" s="54"/>
    </row>
    <row r="107" spans="1:22" ht="16">
      <c r="A107" s="162"/>
      <c r="B107" s="343"/>
      <c r="C107" s="151"/>
      <c r="D107" s="151"/>
      <c r="E107" s="151"/>
      <c r="F107" s="151"/>
      <c r="G107" s="340"/>
      <c r="H107" s="334"/>
      <c r="I107" s="151"/>
      <c r="J107" s="496"/>
      <c r="K107" s="472"/>
      <c r="L107" s="501"/>
      <c r="M107" s="510"/>
      <c r="N107" s="348"/>
      <c r="O107" s="508"/>
      <c r="P107" s="191"/>
      <c r="Q107" s="433"/>
      <c r="R107" s="433"/>
      <c r="S107" s="57"/>
      <c r="T107" s="433"/>
      <c r="U107" s="345"/>
      <c r="V107" s="54"/>
    </row>
    <row r="108" spans="1:22" ht="16">
      <c r="A108" s="162"/>
      <c r="B108" s="343"/>
      <c r="C108" s="151"/>
      <c r="D108" s="151"/>
      <c r="E108" s="151"/>
      <c r="F108" s="151"/>
      <c r="G108" s="340"/>
      <c r="H108" s="334"/>
      <c r="I108" s="151"/>
      <c r="J108" s="496"/>
      <c r="K108" s="472"/>
      <c r="L108" s="501"/>
      <c r="M108" s="510"/>
      <c r="N108" s="348"/>
      <c r="O108" s="508"/>
      <c r="P108" s="191"/>
      <c r="Q108" s="433"/>
      <c r="R108" s="433"/>
      <c r="S108" s="57"/>
      <c r="T108" s="433"/>
      <c r="U108" s="345"/>
      <c r="V108" s="54"/>
    </row>
    <row r="109" spans="1:22" ht="16">
      <c r="A109" s="162"/>
      <c r="B109" s="343"/>
      <c r="C109" s="151"/>
      <c r="D109" s="151"/>
      <c r="E109" s="151"/>
      <c r="F109" s="151"/>
      <c r="G109" s="340"/>
      <c r="H109" s="334"/>
      <c r="I109" s="151"/>
      <c r="J109" s="496"/>
      <c r="K109" s="472"/>
      <c r="L109" s="501"/>
      <c r="M109" s="510"/>
      <c r="N109" s="348"/>
      <c r="O109" s="508"/>
      <c r="P109" s="191"/>
      <c r="Q109" s="433"/>
      <c r="R109" s="433"/>
      <c r="S109" s="57"/>
      <c r="T109" s="433"/>
      <c r="U109" s="345"/>
      <c r="V109" s="54"/>
    </row>
    <row r="110" spans="1:22" ht="16">
      <c r="A110" s="162"/>
      <c r="B110" s="343"/>
      <c r="C110" s="151"/>
      <c r="D110" s="151"/>
      <c r="E110" s="151"/>
      <c r="F110" s="151"/>
      <c r="G110" s="340"/>
      <c r="H110" s="334"/>
      <c r="I110" s="151"/>
      <c r="J110" s="496"/>
      <c r="K110" s="472"/>
      <c r="L110" s="501"/>
      <c r="M110" s="510"/>
      <c r="N110" s="348"/>
      <c r="O110" s="508"/>
      <c r="P110" s="191"/>
      <c r="Q110" s="433"/>
      <c r="R110" s="433"/>
      <c r="S110" s="57"/>
      <c r="T110" s="57"/>
      <c r="U110" s="345"/>
      <c r="V110" s="54"/>
    </row>
    <row r="111" spans="1:22" ht="16">
      <c r="A111" s="162"/>
      <c r="B111" s="343"/>
      <c r="C111" s="151"/>
      <c r="D111" s="340"/>
      <c r="E111" s="340"/>
      <c r="F111" s="340"/>
      <c r="G111" s="340"/>
      <c r="H111" s="334"/>
      <c r="I111" s="151"/>
      <c r="J111" s="496"/>
      <c r="K111" s="472"/>
      <c r="L111" s="501"/>
      <c r="M111" s="510"/>
      <c r="N111" s="348"/>
      <c r="O111" s="508"/>
      <c r="P111" s="191"/>
      <c r="Q111" s="433"/>
      <c r="R111" s="433"/>
      <c r="S111" s="57"/>
      <c r="T111" s="57"/>
      <c r="U111" s="345"/>
      <c r="V111" s="54"/>
    </row>
    <row r="112" spans="1:22" ht="16">
      <c r="A112" s="162"/>
      <c r="B112" s="343"/>
      <c r="C112" s="151"/>
      <c r="D112" s="340"/>
      <c r="E112" s="340"/>
      <c r="F112" s="340"/>
      <c r="G112" s="340"/>
      <c r="H112" s="334"/>
      <c r="I112" s="151"/>
      <c r="J112" s="496"/>
      <c r="K112" s="472"/>
      <c r="L112" s="501"/>
      <c r="M112" s="510"/>
      <c r="N112" s="348"/>
      <c r="O112" s="508"/>
      <c r="P112" s="191"/>
      <c r="Q112" s="433"/>
      <c r="R112" s="433"/>
      <c r="S112" s="57"/>
      <c r="T112" s="348"/>
      <c r="U112" s="345"/>
      <c r="V112" s="54"/>
    </row>
    <row r="113" spans="1:22" ht="16">
      <c r="A113" s="162"/>
      <c r="B113" s="343"/>
      <c r="C113" s="151"/>
      <c r="D113" s="151"/>
      <c r="E113" s="151"/>
      <c r="F113" s="151"/>
      <c r="G113" s="151"/>
      <c r="H113" s="334"/>
      <c r="I113" s="151"/>
      <c r="J113" s="496"/>
      <c r="K113" s="472"/>
      <c r="L113" s="501"/>
      <c r="M113" s="510"/>
      <c r="N113" s="348"/>
      <c r="O113" s="508"/>
      <c r="P113" s="191"/>
      <c r="Q113" s="433"/>
      <c r="R113" s="433"/>
      <c r="S113" s="57"/>
      <c r="T113" s="348"/>
      <c r="U113" s="345"/>
      <c r="V113" s="54"/>
    </row>
    <row r="114" spans="1:22" ht="16">
      <c r="A114" s="162"/>
      <c r="B114" s="343"/>
      <c r="C114" s="151"/>
      <c r="D114" s="151"/>
      <c r="E114" s="151"/>
      <c r="F114" s="151"/>
      <c r="G114" s="340"/>
      <c r="H114" s="334"/>
      <c r="I114" s="151"/>
      <c r="J114" s="496"/>
      <c r="K114" s="472"/>
      <c r="L114" s="501"/>
      <c r="M114" s="510"/>
      <c r="N114" s="348"/>
      <c r="O114" s="508"/>
      <c r="P114" s="191"/>
      <c r="Q114" s="433"/>
      <c r="R114" s="433"/>
      <c r="S114" s="57"/>
      <c r="T114" s="348"/>
      <c r="U114" s="345"/>
      <c r="V114" s="54"/>
    </row>
    <row r="115" spans="1:22" ht="16">
      <c r="A115" s="162"/>
      <c r="B115" s="343"/>
      <c r="C115" s="151"/>
      <c r="D115" s="151"/>
      <c r="E115" s="151"/>
      <c r="F115" s="151"/>
      <c r="G115" s="340"/>
      <c r="H115" s="334"/>
      <c r="I115" s="151"/>
      <c r="J115" s="496"/>
      <c r="K115" s="472"/>
      <c r="L115" s="501"/>
      <c r="M115" s="510"/>
      <c r="N115" s="348"/>
      <c r="O115" s="508"/>
      <c r="P115" s="191"/>
      <c r="Q115" s="433"/>
      <c r="R115" s="433"/>
      <c r="S115" s="57"/>
      <c r="T115" s="348"/>
      <c r="U115" s="345"/>
      <c r="V115" s="54"/>
    </row>
    <row r="116" spans="1:22" ht="16">
      <c r="A116" s="162"/>
      <c r="B116" s="343"/>
      <c r="C116" s="151"/>
      <c r="D116" s="151"/>
      <c r="E116" s="151"/>
      <c r="F116" s="151"/>
      <c r="G116" s="340"/>
      <c r="H116" s="334"/>
      <c r="I116" s="151"/>
      <c r="J116" s="496"/>
      <c r="K116" s="472"/>
      <c r="L116" s="501"/>
      <c r="M116" s="510"/>
      <c r="N116" s="348"/>
      <c r="O116" s="508"/>
      <c r="P116" s="191"/>
      <c r="Q116" s="433"/>
      <c r="R116" s="433"/>
      <c r="S116" s="57"/>
      <c r="T116" s="348"/>
      <c r="U116" s="345"/>
      <c r="V116" s="54"/>
    </row>
    <row r="117" spans="1:22" ht="16">
      <c r="A117" s="162"/>
      <c r="B117" s="343"/>
      <c r="C117" s="151"/>
      <c r="D117" s="151"/>
      <c r="E117" s="151"/>
      <c r="F117" s="151"/>
      <c r="G117" s="340"/>
      <c r="H117" s="334"/>
      <c r="I117" s="151"/>
      <c r="J117" s="496"/>
      <c r="K117" s="472"/>
      <c r="L117" s="501"/>
      <c r="M117" s="510"/>
      <c r="N117" s="348"/>
      <c r="O117" s="508"/>
      <c r="P117" s="191"/>
      <c r="Q117" s="433"/>
      <c r="R117" s="433"/>
      <c r="S117" s="57"/>
      <c r="T117" s="348"/>
      <c r="U117" s="345"/>
      <c r="V117" s="54"/>
    </row>
    <row r="118" spans="1:22" ht="16">
      <c r="A118" s="162"/>
      <c r="B118" s="343"/>
      <c r="C118" s="151"/>
      <c r="D118" s="151"/>
      <c r="E118" s="151"/>
      <c r="F118" s="151"/>
      <c r="G118" s="340"/>
      <c r="H118" s="334"/>
      <c r="I118" s="151"/>
      <c r="J118" s="496"/>
      <c r="K118" s="472"/>
      <c r="L118" s="501"/>
      <c r="M118" s="510"/>
      <c r="N118" s="348"/>
      <c r="O118" s="508"/>
      <c r="P118" s="191"/>
      <c r="Q118" s="433"/>
      <c r="R118" s="433"/>
      <c r="S118" s="57"/>
      <c r="T118" s="348"/>
      <c r="U118" s="345"/>
      <c r="V118" s="54"/>
    </row>
    <row r="119" spans="1:22" ht="16.5" customHeight="1">
      <c r="A119" s="162"/>
      <c r="B119" s="343"/>
      <c r="C119" s="151"/>
      <c r="D119" s="151"/>
      <c r="E119" s="151"/>
      <c r="F119" s="151"/>
      <c r="G119" s="340"/>
      <c r="H119" s="334"/>
      <c r="I119" s="151"/>
      <c r="J119" s="496"/>
      <c r="K119" s="472"/>
      <c r="L119" s="501"/>
      <c r="M119" s="510"/>
      <c r="N119" s="348"/>
      <c r="O119" s="508"/>
      <c r="P119" s="191"/>
      <c r="Q119" s="433"/>
      <c r="R119" s="433"/>
      <c r="S119" s="57"/>
      <c r="T119" s="433"/>
      <c r="U119" s="345"/>
      <c r="V119" s="54"/>
    </row>
    <row r="120" spans="1:22" ht="16">
      <c r="A120" s="162"/>
      <c r="B120" s="343"/>
      <c r="C120" s="151"/>
      <c r="D120" s="151"/>
      <c r="E120" s="151"/>
      <c r="F120" s="151"/>
      <c r="G120" s="151"/>
      <c r="H120" s="334"/>
      <c r="I120" s="151"/>
      <c r="J120" s="496"/>
      <c r="K120" s="472"/>
      <c r="L120" s="501"/>
      <c r="M120" s="510"/>
      <c r="N120" s="348"/>
      <c r="O120" s="508"/>
      <c r="P120" s="191"/>
      <c r="Q120" s="433"/>
      <c r="R120" s="433"/>
      <c r="S120" s="57"/>
      <c r="T120" s="433"/>
      <c r="U120" s="345"/>
      <c r="V120" s="54"/>
    </row>
    <row r="121" spans="1:22" ht="16">
      <c r="A121" s="162"/>
      <c r="B121" s="343"/>
      <c r="C121" s="151"/>
      <c r="D121" s="151"/>
      <c r="E121" s="151"/>
      <c r="F121" s="151"/>
      <c r="G121" s="151"/>
      <c r="H121" s="334"/>
      <c r="I121" s="151"/>
      <c r="J121" s="496"/>
      <c r="K121" s="472"/>
      <c r="L121" s="501"/>
      <c r="M121" s="510"/>
      <c r="N121" s="348"/>
      <c r="O121" s="508"/>
      <c r="P121" s="191"/>
      <c r="Q121" s="433"/>
      <c r="R121" s="433"/>
      <c r="S121" s="57"/>
      <c r="T121" s="433"/>
      <c r="U121" s="345"/>
      <c r="V121" s="54"/>
    </row>
    <row r="122" spans="1:22" ht="15" customHeight="1">
      <c r="A122" s="162"/>
      <c r="B122" s="343"/>
      <c r="C122" s="151"/>
      <c r="D122" s="151"/>
      <c r="E122" s="151"/>
      <c r="F122" s="151"/>
      <c r="G122" s="151"/>
      <c r="H122" s="334"/>
      <c r="I122" s="151"/>
      <c r="J122" s="496"/>
      <c r="K122" s="472"/>
      <c r="L122" s="501"/>
      <c r="M122" s="510"/>
      <c r="N122" s="348"/>
      <c r="O122" s="508"/>
      <c r="P122" s="191"/>
      <c r="Q122" s="433"/>
      <c r="R122" s="433"/>
      <c r="S122" s="433"/>
      <c r="T122" s="507"/>
      <c r="U122" s="345"/>
      <c r="V122" s="54"/>
    </row>
    <row r="123" spans="1:22" ht="16">
      <c r="A123" s="162"/>
      <c r="B123" s="343"/>
      <c r="C123" s="151"/>
      <c r="D123" s="151"/>
      <c r="E123" s="151"/>
      <c r="F123" s="151"/>
      <c r="G123" s="151"/>
      <c r="H123" s="334"/>
      <c r="I123" s="151"/>
      <c r="J123" s="496"/>
      <c r="K123" s="472"/>
      <c r="L123" s="501"/>
      <c r="M123" s="510"/>
      <c r="N123" s="348"/>
      <c r="O123" s="508"/>
      <c r="P123" s="191"/>
      <c r="Q123" s="433"/>
      <c r="R123" s="433"/>
      <c r="S123" s="433"/>
      <c r="T123" s="507"/>
      <c r="U123" s="345"/>
      <c r="V123" s="54"/>
    </row>
    <row r="124" spans="1:22" ht="16">
      <c r="A124" s="162"/>
      <c r="B124" s="343"/>
      <c r="C124" s="151"/>
      <c r="D124" s="151"/>
      <c r="E124" s="151"/>
      <c r="F124" s="151"/>
      <c r="G124" s="151"/>
      <c r="H124" s="334"/>
      <c r="I124" s="151"/>
      <c r="J124" s="496"/>
      <c r="K124" s="472"/>
      <c r="L124" s="501"/>
      <c r="M124" s="510"/>
      <c r="N124" s="348"/>
      <c r="O124" s="508"/>
      <c r="P124" s="191"/>
      <c r="Q124" s="433"/>
      <c r="R124" s="433"/>
      <c r="S124" s="433"/>
      <c r="T124" s="507"/>
      <c r="U124" s="345"/>
      <c r="V124" s="54"/>
    </row>
    <row r="125" spans="1:22" ht="16">
      <c r="A125" s="162"/>
      <c r="B125" s="343"/>
      <c r="C125" s="151"/>
      <c r="D125" s="151"/>
      <c r="E125" s="151"/>
      <c r="F125" s="151"/>
      <c r="G125" s="340"/>
      <c r="H125" s="334"/>
      <c r="I125" s="151"/>
      <c r="J125" s="496"/>
      <c r="K125" s="472"/>
      <c r="L125" s="501"/>
      <c r="M125" s="510"/>
      <c r="N125" s="348"/>
      <c r="O125" s="508"/>
      <c r="P125" s="191"/>
      <c r="Q125" s="433"/>
      <c r="R125" s="433"/>
      <c r="S125" s="433"/>
      <c r="T125" s="507"/>
      <c r="U125" s="345"/>
      <c r="V125" s="54"/>
    </row>
    <row r="126" spans="1:22" ht="16">
      <c r="A126" s="162"/>
      <c r="B126" s="343"/>
      <c r="C126" s="151"/>
      <c r="D126" s="151"/>
      <c r="E126" s="151"/>
      <c r="F126" s="151"/>
      <c r="G126" s="340"/>
      <c r="H126" s="334"/>
      <c r="I126" s="151"/>
      <c r="J126" s="496"/>
      <c r="K126" s="472"/>
      <c r="L126" s="501"/>
      <c r="M126" s="510"/>
      <c r="N126" s="348"/>
      <c r="O126" s="508"/>
      <c r="P126" s="191"/>
      <c r="Q126" s="433"/>
      <c r="R126" s="433"/>
      <c r="S126" s="433"/>
      <c r="T126" s="507"/>
      <c r="U126" s="345"/>
      <c r="V126" s="54"/>
    </row>
    <row r="127" spans="1:22" ht="16">
      <c r="A127" s="162"/>
      <c r="B127" s="343"/>
      <c r="C127" s="151"/>
      <c r="D127" s="151"/>
      <c r="E127" s="151"/>
      <c r="F127" s="151"/>
      <c r="G127" s="340"/>
      <c r="H127" s="334"/>
      <c r="I127" s="151"/>
      <c r="J127" s="496"/>
      <c r="K127" s="472"/>
      <c r="L127" s="501"/>
      <c r="M127" s="510"/>
      <c r="N127" s="348"/>
      <c r="O127" s="508"/>
      <c r="P127" s="191"/>
      <c r="Q127" s="433"/>
      <c r="R127" s="433"/>
      <c r="S127" s="433"/>
      <c r="T127" s="507"/>
      <c r="U127" s="345"/>
      <c r="V127" s="54"/>
    </row>
    <row r="128" spans="1:22" ht="16">
      <c r="A128" s="162"/>
      <c r="B128" s="343"/>
      <c r="C128" s="151"/>
      <c r="D128" s="151"/>
      <c r="E128" s="151"/>
      <c r="F128" s="151"/>
      <c r="G128" s="340"/>
      <c r="H128" s="334"/>
      <c r="I128" s="151"/>
      <c r="J128" s="496"/>
      <c r="K128" s="472"/>
      <c r="L128" s="501"/>
      <c r="M128" s="510"/>
      <c r="N128" s="348"/>
      <c r="O128" s="508"/>
      <c r="P128" s="191"/>
      <c r="Q128" s="433"/>
      <c r="R128" s="433"/>
      <c r="S128" s="433"/>
      <c r="T128" s="507"/>
      <c r="U128" s="345"/>
      <c r="V128" s="54"/>
    </row>
    <row r="129" spans="1:22" ht="16">
      <c r="A129" s="162"/>
      <c r="B129" s="343"/>
      <c r="C129" s="151"/>
      <c r="D129" s="151"/>
      <c r="E129" s="151"/>
      <c r="F129" s="151"/>
      <c r="G129" s="340"/>
      <c r="H129" s="334"/>
      <c r="I129" s="151"/>
      <c r="J129" s="496"/>
      <c r="K129" s="472"/>
      <c r="L129" s="501"/>
      <c r="M129" s="510"/>
      <c r="N129" s="348"/>
      <c r="O129" s="508"/>
      <c r="P129" s="191"/>
      <c r="Q129" s="433"/>
      <c r="R129" s="433"/>
      <c r="S129" s="433"/>
      <c r="T129" s="507"/>
      <c r="U129" s="345"/>
      <c r="V129" s="54"/>
    </row>
    <row r="130" spans="1:22" ht="16">
      <c r="A130" s="162"/>
      <c r="B130" s="343"/>
      <c r="C130" s="151"/>
      <c r="D130" s="151"/>
      <c r="E130" s="151"/>
      <c r="F130" s="151"/>
      <c r="G130" s="340"/>
      <c r="H130" s="334"/>
      <c r="I130" s="151"/>
      <c r="J130" s="496"/>
      <c r="K130" s="472"/>
      <c r="L130" s="501"/>
      <c r="M130" s="510"/>
      <c r="N130" s="348"/>
      <c r="O130" s="508"/>
      <c r="P130" s="191"/>
      <c r="Q130" s="433"/>
      <c r="R130" s="433"/>
      <c r="S130" s="433"/>
      <c r="T130" s="507"/>
      <c r="U130" s="345"/>
      <c r="V130" s="54"/>
    </row>
    <row r="131" spans="1:22" ht="16">
      <c r="A131" s="162"/>
      <c r="B131" s="343"/>
      <c r="C131" s="151"/>
      <c r="D131" s="151"/>
      <c r="E131" s="151"/>
      <c r="F131" s="151"/>
      <c r="G131" s="340"/>
      <c r="H131" s="334"/>
      <c r="I131" s="151"/>
      <c r="J131" s="496"/>
      <c r="K131" s="472"/>
      <c r="L131" s="501"/>
      <c r="M131" s="510"/>
      <c r="N131" s="348"/>
      <c r="O131" s="508"/>
      <c r="P131" s="191"/>
      <c r="Q131" s="433"/>
      <c r="R131" s="433"/>
      <c r="S131" s="433"/>
      <c r="T131" s="507"/>
      <c r="U131" s="345"/>
      <c r="V131" s="54"/>
    </row>
    <row r="132" spans="1:22" ht="16">
      <c r="A132" s="162"/>
      <c r="B132" s="343"/>
      <c r="C132" s="151"/>
      <c r="D132" s="151"/>
      <c r="E132" s="151"/>
      <c r="F132" s="151"/>
      <c r="G132" s="340"/>
      <c r="H132" s="334"/>
      <c r="I132" s="151"/>
      <c r="J132" s="496"/>
      <c r="K132" s="472"/>
      <c r="L132" s="501"/>
      <c r="M132" s="510"/>
      <c r="N132" s="348"/>
      <c r="O132" s="508"/>
      <c r="P132" s="191"/>
      <c r="Q132" s="433"/>
      <c r="R132" s="433"/>
      <c r="S132" s="433"/>
      <c r="T132" s="507"/>
      <c r="U132" s="345"/>
      <c r="V132" s="54"/>
    </row>
    <row r="133" spans="1:22" ht="16">
      <c r="A133" s="162"/>
      <c r="B133" s="343"/>
      <c r="C133" s="151"/>
      <c r="D133" s="151"/>
      <c r="E133" s="151"/>
      <c r="F133" s="151"/>
      <c r="G133" s="151"/>
      <c r="H133" s="334"/>
      <c r="I133" s="151"/>
      <c r="J133" s="496"/>
      <c r="K133" s="472"/>
      <c r="L133" s="501"/>
      <c r="M133" s="510"/>
      <c r="N133" s="348"/>
      <c r="O133" s="508"/>
      <c r="P133" s="191"/>
      <c r="Q133" s="433"/>
      <c r="R133" s="433"/>
      <c r="S133" s="433"/>
      <c r="T133" s="507"/>
      <c r="U133" s="345"/>
      <c r="V133" s="54"/>
    </row>
    <row r="134" spans="1:22" ht="16">
      <c r="A134" s="162"/>
      <c r="B134" s="343"/>
      <c r="C134" s="151"/>
      <c r="D134" s="151"/>
      <c r="E134" s="151"/>
      <c r="F134" s="151"/>
      <c r="G134" s="340"/>
      <c r="H134" s="334"/>
      <c r="I134" s="151"/>
      <c r="J134" s="496"/>
      <c r="K134" s="472"/>
      <c r="L134" s="501"/>
      <c r="M134" s="510"/>
      <c r="N134" s="348"/>
      <c r="O134" s="508"/>
      <c r="P134" s="191"/>
      <c r="Q134" s="433"/>
      <c r="R134" s="433"/>
      <c r="S134" s="433"/>
      <c r="T134" s="507"/>
      <c r="U134" s="345"/>
      <c r="V134" s="54"/>
    </row>
    <row r="135" spans="1:22" ht="16">
      <c r="A135" s="162"/>
      <c r="B135" s="343"/>
      <c r="C135" s="151"/>
      <c r="D135" s="151"/>
      <c r="E135" s="151"/>
      <c r="F135" s="151"/>
      <c r="G135" s="340"/>
      <c r="H135" s="334"/>
      <c r="I135" s="151"/>
      <c r="J135" s="496"/>
      <c r="K135" s="472"/>
      <c r="L135" s="501"/>
      <c r="M135" s="510"/>
      <c r="N135" s="348"/>
      <c r="O135" s="508"/>
      <c r="P135" s="191"/>
      <c r="Q135" s="433"/>
      <c r="R135" s="433"/>
      <c r="S135" s="433"/>
      <c r="T135" s="507"/>
      <c r="U135" s="345"/>
      <c r="V135" s="54"/>
    </row>
    <row r="136" spans="1:22" ht="16">
      <c r="A136" s="162"/>
      <c r="B136" s="343"/>
      <c r="C136" s="151"/>
      <c r="D136" s="151"/>
      <c r="E136" s="151"/>
      <c r="F136" s="151"/>
      <c r="G136" s="340"/>
      <c r="H136" s="334"/>
      <c r="I136" s="151"/>
      <c r="J136" s="496"/>
      <c r="K136" s="472"/>
      <c r="L136" s="501"/>
      <c r="M136" s="510"/>
      <c r="N136" s="348"/>
      <c r="O136" s="508"/>
      <c r="P136" s="191"/>
      <c r="Q136" s="433"/>
      <c r="R136" s="433"/>
      <c r="S136" s="433"/>
      <c r="T136" s="507"/>
      <c r="U136" s="345"/>
      <c r="V136" s="54"/>
    </row>
    <row r="137" spans="1:22" ht="16">
      <c r="A137" s="162"/>
      <c r="B137" s="343"/>
      <c r="C137" s="151"/>
      <c r="D137" s="151"/>
      <c r="E137" s="151"/>
      <c r="F137" s="151"/>
      <c r="G137" s="340"/>
      <c r="H137" s="334"/>
      <c r="I137" s="151"/>
      <c r="J137" s="496"/>
      <c r="K137" s="472"/>
      <c r="L137" s="501"/>
      <c r="M137" s="510"/>
      <c r="N137" s="348"/>
      <c r="O137" s="508"/>
      <c r="P137" s="191"/>
      <c r="Q137" s="433"/>
      <c r="R137" s="433"/>
      <c r="S137" s="433"/>
      <c r="T137" s="507"/>
      <c r="U137" s="345"/>
      <c r="V137" s="54"/>
    </row>
    <row r="138" spans="1:22" ht="16">
      <c r="A138" s="162"/>
      <c r="B138" s="343"/>
      <c r="C138" s="151"/>
      <c r="D138" s="151"/>
      <c r="E138" s="151"/>
      <c r="F138" s="151"/>
      <c r="G138" s="151"/>
      <c r="H138" s="334"/>
      <c r="I138" s="151"/>
      <c r="J138" s="496"/>
      <c r="K138" s="472"/>
      <c r="L138" s="501"/>
      <c r="M138" s="510"/>
      <c r="N138" s="348"/>
      <c r="O138" s="508"/>
      <c r="P138" s="191"/>
      <c r="Q138" s="433"/>
      <c r="R138" s="433"/>
      <c r="S138" s="433"/>
      <c r="T138" s="507"/>
      <c r="U138" s="345"/>
      <c r="V138" s="54"/>
    </row>
    <row r="139" spans="1:22" ht="16">
      <c r="A139" s="162"/>
      <c r="B139" s="343"/>
      <c r="C139" s="151"/>
      <c r="D139" s="151"/>
      <c r="E139" s="151"/>
      <c r="F139" s="151"/>
      <c r="G139" s="340"/>
      <c r="H139" s="334"/>
      <c r="I139" s="151"/>
      <c r="J139" s="496"/>
      <c r="K139" s="472"/>
      <c r="L139" s="501"/>
      <c r="M139" s="510"/>
      <c r="N139" s="348"/>
      <c r="O139" s="508"/>
      <c r="P139" s="191"/>
      <c r="Q139" s="433"/>
      <c r="R139" s="433"/>
      <c r="S139" s="433"/>
      <c r="T139" s="507"/>
      <c r="U139" s="345"/>
      <c r="V139" s="54"/>
    </row>
    <row r="140" spans="1:22" ht="16">
      <c r="A140" s="162"/>
      <c r="B140" s="343"/>
      <c r="C140" s="151"/>
      <c r="D140" s="151"/>
      <c r="E140" s="151"/>
      <c r="F140" s="151"/>
      <c r="G140" s="340"/>
      <c r="H140" s="334"/>
      <c r="I140" s="151"/>
      <c r="J140" s="496"/>
      <c r="K140" s="472"/>
      <c r="L140" s="501"/>
      <c r="M140" s="510"/>
      <c r="N140" s="348"/>
      <c r="O140" s="508"/>
      <c r="P140" s="191"/>
      <c r="Q140" s="433"/>
      <c r="R140" s="433"/>
      <c r="S140" s="433"/>
      <c r="T140" s="507"/>
      <c r="U140" s="345"/>
      <c r="V140" s="54"/>
    </row>
    <row r="141" spans="1:22" ht="16">
      <c r="A141" s="162"/>
      <c r="B141" s="343"/>
      <c r="C141" s="151"/>
      <c r="D141" s="151"/>
      <c r="E141" s="151"/>
      <c r="F141" s="151"/>
      <c r="G141" s="340"/>
      <c r="H141" s="334"/>
      <c r="I141" s="151"/>
      <c r="J141" s="496"/>
      <c r="K141" s="472"/>
      <c r="L141" s="501"/>
      <c r="M141" s="510"/>
      <c r="N141" s="348"/>
      <c r="O141" s="508"/>
      <c r="P141" s="191"/>
      <c r="Q141" s="433"/>
      <c r="R141" s="433"/>
      <c r="S141" s="433"/>
      <c r="T141" s="507"/>
      <c r="U141" s="345"/>
      <c r="V141" s="54"/>
    </row>
    <row r="142" spans="1:22" ht="16">
      <c r="A142" s="162"/>
      <c r="B142" s="343"/>
      <c r="C142" s="151"/>
      <c r="D142" s="151"/>
      <c r="E142" s="151"/>
      <c r="F142" s="151"/>
      <c r="G142" s="340"/>
      <c r="H142" s="334"/>
      <c r="I142" s="151"/>
      <c r="J142" s="496"/>
      <c r="K142" s="472"/>
      <c r="L142" s="501"/>
      <c r="M142" s="510"/>
      <c r="N142" s="348"/>
      <c r="O142" s="508"/>
      <c r="P142" s="191"/>
      <c r="Q142" s="433"/>
      <c r="R142" s="433"/>
      <c r="S142" s="433"/>
      <c r="T142" s="507"/>
      <c r="U142" s="345"/>
      <c r="V142" s="54"/>
    </row>
    <row r="143" spans="1:22" ht="16">
      <c r="A143" s="162"/>
      <c r="B143" s="343"/>
      <c r="C143" s="151"/>
      <c r="D143" s="151"/>
      <c r="E143" s="151"/>
      <c r="F143" s="151"/>
      <c r="G143" s="340"/>
      <c r="H143" s="334"/>
      <c r="I143" s="151"/>
      <c r="J143" s="496"/>
      <c r="K143" s="472"/>
      <c r="L143" s="501"/>
      <c r="M143" s="510"/>
      <c r="N143" s="348"/>
      <c r="O143" s="508"/>
      <c r="P143" s="191"/>
      <c r="Q143" s="433"/>
      <c r="R143" s="433"/>
      <c r="S143" s="433"/>
      <c r="T143" s="507"/>
      <c r="U143" s="345"/>
      <c r="V143" s="54"/>
    </row>
    <row r="144" spans="1:22" ht="16">
      <c r="A144" s="162"/>
      <c r="B144" s="343"/>
      <c r="C144" s="151"/>
      <c r="D144" s="151"/>
      <c r="E144" s="151"/>
      <c r="F144" s="151"/>
      <c r="G144" s="340"/>
      <c r="H144" s="334"/>
      <c r="I144" s="151"/>
      <c r="J144" s="496"/>
      <c r="K144" s="472"/>
      <c r="L144" s="501"/>
      <c r="M144" s="510"/>
      <c r="N144" s="348"/>
      <c r="O144" s="508"/>
      <c r="P144" s="191"/>
      <c r="Q144" s="433"/>
      <c r="R144" s="433"/>
      <c r="S144" s="433"/>
      <c r="T144" s="507"/>
      <c r="U144" s="345"/>
      <c r="V144" s="54"/>
    </row>
    <row r="145" spans="1:22" ht="16">
      <c r="A145" s="162"/>
      <c r="B145" s="343"/>
      <c r="C145" s="151"/>
      <c r="D145" s="151"/>
      <c r="E145" s="151"/>
      <c r="F145" s="151"/>
      <c r="G145" s="340"/>
      <c r="H145" s="334"/>
      <c r="I145" s="151"/>
      <c r="J145" s="496"/>
      <c r="K145" s="472"/>
      <c r="L145" s="501"/>
      <c r="M145" s="510"/>
      <c r="N145" s="348"/>
      <c r="O145" s="508"/>
      <c r="P145" s="191"/>
      <c r="Q145" s="433"/>
      <c r="R145" s="433"/>
      <c r="S145" s="433"/>
      <c r="T145" s="507"/>
      <c r="U145" s="345"/>
      <c r="V145" s="54"/>
    </row>
    <row r="146" spans="1:22" ht="16">
      <c r="A146" s="162"/>
      <c r="B146" s="343"/>
      <c r="C146" s="151"/>
      <c r="D146" s="151"/>
      <c r="E146" s="151"/>
      <c r="F146" s="151"/>
      <c r="G146" s="151"/>
      <c r="H146" s="334"/>
      <c r="I146" s="151"/>
      <c r="J146" s="496"/>
      <c r="K146" s="472"/>
      <c r="L146" s="501"/>
      <c r="M146" s="510"/>
      <c r="N146" s="348"/>
      <c r="O146" s="508"/>
      <c r="P146" s="191"/>
      <c r="Q146" s="433"/>
      <c r="R146" s="433"/>
      <c r="S146" s="433"/>
      <c r="T146" s="507"/>
      <c r="U146" s="345"/>
      <c r="V146" s="54"/>
    </row>
    <row r="147" spans="1:22" ht="16">
      <c r="A147" s="162"/>
      <c r="B147" s="343"/>
      <c r="C147" s="151"/>
      <c r="D147" s="151"/>
      <c r="E147" s="151"/>
      <c r="F147" s="151"/>
      <c r="G147" s="151"/>
      <c r="H147" s="334"/>
      <c r="I147" s="151"/>
      <c r="J147" s="496"/>
      <c r="K147" s="472"/>
      <c r="L147" s="501"/>
      <c r="M147" s="510"/>
      <c r="N147" s="348"/>
      <c r="O147" s="508"/>
      <c r="P147" s="191"/>
      <c r="Q147" s="433"/>
      <c r="R147" s="433"/>
      <c r="S147" s="433"/>
      <c r="T147" s="507"/>
      <c r="U147" s="345"/>
      <c r="V147" s="54"/>
    </row>
    <row r="148" spans="1:22" ht="16">
      <c r="A148" s="162"/>
      <c r="B148" s="343"/>
      <c r="C148" s="151"/>
      <c r="D148" s="151"/>
      <c r="E148" s="151"/>
      <c r="F148" s="151"/>
      <c r="G148" s="151"/>
      <c r="H148" s="334"/>
      <c r="I148" s="151"/>
      <c r="J148" s="496"/>
      <c r="K148" s="472"/>
      <c r="L148" s="501"/>
      <c r="M148" s="510"/>
      <c r="N148" s="348"/>
      <c r="O148" s="508"/>
      <c r="P148" s="191"/>
      <c r="Q148" s="433"/>
      <c r="R148" s="433"/>
      <c r="S148" s="433"/>
      <c r="T148" s="507"/>
      <c r="U148" s="345"/>
      <c r="V148" s="54"/>
    </row>
    <row r="149" spans="1:22" ht="16">
      <c r="A149" s="162"/>
      <c r="B149" s="343"/>
      <c r="C149" s="151"/>
      <c r="D149" s="151"/>
      <c r="E149" s="151"/>
      <c r="F149" s="151"/>
      <c r="G149" s="151"/>
      <c r="H149" s="334"/>
      <c r="I149" s="151"/>
      <c r="J149" s="496"/>
      <c r="K149" s="472"/>
      <c r="L149" s="501"/>
      <c r="M149" s="510"/>
      <c r="N149" s="348"/>
      <c r="O149" s="508"/>
      <c r="P149" s="191"/>
      <c r="Q149" s="526"/>
      <c r="R149" s="526"/>
      <c r="S149" s="526"/>
      <c r="T149" s="507"/>
      <c r="U149" s="345"/>
      <c r="V149" s="54"/>
    </row>
    <row r="150" spans="1:22" ht="16">
      <c r="A150" s="162"/>
      <c r="B150" s="343"/>
      <c r="C150" s="151"/>
      <c r="D150" s="151"/>
      <c r="E150" s="151"/>
      <c r="F150" s="151"/>
      <c r="G150" s="151"/>
      <c r="H150" s="334"/>
      <c r="I150" s="151"/>
      <c r="J150" s="496"/>
      <c r="K150" s="472"/>
      <c r="L150" s="501"/>
      <c r="M150" s="510"/>
      <c r="N150" s="348"/>
      <c r="O150" s="508"/>
      <c r="P150" s="191"/>
      <c r="Q150" s="433"/>
      <c r="R150" s="433"/>
      <c r="S150" s="433"/>
      <c r="T150" s="516"/>
      <c r="U150" s="345"/>
      <c r="V150" s="54"/>
    </row>
    <row r="151" spans="1:22" ht="16">
      <c r="A151" s="162"/>
      <c r="B151" s="343"/>
      <c r="C151" s="151"/>
      <c r="D151" s="151"/>
      <c r="E151" s="151"/>
      <c r="F151" s="151"/>
      <c r="G151" s="151"/>
      <c r="H151" s="334"/>
      <c r="I151" s="151"/>
      <c r="J151" s="496"/>
      <c r="K151" s="472"/>
      <c r="L151" s="501"/>
      <c r="M151" s="510"/>
      <c r="N151" s="348"/>
      <c r="O151" s="508"/>
      <c r="P151" s="191"/>
      <c r="Q151" s="433"/>
      <c r="R151" s="433"/>
      <c r="S151" s="433"/>
      <c r="T151" s="516"/>
      <c r="U151" s="345"/>
      <c r="V151" s="54"/>
    </row>
    <row r="152" spans="1:22" ht="16">
      <c r="A152" s="162"/>
      <c r="B152" s="343"/>
      <c r="C152" s="151"/>
      <c r="D152" s="151"/>
      <c r="E152" s="151"/>
      <c r="F152" s="151"/>
      <c r="G152" s="151"/>
      <c r="H152" s="334"/>
      <c r="I152" s="151"/>
      <c r="J152" s="496"/>
      <c r="K152" s="472"/>
      <c r="L152" s="501"/>
      <c r="M152" s="510"/>
      <c r="N152" s="348"/>
      <c r="O152" s="508"/>
      <c r="P152" s="191"/>
      <c r="Q152" s="433"/>
      <c r="R152" s="433"/>
      <c r="S152" s="433"/>
      <c r="T152" s="516"/>
      <c r="U152" s="345"/>
      <c r="V152" s="54"/>
    </row>
    <row r="153" spans="1:22" ht="16">
      <c r="A153" s="162"/>
      <c r="B153" s="343"/>
      <c r="C153" s="151"/>
      <c r="D153" s="151"/>
      <c r="E153" s="151"/>
      <c r="F153" s="151"/>
      <c r="G153" s="340"/>
      <c r="H153" s="334"/>
      <c r="I153" s="151"/>
      <c r="J153" s="496"/>
      <c r="K153" s="472"/>
      <c r="L153" s="501"/>
      <c r="M153" s="510"/>
      <c r="N153" s="348"/>
      <c r="O153" s="508"/>
      <c r="P153" s="191"/>
      <c r="Q153" s="433"/>
      <c r="R153" s="433"/>
      <c r="S153" s="433"/>
      <c r="T153" s="507"/>
      <c r="U153" s="345"/>
      <c r="V153" s="54"/>
    </row>
    <row r="154" spans="1:22" ht="16">
      <c r="A154" s="162"/>
      <c r="B154" s="343"/>
      <c r="C154" s="151"/>
      <c r="D154" s="151"/>
      <c r="E154" s="151"/>
      <c r="F154" s="151"/>
      <c r="G154" s="340"/>
      <c r="H154" s="334"/>
      <c r="I154" s="151"/>
      <c r="J154" s="496"/>
      <c r="K154" s="472"/>
      <c r="L154" s="501"/>
      <c r="M154" s="510"/>
      <c r="N154" s="348"/>
      <c r="O154" s="508"/>
      <c r="P154" s="191"/>
      <c r="Q154" s="433"/>
      <c r="R154" s="433"/>
      <c r="S154" s="433"/>
      <c r="T154" s="507"/>
      <c r="U154" s="345"/>
      <c r="V154" s="54"/>
    </row>
    <row r="155" spans="1:22" ht="16">
      <c r="A155" s="162"/>
      <c r="B155" s="343"/>
      <c r="C155" s="151"/>
      <c r="D155" s="151"/>
      <c r="E155" s="151"/>
      <c r="F155" s="151"/>
      <c r="G155" s="151"/>
      <c r="H155" s="334"/>
      <c r="I155" s="151"/>
      <c r="J155" s="496"/>
      <c r="K155" s="472"/>
      <c r="L155" s="501"/>
      <c r="M155" s="510"/>
      <c r="N155" s="348"/>
      <c r="O155" s="508"/>
      <c r="P155" s="191"/>
      <c r="Q155" s="433"/>
      <c r="R155" s="433"/>
      <c r="S155" s="433"/>
      <c r="T155" s="516"/>
      <c r="U155" s="345"/>
      <c r="V155" s="54"/>
    </row>
    <row r="156" spans="1:22" ht="16">
      <c r="A156" s="162"/>
      <c r="B156" s="343"/>
      <c r="C156" s="151"/>
      <c r="D156" s="151"/>
      <c r="E156" s="151"/>
      <c r="F156" s="151"/>
      <c r="G156" s="340"/>
      <c r="H156" s="334"/>
      <c r="I156" s="151"/>
      <c r="J156" s="496"/>
      <c r="K156" s="472"/>
      <c r="L156" s="501"/>
      <c r="M156" s="510"/>
      <c r="N156" s="348"/>
      <c r="O156" s="508"/>
      <c r="P156" s="191"/>
      <c r="Q156" s="433"/>
      <c r="R156" s="433"/>
      <c r="S156" s="433"/>
      <c r="T156" s="507"/>
      <c r="U156" s="345"/>
      <c r="V156" s="54"/>
    </row>
    <row r="157" spans="1:22" ht="16">
      <c r="A157" s="162"/>
      <c r="B157" s="343"/>
      <c r="C157" s="151"/>
      <c r="D157" s="151"/>
      <c r="E157" s="151"/>
      <c r="F157" s="151"/>
      <c r="G157" s="151"/>
      <c r="H157" s="334"/>
      <c r="I157" s="151"/>
      <c r="J157" s="496"/>
      <c r="K157" s="472"/>
      <c r="L157" s="501"/>
      <c r="M157" s="510"/>
      <c r="N157" s="348"/>
      <c r="O157" s="508"/>
      <c r="P157" s="191"/>
      <c r="Q157" s="433"/>
      <c r="R157" s="433"/>
      <c r="S157" s="433"/>
      <c r="T157" s="516"/>
      <c r="U157" s="345"/>
      <c r="V157" s="54"/>
    </row>
    <row r="158" spans="1:22" ht="16">
      <c r="A158" s="162"/>
      <c r="B158" s="343"/>
      <c r="C158" s="340"/>
      <c r="D158" s="151"/>
      <c r="E158" s="151"/>
      <c r="F158" s="151"/>
      <c r="G158" s="151"/>
      <c r="H158" s="334"/>
      <c r="I158" s="151"/>
      <c r="J158" s="496"/>
      <c r="K158" s="472"/>
      <c r="L158" s="501"/>
      <c r="M158" s="510"/>
      <c r="N158" s="348"/>
      <c r="O158" s="508"/>
      <c r="P158" s="191"/>
      <c r="Q158" s="433"/>
      <c r="R158" s="433"/>
      <c r="S158" s="433"/>
      <c r="T158" s="507"/>
      <c r="U158" s="345"/>
      <c r="V158" s="54"/>
    </row>
    <row r="159" spans="1:22" ht="16">
      <c r="A159" s="162"/>
      <c r="B159" s="343"/>
      <c r="C159" s="340"/>
      <c r="D159" s="151"/>
      <c r="E159" s="151"/>
      <c r="F159" s="151"/>
      <c r="G159" s="151"/>
      <c r="H159" s="334"/>
      <c r="I159" s="151"/>
      <c r="J159" s="496"/>
      <c r="K159" s="472"/>
      <c r="L159" s="501"/>
      <c r="M159" s="510"/>
      <c r="N159" s="348"/>
      <c r="O159" s="508"/>
      <c r="P159" s="191"/>
      <c r="Q159" s="433"/>
      <c r="R159" s="433"/>
      <c r="S159" s="433"/>
      <c r="T159" s="516"/>
      <c r="U159" s="345"/>
      <c r="V159" s="54"/>
    </row>
    <row r="160" spans="1:22" ht="16">
      <c r="A160" s="162"/>
      <c r="B160" s="343"/>
      <c r="C160" s="151"/>
      <c r="D160" s="151"/>
      <c r="E160" s="151"/>
      <c r="F160" s="151"/>
      <c r="G160" s="151"/>
      <c r="H160" s="334"/>
      <c r="I160" s="151"/>
      <c r="J160" s="496"/>
      <c r="K160" s="472"/>
      <c r="L160" s="501"/>
      <c r="M160" s="510"/>
      <c r="N160" s="348"/>
      <c r="O160" s="508"/>
      <c r="P160" s="191"/>
      <c r="Q160" s="433"/>
      <c r="R160" s="433"/>
      <c r="S160" s="433"/>
      <c r="T160" s="516"/>
      <c r="U160" s="345"/>
      <c r="V160" s="54"/>
    </row>
    <row r="161" spans="1:25" ht="16">
      <c r="A161" s="162"/>
      <c r="B161" s="343"/>
      <c r="C161" s="151"/>
      <c r="D161" s="151"/>
      <c r="E161" s="151"/>
      <c r="F161" s="151"/>
      <c r="G161" s="151"/>
      <c r="H161" s="334"/>
      <c r="I161" s="151"/>
      <c r="J161" s="496"/>
      <c r="K161" s="472"/>
      <c r="L161" s="501"/>
      <c r="M161" s="510"/>
      <c r="N161" s="348"/>
      <c r="O161" s="508"/>
      <c r="P161" s="191"/>
      <c r="Q161" s="433"/>
      <c r="R161" s="433"/>
      <c r="S161" s="433"/>
      <c r="T161" s="507"/>
      <c r="U161" s="345"/>
      <c r="V161" s="54"/>
    </row>
    <row r="162" spans="1:25" ht="16">
      <c r="A162" s="162"/>
      <c r="B162" s="343"/>
      <c r="C162" s="369"/>
      <c r="D162" s="151"/>
      <c r="E162" s="151"/>
      <c r="F162" s="151"/>
      <c r="G162" s="151"/>
      <c r="H162" s="334"/>
      <c r="I162" s="151"/>
      <c r="J162" s="496"/>
      <c r="K162" s="472"/>
      <c r="L162" s="501"/>
      <c r="M162" s="510"/>
      <c r="N162" s="348"/>
      <c r="O162" s="508"/>
      <c r="P162" s="191"/>
      <c r="Q162" s="433"/>
      <c r="R162" s="433"/>
      <c r="S162" s="433"/>
      <c r="T162" s="516"/>
      <c r="U162" s="345"/>
    </row>
    <row r="163" spans="1:25">
      <c r="A163" s="162"/>
      <c r="B163" s="343"/>
      <c r="C163" s="340"/>
      <c r="D163" s="151"/>
      <c r="E163" s="151"/>
      <c r="F163" s="151"/>
      <c r="G163" s="151"/>
      <c r="H163" s="334"/>
      <c r="I163" s="151"/>
      <c r="J163" s="364"/>
      <c r="K163" s="496"/>
      <c r="L163" s="476"/>
      <c r="M163" s="510"/>
      <c r="N163" s="348"/>
      <c r="O163" s="364"/>
      <c r="P163" s="517"/>
      <c r="Q163" s="433"/>
      <c r="R163" s="518"/>
      <c r="S163" s="348"/>
      <c r="T163" s="507"/>
      <c r="U163" s="511"/>
      <c r="V163" s="54"/>
    </row>
    <row r="164" spans="1:25">
      <c r="A164" s="162"/>
      <c r="B164" s="343"/>
      <c r="C164" s="340"/>
      <c r="D164" s="151"/>
      <c r="E164" s="151"/>
      <c r="F164" s="151"/>
      <c r="G164" s="151"/>
      <c r="H164" s="334"/>
      <c r="I164" s="151"/>
      <c r="J164" s="364"/>
      <c r="K164" s="496"/>
      <c r="L164" s="476"/>
      <c r="M164" s="510"/>
      <c r="N164" s="348"/>
      <c r="O164" s="364"/>
      <c r="P164" s="517"/>
      <c r="Q164" s="433"/>
      <c r="R164" s="518"/>
      <c r="S164" s="348"/>
      <c r="T164" s="516"/>
      <c r="U164" s="511"/>
      <c r="V164" s="54"/>
    </row>
    <row r="165" spans="1:25">
      <c r="A165" s="162"/>
      <c r="B165" s="343"/>
      <c r="C165" s="151"/>
      <c r="D165" s="151"/>
      <c r="E165" s="151"/>
      <c r="F165" s="151"/>
      <c r="G165" s="151"/>
      <c r="H165" s="334"/>
      <c r="I165" s="151"/>
      <c r="J165" s="364"/>
      <c r="K165" s="496"/>
      <c r="L165" s="476"/>
      <c r="M165" s="510"/>
      <c r="N165" s="348"/>
      <c r="O165" s="364"/>
      <c r="P165" s="517"/>
      <c r="Q165" s="433"/>
      <c r="R165" s="518"/>
      <c r="S165" s="348"/>
      <c r="T165" s="516"/>
      <c r="U165" s="511"/>
      <c r="V165" s="54"/>
    </row>
    <row r="166" spans="1:25">
      <c r="A166" s="162"/>
      <c r="B166" s="343"/>
      <c r="C166" s="151"/>
      <c r="D166" s="151"/>
      <c r="E166" s="151"/>
      <c r="F166" s="151"/>
      <c r="G166" s="151"/>
      <c r="H166" s="334"/>
      <c r="I166" s="151"/>
      <c r="J166" s="364"/>
      <c r="K166" s="496"/>
      <c r="L166" s="476"/>
      <c r="M166" s="510"/>
      <c r="N166" s="348"/>
      <c r="O166" s="364"/>
      <c r="P166" s="517"/>
      <c r="Q166" s="433"/>
      <c r="R166" s="518"/>
      <c r="S166" s="348"/>
      <c r="T166" s="516"/>
      <c r="U166" s="511"/>
      <c r="V166" s="54"/>
    </row>
    <row r="167" spans="1:25">
      <c r="A167" s="162"/>
      <c r="B167" s="343"/>
      <c r="C167" s="151"/>
      <c r="D167" s="151"/>
      <c r="E167" s="151"/>
      <c r="F167" s="151"/>
      <c r="G167" s="151"/>
      <c r="H167" s="334"/>
      <c r="I167" s="151"/>
      <c r="J167" s="364"/>
      <c r="K167" s="496"/>
      <c r="L167" s="476"/>
      <c r="M167" s="510"/>
      <c r="N167" s="348"/>
      <c r="O167" s="364"/>
      <c r="P167" s="517"/>
      <c r="Q167" s="433"/>
      <c r="R167" s="518"/>
      <c r="S167" s="348"/>
      <c r="T167" s="516"/>
      <c r="U167" s="511"/>
      <c r="V167" s="54"/>
    </row>
    <row r="168" spans="1:25">
      <c r="A168" s="162"/>
      <c r="B168" s="512"/>
      <c r="C168" s="340"/>
      <c r="D168" s="340"/>
      <c r="E168" s="340"/>
      <c r="F168" s="340"/>
      <c r="G168" s="340"/>
      <c r="H168" s="334"/>
      <c r="I168" s="151"/>
      <c r="J168" s="364"/>
      <c r="K168" s="496"/>
      <c r="L168" s="476"/>
      <c r="M168" s="510"/>
      <c r="N168" s="348"/>
      <c r="O168" s="370"/>
      <c r="P168" s="517"/>
      <c r="Q168" s="433"/>
      <c r="R168" s="518"/>
      <c r="S168" s="348"/>
      <c r="T168" s="519"/>
      <c r="U168" s="520"/>
      <c r="V168" s="438"/>
    </row>
    <row r="169" spans="1:25">
      <c r="A169" s="162"/>
      <c r="B169" s="343"/>
      <c r="C169" s="151"/>
      <c r="D169" s="151"/>
      <c r="E169" s="151"/>
      <c r="F169" s="151"/>
      <c r="G169" s="151"/>
      <c r="H169" s="334"/>
      <c r="I169" s="151"/>
      <c r="J169" s="364"/>
      <c r="K169" s="496"/>
      <c r="L169" s="476"/>
      <c r="M169" s="510"/>
      <c r="N169" s="348"/>
      <c r="O169" s="364"/>
      <c r="P169" s="517"/>
      <c r="Q169" s="433"/>
      <c r="R169" s="518"/>
      <c r="S169" s="348"/>
      <c r="T169" s="507"/>
      <c r="U169" s="511"/>
      <c r="V169" s="54"/>
    </row>
    <row r="170" spans="1:25">
      <c r="A170" s="455"/>
      <c r="B170" s="343"/>
      <c r="C170" s="151"/>
      <c r="D170" s="151"/>
      <c r="E170" s="151"/>
      <c r="F170" s="151"/>
      <c r="G170" s="151"/>
      <c r="H170" s="334"/>
      <c r="I170" s="151"/>
      <c r="J170" s="364"/>
      <c r="K170" s="496"/>
      <c r="L170" s="476"/>
      <c r="M170" s="510"/>
      <c r="N170" s="348"/>
      <c r="O170" s="364"/>
      <c r="P170" s="517"/>
      <c r="Q170" s="433"/>
      <c r="R170" s="518"/>
      <c r="S170" s="348"/>
      <c r="T170" s="507"/>
      <c r="U170" s="511"/>
      <c r="V170" s="54"/>
      <c r="X170" s="460"/>
      <c r="Y170" s="460"/>
    </row>
    <row r="171" spans="1:25">
      <c r="A171" s="162"/>
      <c r="B171" s="343"/>
      <c r="C171" s="151"/>
      <c r="D171" s="151"/>
      <c r="E171" s="151"/>
      <c r="F171" s="151"/>
      <c r="G171" s="151"/>
      <c r="H171" s="334"/>
      <c r="I171" s="151"/>
      <c r="J171" s="364"/>
      <c r="K171" s="496"/>
      <c r="L171" s="476"/>
      <c r="M171" s="510"/>
      <c r="N171" s="348"/>
      <c r="O171" s="364"/>
      <c r="P171" s="517"/>
      <c r="Q171" s="433"/>
      <c r="R171" s="518"/>
      <c r="S171" s="348"/>
      <c r="T171" s="507"/>
      <c r="U171" s="511"/>
      <c r="V171" s="54"/>
    </row>
    <row r="172" spans="1:25">
      <c r="A172" s="162"/>
      <c r="B172" s="343"/>
      <c r="C172" s="151"/>
      <c r="D172" s="151"/>
      <c r="E172" s="151"/>
      <c r="F172" s="151"/>
      <c r="G172" s="151"/>
      <c r="H172" s="334"/>
      <c r="I172" s="151"/>
      <c r="J172" s="364"/>
      <c r="K172" s="496"/>
      <c r="L172" s="476"/>
      <c r="M172" s="510"/>
      <c r="N172" s="348"/>
      <c r="O172" s="364"/>
      <c r="P172" s="517"/>
      <c r="Q172" s="433"/>
      <c r="R172" s="518"/>
      <c r="S172" s="348"/>
      <c r="T172" s="516"/>
      <c r="U172" s="511"/>
      <c r="V172" s="54"/>
    </row>
    <row r="173" spans="1:25">
      <c r="A173" s="162"/>
      <c r="B173" s="343"/>
      <c r="C173" s="151"/>
      <c r="D173" s="151"/>
      <c r="E173" s="151"/>
      <c r="F173" s="151"/>
      <c r="G173" s="151"/>
      <c r="H173" s="334"/>
      <c r="I173" s="151"/>
      <c r="J173" s="364"/>
      <c r="K173" s="496"/>
      <c r="L173" s="476"/>
      <c r="M173" s="510"/>
      <c r="N173" s="348"/>
      <c r="O173" s="364"/>
      <c r="P173" s="517"/>
      <c r="Q173" s="433"/>
      <c r="R173" s="518"/>
      <c r="S173" s="348"/>
      <c r="T173" s="516"/>
      <c r="U173" s="511"/>
      <c r="V173" s="54"/>
    </row>
    <row r="174" spans="1:25">
      <c r="A174" s="162"/>
      <c r="B174" s="343"/>
      <c r="C174" s="151"/>
      <c r="D174" s="151"/>
      <c r="E174" s="151"/>
      <c r="F174" s="151"/>
      <c r="G174" s="151"/>
      <c r="H174" s="334"/>
      <c r="I174" s="151"/>
      <c r="J174" s="364"/>
      <c r="K174" s="496"/>
      <c r="L174" s="476"/>
      <c r="M174" s="510"/>
      <c r="N174" s="348"/>
      <c r="O174" s="364"/>
      <c r="P174" s="517"/>
      <c r="Q174" s="433"/>
      <c r="R174" s="518"/>
      <c r="S174" s="348"/>
      <c r="T174" s="516"/>
      <c r="U174" s="511"/>
      <c r="V174" s="54"/>
    </row>
    <row r="175" spans="1:25">
      <c r="A175" s="162"/>
      <c r="B175" s="343"/>
      <c r="C175" s="151"/>
      <c r="D175" s="151"/>
      <c r="E175" s="151"/>
      <c r="F175" s="151"/>
      <c r="G175" s="340"/>
      <c r="H175" s="334"/>
      <c r="I175" s="151"/>
      <c r="J175" s="364"/>
      <c r="K175" s="496"/>
      <c r="L175" s="476"/>
      <c r="M175" s="510"/>
      <c r="N175" s="348"/>
      <c r="O175" s="370"/>
      <c r="P175" s="517"/>
      <c r="Q175" s="433"/>
      <c r="R175" s="518"/>
      <c r="S175" s="348"/>
      <c r="T175" s="519"/>
      <c r="U175" s="511"/>
      <c r="V175" s="54"/>
    </row>
    <row r="176" spans="1:25">
      <c r="A176" s="162"/>
      <c r="B176" s="343"/>
      <c r="C176" s="151"/>
      <c r="D176" s="151"/>
      <c r="E176" s="151"/>
      <c r="F176" s="151"/>
      <c r="G176" s="151"/>
      <c r="H176" s="334"/>
      <c r="I176" s="151"/>
      <c r="J176" s="364"/>
      <c r="K176" s="496"/>
      <c r="L176" s="476"/>
      <c r="M176" s="510"/>
      <c r="N176" s="348"/>
      <c r="O176" s="364"/>
      <c r="P176" s="517"/>
      <c r="Q176" s="433"/>
      <c r="R176" s="518"/>
      <c r="S176" s="348"/>
      <c r="T176" s="507"/>
      <c r="U176" s="511"/>
      <c r="V176" s="54"/>
    </row>
    <row r="177" spans="1:25">
      <c r="A177" s="162"/>
      <c r="B177" s="343"/>
      <c r="C177" s="151"/>
      <c r="D177" s="151"/>
      <c r="E177" s="151"/>
      <c r="F177" s="151"/>
      <c r="G177" s="151"/>
      <c r="H177" s="334"/>
      <c r="I177" s="151"/>
      <c r="J177" s="364"/>
      <c r="K177" s="496"/>
      <c r="L177" s="476"/>
      <c r="M177" s="510"/>
      <c r="N177" s="348"/>
      <c r="O177" s="364"/>
      <c r="P177" s="517"/>
      <c r="Q177" s="433"/>
      <c r="R177" s="518"/>
      <c r="S177" s="348"/>
      <c r="T177" s="507"/>
      <c r="U177" s="511"/>
      <c r="V177" s="54"/>
    </row>
    <row r="178" spans="1:25">
      <c r="A178" s="162"/>
      <c r="B178" s="343"/>
      <c r="C178" s="151"/>
      <c r="D178" s="151"/>
      <c r="E178" s="151"/>
      <c r="F178" s="151"/>
      <c r="G178" s="151"/>
      <c r="H178" s="334"/>
      <c r="I178" s="151"/>
      <c r="J178" s="364"/>
      <c r="K178" s="496"/>
      <c r="L178" s="476"/>
      <c r="M178" s="510"/>
      <c r="N178" s="348"/>
      <c r="O178" s="364"/>
      <c r="P178" s="517"/>
      <c r="Q178" s="433"/>
      <c r="R178" s="518"/>
      <c r="S178" s="348"/>
      <c r="T178" s="507"/>
      <c r="U178" s="511"/>
      <c r="V178" s="54"/>
    </row>
    <row r="179" spans="1:25">
      <c r="A179" s="162"/>
      <c r="B179" s="343"/>
      <c r="C179" s="151"/>
      <c r="D179" s="151"/>
      <c r="E179" s="151"/>
      <c r="F179" s="151"/>
      <c r="G179" s="151"/>
      <c r="H179" s="334"/>
      <c r="I179" s="151"/>
      <c r="J179" s="364"/>
      <c r="K179" s="496"/>
      <c r="L179" s="476"/>
      <c r="M179" s="510"/>
      <c r="N179" s="348"/>
      <c r="O179" s="364"/>
      <c r="P179" s="517"/>
      <c r="Q179" s="433"/>
      <c r="R179" s="518"/>
      <c r="S179" s="348"/>
      <c r="T179" s="516"/>
      <c r="U179" s="511"/>
      <c r="V179" s="54"/>
    </row>
    <row r="180" spans="1:25">
      <c r="A180" s="162"/>
      <c r="B180" s="343"/>
      <c r="C180" s="151"/>
      <c r="D180" s="151"/>
      <c r="E180" s="151"/>
      <c r="F180" s="151"/>
      <c r="G180" s="151"/>
      <c r="H180" s="334"/>
      <c r="I180" s="151"/>
      <c r="J180" s="364"/>
      <c r="K180" s="496"/>
      <c r="L180" s="476"/>
      <c r="M180" s="510"/>
      <c r="N180" s="348"/>
      <c r="O180" s="364"/>
      <c r="P180" s="517"/>
      <c r="Q180" s="433"/>
      <c r="R180" s="518"/>
      <c r="S180" s="348"/>
      <c r="T180" s="516"/>
      <c r="U180" s="511"/>
      <c r="V180" s="54"/>
    </row>
    <row r="181" spans="1:25">
      <c r="A181" s="162"/>
      <c r="B181" s="343"/>
      <c r="C181" s="151"/>
      <c r="D181" s="151"/>
      <c r="E181" s="151"/>
      <c r="F181" s="151"/>
      <c r="G181" s="151"/>
      <c r="H181" s="334"/>
      <c r="I181" s="151"/>
      <c r="J181" s="364"/>
      <c r="K181" s="496"/>
      <c r="L181" s="476"/>
      <c r="M181" s="510"/>
      <c r="N181" s="348"/>
      <c r="O181" s="364"/>
      <c r="P181" s="517"/>
      <c r="Q181" s="433"/>
      <c r="R181" s="518"/>
      <c r="S181" s="348"/>
      <c r="T181" s="516"/>
      <c r="U181" s="511"/>
      <c r="V181" s="54"/>
    </row>
    <row r="182" spans="1:25">
      <c r="A182" s="162"/>
      <c r="B182" s="343"/>
      <c r="C182" s="151"/>
      <c r="D182" s="151"/>
      <c r="E182" s="151"/>
      <c r="F182" s="151"/>
      <c r="G182" s="340"/>
      <c r="H182" s="334"/>
      <c r="I182" s="151"/>
      <c r="J182" s="364"/>
      <c r="K182" s="496"/>
      <c r="L182" s="476"/>
      <c r="M182" s="510"/>
      <c r="N182" s="348"/>
      <c r="O182" s="370"/>
      <c r="P182" s="517"/>
      <c r="Q182" s="433"/>
      <c r="R182" s="518"/>
      <c r="S182" s="348"/>
      <c r="T182" s="519"/>
      <c r="U182" s="511"/>
      <c r="V182" s="54"/>
    </row>
    <row r="183" spans="1:25">
      <c r="A183" s="162"/>
      <c r="B183" s="512"/>
      <c r="C183" s="340"/>
      <c r="D183" s="340"/>
      <c r="E183" s="340"/>
      <c r="F183" s="340"/>
      <c r="G183" s="151"/>
      <c r="H183" s="334"/>
      <c r="I183" s="151"/>
      <c r="J183" s="364"/>
      <c r="K183" s="496"/>
      <c r="L183" s="476"/>
      <c r="M183" s="510"/>
      <c r="N183" s="348"/>
      <c r="O183" s="364"/>
      <c r="P183" s="517"/>
      <c r="Q183" s="433"/>
      <c r="R183" s="518"/>
      <c r="S183" s="348"/>
      <c r="T183" s="507"/>
      <c r="U183" s="520"/>
      <c r="V183" s="336"/>
    </row>
    <row r="184" spans="1:25">
      <c r="A184" s="162"/>
      <c r="B184" s="343"/>
      <c r="C184" s="151"/>
      <c r="D184" s="151"/>
      <c r="E184" s="151"/>
      <c r="F184" s="151"/>
      <c r="G184" s="151"/>
      <c r="H184" s="334"/>
      <c r="I184" s="151"/>
      <c r="J184" s="364"/>
      <c r="K184" s="496"/>
      <c r="L184" s="476"/>
      <c r="M184" s="510"/>
      <c r="N184" s="348"/>
      <c r="O184" s="364"/>
      <c r="P184" s="517"/>
      <c r="Q184" s="433"/>
      <c r="R184" s="518"/>
      <c r="S184" s="348"/>
      <c r="T184" s="507"/>
      <c r="U184" s="511"/>
      <c r="V184" s="54"/>
    </row>
    <row r="185" spans="1:25">
      <c r="A185" s="455"/>
      <c r="B185" s="343"/>
      <c r="C185" s="151"/>
      <c r="D185" s="151"/>
      <c r="E185" s="151"/>
      <c r="F185" s="151"/>
      <c r="G185" s="151"/>
      <c r="H185" s="334"/>
      <c r="I185" s="151"/>
      <c r="J185" s="364"/>
      <c r="K185" s="496"/>
      <c r="L185" s="476"/>
      <c r="M185" s="510"/>
      <c r="N185" s="348"/>
      <c r="O185" s="364"/>
      <c r="P185" s="517"/>
      <c r="Q185" s="433"/>
      <c r="R185" s="518"/>
      <c r="S185" s="348"/>
      <c r="T185" s="507"/>
      <c r="U185" s="511"/>
      <c r="V185" s="54"/>
      <c r="X185" s="462"/>
      <c r="Y185" s="462"/>
    </row>
    <row r="186" spans="1:25" ht="14.25" customHeight="1">
      <c r="A186" s="162"/>
      <c r="B186" s="343"/>
      <c r="C186" s="151"/>
      <c r="D186" s="151"/>
      <c r="E186" s="151"/>
      <c r="F186" s="151"/>
      <c r="G186" s="151"/>
      <c r="H186" s="334"/>
      <c r="I186" s="151"/>
      <c r="J186" s="364"/>
      <c r="K186" s="496"/>
      <c r="L186" s="476"/>
      <c r="M186" s="510"/>
      <c r="N186" s="348"/>
      <c r="O186" s="364"/>
      <c r="P186" s="517"/>
      <c r="Q186" s="433"/>
      <c r="R186" s="518"/>
      <c r="S186" s="348"/>
      <c r="T186" s="516"/>
      <c r="U186" s="511"/>
      <c r="V186" s="54"/>
    </row>
    <row r="187" spans="1:25">
      <c r="A187" s="162"/>
      <c r="B187" s="512"/>
      <c r="C187" s="340"/>
      <c r="D187" s="340"/>
      <c r="E187" s="340"/>
      <c r="F187" s="340"/>
      <c r="G187" s="151"/>
      <c r="H187" s="334"/>
      <c r="I187" s="151"/>
      <c r="J187" s="364"/>
      <c r="K187" s="496"/>
      <c r="L187" s="476"/>
      <c r="M187" s="510"/>
      <c r="N187" s="348"/>
      <c r="O187" s="364"/>
      <c r="P187" s="517"/>
      <c r="Q187" s="433"/>
      <c r="R187" s="518"/>
      <c r="S187" s="348"/>
      <c r="T187" s="516"/>
      <c r="U187" s="520"/>
      <c r="V187" s="336"/>
    </row>
    <row r="188" spans="1:25">
      <c r="A188" s="162"/>
      <c r="B188" s="343"/>
      <c r="C188" s="151"/>
      <c r="D188" s="151"/>
      <c r="E188" s="151"/>
      <c r="F188" s="151"/>
      <c r="G188" s="151"/>
      <c r="H188" s="334"/>
      <c r="I188" s="151"/>
      <c r="J188" s="364"/>
      <c r="K188" s="496"/>
      <c r="L188" s="476"/>
      <c r="M188" s="510"/>
      <c r="N188" s="348"/>
      <c r="O188" s="364"/>
      <c r="P188" s="517"/>
      <c r="Q188" s="433"/>
      <c r="R188" s="518"/>
      <c r="S188" s="348"/>
      <c r="T188" s="516"/>
      <c r="U188" s="511"/>
      <c r="V188" s="54"/>
    </row>
    <row r="189" spans="1:25">
      <c r="A189" s="455"/>
      <c r="B189" s="343"/>
      <c r="C189" s="151"/>
      <c r="D189" s="151"/>
      <c r="E189" s="151"/>
      <c r="F189" s="151"/>
      <c r="G189" s="340"/>
      <c r="H189" s="334"/>
      <c r="I189" s="151"/>
      <c r="J189" s="364"/>
      <c r="K189" s="496"/>
      <c r="L189" s="476"/>
      <c r="M189" s="510"/>
      <c r="N189" s="348"/>
      <c r="O189" s="370"/>
      <c r="P189" s="517"/>
      <c r="Q189" s="433"/>
      <c r="R189" s="518"/>
      <c r="S189" s="348"/>
      <c r="T189" s="519"/>
      <c r="U189" s="511"/>
      <c r="V189" s="54"/>
      <c r="X189" s="462"/>
      <c r="Y189" s="462"/>
    </row>
    <row r="190" spans="1:25">
      <c r="A190" s="162"/>
      <c r="B190" s="343"/>
      <c r="C190" s="151"/>
      <c r="D190" s="151"/>
      <c r="E190" s="151"/>
      <c r="F190" s="151"/>
      <c r="G190" s="151"/>
      <c r="H190" s="334"/>
      <c r="I190" s="151"/>
      <c r="J190" s="364"/>
      <c r="K190" s="496"/>
      <c r="L190" s="476"/>
      <c r="M190" s="510"/>
      <c r="N190" s="348"/>
      <c r="O190" s="364"/>
      <c r="P190" s="517"/>
      <c r="Q190" s="433"/>
      <c r="R190" s="518"/>
      <c r="S190" s="348"/>
      <c r="T190" s="507"/>
      <c r="U190" s="511"/>
      <c r="V190" s="54"/>
    </row>
    <row r="191" spans="1:25">
      <c r="A191" s="162"/>
      <c r="B191" s="343"/>
      <c r="C191" s="151"/>
      <c r="D191" s="151"/>
      <c r="E191" s="151"/>
      <c r="F191" s="151"/>
      <c r="G191" s="151"/>
      <c r="H191" s="334"/>
      <c r="I191" s="151"/>
      <c r="J191" s="364"/>
      <c r="K191" s="496"/>
      <c r="L191" s="476"/>
      <c r="M191" s="510"/>
      <c r="N191" s="348"/>
      <c r="O191" s="364"/>
      <c r="P191" s="517"/>
      <c r="Q191" s="433"/>
      <c r="R191" s="518"/>
      <c r="S191" s="348"/>
      <c r="T191" s="507"/>
      <c r="U191" s="511"/>
      <c r="V191" s="54"/>
    </row>
    <row r="192" spans="1:25">
      <c r="A192" s="162"/>
      <c r="B192" s="343"/>
      <c r="C192" s="151"/>
      <c r="D192" s="151"/>
      <c r="E192" s="151"/>
      <c r="F192" s="151"/>
      <c r="G192" s="151"/>
      <c r="H192" s="334"/>
      <c r="I192" s="151"/>
      <c r="J192" s="364"/>
      <c r="K192" s="496"/>
      <c r="L192" s="476"/>
      <c r="M192" s="510"/>
      <c r="N192" s="348"/>
      <c r="O192" s="364"/>
      <c r="P192" s="517"/>
      <c r="Q192" s="433"/>
      <c r="R192" s="518"/>
      <c r="S192" s="348"/>
      <c r="T192" s="507"/>
      <c r="U192" s="511"/>
      <c r="V192" s="54"/>
    </row>
    <row r="193" spans="1:25">
      <c r="A193" s="162"/>
      <c r="B193" s="512"/>
      <c r="C193" s="340"/>
      <c r="D193" s="340"/>
      <c r="E193" s="340"/>
      <c r="F193" s="340"/>
      <c r="G193" s="151"/>
      <c r="H193" s="334"/>
      <c r="I193" s="151"/>
      <c r="J193" s="364"/>
      <c r="K193" s="496"/>
      <c r="L193" s="476"/>
      <c r="M193" s="510"/>
      <c r="N193" s="348"/>
      <c r="O193" s="364"/>
      <c r="P193" s="517"/>
      <c r="Q193" s="433"/>
      <c r="R193" s="518"/>
      <c r="S193" s="348"/>
      <c r="T193" s="516"/>
      <c r="U193" s="520"/>
      <c r="V193" s="336"/>
    </row>
    <row r="194" spans="1:25">
      <c r="A194" s="162"/>
      <c r="B194" s="343"/>
      <c r="C194" s="151"/>
      <c r="D194" s="151"/>
      <c r="E194" s="151"/>
      <c r="F194" s="151"/>
      <c r="G194" s="151"/>
      <c r="H194" s="334"/>
      <c r="I194" s="151"/>
      <c r="J194" s="364"/>
      <c r="K194" s="496"/>
      <c r="L194" s="476"/>
      <c r="M194" s="510"/>
      <c r="N194" s="348"/>
      <c r="O194" s="364"/>
      <c r="P194" s="517"/>
      <c r="Q194" s="433"/>
      <c r="R194" s="518"/>
      <c r="S194" s="348"/>
      <c r="T194" s="516"/>
      <c r="U194" s="511"/>
      <c r="V194" s="54"/>
    </row>
    <row r="195" spans="1:25">
      <c r="A195" s="455"/>
      <c r="B195" s="343"/>
      <c r="C195" s="151"/>
      <c r="D195" s="151"/>
      <c r="E195" s="151"/>
      <c r="F195" s="151"/>
      <c r="G195" s="151"/>
      <c r="H195" s="334"/>
      <c r="I195" s="151"/>
      <c r="J195" s="364"/>
      <c r="K195" s="496"/>
      <c r="L195" s="476"/>
      <c r="M195" s="510"/>
      <c r="N195" s="348"/>
      <c r="O195" s="364"/>
      <c r="P195" s="517"/>
      <c r="Q195" s="433"/>
      <c r="R195" s="518"/>
      <c r="S195" s="348"/>
      <c r="T195" s="516"/>
      <c r="U195" s="511"/>
      <c r="V195" s="54"/>
      <c r="X195" s="462"/>
      <c r="Y195" s="462"/>
    </row>
    <row r="196" spans="1:25">
      <c r="A196" s="162"/>
      <c r="B196" s="343"/>
      <c r="C196" s="151"/>
      <c r="D196" s="151"/>
      <c r="E196" s="151"/>
      <c r="F196" s="151"/>
      <c r="G196" s="340"/>
      <c r="H196" s="334"/>
      <c r="I196" s="151"/>
      <c r="J196" s="364"/>
      <c r="K196" s="496"/>
      <c r="L196" s="476"/>
      <c r="M196" s="510"/>
      <c r="N196" s="348"/>
      <c r="O196" s="370"/>
      <c r="P196" s="517"/>
      <c r="Q196" s="433"/>
      <c r="R196" s="518"/>
      <c r="S196" s="348"/>
      <c r="T196" s="519"/>
      <c r="U196" s="511"/>
      <c r="V196" s="54"/>
    </row>
    <row r="197" spans="1:25">
      <c r="A197" s="162"/>
      <c r="B197" s="343"/>
      <c r="C197" s="151"/>
      <c r="D197" s="151"/>
      <c r="E197" s="151"/>
      <c r="F197" s="151"/>
      <c r="G197" s="151"/>
      <c r="H197" s="334"/>
      <c r="I197" s="151"/>
      <c r="J197" s="364"/>
      <c r="K197" s="496"/>
      <c r="L197" s="476"/>
      <c r="M197" s="510"/>
      <c r="N197" s="348"/>
      <c r="O197" s="364"/>
      <c r="P197" s="517"/>
      <c r="Q197" s="433"/>
      <c r="R197" s="518"/>
      <c r="S197" s="348"/>
      <c r="T197" s="507"/>
      <c r="U197" s="511"/>
      <c r="V197" s="54"/>
    </row>
    <row r="198" spans="1:25">
      <c r="A198" s="162"/>
      <c r="B198" s="343"/>
      <c r="C198" s="151"/>
      <c r="D198" s="151"/>
      <c r="E198" s="151"/>
      <c r="F198" s="151"/>
      <c r="G198" s="151"/>
      <c r="H198" s="334"/>
      <c r="I198" s="151"/>
      <c r="J198" s="364"/>
      <c r="K198" s="496"/>
      <c r="L198" s="476"/>
      <c r="M198" s="510"/>
      <c r="N198" s="348"/>
      <c r="O198" s="364"/>
      <c r="P198" s="517"/>
      <c r="Q198" s="433"/>
      <c r="R198" s="518"/>
      <c r="S198" s="348"/>
      <c r="T198" s="507"/>
      <c r="U198" s="511"/>
      <c r="V198" s="54"/>
    </row>
    <row r="199" spans="1:25">
      <c r="A199" s="162"/>
      <c r="B199" s="343"/>
      <c r="C199" s="151"/>
      <c r="D199" s="151"/>
      <c r="E199" s="151"/>
      <c r="F199" s="151"/>
      <c r="G199" s="151"/>
      <c r="H199" s="334"/>
      <c r="I199" s="151"/>
      <c r="J199" s="364"/>
      <c r="K199" s="496"/>
      <c r="L199" s="476"/>
      <c r="M199" s="510"/>
      <c r="N199" s="348"/>
      <c r="O199" s="364"/>
      <c r="P199" s="517"/>
      <c r="Q199" s="433"/>
      <c r="R199" s="518"/>
      <c r="S199" s="348"/>
      <c r="T199" s="507"/>
      <c r="U199" s="511"/>
      <c r="V199" s="54"/>
    </row>
    <row r="200" spans="1:25">
      <c r="A200" s="162"/>
      <c r="B200" s="343"/>
      <c r="C200" s="151"/>
      <c r="D200" s="151"/>
      <c r="E200" s="151"/>
      <c r="F200" s="151"/>
      <c r="G200" s="151"/>
      <c r="H200" s="334"/>
      <c r="I200" s="151"/>
      <c r="J200" s="364"/>
      <c r="K200" s="496"/>
      <c r="L200" s="476"/>
      <c r="M200" s="510"/>
      <c r="N200" s="348"/>
      <c r="O200" s="364"/>
      <c r="P200" s="517"/>
      <c r="Q200" s="433"/>
      <c r="R200" s="518"/>
      <c r="S200" s="348"/>
      <c r="T200" s="516"/>
      <c r="U200" s="511"/>
      <c r="V200" s="54"/>
    </row>
    <row r="201" spans="1:25">
      <c r="A201" s="162"/>
      <c r="B201" s="343"/>
      <c r="C201" s="151"/>
      <c r="D201" s="151"/>
      <c r="E201" s="151"/>
      <c r="F201" s="151"/>
      <c r="G201" s="151"/>
      <c r="H201" s="334"/>
      <c r="I201" s="151"/>
      <c r="J201" s="364"/>
      <c r="K201" s="496"/>
      <c r="L201" s="476"/>
      <c r="M201" s="510"/>
      <c r="N201" s="348"/>
      <c r="O201" s="364"/>
      <c r="P201" s="517"/>
      <c r="Q201" s="433"/>
      <c r="R201" s="518"/>
      <c r="S201" s="348"/>
      <c r="T201" s="516"/>
      <c r="U201" s="511"/>
      <c r="V201" s="54"/>
    </row>
    <row r="202" spans="1:25">
      <c r="A202" s="162"/>
      <c r="B202" s="343"/>
      <c r="C202" s="151"/>
      <c r="D202" s="151"/>
      <c r="E202" s="151"/>
      <c r="F202" s="151"/>
      <c r="G202" s="151"/>
      <c r="H202" s="334"/>
      <c r="I202" s="151"/>
      <c r="J202" s="364"/>
      <c r="K202" s="496"/>
      <c r="L202" s="476"/>
      <c r="M202" s="510"/>
      <c r="N202" s="348"/>
      <c r="O202" s="364"/>
      <c r="P202" s="517"/>
      <c r="Q202" s="433"/>
      <c r="R202" s="518"/>
      <c r="S202" s="348"/>
      <c r="T202" s="516"/>
      <c r="U202" s="511"/>
      <c r="V202" s="54"/>
    </row>
    <row r="203" spans="1:25">
      <c r="A203" s="162"/>
      <c r="B203" s="343"/>
      <c r="C203" s="151"/>
      <c r="D203" s="151"/>
      <c r="E203" s="151"/>
      <c r="F203" s="151"/>
      <c r="G203" s="340"/>
      <c r="H203" s="334"/>
      <c r="I203" s="151"/>
      <c r="J203" s="364"/>
      <c r="K203" s="496"/>
      <c r="L203" s="476"/>
      <c r="M203" s="510"/>
      <c r="N203" s="348"/>
      <c r="O203" s="370"/>
      <c r="P203" s="517"/>
      <c r="Q203" s="433"/>
      <c r="R203" s="518"/>
      <c r="S203" s="348"/>
      <c r="T203" s="519"/>
      <c r="U203" s="511"/>
      <c r="V203" s="54"/>
    </row>
    <row r="204" spans="1:25">
      <c r="A204" s="162"/>
      <c r="B204" s="343"/>
      <c r="C204" s="151"/>
      <c r="D204" s="151"/>
      <c r="E204" s="151"/>
      <c r="F204" s="151"/>
      <c r="G204" s="151"/>
      <c r="H204" s="334"/>
      <c r="I204" s="151"/>
      <c r="J204" s="364"/>
      <c r="K204" s="496"/>
      <c r="L204" s="476"/>
      <c r="M204" s="510"/>
      <c r="N204" s="348"/>
      <c r="O204" s="364"/>
      <c r="P204" s="517"/>
      <c r="Q204" s="433"/>
      <c r="R204" s="518"/>
      <c r="S204" s="348"/>
      <c r="T204" s="507"/>
      <c r="U204" s="511"/>
      <c r="V204" s="54"/>
    </row>
    <row r="205" spans="1:25">
      <c r="A205" s="162"/>
      <c r="B205" s="343"/>
      <c r="C205" s="340"/>
      <c r="D205" s="340"/>
      <c r="E205" s="340"/>
      <c r="F205" s="151"/>
      <c r="G205" s="151"/>
      <c r="H205" s="334"/>
      <c r="I205" s="151"/>
      <c r="J205" s="364"/>
      <c r="K205" s="496"/>
      <c r="L205" s="476"/>
      <c r="M205" s="510"/>
      <c r="N205" s="348"/>
      <c r="O205" s="364"/>
      <c r="P205" s="517"/>
      <c r="Q205" s="433"/>
      <c r="R205" s="518"/>
      <c r="S205" s="348"/>
      <c r="T205" s="507"/>
      <c r="U205" s="511"/>
      <c r="V205" s="54"/>
    </row>
    <row r="206" spans="1:25">
      <c r="A206" s="162"/>
      <c r="B206" s="343"/>
      <c r="C206" s="151"/>
      <c r="D206" s="151"/>
      <c r="E206" s="151"/>
      <c r="F206" s="151"/>
      <c r="G206" s="151"/>
      <c r="H206" s="334"/>
      <c r="I206" s="151"/>
      <c r="J206" s="364"/>
      <c r="K206" s="496"/>
      <c r="L206" s="476"/>
      <c r="M206" s="510"/>
      <c r="N206" s="348"/>
      <c r="O206" s="364"/>
      <c r="P206" s="517"/>
      <c r="Q206" s="433"/>
      <c r="R206" s="518"/>
      <c r="S206" s="348"/>
      <c r="T206" s="507"/>
      <c r="U206" s="511"/>
      <c r="V206" s="54"/>
    </row>
    <row r="207" spans="1:25">
      <c r="A207" s="162"/>
      <c r="B207" s="343"/>
      <c r="C207" s="151"/>
      <c r="D207" s="151"/>
      <c r="E207" s="151"/>
      <c r="F207" s="151"/>
      <c r="G207" s="151"/>
      <c r="H207" s="334"/>
      <c r="I207" s="151"/>
      <c r="J207" s="364"/>
      <c r="K207" s="496"/>
      <c r="L207" s="476"/>
      <c r="M207" s="510"/>
      <c r="N207" s="348"/>
      <c r="O207" s="364"/>
      <c r="P207" s="517"/>
      <c r="Q207" s="433"/>
      <c r="R207" s="518"/>
      <c r="S207" s="348"/>
      <c r="T207" s="516"/>
      <c r="U207" s="511"/>
      <c r="V207" s="54"/>
    </row>
    <row r="208" spans="1:25">
      <c r="A208" s="162"/>
      <c r="B208" s="343"/>
      <c r="C208" s="151"/>
      <c r="D208" s="151"/>
      <c r="E208" s="151"/>
      <c r="F208" s="151"/>
      <c r="G208" s="151"/>
      <c r="H208" s="334"/>
      <c r="I208" s="151"/>
      <c r="J208" s="364"/>
      <c r="K208" s="496"/>
      <c r="L208" s="476"/>
      <c r="M208" s="510"/>
      <c r="N208" s="348"/>
      <c r="O208" s="364"/>
      <c r="P208" s="517"/>
      <c r="Q208" s="433"/>
      <c r="R208" s="518"/>
      <c r="S208" s="348"/>
      <c r="T208" s="516"/>
      <c r="U208" s="511"/>
      <c r="V208" s="54"/>
    </row>
    <row r="209" spans="1:22">
      <c r="A209" s="162"/>
      <c r="B209" s="343"/>
      <c r="C209" s="151"/>
      <c r="D209" s="151"/>
      <c r="E209" s="151"/>
      <c r="F209" s="151"/>
      <c r="G209" s="151"/>
      <c r="H209" s="334"/>
      <c r="I209" s="151"/>
      <c r="J209" s="364"/>
      <c r="K209" s="496"/>
      <c r="L209" s="476"/>
      <c r="M209" s="510"/>
      <c r="N209" s="348"/>
      <c r="O209" s="364"/>
      <c r="P209" s="517"/>
      <c r="Q209" s="433"/>
      <c r="R209" s="518"/>
      <c r="S209" s="348"/>
      <c r="T209" s="516"/>
      <c r="U209" s="511"/>
      <c r="V209" s="54"/>
    </row>
    <row r="210" spans="1:22">
      <c r="A210" s="162"/>
      <c r="B210" s="343"/>
      <c r="C210" s="151"/>
      <c r="D210" s="151"/>
      <c r="E210" s="151"/>
      <c r="F210" s="151"/>
      <c r="G210" s="340"/>
      <c r="H210" s="334"/>
      <c r="I210" s="151"/>
      <c r="J210" s="364"/>
      <c r="K210" s="496"/>
      <c r="L210" s="476"/>
      <c r="M210" s="510"/>
      <c r="N210" s="348"/>
      <c r="O210" s="370"/>
      <c r="P210" s="517"/>
      <c r="Q210" s="433"/>
      <c r="R210" s="518"/>
      <c r="S210" s="348"/>
      <c r="T210" s="519"/>
      <c r="U210" s="511"/>
      <c r="V210" s="54"/>
    </row>
    <row r="211" spans="1:22">
      <c r="A211" s="162"/>
      <c r="B211" s="343"/>
      <c r="C211" s="151"/>
      <c r="D211" s="151"/>
      <c r="E211" s="151"/>
      <c r="F211" s="151"/>
      <c r="G211" s="151"/>
      <c r="H211" s="334"/>
      <c r="I211" s="151"/>
      <c r="J211" s="364"/>
      <c r="K211" s="496"/>
      <c r="L211" s="476"/>
      <c r="M211" s="510"/>
      <c r="N211" s="348"/>
      <c r="O211" s="364"/>
      <c r="P211" s="517"/>
      <c r="Q211" s="433"/>
      <c r="R211" s="518"/>
      <c r="S211" s="348"/>
      <c r="T211" s="507"/>
      <c r="U211" s="511"/>
      <c r="V211" s="54"/>
    </row>
    <row r="212" spans="1:22">
      <c r="A212" s="162"/>
      <c r="B212" s="343"/>
      <c r="C212" s="151"/>
      <c r="D212" s="151"/>
      <c r="E212" s="151"/>
      <c r="F212" s="151"/>
      <c r="G212" s="151"/>
      <c r="H212" s="334"/>
      <c r="I212" s="151"/>
      <c r="J212" s="364"/>
      <c r="K212" s="496"/>
      <c r="L212" s="476"/>
      <c r="M212" s="510"/>
      <c r="N212" s="348"/>
      <c r="O212" s="364"/>
      <c r="P212" s="517"/>
      <c r="Q212" s="433"/>
      <c r="R212" s="518"/>
      <c r="S212" s="348"/>
      <c r="T212" s="507"/>
      <c r="U212" s="511"/>
      <c r="V212" s="54"/>
    </row>
    <row r="213" spans="1:22">
      <c r="A213" s="162"/>
      <c r="B213" s="343"/>
      <c r="C213" s="151"/>
      <c r="D213" s="151"/>
      <c r="E213" s="151"/>
      <c r="F213" s="151"/>
      <c r="G213" s="151"/>
      <c r="H213" s="334"/>
      <c r="I213" s="151"/>
      <c r="J213" s="364"/>
      <c r="K213" s="496"/>
      <c r="L213" s="476"/>
      <c r="M213" s="510"/>
      <c r="N213" s="348"/>
      <c r="O213" s="364"/>
      <c r="P213" s="517"/>
      <c r="Q213" s="433"/>
      <c r="R213" s="518"/>
      <c r="S213" s="348"/>
      <c r="T213" s="507"/>
      <c r="U213" s="511"/>
      <c r="V213" s="54"/>
    </row>
    <row r="214" spans="1:22">
      <c r="A214" s="162"/>
      <c r="B214" s="343"/>
      <c r="C214" s="151"/>
      <c r="D214" s="151"/>
      <c r="E214" s="151"/>
      <c r="F214" s="151"/>
      <c r="G214" s="151"/>
      <c r="H214" s="334"/>
      <c r="I214" s="151"/>
      <c r="J214" s="364"/>
      <c r="K214" s="496"/>
      <c r="L214" s="476"/>
      <c r="M214" s="510"/>
      <c r="N214" s="348"/>
      <c r="O214" s="364"/>
      <c r="P214" s="517"/>
      <c r="Q214" s="433"/>
      <c r="R214" s="518"/>
      <c r="S214" s="348"/>
      <c r="T214" s="516"/>
      <c r="U214" s="511"/>
      <c r="V214" s="54"/>
    </row>
    <row r="215" spans="1:22">
      <c r="A215" s="162"/>
      <c r="B215" s="343"/>
      <c r="C215" s="151"/>
      <c r="D215" s="151"/>
      <c r="E215" s="151"/>
      <c r="F215" s="151"/>
      <c r="G215" s="151"/>
      <c r="H215" s="334"/>
      <c r="I215" s="151"/>
      <c r="J215" s="364"/>
      <c r="K215" s="496"/>
      <c r="L215" s="476"/>
      <c r="M215" s="510"/>
      <c r="N215" s="348"/>
      <c r="O215" s="364"/>
      <c r="P215" s="517"/>
      <c r="Q215" s="433"/>
      <c r="R215" s="518"/>
      <c r="S215" s="348"/>
      <c r="T215" s="516"/>
      <c r="U215" s="511"/>
      <c r="V215" s="54"/>
    </row>
    <row r="216" spans="1:22">
      <c r="A216" s="162"/>
      <c r="B216" s="343"/>
      <c r="C216" s="151"/>
      <c r="D216" s="151"/>
      <c r="E216" s="151"/>
      <c r="F216" s="151"/>
      <c r="G216" s="151"/>
      <c r="H216" s="334"/>
      <c r="I216" s="151"/>
      <c r="J216" s="364"/>
      <c r="K216" s="496"/>
      <c r="L216" s="476"/>
      <c r="M216" s="510"/>
      <c r="N216" s="348"/>
      <c r="O216" s="364"/>
      <c r="P216" s="517"/>
      <c r="Q216" s="433"/>
      <c r="R216" s="518"/>
      <c r="S216" s="348"/>
      <c r="T216" s="516"/>
      <c r="U216" s="511"/>
      <c r="V216" s="54"/>
    </row>
    <row r="217" spans="1:22">
      <c r="A217" s="162"/>
      <c r="B217" s="343"/>
      <c r="C217" s="151"/>
      <c r="D217" s="151"/>
      <c r="E217" s="151"/>
      <c r="F217" s="151"/>
      <c r="G217" s="340"/>
      <c r="H217" s="334"/>
      <c r="I217" s="151"/>
      <c r="J217" s="364"/>
      <c r="K217" s="496"/>
      <c r="L217" s="476"/>
      <c r="M217" s="510"/>
      <c r="N217" s="348"/>
      <c r="O217" s="370"/>
      <c r="P217" s="517"/>
      <c r="Q217" s="433"/>
      <c r="R217" s="518"/>
      <c r="S217" s="348"/>
      <c r="T217" s="519"/>
      <c r="U217" s="511"/>
      <c r="V217" s="54"/>
    </row>
    <row r="218" spans="1:22">
      <c r="A218" s="162"/>
      <c r="B218" s="343"/>
      <c r="C218" s="151"/>
      <c r="D218" s="151"/>
      <c r="E218" s="151"/>
      <c r="F218" s="151"/>
      <c r="G218" s="151"/>
      <c r="H218" s="334"/>
      <c r="I218" s="151"/>
      <c r="J218" s="364"/>
      <c r="K218" s="496"/>
      <c r="L218" s="476"/>
      <c r="M218" s="510"/>
      <c r="N218" s="348"/>
      <c r="O218" s="364"/>
      <c r="P218" s="517"/>
      <c r="Q218" s="433"/>
      <c r="R218" s="518"/>
      <c r="S218" s="348"/>
      <c r="T218" s="507"/>
      <c r="U218" s="511"/>
      <c r="V218" s="54"/>
    </row>
    <row r="219" spans="1:22">
      <c r="A219" s="162"/>
      <c r="B219" s="343"/>
      <c r="C219" s="151"/>
      <c r="D219" s="151"/>
      <c r="E219" s="151"/>
      <c r="F219" s="151"/>
      <c r="G219" s="151"/>
      <c r="H219" s="334"/>
      <c r="I219" s="151"/>
      <c r="J219" s="364"/>
      <c r="K219" s="496"/>
      <c r="L219" s="476"/>
      <c r="M219" s="510"/>
      <c r="N219" s="348"/>
      <c r="O219" s="364"/>
      <c r="P219" s="517"/>
      <c r="Q219" s="433"/>
      <c r="R219" s="518"/>
      <c r="S219" s="348"/>
      <c r="T219" s="507"/>
      <c r="U219" s="511"/>
      <c r="V219" s="54"/>
    </row>
    <row r="220" spans="1:22">
      <c r="A220" s="162"/>
      <c r="B220" s="343"/>
      <c r="C220" s="151"/>
      <c r="D220" s="151"/>
      <c r="E220" s="151"/>
      <c r="F220" s="151"/>
      <c r="G220" s="151"/>
      <c r="H220" s="334"/>
      <c r="I220" s="151"/>
      <c r="J220" s="364"/>
      <c r="K220" s="496"/>
      <c r="L220" s="476"/>
      <c r="M220" s="510"/>
      <c r="N220" s="348"/>
      <c r="O220" s="364"/>
      <c r="P220" s="517"/>
      <c r="Q220" s="433"/>
      <c r="R220" s="518"/>
      <c r="S220" s="348"/>
      <c r="T220" s="507"/>
      <c r="U220" s="511"/>
      <c r="V220" s="54"/>
    </row>
    <row r="221" spans="1:22">
      <c r="A221" s="162"/>
      <c r="B221" s="343"/>
      <c r="C221" s="151"/>
      <c r="D221" s="151"/>
      <c r="E221" s="151"/>
      <c r="F221" s="151"/>
      <c r="G221" s="151"/>
      <c r="H221" s="334"/>
      <c r="I221" s="151"/>
      <c r="J221" s="364"/>
      <c r="K221" s="496"/>
      <c r="L221" s="476"/>
      <c r="M221" s="510"/>
      <c r="N221" s="348"/>
      <c r="O221" s="364"/>
      <c r="P221" s="517"/>
      <c r="Q221" s="433"/>
      <c r="R221" s="518"/>
      <c r="S221" s="348"/>
      <c r="T221" s="516"/>
      <c r="U221" s="511"/>
      <c r="V221" s="54"/>
    </row>
    <row r="222" spans="1:22">
      <c r="A222" s="162"/>
      <c r="B222" s="343"/>
      <c r="C222" s="151"/>
      <c r="D222" s="151"/>
      <c r="E222" s="151"/>
      <c r="F222" s="151"/>
      <c r="G222" s="151"/>
      <c r="H222" s="334"/>
      <c r="I222" s="151"/>
      <c r="J222" s="364"/>
      <c r="K222" s="496"/>
      <c r="L222" s="476"/>
      <c r="M222" s="510"/>
      <c r="N222" s="348"/>
      <c r="O222" s="364"/>
      <c r="P222" s="517"/>
      <c r="Q222" s="433"/>
      <c r="R222" s="518"/>
      <c r="S222" s="348"/>
      <c r="T222" s="516"/>
      <c r="U222" s="511"/>
      <c r="V222" s="54"/>
    </row>
    <row r="223" spans="1:22">
      <c r="A223" s="162"/>
      <c r="B223" s="343"/>
      <c r="C223" s="151"/>
      <c r="D223" s="151"/>
      <c r="E223" s="151"/>
      <c r="F223" s="151"/>
      <c r="G223" s="151"/>
      <c r="H223" s="334"/>
      <c r="I223" s="151"/>
      <c r="J223" s="364"/>
      <c r="K223" s="496"/>
      <c r="L223" s="476"/>
      <c r="M223" s="510"/>
      <c r="N223" s="348"/>
      <c r="O223" s="364"/>
      <c r="P223" s="517"/>
      <c r="Q223" s="433"/>
      <c r="R223" s="518"/>
      <c r="S223" s="348"/>
      <c r="T223" s="516"/>
      <c r="U223" s="511"/>
      <c r="V223" s="54"/>
    </row>
    <row r="224" spans="1:22">
      <c r="A224" s="162"/>
      <c r="B224" s="343"/>
      <c r="C224" s="151"/>
      <c r="D224" s="151"/>
      <c r="E224" s="151"/>
      <c r="F224" s="151"/>
      <c r="G224" s="151"/>
      <c r="H224" s="151"/>
      <c r="I224" s="151"/>
      <c r="J224" s="364"/>
      <c r="K224" s="364"/>
      <c r="L224" s="476"/>
      <c r="M224" s="409"/>
      <c r="N224" s="348"/>
      <c r="O224" s="364"/>
      <c r="P224" s="517"/>
      <c r="Q224" s="433"/>
      <c r="R224" s="364"/>
      <c r="S224" s="348"/>
      <c r="T224" s="516"/>
      <c r="U224" s="511"/>
      <c r="V224" s="54"/>
    </row>
    <row r="225" spans="1:22">
      <c r="A225" s="162"/>
      <c r="B225" s="343"/>
      <c r="C225" s="151"/>
      <c r="D225" s="151"/>
      <c r="E225" s="151"/>
      <c r="F225" s="151"/>
      <c r="G225" s="151"/>
      <c r="H225" s="151"/>
      <c r="I225" s="151"/>
      <c r="J225" s="364"/>
      <c r="K225" s="364"/>
      <c r="L225" s="476"/>
      <c r="M225" s="409"/>
      <c r="N225" s="348"/>
      <c r="O225" s="364"/>
      <c r="P225" s="517"/>
      <c r="Q225" s="433"/>
      <c r="R225" s="364"/>
      <c r="S225" s="348"/>
      <c r="T225" s="516"/>
      <c r="U225" s="511"/>
      <c r="V225" s="54"/>
    </row>
    <row r="226" spans="1:22">
      <c r="A226" s="162"/>
      <c r="B226" s="343"/>
      <c r="C226" s="151"/>
      <c r="D226" s="151"/>
      <c r="E226" s="151"/>
      <c r="F226" s="151"/>
      <c r="G226" s="151"/>
      <c r="H226" s="151"/>
      <c r="I226" s="151"/>
      <c r="J226" s="364"/>
      <c r="K226" s="364"/>
      <c r="L226" s="476"/>
      <c r="M226" s="409"/>
      <c r="N226" s="348"/>
      <c r="O226" s="364"/>
      <c r="P226" s="517"/>
      <c r="Q226" s="433"/>
      <c r="R226" s="364"/>
      <c r="S226" s="348"/>
      <c r="T226" s="516"/>
      <c r="U226" s="511"/>
      <c r="V226" s="54"/>
    </row>
    <row r="227" spans="1:22">
      <c r="A227" s="162"/>
      <c r="B227" s="343"/>
      <c r="C227" s="151"/>
      <c r="D227" s="151"/>
      <c r="E227" s="151"/>
      <c r="F227" s="151"/>
      <c r="G227" s="151"/>
      <c r="H227" s="151"/>
      <c r="I227" s="151"/>
      <c r="J227" s="364"/>
      <c r="K227" s="364"/>
      <c r="L227" s="476"/>
      <c r="M227" s="409"/>
      <c r="N227" s="348"/>
      <c r="O227" s="364"/>
      <c r="P227" s="517"/>
      <c r="Q227" s="433"/>
      <c r="R227" s="364"/>
      <c r="S227" s="348"/>
      <c r="T227" s="516"/>
      <c r="U227" s="511"/>
      <c r="V227" s="54"/>
    </row>
    <row r="228" spans="1:22">
      <c r="A228" s="162"/>
      <c r="B228" s="343"/>
      <c r="C228" s="151"/>
      <c r="D228" s="151"/>
      <c r="E228" s="151"/>
      <c r="F228" s="151"/>
      <c r="G228" s="151"/>
      <c r="H228" s="151"/>
      <c r="I228" s="151"/>
      <c r="J228" s="364"/>
      <c r="K228" s="364"/>
      <c r="L228" s="476"/>
      <c r="M228" s="409"/>
      <c r="N228" s="348"/>
      <c r="O228" s="364"/>
      <c r="P228" s="517"/>
      <c r="Q228" s="433"/>
      <c r="R228" s="364"/>
      <c r="S228" s="348"/>
      <c r="T228" s="516"/>
      <c r="U228" s="511"/>
      <c r="V228" s="54"/>
    </row>
    <row r="229" spans="1:22">
      <c r="A229" s="162"/>
      <c r="B229" s="343"/>
      <c r="C229" s="151"/>
      <c r="D229" s="151"/>
      <c r="E229" s="151"/>
      <c r="F229" s="151"/>
      <c r="G229" s="151"/>
      <c r="H229" s="151"/>
      <c r="I229" s="151"/>
      <c r="J229" s="364"/>
      <c r="K229" s="364"/>
      <c r="L229" s="476"/>
      <c r="M229" s="409"/>
      <c r="N229" s="348"/>
      <c r="O229" s="364"/>
      <c r="P229" s="517"/>
      <c r="Q229" s="433"/>
      <c r="R229" s="364"/>
      <c r="S229" s="348"/>
      <c r="T229" s="516"/>
      <c r="U229" s="511"/>
      <c r="V229" s="54"/>
    </row>
    <row r="230" spans="1:22">
      <c r="A230" s="162"/>
      <c r="B230" s="343"/>
      <c r="C230" s="151"/>
      <c r="D230" s="151"/>
      <c r="E230" s="151"/>
      <c r="F230" s="151"/>
      <c r="G230" s="151"/>
      <c r="H230" s="151"/>
      <c r="I230" s="151"/>
      <c r="J230" s="364"/>
      <c r="K230" s="364"/>
      <c r="L230" s="476"/>
      <c r="M230" s="409"/>
      <c r="N230" s="348"/>
      <c r="O230" s="364"/>
      <c r="P230" s="517"/>
      <c r="Q230" s="433"/>
      <c r="R230" s="364"/>
      <c r="S230" s="348"/>
      <c r="T230" s="516"/>
      <c r="U230" s="511"/>
      <c r="V230" s="54"/>
    </row>
    <row r="231" spans="1:22">
      <c r="A231" s="162"/>
      <c r="B231" s="343"/>
      <c r="C231" s="151"/>
      <c r="D231" s="151"/>
      <c r="E231" s="151"/>
      <c r="F231" s="151"/>
      <c r="G231" s="151"/>
      <c r="H231" s="151"/>
      <c r="I231" s="151"/>
      <c r="J231" s="364"/>
      <c r="K231" s="364"/>
      <c r="L231" s="476"/>
      <c r="M231" s="409"/>
      <c r="N231" s="348"/>
      <c r="O231" s="364"/>
      <c r="P231" s="517"/>
      <c r="Q231" s="433"/>
      <c r="R231" s="364"/>
      <c r="S231" s="348"/>
      <c r="T231" s="516"/>
      <c r="U231" s="511"/>
      <c r="V231" s="54"/>
    </row>
    <row r="232" spans="1:22">
      <c r="A232" s="162"/>
      <c r="B232" s="343"/>
      <c r="C232" s="151"/>
      <c r="D232" s="151"/>
      <c r="E232" s="151"/>
      <c r="F232" s="151"/>
      <c r="G232" s="151"/>
      <c r="H232" s="151"/>
      <c r="I232" s="151"/>
      <c r="J232" s="364"/>
      <c r="K232" s="364"/>
      <c r="L232" s="476"/>
      <c r="M232" s="409"/>
      <c r="N232" s="348"/>
      <c r="O232" s="364"/>
      <c r="P232" s="517"/>
      <c r="Q232" s="433"/>
      <c r="R232" s="364"/>
      <c r="S232" s="364"/>
      <c r="T232" s="516"/>
      <c r="U232" s="511"/>
      <c r="V232" s="296"/>
    </row>
    <row r="233" spans="1:22">
      <c r="A233" s="162"/>
      <c r="B233" s="343"/>
      <c r="C233" s="151"/>
      <c r="D233" s="151"/>
      <c r="E233" s="151"/>
      <c r="F233" s="151"/>
      <c r="G233" s="151"/>
      <c r="H233" s="151"/>
      <c r="I233" s="151"/>
      <c r="J233" s="364"/>
      <c r="K233" s="364"/>
      <c r="L233" s="476"/>
      <c r="M233" s="409"/>
      <c r="N233" s="348"/>
      <c r="O233" s="364"/>
      <c r="P233" s="517"/>
      <c r="Q233" s="433"/>
      <c r="R233" s="364"/>
      <c r="S233" s="364"/>
      <c r="T233" s="516"/>
      <c r="U233" s="511"/>
      <c r="V233" s="54"/>
    </row>
    <row r="234" spans="1:22">
      <c r="A234" s="162"/>
      <c r="B234" s="343"/>
      <c r="C234" s="151"/>
      <c r="D234" s="151"/>
      <c r="E234" s="151"/>
      <c r="F234" s="151"/>
      <c r="G234" s="151"/>
      <c r="H234" s="151"/>
      <c r="I234" s="151"/>
      <c r="J234" s="364"/>
      <c r="K234" s="364"/>
      <c r="L234" s="476"/>
      <c r="M234" s="409"/>
      <c r="N234" s="348"/>
      <c r="O234" s="364"/>
      <c r="P234" s="517"/>
      <c r="Q234" s="433"/>
      <c r="R234" s="364"/>
      <c r="S234" s="364"/>
      <c r="T234" s="516"/>
      <c r="U234" s="511"/>
      <c r="V234" s="54"/>
    </row>
    <row r="235" spans="1:22">
      <c r="A235" s="162"/>
      <c r="B235" s="343"/>
      <c r="C235" s="151"/>
      <c r="D235" s="151"/>
      <c r="E235" s="151"/>
      <c r="F235" s="151"/>
      <c r="G235" s="151"/>
      <c r="H235" s="151"/>
      <c r="I235" s="151"/>
      <c r="J235" s="364"/>
      <c r="K235" s="364"/>
      <c r="L235" s="476"/>
      <c r="M235" s="409"/>
      <c r="N235" s="348"/>
      <c r="O235" s="364"/>
      <c r="P235" s="517"/>
      <c r="Q235" s="433"/>
      <c r="R235" s="364"/>
      <c r="S235" s="364"/>
      <c r="T235" s="516"/>
      <c r="U235" s="511"/>
      <c r="V235" s="54"/>
    </row>
    <row r="236" spans="1:22">
      <c r="A236" s="162"/>
      <c r="B236" s="343"/>
      <c r="C236" s="151"/>
      <c r="D236" s="151"/>
      <c r="E236" s="151"/>
      <c r="F236" s="151"/>
      <c r="G236" s="151"/>
      <c r="H236" s="151"/>
      <c r="I236" s="151"/>
      <c r="J236" s="364"/>
      <c r="K236" s="364"/>
      <c r="L236" s="476"/>
      <c r="M236" s="409"/>
      <c r="N236" s="348"/>
      <c r="O236" s="364"/>
      <c r="P236" s="517"/>
      <c r="Q236" s="433"/>
      <c r="R236" s="364"/>
      <c r="S236" s="364"/>
      <c r="T236" s="516"/>
      <c r="U236" s="511"/>
      <c r="V236" s="54"/>
    </row>
    <row r="237" spans="1:22">
      <c r="A237" s="162"/>
      <c r="B237" s="343"/>
      <c r="C237" s="151"/>
      <c r="D237" s="151"/>
      <c r="E237" s="151"/>
      <c r="F237" s="151"/>
      <c r="G237" s="151"/>
      <c r="H237" s="151"/>
      <c r="I237" s="151"/>
      <c r="J237" s="364"/>
      <c r="K237" s="364"/>
      <c r="L237" s="476"/>
      <c r="M237" s="409"/>
      <c r="N237" s="348"/>
      <c r="O237" s="364"/>
      <c r="P237" s="517"/>
      <c r="Q237" s="433"/>
      <c r="R237" s="364"/>
      <c r="S237" s="364"/>
      <c r="T237" s="516"/>
      <c r="U237" s="511"/>
      <c r="V237" s="54"/>
    </row>
    <row r="238" spans="1:22">
      <c r="A238" s="162"/>
      <c r="B238" s="343"/>
      <c r="C238" s="151"/>
      <c r="D238" s="151"/>
      <c r="E238" s="151"/>
      <c r="F238" s="151"/>
      <c r="G238" s="151"/>
      <c r="H238" s="151"/>
      <c r="I238" s="151"/>
      <c r="J238" s="364"/>
      <c r="K238" s="364"/>
      <c r="L238" s="476"/>
      <c r="M238" s="409"/>
      <c r="N238" s="348"/>
      <c r="O238" s="364"/>
      <c r="P238" s="517"/>
      <c r="Q238" s="433"/>
      <c r="R238" s="364"/>
      <c r="S238" s="364"/>
      <c r="T238" s="516"/>
      <c r="U238" s="511"/>
      <c r="V238" s="54"/>
    </row>
    <row r="239" spans="1:22">
      <c r="A239" s="162"/>
      <c r="B239" s="343"/>
      <c r="C239" s="151"/>
      <c r="D239" s="151"/>
      <c r="E239" s="151"/>
      <c r="F239" s="151"/>
      <c r="G239" s="151"/>
      <c r="H239" s="151"/>
      <c r="I239" s="151"/>
      <c r="J239" s="364"/>
      <c r="K239" s="364"/>
      <c r="L239" s="476"/>
      <c r="M239" s="409"/>
      <c r="N239" s="348"/>
      <c r="O239" s="364"/>
      <c r="P239" s="517"/>
      <c r="Q239" s="433"/>
      <c r="R239" s="364"/>
      <c r="S239" s="364"/>
      <c r="T239" s="516"/>
      <c r="U239" s="511"/>
      <c r="V239" s="54"/>
    </row>
    <row r="240" spans="1:22">
      <c r="A240" s="162"/>
      <c r="B240" s="343"/>
      <c r="C240" s="151"/>
      <c r="D240" s="151"/>
      <c r="E240" s="151"/>
      <c r="F240" s="151"/>
      <c r="G240" s="151"/>
      <c r="H240" s="151"/>
      <c r="I240" s="151"/>
      <c r="J240" s="364"/>
      <c r="K240" s="364"/>
      <c r="L240" s="476"/>
      <c r="M240" s="409"/>
      <c r="N240" s="348"/>
      <c r="O240" s="364"/>
      <c r="P240" s="517"/>
      <c r="Q240" s="433"/>
      <c r="R240" s="364"/>
      <c r="S240" s="364"/>
      <c r="T240" s="516"/>
      <c r="U240" s="511"/>
      <c r="V240" s="54"/>
    </row>
    <row r="241" spans="1:22">
      <c r="A241" s="162"/>
      <c r="B241" s="343"/>
      <c r="C241" s="151"/>
      <c r="D241" s="151"/>
      <c r="E241" s="151"/>
      <c r="F241" s="151"/>
      <c r="G241" s="151"/>
      <c r="H241" s="151"/>
      <c r="I241" s="151"/>
      <c r="J241" s="364"/>
      <c r="K241" s="364"/>
      <c r="L241" s="476"/>
      <c r="M241" s="409"/>
      <c r="N241" s="348"/>
      <c r="O241" s="364"/>
      <c r="P241" s="517"/>
      <c r="Q241" s="364"/>
      <c r="R241" s="364"/>
      <c r="S241" s="364"/>
      <c r="T241" s="516"/>
      <c r="U241" s="511"/>
      <c r="V241" s="54"/>
    </row>
    <row r="242" spans="1:22">
      <c r="A242" s="162"/>
      <c r="B242" s="343"/>
      <c r="C242" s="151"/>
      <c r="D242" s="151"/>
      <c r="E242" s="151"/>
      <c r="F242" s="151"/>
      <c r="G242" s="151"/>
      <c r="H242" s="151"/>
      <c r="I242" s="151"/>
      <c r="J242" s="364"/>
      <c r="K242" s="364"/>
      <c r="L242" s="476"/>
      <c r="M242" s="409"/>
      <c r="N242" s="348"/>
      <c r="O242" s="364"/>
      <c r="P242" s="517"/>
      <c r="Q242" s="364"/>
      <c r="R242" s="364"/>
      <c r="S242" s="364"/>
      <c r="T242" s="516"/>
      <c r="U242" s="511"/>
      <c r="V242" s="54"/>
    </row>
    <row r="243" spans="1:22">
      <c r="A243" s="162"/>
      <c r="B243" s="343"/>
      <c r="C243" s="151"/>
      <c r="D243" s="151"/>
      <c r="E243" s="151"/>
      <c r="F243" s="151"/>
      <c r="G243" s="151"/>
      <c r="H243" s="151"/>
      <c r="I243" s="151"/>
      <c r="J243" s="364"/>
      <c r="K243" s="364"/>
      <c r="L243" s="476"/>
      <c r="M243" s="409"/>
      <c r="N243" s="348"/>
      <c r="O243" s="364"/>
      <c r="P243" s="517"/>
      <c r="Q243" s="364"/>
      <c r="R243" s="364"/>
      <c r="S243" s="364"/>
      <c r="T243" s="516"/>
      <c r="U243" s="511"/>
      <c r="V243" s="54"/>
    </row>
    <row r="244" spans="1:22">
      <c r="A244" s="162"/>
      <c r="B244" s="343"/>
      <c r="C244" s="151"/>
      <c r="D244" s="151"/>
      <c r="E244" s="151"/>
      <c r="F244" s="151"/>
      <c r="G244" s="151"/>
      <c r="H244" s="151"/>
      <c r="I244" s="151"/>
      <c r="J244" s="364"/>
      <c r="K244" s="364"/>
      <c r="L244" s="476"/>
      <c r="M244" s="409"/>
      <c r="N244" s="348"/>
      <c r="O244" s="364"/>
      <c r="P244" s="517"/>
      <c r="Q244" s="364"/>
      <c r="R244" s="364"/>
      <c r="S244" s="364"/>
      <c r="T244" s="516"/>
      <c r="U244" s="511"/>
      <c r="V244" s="54"/>
    </row>
    <row r="245" spans="1:22">
      <c r="A245" s="162"/>
      <c r="B245" s="343"/>
      <c r="C245" s="151"/>
      <c r="D245" s="151"/>
      <c r="E245" s="151"/>
      <c r="F245" s="151"/>
      <c r="G245" s="151"/>
      <c r="H245" s="151"/>
      <c r="I245" s="151"/>
      <c r="J245" s="364"/>
      <c r="K245" s="364"/>
      <c r="L245" s="476"/>
      <c r="M245" s="409"/>
      <c r="N245" s="348"/>
      <c r="O245" s="364"/>
      <c r="P245" s="517"/>
      <c r="Q245" s="364"/>
      <c r="R245" s="364"/>
      <c r="S245" s="364"/>
      <c r="T245" s="516"/>
      <c r="U245" s="511"/>
      <c r="V245" s="54"/>
    </row>
    <row r="246" spans="1:22">
      <c r="A246" s="162"/>
      <c r="B246" s="343"/>
      <c r="C246" s="151"/>
      <c r="D246" s="151"/>
      <c r="E246" s="151"/>
      <c r="F246" s="151"/>
      <c r="G246" s="151"/>
      <c r="H246" s="151"/>
      <c r="I246" s="151"/>
      <c r="J246" s="364"/>
      <c r="K246" s="364"/>
      <c r="L246" s="476"/>
      <c r="M246" s="409"/>
      <c r="N246" s="348"/>
      <c r="O246" s="364"/>
      <c r="P246" s="517"/>
      <c r="Q246" s="364"/>
      <c r="R246" s="364"/>
      <c r="S246" s="364"/>
      <c r="T246" s="516"/>
      <c r="U246" s="511"/>
      <c r="V246" s="54"/>
    </row>
    <row r="247" spans="1:22">
      <c r="A247" s="162"/>
      <c r="B247" s="343"/>
      <c r="C247" s="151"/>
      <c r="D247" s="151"/>
      <c r="E247" s="151"/>
      <c r="F247" s="151"/>
      <c r="G247" s="151"/>
      <c r="H247" s="151"/>
      <c r="I247" s="151"/>
      <c r="J247" s="364"/>
      <c r="K247" s="364"/>
      <c r="L247" s="476"/>
      <c r="M247" s="409"/>
      <c r="N247" s="348"/>
      <c r="O247" s="364"/>
      <c r="P247" s="517"/>
      <c r="Q247" s="364"/>
      <c r="R247" s="364"/>
      <c r="S247" s="364"/>
      <c r="T247" s="516"/>
      <c r="U247" s="511"/>
      <c r="V247" s="54"/>
    </row>
    <row r="248" spans="1:22">
      <c r="A248" s="162"/>
      <c r="B248" s="343"/>
      <c r="C248" s="151"/>
      <c r="D248" s="151"/>
      <c r="E248" s="151"/>
      <c r="F248" s="151"/>
      <c r="G248" s="151"/>
      <c r="H248" s="151"/>
      <c r="I248" s="151"/>
      <c r="J248" s="364"/>
      <c r="K248" s="364"/>
      <c r="L248" s="476"/>
      <c r="M248" s="409"/>
      <c r="N248" s="348"/>
      <c r="O248" s="364"/>
      <c r="P248" s="517"/>
      <c r="Q248" s="364"/>
      <c r="R248" s="364"/>
      <c r="S248" s="364"/>
      <c r="T248" s="516"/>
      <c r="U248" s="511"/>
      <c r="V248" s="54"/>
    </row>
    <row r="249" spans="1:22">
      <c r="A249" s="162"/>
      <c r="B249" s="343"/>
      <c r="C249" s="151"/>
      <c r="D249" s="151"/>
      <c r="E249" s="151"/>
      <c r="F249" s="151"/>
      <c r="G249" s="151"/>
      <c r="H249" s="151"/>
      <c r="I249" s="151"/>
      <c r="J249" s="364"/>
      <c r="K249" s="364"/>
      <c r="L249" s="476"/>
      <c r="M249" s="409"/>
      <c r="N249" s="348"/>
      <c r="O249" s="364"/>
      <c r="P249" s="517"/>
      <c r="Q249" s="364"/>
      <c r="R249" s="364"/>
      <c r="S249" s="364"/>
      <c r="T249" s="516"/>
      <c r="U249" s="511"/>
      <c r="V249" s="54"/>
    </row>
    <row r="250" spans="1:22">
      <c r="A250" s="162"/>
      <c r="B250" s="343"/>
      <c r="C250" s="151"/>
      <c r="D250" s="151"/>
      <c r="E250" s="151"/>
      <c r="F250" s="151"/>
      <c r="G250" s="151"/>
      <c r="H250" s="151"/>
      <c r="I250" s="151"/>
      <c r="J250" s="364"/>
      <c r="K250" s="364"/>
      <c r="L250" s="476"/>
      <c r="M250" s="409"/>
      <c r="N250" s="348"/>
      <c r="O250" s="364"/>
      <c r="P250" s="517"/>
      <c r="Q250" s="364"/>
      <c r="R250" s="364"/>
      <c r="S250" s="364"/>
      <c r="T250" s="516"/>
      <c r="U250" s="511"/>
      <c r="V250" s="54"/>
    </row>
    <row r="251" spans="1:22">
      <c r="A251" s="162"/>
      <c r="B251" s="343"/>
      <c r="C251" s="151"/>
      <c r="D251" s="151"/>
      <c r="E251" s="151"/>
      <c r="F251" s="151"/>
      <c r="G251" s="151"/>
      <c r="H251" s="151"/>
      <c r="I251" s="151"/>
      <c r="J251" s="364"/>
      <c r="K251" s="364"/>
      <c r="L251" s="476"/>
      <c r="M251" s="409"/>
      <c r="N251" s="348"/>
      <c r="O251" s="364"/>
      <c r="P251" s="517"/>
      <c r="Q251" s="364"/>
      <c r="R251" s="364"/>
      <c r="S251" s="364"/>
      <c r="T251" s="516"/>
      <c r="U251" s="511"/>
      <c r="V251" s="54"/>
    </row>
    <row r="252" spans="1:22">
      <c r="A252" s="162"/>
      <c r="B252" s="343"/>
      <c r="C252" s="151"/>
      <c r="D252" s="151"/>
      <c r="E252" s="151"/>
      <c r="F252" s="151"/>
      <c r="G252" s="151"/>
      <c r="H252" s="151"/>
      <c r="I252" s="151"/>
      <c r="J252" s="364"/>
      <c r="K252" s="364"/>
      <c r="L252" s="476"/>
      <c r="M252" s="409"/>
      <c r="N252" s="348"/>
      <c r="O252" s="364"/>
      <c r="P252" s="517"/>
      <c r="Q252" s="364"/>
      <c r="R252" s="364"/>
      <c r="S252" s="364"/>
      <c r="T252" s="516"/>
      <c r="U252" s="511"/>
      <c r="V252" s="54"/>
    </row>
    <row r="253" spans="1:22">
      <c r="A253" s="162"/>
      <c r="B253" s="343"/>
      <c r="C253" s="151"/>
      <c r="D253" s="151"/>
      <c r="E253" s="151"/>
      <c r="F253" s="151"/>
      <c r="G253" s="151"/>
      <c r="H253" s="151"/>
      <c r="I253" s="151"/>
      <c r="J253" s="364"/>
      <c r="K253" s="364"/>
      <c r="L253" s="476"/>
      <c r="M253" s="409"/>
      <c r="N253" s="348"/>
      <c r="O253" s="364"/>
      <c r="P253" s="517"/>
      <c r="Q253" s="364"/>
      <c r="R253" s="364"/>
      <c r="S253" s="364"/>
      <c r="T253" s="516"/>
      <c r="U253" s="511"/>
      <c r="V253" s="54"/>
    </row>
    <row r="254" spans="1:22">
      <c r="A254" s="162"/>
      <c r="B254" s="343"/>
      <c r="C254" s="151"/>
      <c r="D254" s="151"/>
      <c r="E254" s="151"/>
      <c r="F254" s="151"/>
      <c r="G254" s="151"/>
      <c r="H254" s="151"/>
      <c r="I254" s="151"/>
      <c r="J254" s="364"/>
      <c r="K254" s="364"/>
      <c r="L254" s="476"/>
      <c r="M254" s="409"/>
      <c r="N254" s="348"/>
      <c r="O254" s="364"/>
      <c r="P254" s="517"/>
      <c r="Q254" s="364"/>
      <c r="R254" s="364"/>
      <c r="S254" s="364"/>
      <c r="T254" s="516"/>
      <c r="U254" s="511"/>
      <c r="V254" s="54"/>
    </row>
    <row r="255" spans="1:22">
      <c r="A255" s="162"/>
      <c r="B255" s="343"/>
      <c r="C255" s="151"/>
      <c r="D255" s="151"/>
      <c r="E255" s="151"/>
      <c r="F255" s="151"/>
      <c r="G255" s="151"/>
      <c r="H255" s="151"/>
      <c r="I255" s="151"/>
      <c r="J255" s="364"/>
      <c r="K255" s="364"/>
      <c r="L255" s="476"/>
      <c r="M255" s="409"/>
      <c r="N255" s="348"/>
      <c r="O255" s="364"/>
      <c r="P255" s="517"/>
      <c r="Q255" s="364"/>
      <c r="R255" s="364"/>
      <c r="S255" s="364"/>
      <c r="T255" s="516"/>
      <c r="U255" s="511"/>
      <c r="V255" s="54"/>
    </row>
    <row r="256" spans="1:22">
      <c r="A256" s="162"/>
      <c r="B256" s="343"/>
      <c r="C256" s="151"/>
      <c r="D256" s="151"/>
      <c r="E256" s="151"/>
      <c r="F256" s="151"/>
      <c r="G256" s="151"/>
      <c r="H256" s="151"/>
      <c r="I256" s="151"/>
      <c r="J256" s="364"/>
      <c r="K256" s="364"/>
      <c r="L256" s="476"/>
      <c r="M256" s="409"/>
      <c r="N256" s="348"/>
      <c r="O256" s="364"/>
      <c r="P256" s="517"/>
      <c r="Q256" s="364"/>
      <c r="R256" s="364"/>
      <c r="S256" s="364"/>
      <c r="T256" s="516"/>
      <c r="U256" s="511"/>
      <c r="V256" s="54"/>
    </row>
    <row r="257" spans="1:22">
      <c r="A257" s="162"/>
      <c r="B257" s="343"/>
      <c r="C257" s="151"/>
      <c r="D257" s="151"/>
      <c r="E257" s="151"/>
      <c r="F257" s="151"/>
      <c r="G257" s="151"/>
      <c r="H257" s="151"/>
      <c r="I257" s="151"/>
      <c r="J257" s="364"/>
      <c r="K257" s="364"/>
      <c r="L257" s="476"/>
      <c r="M257" s="409"/>
      <c r="N257" s="348"/>
      <c r="O257" s="364"/>
      <c r="P257" s="517"/>
      <c r="Q257" s="364"/>
      <c r="R257" s="364"/>
      <c r="S257" s="364"/>
      <c r="T257" s="516"/>
      <c r="U257" s="511"/>
      <c r="V257" s="54"/>
    </row>
    <row r="258" spans="1:22">
      <c r="A258" s="162"/>
      <c r="B258" s="343"/>
      <c r="C258" s="151"/>
      <c r="D258" s="151"/>
      <c r="E258" s="151"/>
      <c r="F258" s="151"/>
      <c r="G258" s="151"/>
      <c r="H258" s="151"/>
      <c r="I258" s="151"/>
      <c r="J258" s="364"/>
      <c r="K258" s="364"/>
      <c r="L258" s="476"/>
      <c r="M258" s="409"/>
      <c r="N258" s="348"/>
      <c r="O258" s="364"/>
      <c r="P258" s="517"/>
      <c r="Q258" s="364"/>
      <c r="R258" s="364"/>
      <c r="S258" s="364"/>
      <c r="T258" s="516"/>
      <c r="U258" s="511"/>
      <c r="V258" s="54"/>
    </row>
    <row r="259" spans="1:22">
      <c r="A259" s="162"/>
      <c r="B259" s="343"/>
      <c r="C259" s="151"/>
      <c r="D259" s="151"/>
      <c r="E259" s="151"/>
      <c r="F259" s="151"/>
      <c r="G259" s="151"/>
      <c r="H259" s="151"/>
      <c r="I259" s="151"/>
      <c r="J259" s="364"/>
      <c r="K259" s="364"/>
      <c r="L259" s="476"/>
      <c r="M259" s="409"/>
      <c r="N259" s="348"/>
      <c r="O259" s="364"/>
      <c r="P259" s="517"/>
      <c r="Q259" s="364"/>
      <c r="R259" s="364"/>
      <c r="S259" s="364"/>
      <c r="T259" s="516"/>
      <c r="U259" s="511"/>
      <c r="V259" s="54"/>
    </row>
    <row r="260" spans="1:22">
      <c r="A260" s="162"/>
      <c r="B260" s="343"/>
      <c r="C260" s="151"/>
      <c r="D260" s="151"/>
      <c r="E260" s="151"/>
      <c r="F260" s="151"/>
      <c r="G260" s="151"/>
      <c r="H260" s="151"/>
      <c r="I260" s="151"/>
      <c r="J260" s="364"/>
      <c r="K260" s="364"/>
      <c r="L260" s="476"/>
      <c r="M260" s="409"/>
      <c r="N260" s="348"/>
      <c r="O260" s="364"/>
      <c r="P260" s="517"/>
      <c r="Q260" s="364"/>
      <c r="R260" s="364"/>
      <c r="S260" s="364"/>
      <c r="T260" s="516"/>
      <c r="U260" s="511"/>
      <c r="V260" s="54"/>
    </row>
    <row r="261" spans="1:22">
      <c r="A261" s="162"/>
      <c r="B261" s="343"/>
      <c r="C261" s="151"/>
      <c r="D261" s="151"/>
      <c r="E261" s="151"/>
      <c r="F261" s="151"/>
      <c r="G261" s="151"/>
      <c r="H261" s="151"/>
      <c r="I261" s="151"/>
      <c r="J261" s="364"/>
      <c r="K261" s="364"/>
      <c r="L261" s="476"/>
      <c r="M261" s="409"/>
      <c r="N261" s="348"/>
      <c r="O261" s="364"/>
      <c r="P261" s="517"/>
      <c r="Q261" s="364"/>
      <c r="R261" s="364"/>
      <c r="S261" s="364"/>
      <c r="T261" s="516"/>
      <c r="U261" s="511"/>
      <c r="V261" s="54"/>
    </row>
    <row r="262" spans="1:22">
      <c r="A262" s="162"/>
      <c r="B262" s="343"/>
      <c r="C262" s="151"/>
      <c r="D262" s="151"/>
      <c r="E262" s="151"/>
      <c r="F262" s="151"/>
      <c r="G262" s="151"/>
      <c r="H262" s="151"/>
      <c r="I262" s="151"/>
      <c r="J262" s="364"/>
      <c r="K262" s="364"/>
      <c r="L262" s="476"/>
      <c r="M262" s="409"/>
      <c r="N262" s="348"/>
      <c r="O262" s="364"/>
      <c r="P262" s="517"/>
      <c r="Q262" s="364"/>
      <c r="R262" s="364"/>
      <c r="S262" s="364"/>
      <c r="T262" s="516"/>
      <c r="U262" s="511"/>
      <c r="V262" s="54"/>
    </row>
    <row r="263" spans="1:22">
      <c r="A263" s="162"/>
      <c r="B263" s="343"/>
      <c r="C263" s="151"/>
      <c r="D263" s="151"/>
      <c r="E263" s="151"/>
      <c r="F263" s="151"/>
      <c r="G263" s="151"/>
      <c r="H263" s="151"/>
      <c r="I263" s="151"/>
      <c r="J263" s="364"/>
      <c r="K263" s="364"/>
      <c r="L263" s="476"/>
      <c r="M263" s="409"/>
      <c r="N263" s="348"/>
      <c r="O263" s="364"/>
      <c r="P263" s="517"/>
      <c r="Q263" s="364"/>
      <c r="R263" s="364"/>
      <c r="S263" s="364"/>
      <c r="T263" s="516"/>
      <c r="U263" s="511"/>
      <c r="V263" s="54"/>
    </row>
    <row r="264" spans="1:22">
      <c r="A264" s="162"/>
      <c r="B264" s="343"/>
      <c r="C264" s="151"/>
      <c r="D264" s="151"/>
      <c r="E264" s="151"/>
      <c r="F264" s="151"/>
      <c r="G264" s="151"/>
      <c r="H264" s="151"/>
      <c r="I264" s="151"/>
      <c r="J264" s="364"/>
      <c r="K264" s="364"/>
      <c r="L264" s="476"/>
      <c r="M264" s="409"/>
      <c r="N264" s="348"/>
      <c r="O264" s="364"/>
      <c r="P264" s="517"/>
      <c r="Q264" s="364"/>
      <c r="R264" s="364"/>
      <c r="S264" s="364"/>
      <c r="T264" s="516"/>
      <c r="U264" s="511"/>
      <c r="V264" s="54"/>
    </row>
    <row r="265" spans="1:22">
      <c r="A265" s="162"/>
      <c r="B265" s="343"/>
      <c r="C265" s="151"/>
      <c r="D265" s="151"/>
      <c r="E265" s="151"/>
      <c r="F265" s="151"/>
      <c r="G265" s="151"/>
      <c r="H265" s="151"/>
      <c r="I265" s="151"/>
      <c r="J265" s="364"/>
      <c r="K265" s="364"/>
      <c r="L265" s="476"/>
      <c r="M265" s="409"/>
      <c r="N265" s="348"/>
      <c r="O265" s="364"/>
      <c r="P265" s="517"/>
      <c r="Q265" s="364"/>
      <c r="R265" s="364"/>
      <c r="S265" s="364"/>
      <c r="T265" s="516"/>
      <c r="U265" s="511"/>
      <c r="V265" s="54"/>
    </row>
    <row r="266" spans="1:22">
      <c r="A266" s="162"/>
      <c r="B266" s="343"/>
      <c r="C266" s="151"/>
      <c r="D266" s="151"/>
      <c r="E266" s="151"/>
      <c r="F266" s="151"/>
      <c r="G266" s="151"/>
      <c r="H266" s="151"/>
      <c r="I266" s="151"/>
      <c r="J266" s="364"/>
      <c r="K266" s="364"/>
      <c r="L266" s="476"/>
      <c r="M266" s="409"/>
      <c r="N266" s="348"/>
      <c r="O266" s="364"/>
      <c r="P266" s="517"/>
      <c r="Q266" s="364"/>
      <c r="R266" s="364"/>
      <c r="S266" s="364"/>
      <c r="T266" s="516"/>
      <c r="U266" s="511"/>
      <c r="V266" s="54"/>
    </row>
    <row r="267" spans="1:22">
      <c r="A267" s="162"/>
      <c r="B267" s="343"/>
      <c r="C267" s="151"/>
      <c r="D267" s="151"/>
      <c r="E267" s="151"/>
      <c r="F267" s="151"/>
      <c r="G267" s="151"/>
      <c r="H267" s="151"/>
      <c r="I267" s="151"/>
      <c r="J267" s="364"/>
      <c r="K267" s="364"/>
      <c r="L267" s="476"/>
      <c r="M267" s="409"/>
      <c r="N267" s="348"/>
      <c r="O267" s="364"/>
      <c r="P267" s="517"/>
      <c r="Q267" s="364"/>
      <c r="R267" s="364"/>
      <c r="S267" s="364"/>
      <c r="T267" s="516"/>
      <c r="U267" s="511"/>
      <c r="V267" s="54"/>
    </row>
    <row r="268" spans="1:22">
      <c r="A268" s="162"/>
      <c r="B268" s="132"/>
      <c r="C268" s="53"/>
      <c r="D268" s="53"/>
      <c r="E268" s="53"/>
      <c r="F268" s="53"/>
      <c r="G268" s="66"/>
      <c r="H268" s="53"/>
      <c r="I268" s="53"/>
      <c r="J268" s="75"/>
      <c r="K268" s="54"/>
      <c r="L268" s="55"/>
      <c r="M268" s="56"/>
      <c r="N268" s="57"/>
      <c r="O268" s="75"/>
      <c r="P268" s="191"/>
      <c r="Q268" s="75"/>
      <c r="R268" s="54"/>
      <c r="S268" s="75"/>
      <c r="T268" s="495"/>
      <c r="U268" s="511"/>
      <c r="V268" s="54"/>
    </row>
    <row r="269" spans="1:22">
      <c r="A269" s="162"/>
      <c r="C269" s="314"/>
      <c r="G269" s="167"/>
      <c r="J269" s="314"/>
      <c r="K269" s="54"/>
      <c r="L269" s="55"/>
      <c r="M269" s="56"/>
      <c r="N269" s="57"/>
      <c r="O269" s="75"/>
      <c r="P269" s="191"/>
      <c r="R269" s="314"/>
      <c r="T269" s="498"/>
      <c r="U269" s="521"/>
    </row>
    <row r="270" spans="1:22">
      <c r="A270" s="162"/>
      <c r="C270" s="314"/>
      <c r="G270" s="167"/>
      <c r="J270" s="314"/>
      <c r="K270" s="54"/>
      <c r="L270" s="55"/>
      <c r="M270" s="56"/>
      <c r="N270" s="57"/>
      <c r="O270" s="75"/>
      <c r="P270" s="191"/>
      <c r="R270" s="314"/>
      <c r="T270" s="498"/>
      <c r="U270" s="521"/>
    </row>
    <row r="271" spans="1:22">
      <c r="C271" s="314"/>
      <c r="G271" s="167"/>
      <c r="J271" s="314"/>
      <c r="K271" s="54"/>
      <c r="L271" s="55"/>
      <c r="M271" s="56"/>
      <c r="N271" s="57"/>
      <c r="O271" s="75"/>
      <c r="P271" s="191"/>
      <c r="R271" s="314"/>
      <c r="T271" s="498"/>
      <c r="U271" s="521"/>
    </row>
    <row r="272" spans="1:22">
      <c r="C272" s="314"/>
      <c r="G272" s="167"/>
      <c r="J272" s="314"/>
      <c r="K272" s="54"/>
      <c r="L272" s="55"/>
      <c r="M272" s="56"/>
      <c r="N272" s="57"/>
      <c r="O272" s="75"/>
      <c r="P272" s="191"/>
      <c r="R272" s="314"/>
      <c r="T272" s="498"/>
      <c r="U272" s="521"/>
    </row>
    <row r="273" spans="3:21">
      <c r="C273" s="314"/>
      <c r="G273" s="167"/>
      <c r="J273" s="314"/>
      <c r="K273" s="54"/>
      <c r="L273" s="55"/>
      <c r="M273" s="56"/>
      <c r="N273" s="57"/>
      <c r="O273" s="75"/>
      <c r="P273" s="191"/>
      <c r="R273" s="314"/>
      <c r="T273" s="498"/>
      <c r="U273" s="521"/>
    </row>
    <row r="274" spans="3:21">
      <c r="C274" s="314"/>
      <c r="G274" s="167"/>
      <c r="J274" s="314"/>
      <c r="K274" s="54"/>
      <c r="L274" s="55"/>
      <c r="M274" s="56"/>
      <c r="N274" s="57"/>
      <c r="O274" s="75"/>
      <c r="P274" s="191"/>
      <c r="R274" s="314"/>
      <c r="T274" s="498"/>
      <c r="U274" s="521"/>
    </row>
    <row r="275" spans="3:21">
      <c r="C275" s="314"/>
      <c r="G275" s="167"/>
      <c r="J275" s="314"/>
      <c r="K275" s="54"/>
      <c r="L275" s="55"/>
      <c r="M275" s="56"/>
      <c r="N275" s="57"/>
      <c r="O275" s="75"/>
      <c r="P275" s="191"/>
      <c r="R275" s="314"/>
      <c r="T275" s="498"/>
      <c r="U275" s="521"/>
    </row>
    <row r="276" spans="3:21">
      <c r="C276" s="314"/>
      <c r="G276" s="167"/>
      <c r="J276" s="314"/>
      <c r="K276" s="54"/>
      <c r="L276" s="55"/>
      <c r="M276" s="56"/>
      <c r="N276" s="57"/>
      <c r="O276" s="75"/>
      <c r="P276" s="191"/>
      <c r="R276" s="314"/>
      <c r="T276" s="498"/>
      <c r="U276" s="521"/>
    </row>
    <row r="277" spans="3:21">
      <c r="C277" s="314"/>
      <c r="G277" s="167"/>
      <c r="J277" s="314"/>
      <c r="K277" s="54"/>
      <c r="L277" s="55"/>
      <c r="M277" s="56"/>
      <c r="N277" s="57"/>
      <c r="O277" s="75"/>
      <c r="P277" s="191"/>
      <c r="R277" s="314"/>
      <c r="T277" s="498"/>
      <c r="U277" s="521"/>
    </row>
    <row r="278" spans="3:21">
      <c r="C278" s="314"/>
      <c r="G278" s="167"/>
      <c r="J278" s="314"/>
      <c r="K278" s="54"/>
      <c r="L278" s="55"/>
      <c r="M278" s="56"/>
      <c r="N278" s="57"/>
      <c r="O278" s="75"/>
      <c r="P278" s="191"/>
      <c r="R278" s="314"/>
      <c r="T278" s="498"/>
      <c r="U278" s="521"/>
    </row>
    <row r="279" spans="3:21">
      <c r="C279" s="314"/>
      <c r="G279" s="167"/>
      <c r="J279" s="314"/>
      <c r="K279" s="54"/>
      <c r="L279" s="55"/>
      <c r="M279" s="56"/>
      <c r="N279" s="57"/>
      <c r="O279" s="75"/>
      <c r="P279" s="191"/>
      <c r="R279" s="314"/>
      <c r="T279" s="498"/>
      <c r="U279" s="521"/>
    </row>
    <row r="280" spans="3:21">
      <c r="C280" s="314"/>
      <c r="G280" s="167"/>
      <c r="J280" s="314"/>
      <c r="K280" s="54"/>
      <c r="L280" s="55"/>
      <c r="M280" s="56"/>
      <c r="N280" s="57"/>
      <c r="O280" s="75"/>
      <c r="P280" s="191"/>
      <c r="R280" s="314"/>
      <c r="T280" s="498"/>
      <c r="U280" s="521"/>
    </row>
    <row r="281" spans="3:21">
      <c r="C281" s="314"/>
      <c r="G281" s="167"/>
      <c r="J281" s="314"/>
      <c r="K281" s="314"/>
      <c r="M281" s="350"/>
      <c r="O281" s="225"/>
      <c r="R281" s="314"/>
      <c r="T281" s="498"/>
      <c r="U281" s="521"/>
    </row>
    <row r="282" spans="3:21">
      <c r="C282" s="314"/>
      <c r="G282" s="167"/>
      <c r="J282" s="314"/>
      <c r="K282" s="314"/>
      <c r="M282" s="350"/>
      <c r="O282" s="225"/>
      <c r="R282" s="314"/>
      <c r="T282" s="498"/>
      <c r="U282" s="521"/>
    </row>
    <row r="283" spans="3:21">
      <c r="C283" s="314"/>
      <c r="G283" s="167"/>
      <c r="J283" s="314"/>
      <c r="K283" s="314"/>
      <c r="M283" s="350"/>
      <c r="O283" s="225"/>
      <c r="R283" s="314"/>
      <c r="T283" s="498"/>
      <c r="U283" s="521"/>
    </row>
    <row r="284" spans="3:21">
      <c r="C284" s="314"/>
      <c r="G284" s="167"/>
      <c r="J284" s="314"/>
      <c r="K284" s="314"/>
      <c r="M284" s="350"/>
      <c r="O284" s="225"/>
      <c r="R284" s="314"/>
      <c r="T284" s="498"/>
      <c r="U284" s="521"/>
    </row>
    <row r="285" spans="3:21">
      <c r="C285" s="314"/>
      <c r="G285" s="167"/>
      <c r="J285" s="314"/>
      <c r="K285" s="314"/>
      <c r="M285" s="350"/>
      <c r="O285" s="225"/>
      <c r="R285" s="314"/>
      <c r="T285" s="498"/>
      <c r="U285" s="521"/>
    </row>
    <row r="286" spans="3:21">
      <c r="C286" s="314"/>
      <c r="G286" s="167"/>
      <c r="J286" s="314"/>
      <c r="K286" s="314"/>
      <c r="M286" s="350"/>
      <c r="O286" s="225"/>
      <c r="R286" s="314"/>
      <c r="T286" s="498"/>
      <c r="U286" s="521"/>
    </row>
    <row r="287" spans="3:21">
      <c r="C287" s="314"/>
      <c r="G287" s="167"/>
      <c r="J287" s="314"/>
      <c r="K287" s="314"/>
      <c r="M287" s="350"/>
      <c r="O287" s="225"/>
      <c r="R287" s="314"/>
      <c r="T287" s="498"/>
      <c r="U287" s="521"/>
    </row>
    <row r="288" spans="3:21">
      <c r="C288" s="314"/>
      <c r="G288" s="167"/>
      <c r="J288" s="314"/>
      <c r="K288" s="314"/>
      <c r="M288" s="350"/>
      <c r="O288" s="225"/>
      <c r="R288" s="314"/>
      <c r="T288" s="498"/>
      <c r="U288" s="521"/>
    </row>
    <row r="289" spans="3:21">
      <c r="C289" s="314"/>
      <c r="G289" s="167"/>
      <c r="J289" s="314"/>
      <c r="K289" s="314"/>
      <c r="M289" s="350"/>
      <c r="O289" s="225"/>
      <c r="R289" s="314"/>
      <c r="T289" s="498"/>
      <c r="U289" s="521"/>
    </row>
    <row r="290" spans="3:21">
      <c r="C290" s="314"/>
      <c r="G290" s="167"/>
      <c r="J290" s="314"/>
      <c r="K290" s="314"/>
      <c r="M290" s="350"/>
      <c r="O290" s="225"/>
      <c r="R290" s="314"/>
      <c r="T290" s="498"/>
      <c r="U290" s="521"/>
    </row>
    <row r="291" spans="3:21">
      <c r="C291" s="314"/>
      <c r="G291" s="167"/>
      <c r="J291" s="314"/>
      <c r="K291" s="314"/>
      <c r="M291" s="350"/>
      <c r="O291" s="225"/>
      <c r="R291" s="314"/>
      <c r="T291" s="498"/>
      <c r="U291" s="521"/>
    </row>
    <row r="292" spans="3:21">
      <c r="C292" s="314"/>
      <c r="G292" s="167"/>
      <c r="J292" s="314"/>
      <c r="K292" s="314"/>
      <c r="M292" s="350"/>
      <c r="O292" s="225"/>
      <c r="R292" s="314"/>
      <c r="T292" s="498"/>
      <c r="U292" s="521"/>
    </row>
    <row r="293" spans="3:21">
      <c r="C293" s="314"/>
      <c r="G293" s="167"/>
      <c r="J293" s="314"/>
      <c r="K293" s="314"/>
      <c r="M293" s="350"/>
      <c r="O293" s="225"/>
      <c r="R293" s="314"/>
      <c r="T293" s="498"/>
      <c r="U293" s="521"/>
    </row>
    <row r="294" spans="3:21">
      <c r="C294" s="314"/>
      <c r="G294" s="167"/>
      <c r="J294" s="314"/>
      <c r="K294" s="314"/>
      <c r="M294" s="350"/>
      <c r="O294" s="225"/>
      <c r="R294" s="314"/>
      <c r="T294" s="498"/>
      <c r="U294" s="521"/>
    </row>
    <row r="295" spans="3:21">
      <c r="C295" s="314"/>
      <c r="G295" s="167"/>
      <c r="J295" s="314"/>
      <c r="K295" s="314"/>
      <c r="M295" s="350"/>
      <c r="O295" s="225"/>
      <c r="R295" s="314"/>
      <c r="T295" s="498"/>
      <c r="U295" s="521"/>
    </row>
    <row r="296" spans="3:21">
      <c r="C296" s="314"/>
      <c r="G296" s="167"/>
      <c r="J296" s="314"/>
      <c r="K296" s="314"/>
      <c r="M296" s="350"/>
      <c r="O296" s="225"/>
      <c r="R296" s="314"/>
      <c r="T296" s="498"/>
      <c r="U296" s="521"/>
    </row>
    <row r="297" spans="3:21">
      <c r="C297" s="314"/>
      <c r="G297" s="167"/>
      <c r="J297" s="314"/>
      <c r="K297" s="314"/>
      <c r="M297" s="350"/>
      <c r="O297" s="225"/>
      <c r="R297" s="314"/>
      <c r="T297" s="498"/>
      <c r="U297" s="521"/>
    </row>
    <row r="298" spans="3:21">
      <c r="C298" s="314"/>
      <c r="G298" s="167"/>
      <c r="J298" s="314"/>
      <c r="K298" s="314"/>
      <c r="M298" s="350"/>
      <c r="O298" s="225"/>
      <c r="R298" s="314"/>
      <c r="T298" s="498"/>
      <c r="U298" s="521"/>
    </row>
    <row r="299" spans="3:21">
      <c r="C299" s="314"/>
      <c r="G299" s="167"/>
      <c r="J299" s="314"/>
      <c r="K299" s="314"/>
      <c r="M299" s="350"/>
      <c r="O299" s="225"/>
      <c r="R299" s="314"/>
      <c r="T299" s="498"/>
      <c r="U299" s="521"/>
    </row>
    <row r="300" spans="3:21">
      <c r="C300" s="314"/>
      <c r="G300" s="167"/>
      <c r="J300" s="314"/>
      <c r="K300" s="314"/>
      <c r="M300" s="350"/>
      <c r="O300" s="225"/>
      <c r="R300" s="314"/>
      <c r="T300" s="498"/>
      <c r="U300" s="521"/>
    </row>
    <row r="301" spans="3:21">
      <c r="C301" s="314"/>
      <c r="G301" s="167"/>
      <c r="J301" s="314"/>
      <c r="K301" s="314"/>
      <c r="M301" s="350"/>
      <c r="O301" s="225"/>
      <c r="R301" s="314"/>
      <c r="T301" s="498"/>
      <c r="U301" s="521"/>
    </row>
    <row r="302" spans="3:21">
      <c r="C302" s="314"/>
      <c r="G302" s="167"/>
      <c r="J302" s="314"/>
      <c r="K302" s="314"/>
      <c r="M302" s="350"/>
      <c r="O302" s="225"/>
      <c r="R302" s="314"/>
      <c r="T302" s="498"/>
      <c r="U302" s="521"/>
    </row>
    <row r="303" spans="3:21">
      <c r="C303" s="314"/>
      <c r="G303" s="167"/>
      <c r="J303" s="314"/>
      <c r="K303" s="314"/>
      <c r="M303" s="350"/>
      <c r="O303" s="225"/>
      <c r="R303" s="314"/>
      <c r="T303" s="498"/>
      <c r="U303" s="521"/>
    </row>
    <row r="304" spans="3:21">
      <c r="C304" s="314"/>
      <c r="G304" s="167"/>
      <c r="J304" s="314"/>
      <c r="K304" s="314"/>
      <c r="M304" s="350"/>
      <c r="O304" s="225"/>
      <c r="R304" s="314"/>
      <c r="T304" s="498"/>
      <c r="U304" s="521"/>
    </row>
    <row r="305" spans="3:21">
      <c r="C305" s="314"/>
      <c r="G305" s="167"/>
      <c r="J305" s="314"/>
      <c r="K305" s="314"/>
      <c r="M305" s="350"/>
      <c r="O305" s="225"/>
      <c r="R305" s="314"/>
      <c r="T305" s="498"/>
      <c r="U305" s="521"/>
    </row>
    <row r="306" spans="3:21">
      <c r="C306" s="314"/>
      <c r="G306" s="167"/>
      <c r="J306" s="314"/>
      <c r="K306" s="314"/>
      <c r="M306" s="350"/>
      <c r="O306" s="225"/>
      <c r="R306" s="314"/>
      <c r="T306" s="498"/>
      <c r="U306" s="521"/>
    </row>
    <row r="307" spans="3:21">
      <c r="C307" s="314"/>
      <c r="G307" s="167"/>
      <c r="J307" s="314"/>
      <c r="K307" s="314"/>
      <c r="M307" s="350"/>
      <c r="O307" s="225"/>
      <c r="R307" s="314"/>
      <c r="T307" s="498"/>
      <c r="U307" s="521"/>
    </row>
    <row r="308" spans="3:21">
      <c r="C308" s="314"/>
      <c r="G308" s="167"/>
      <c r="J308" s="314"/>
      <c r="K308" s="314"/>
      <c r="M308" s="350"/>
      <c r="O308" s="225"/>
      <c r="R308" s="314"/>
      <c r="T308" s="498"/>
      <c r="U308" s="521"/>
    </row>
    <row r="309" spans="3:21">
      <c r="C309" s="314"/>
      <c r="G309" s="167"/>
      <c r="J309" s="314"/>
      <c r="K309" s="314"/>
      <c r="M309" s="350"/>
      <c r="O309" s="225"/>
      <c r="R309" s="314"/>
      <c r="T309" s="498"/>
      <c r="U309" s="521"/>
    </row>
    <row r="310" spans="3:21">
      <c r="C310" s="314"/>
      <c r="G310" s="167"/>
      <c r="J310" s="314"/>
      <c r="K310" s="314"/>
      <c r="M310" s="350"/>
      <c r="O310" s="225"/>
      <c r="R310" s="314"/>
      <c r="T310" s="498"/>
      <c r="U310" s="521"/>
    </row>
    <row r="311" spans="3:21">
      <c r="C311" s="314"/>
      <c r="G311" s="167"/>
      <c r="J311" s="314"/>
      <c r="K311" s="314"/>
      <c r="M311" s="350"/>
      <c r="O311" s="225"/>
      <c r="R311" s="314"/>
      <c r="T311" s="498"/>
      <c r="U311" s="521"/>
    </row>
    <row r="312" spans="3:21">
      <c r="C312" s="314"/>
      <c r="G312" s="167"/>
      <c r="J312" s="314"/>
      <c r="K312" s="314"/>
      <c r="M312" s="350"/>
      <c r="O312" s="225"/>
      <c r="R312" s="314"/>
      <c r="T312" s="498"/>
      <c r="U312" s="521"/>
    </row>
    <row r="313" spans="3:21">
      <c r="C313" s="314"/>
      <c r="G313" s="167"/>
      <c r="J313" s="314"/>
      <c r="K313" s="314"/>
      <c r="M313" s="350"/>
      <c r="O313" s="225"/>
      <c r="R313" s="314"/>
      <c r="T313" s="498"/>
      <c r="U313" s="521"/>
    </row>
    <row r="314" spans="3:21">
      <c r="C314" s="314"/>
      <c r="G314" s="167"/>
      <c r="J314" s="314"/>
      <c r="K314" s="314"/>
      <c r="M314" s="350"/>
      <c r="O314" s="225"/>
      <c r="R314" s="314"/>
      <c r="T314" s="498"/>
      <c r="U314" s="521"/>
    </row>
    <row r="315" spans="3:21">
      <c r="C315" s="314"/>
      <c r="G315" s="167"/>
      <c r="J315" s="314"/>
      <c r="K315" s="314"/>
      <c r="M315" s="350"/>
      <c r="O315" s="225"/>
      <c r="R315" s="314"/>
      <c r="T315" s="498"/>
      <c r="U315" s="521"/>
    </row>
    <row r="316" spans="3:21">
      <c r="C316" s="314"/>
      <c r="G316" s="167"/>
      <c r="J316" s="314"/>
      <c r="K316" s="314"/>
      <c r="M316" s="350"/>
      <c r="O316" s="225"/>
      <c r="R316" s="314"/>
      <c r="T316" s="498"/>
      <c r="U316" s="521"/>
    </row>
    <row r="317" spans="3:21">
      <c r="C317" s="314"/>
      <c r="G317" s="167"/>
      <c r="J317" s="314"/>
      <c r="K317" s="314"/>
      <c r="M317" s="350"/>
      <c r="O317" s="225"/>
      <c r="R317" s="314"/>
      <c r="T317" s="498"/>
      <c r="U317" s="521"/>
    </row>
    <row r="318" spans="3:21">
      <c r="C318" s="314"/>
      <c r="G318" s="167"/>
      <c r="J318" s="314"/>
      <c r="K318" s="314"/>
      <c r="M318" s="350"/>
      <c r="O318" s="225"/>
      <c r="R318" s="314"/>
      <c r="T318" s="498"/>
      <c r="U318" s="521"/>
    </row>
    <row r="319" spans="3:21">
      <c r="C319" s="314"/>
      <c r="G319" s="167"/>
      <c r="J319" s="314"/>
      <c r="K319" s="314"/>
      <c r="M319" s="350"/>
      <c r="O319" s="225"/>
      <c r="R319" s="314"/>
      <c r="T319" s="498"/>
      <c r="U319" s="521"/>
    </row>
    <row r="320" spans="3:21">
      <c r="C320" s="314"/>
      <c r="G320" s="167"/>
      <c r="J320" s="314"/>
      <c r="K320" s="314"/>
      <c r="M320" s="350"/>
      <c r="O320" s="225"/>
      <c r="R320" s="314"/>
      <c r="T320" s="498"/>
      <c r="U320" s="521"/>
    </row>
    <row r="321" spans="3:21">
      <c r="C321" s="314"/>
      <c r="G321" s="167"/>
      <c r="J321" s="314"/>
      <c r="K321" s="314"/>
      <c r="M321" s="350"/>
      <c r="O321" s="225"/>
      <c r="R321" s="314"/>
      <c r="T321" s="498"/>
      <c r="U321" s="521"/>
    </row>
    <row r="322" spans="3:21">
      <c r="C322" s="314"/>
      <c r="G322" s="167"/>
      <c r="J322" s="314"/>
      <c r="K322" s="314"/>
      <c r="M322" s="350"/>
      <c r="O322" s="225"/>
      <c r="R322" s="314"/>
      <c r="T322" s="498"/>
      <c r="U322" s="521"/>
    </row>
    <row r="323" spans="3:21">
      <c r="C323" s="314"/>
      <c r="G323" s="167"/>
      <c r="J323" s="314"/>
      <c r="K323" s="314"/>
      <c r="M323" s="350"/>
      <c r="O323" s="225"/>
      <c r="R323" s="314"/>
      <c r="T323" s="498"/>
      <c r="U323" s="521"/>
    </row>
    <row r="324" spans="3:21">
      <c r="C324" s="314"/>
      <c r="G324" s="167"/>
      <c r="J324" s="314"/>
      <c r="K324" s="314"/>
      <c r="M324" s="350"/>
      <c r="O324" s="225"/>
      <c r="R324" s="314"/>
      <c r="T324" s="498"/>
      <c r="U324" s="521"/>
    </row>
    <row r="325" spans="3:21">
      <c r="C325" s="314"/>
      <c r="G325" s="167"/>
      <c r="J325" s="314"/>
      <c r="K325" s="314"/>
      <c r="M325" s="350"/>
      <c r="O325" s="225"/>
      <c r="R325" s="314"/>
      <c r="T325" s="498"/>
      <c r="U325" s="521"/>
    </row>
    <row r="326" spans="3:21">
      <c r="C326" s="314"/>
      <c r="G326" s="167"/>
      <c r="J326" s="314"/>
      <c r="K326" s="314"/>
      <c r="M326" s="350"/>
      <c r="O326" s="225"/>
      <c r="R326" s="314"/>
      <c r="T326" s="498"/>
      <c r="U326" s="521"/>
    </row>
    <row r="327" spans="3:21">
      <c r="C327" s="314"/>
      <c r="G327" s="167"/>
      <c r="J327" s="314"/>
      <c r="K327" s="314"/>
      <c r="M327" s="350"/>
      <c r="O327" s="225"/>
      <c r="R327" s="314"/>
      <c r="T327" s="498"/>
      <c r="U327" s="521"/>
    </row>
    <row r="328" spans="3:21">
      <c r="C328" s="314"/>
      <c r="G328" s="167"/>
      <c r="J328" s="314"/>
      <c r="K328" s="314"/>
      <c r="M328" s="350"/>
      <c r="O328" s="225"/>
      <c r="R328" s="314"/>
      <c r="T328" s="498"/>
      <c r="U328" s="521"/>
    </row>
    <row r="329" spans="3:21">
      <c r="C329" s="314"/>
      <c r="G329" s="167"/>
      <c r="J329" s="314"/>
      <c r="K329" s="314"/>
      <c r="M329" s="350"/>
      <c r="O329" s="225"/>
      <c r="R329" s="314"/>
      <c r="T329" s="498"/>
      <c r="U329" s="521"/>
    </row>
    <row r="330" spans="3:21">
      <c r="C330" s="314"/>
      <c r="G330" s="167"/>
      <c r="J330" s="314"/>
      <c r="K330" s="314"/>
      <c r="M330" s="350"/>
      <c r="O330" s="225"/>
      <c r="R330" s="314"/>
      <c r="T330" s="498"/>
      <c r="U330" s="521"/>
    </row>
    <row r="331" spans="3:21">
      <c r="C331" s="314"/>
      <c r="G331" s="167"/>
      <c r="J331" s="314"/>
      <c r="K331" s="314"/>
      <c r="M331" s="350"/>
      <c r="O331" s="225"/>
      <c r="R331" s="314"/>
      <c r="T331" s="498"/>
      <c r="U331" s="521"/>
    </row>
    <row r="332" spans="3:21">
      <c r="C332" s="314"/>
      <c r="G332" s="167"/>
      <c r="J332" s="314"/>
      <c r="K332" s="314"/>
      <c r="M332" s="350"/>
      <c r="O332" s="225"/>
      <c r="R332" s="314"/>
      <c r="T332" s="498"/>
      <c r="U332" s="521"/>
    </row>
    <row r="333" spans="3:21">
      <c r="C333" s="314"/>
      <c r="G333" s="167"/>
      <c r="J333" s="314"/>
      <c r="K333" s="314"/>
      <c r="M333" s="350"/>
      <c r="O333" s="225"/>
      <c r="R333" s="314"/>
      <c r="T333" s="498"/>
      <c r="U333" s="521"/>
    </row>
    <row r="334" spans="3:21">
      <c r="C334" s="314"/>
      <c r="G334" s="167"/>
      <c r="J334" s="314"/>
      <c r="K334" s="314"/>
      <c r="M334" s="350"/>
      <c r="O334" s="225"/>
      <c r="R334" s="314"/>
      <c r="T334" s="498"/>
      <c r="U334" s="521"/>
    </row>
    <row r="335" spans="3:21">
      <c r="C335" s="314"/>
      <c r="G335" s="167"/>
      <c r="J335" s="314"/>
      <c r="K335" s="314"/>
      <c r="M335" s="350"/>
      <c r="O335" s="225"/>
      <c r="R335" s="314"/>
      <c r="T335" s="498"/>
      <c r="U335" s="521"/>
    </row>
    <row r="336" spans="3:21">
      <c r="C336" s="314"/>
      <c r="G336" s="167"/>
      <c r="J336" s="314"/>
      <c r="K336" s="314"/>
      <c r="M336" s="350"/>
      <c r="O336" s="225"/>
      <c r="R336" s="314"/>
      <c r="T336" s="498"/>
      <c r="U336" s="521"/>
    </row>
    <row r="337" spans="3:21">
      <c r="C337" s="314"/>
      <c r="G337" s="167"/>
      <c r="J337" s="314"/>
      <c r="K337" s="314"/>
      <c r="M337" s="350"/>
      <c r="O337" s="225"/>
      <c r="R337" s="314"/>
      <c r="T337" s="498"/>
      <c r="U337" s="521"/>
    </row>
    <row r="338" spans="3:21">
      <c r="C338" s="314"/>
      <c r="G338" s="167"/>
      <c r="J338" s="314"/>
      <c r="K338" s="314"/>
      <c r="M338" s="350"/>
      <c r="O338" s="225"/>
      <c r="R338" s="314"/>
      <c r="T338" s="498"/>
      <c r="U338" s="521"/>
    </row>
    <row r="339" spans="3:21">
      <c r="C339" s="314"/>
      <c r="G339" s="167"/>
      <c r="J339" s="314"/>
      <c r="K339" s="314"/>
      <c r="M339" s="350"/>
      <c r="O339" s="225"/>
      <c r="R339" s="314"/>
      <c r="T339" s="498"/>
      <c r="U339" s="521"/>
    </row>
    <row r="340" spans="3:21">
      <c r="C340" s="314"/>
      <c r="G340" s="167"/>
      <c r="J340" s="314"/>
      <c r="K340" s="314"/>
      <c r="M340" s="350"/>
      <c r="O340" s="225"/>
      <c r="R340" s="314"/>
      <c r="T340" s="498"/>
      <c r="U340" s="521"/>
    </row>
    <row r="341" spans="3:21">
      <c r="C341" s="314"/>
      <c r="G341" s="167"/>
      <c r="J341" s="314"/>
      <c r="K341" s="314"/>
      <c r="M341" s="350"/>
      <c r="O341" s="225"/>
      <c r="R341" s="314"/>
      <c r="T341" s="498"/>
      <c r="U341" s="521"/>
    </row>
    <row r="342" spans="3:21">
      <c r="C342" s="314"/>
      <c r="G342" s="167"/>
      <c r="J342" s="314"/>
      <c r="K342" s="314"/>
      <c r="M342" s="350"/>
      <c r="O342" s="225"/>
      <c r="R342" s="314"/>
      <c r="T342" s="498"/>
      <c r="U342" s="521"/>
    </row>
    <row r="343" spans="3:21">
      <c r="C343" s="314"/>
      <c r="G343" s="167"/>
      <c r="J343" s="314"/>
      <c r="K343" s="314"/>
      <c r="M343" s="350"/>
      <c r="O343" s="225"/>
      <c r="R343" s="314"/>
      <c r="T343" s="498"/>
      <c r="U343" s="521"/>
    </row>
    <row r="344" spans="3:21">
      <c r="C344" s="314"/>
      <c r="G344" s="167"/>
      <c r="J344" s="314"/>
      <c r="K344" s="314"/>
      <c r="M344" s="350"/>
      <c r="O344" s="225"/>
      <c r="R344" s="314"/>
      <c r="T344" s="498"/>
      <c r="U344" s="521"/>
    </row>
    <row r="345" spans="3:21">
      <c r="C345" s="314"/>
      <c r="G345" s="167"/>
      <c r="J345" s="314"/>
      <c r="K345" s="314"/>
      <c r="M345" s="350"/>
      <c r="O345" s="225"/>
      <c r="R345" s="314"/>
      <c r="T345" s="498"/>
      <c r="U345" s="521"/>
    </row>
    <row r="346" spans="3:21">
      <c r="C346" s="314"/>
      <c r="G346" s="167"/>
      <c r="J346" s="314"/>
      <c r="K346" s="314"/>
      <c r="M346" s="350"/>
      <c r="O346" s="225"/>
      <c r="R346" s="314"/>
      <c r="T346" s="498"/>
      <c r="U346" s="521"/>
    </row>
    <row r="347" spans="3:21">
      <c r="C347" s="314"/>
      <c r="G347" s="167"/>
      <c r="J347" s="314"/>
      <c r="K347" s="314"/>
      <c r="M347" s="350"/>
      <c r="O347" s="225"/>
      <c r="R347" s="314"/>
      <c r="T347" s="498"/>
      <c r="U347" s="521"/>
    </row>
    <row r="348" spans="3:21">
      <c r="C348" s="314"/>
      <c r="G348" s="167"/>
      <c r="J348" s="314"/>
      <c r="K348" s="314"/>
      <c r="M348" s="350"/>
      <c r="O348" s="225"/>
      <c r="R348" s="314"/>
      <c r="T348" s="498"/>
      <c r="U348" s="521"/>
    </row>
    <row r="349" spans="3:21">
      <c r="C349" s="314"/>
      <c r="G349" s="167"/>
      <c r="J349" s="314"/>
      <c r="K349" s="314"/>
      <c r="M349" s="350"/>
      <c r="O349" s="225"/>
      <c r="R349" s="314"/>
      <c r="T349" s="498"/>
      <c r="U349" s="521"/>
    </row>
    <row r="350" spans="3:21">
      <c r="C350" s="314"/>
      <c r="G350" s="167"/>
      <c r="J350" s="314"/>
      <c r="K350" s="314"/>
      <c r="M350" s="350"/>
      <c r="O350" s="225"/>
      <c r="R350" s="314"/>
      <c r="T350" s="498"/>
      <c r="U350" s="521"/>
    </row>
    <row r="351" spans="3:21">
      <c r="C351" s="314"/>
      <c r="G351" s="167"/>
      <c r="J351" s="314"/>
      <c r="K351" s="314"/>
      <c r="M351" s="350"/>
      <c r="O351" s="225"/>
      <c r="R351" s="314"/>
      <c r="T351" s="498"/>
      <c r="U351" s="521"/>
    </row>
    <row r="352" spans="3:21">
      <c r="C352" s="314"/>
      <c r="G352" s="167"/>
      <c r="J352" s="314"/>
      <c r="K352" s="314"/>
      <c r="M352" s="350"/>
      <c r="O352" s="225"/>
      <c r="R352" s="314"/>
      <c r="T352" s="498"/>
      <c r="U352" s="521"/>
    </row>
    <row r="353" spans="3:21">
      <c r="C353" s="314"/>
      <c r="G353" s="167"/>
      <c r="J353" s="314"/>
      <c r="K353" s="314"/>
      <c r="M353" s="350"/>
      <c r="O353" s="225"/>
      <c r="R353" s="314"/>
      <c r="T353" s="498"/>
      <c r="U353" s="521"/>
    </row>
    <row r="354" spans="3:21">
      <c r="C354" s="314"/>
      <c r="G354" s="167"/>
      <c r="J354" s="314"/>
      <c r="K354" s="314"/>
      <c r="M354" s="350"/>
      <c r="O354" s="225"/>
      <c r="R354" s="314"/>
      <c r="T354" s="498"/>
      <c r="U354" s="521"/>
    </row>
    <row r="355" spans="3:21">
      <c r="C355" s="314"/>
      <c r="G355" s="167"/>
      <c r="J355" s="314"/>
      <c r="K355" s="314"/>
      <c r="M355" s="350"/>
      <c r="O355" s="225"/>
      <c r="R355" s="314"/>
      <c r="T355" s="498"/>
      <c r="U355" s="521"/>
    </row>
    <row r="356" spans="3:21">
      <c r="C356" s="314"/>
      <c r="G356" s="167"/>
      <c r="J356" s="314"/>
      <c r="K356" s="314"/>
      <c r="M356" s="350"/>
      <c r="O356" s="225"/>
      <c r="R356" s="314"/>
      <c r="T356" s="498"/>
      <c r="U356" s="521"/>
    </row>
    <row r="357" spans="3:21">
      <c r="C357" s="314"/>
      <c r="G357" s="167"/>
      <c r="J357" s="314"/>
      <c r="K357" s="314"/>
      <c r="M357" s="350"/>
      <c r="O357" s="225"/>
      <c r="R357" s="314"/>
      <c r="T357" s="498"/>
      <c r="U357" s="521"/>
    </row>
    <row r="358" spans="3:21">
      <c r="C358" s="314"/>
      <c r="G358" s="167"/>
      <c r="J358" s="314"/>
      <c r="K358" s="314"/>
      <c r="M358" s="350"/>
      <c r="O358" s="225"/>
      <c r="R358" s="314"/>
      <c r="T358" s="498"/>
      <c r="U358" s="521"/>
    </row>
    <row r="359" spans="3:21">
      <c r="C359" s="314"/>
      <c r="G359" s="167"/>
      <c r="J359" s="314"/>
      <c r="K359" s="314"/>
      <c r="M359" s="350"/>
      <c r="O359" s="225"/>
      <c r="R359" s="314"/>
      <c r="T359" s="498"/>
      <c r="U359" s="521"/>
    </row>
    <row r="360" spans="3:21">
      <c r="C360" s="314"/>
      <c r="G360" s="167"/>
      <c r="J360" s="314"/>
      <c r="K360" s="314"/>
      <c r="M360" s="350"/>
      <c r="O360" s="225"/>
      <c r="R360" s="314"/>
      <c r="T360" s="498"/>
      <c r="U360" s="521"/>
    </row>
    <row r="361" spans="3:21">
      <c r="C361" s="314"/>
      <c r="G361" s="167"/>
      <c r="J361" s="314"/>
      <c r="K361" s="314"/>
      <c r="M361" s="350"/>
      <c r="O361" s="225"/>
      <c r="R361" s="314"/>
      <c r="T361" s="498"/>
      <c r="U361" s="521"/>
    </row>
    <row r="362" spans="3:21">
      <c r="C362" s="314"/>
      <c r="G362" s="167"/>
      <c r="J362" s="314"/>
      <c r="K362" s="314"/>
      <c r="M362" s="350"/>
      <c r="O362" s="225"/>
      <c r="R362" s="314"/>
      <c r="T362" s="498"/>
      <c r="U362" s="521"/>
    </row>
    <row r="363" spans="3:21">
      <c r="C363" s="314"/>
      <c r="G363" s="167"/>
      <c r="J363" s="314"/>
      <c r="K363" s="314"/>
      <c r="M363" s="350"/>
      <c r="O363" s="225"/>
      <c r="R363" s="314"/>
      <c r="T363" s="498"/>
      <c r="U363" s="521"/>
    </row>
    <row r="364" spans="3:21">
      <c r="C364" s="314"/>
      <c r="G364" s="167"/>
      <c r="J364" s="314"/>
      <c r="K364" s="314"/>
      <c r="M364" s="350"/>
      <c r="O364" s="225"/>
      <c r="R364" s="314"/>
      <c r="T364" s="498"/>
      <c r="U364" s="521"/>
    </row>
    <row r="365" spans="3:21">
      <c r="C365" s="314"/>
      <c r="G365" s="167"/>
      <c r="J365" s="314"/>
      <c r="K365" s="314"/>
      <c r="M365" s="350"/>
      <c r="O365" s="225"/>
      <c r="R365" s="314"/>
      <c r="T365" s="498"/>
      <c r="U365" s="521"/>
    </row>
    <row r="366" spans="3:21">
      <c r="C366" s="314"/>
      <c r="G366" s="167"/>
      <c r="J366" s="314"/>
      <c r="K366" s="314"/>
      <c r="M366" s="350"/>
      <c r="O366" s="225"/>
      <c r="R366" s="314"/>
      <c r="T366" s="498"/>
      <c r="U366" s="521"/>
    </row>
    <row r="367" spans="3:21">
      <c r="C367" s="314"/>
      <c r="G367" s="167"/>
      <c r="J367" s="314"/>
      <c r="K367" s="314"/>
      <c r="M367" s="350"/>
      <c r="O367" s="225"/>
      <c r="R367" s="314"/>
      <c r="T367" s="498"/>
      <c r="U367" s="521"/>
    </row>
    <row r="368" spans="3:21">
      <c r="C368" s="314"/>
      <c r="G368" s="167"/>
      <c r="J368" s="314"/>
      <c r="K368" s="314"/>
      <c r="M368" s="350"/>
      <c r="O368" s="225"/>
      <c r="R368" s="314"/>
      <c r="T368" s="498"/>
      <c r="U368" s="521"/>
    </row>
    <row r="369" spans="3:21">
      <c r="C369" s="314"/>
      <c r="G369" s="167"/>
      <c r="J369" s="314"/>
      <c r="K369" s="314"/>
      <c r="M369" s="350"/>
      <c r="O369" s="225"/>
      <c r="R369" s="314"/>
      <c r="T369" s="498"/>
      <c r="U369" s="521"/>
    </row>
    <row r="370" spans="3:21">
      <c r="C370" s="314"/>
      <c r="G370" s="167"/>
      <c r="J370" s="314"/>
      <c r="K370" s="314"/>
      <c r="M370" s="350"/>
      <c r="O370" s="225"/>
      <c r="R370" s="314"/>
      <c r="T370" s="498"/>
      <c r="U370" s="521"/>
    </row>
    <row r="371" spans="3:21">
      <c r="C371" s="314"/>
      <c r="G371" s="167"/>
      <c r="J371" s="314"/>
      <c r="K371" s="314"/>
      <c r="M371" s="350"/>
      <c r="O371" s="225"/>
      <c r="R371" s="314"/>
      <c r="T371" s="498"/>
      <c r="U371" s="521"/>
    </row>
    <row r="372" spans="3:21">
      <c r="C372" s="314"/>
      <c r="G372" s="167"/>
      <c r="J372" s="314"/>
      <c r="K372" s="314"/>
      <c r="M372" s="350"/>
      <c r="O372" s="225"/>
      <c r="R372" s="314"/>
      <c r="T372" s="498"/>
      <c r="U372" s="521"/>
    </row>
    <row r="373" spans="3:21">
      <c r="C373" s="314"/>
      <c r="G373" s="167"/>
      <c r="J373" s="314"/>
      <c r="K373" s="314"/>
      <c r="M373" s="350"/>
      <c r="O373" s="225"/>
      <c r="R373" s="314"/>
      <c r="T373" s="498"/>
      <c r="U373" s="521"/>
    </row>
    <row r="374" spans="3:21">
      <c r="C374" s="314"/>
      <c r="G374" s="167"/>
      <c r="J374" s="314"/>
      <c r="K374" s="314"/>
      <c r="M374" s="350"/>
      <c r="O374" s="225"/>
      <c r="R374" s="314"/>
      <c r="T374" s="498"/>
      <c r="U374" s="521"/>
    </row>
    <row r="375" spans="3:21">
      <c r="C375" s="314"/>
      <c r="G375" s="167"/>
      <c r="J375" s="314"/>
      <c r="K375" s="314"/>
      <c r="M375" s="350"/>
      <c r="O375" s="225"/>
      <c r="R375" s="314"/>
      <c r="T375" s="498"/>
      <c r="U375" s="521"/>
    </row>
    <row r="376" spans="3:21">
      <c r="C376" s="314"/>
      <c r="G376" s="167"/>
      <c r="J376" s="314"/>
      <c r="K376" s="314"/>
      <c r="M376" s="350"/>
      <c r="O376" s="225"/>
      <c r="R376" s="314"/>
      <c r="T376" s="498"/>
      <c r="U376" s="521"/>
    </row>
    <row r="377" spans="3:21">
      <c r="C377" s="314"/>
      <c r="G377" s="167"/>
      <c r="J377" s="314"/>
      <c r="K377" s="314"/>
      <c r="M377" s="350"/>
      <c r="O377" s="225"/>
      <c r="R377" s="314"/>
      <c r="T377" s="498"/>
      <c r="U377" s="521"/>
    </row>
    <row r="378" spans="3:21">
      <c r="C378" s="314"/>
      <c r="G378" s="167"/>
      <c r="J378" s="314"/>
      <c r="K378" s="314"/>
      <c r="M378" s="350"/>
      <c r="O378" s="225"/>
      <c r="R378" s="314"/>
      <c r="T378" s="498"/>
      <c r="U378" s="521"/>
    </row>
    <row r="379" spans="3:21">
      <c r="C379" s="314"/>
      <c r="G379" s="167"/>
      <c r="J379" s="314"/>
      <c r="K379" s="314"/>
      <c r="M379" s="350"/>
      <c r="O379" s="225"/>
      <c r="R379" s="314"/>
      <c r="T379" s="498"/>
      <c r="U379" s="521"/>
    </row>
    <row r="380" spans="3:21">
      <c r="C380" s="314"/>
      <c r="G380" s="167"/>
      <c r="J380" s="314"/>
      <c r="K380" s="314"/>
      <c r="M380" s="350"/>
      <c r="O380" s="225"/>
      <c r="R380" s="314"/>
      <c r="T380" s="498"/>
      <c r="U380" s="521"/>
    </row>
    <row r="381" spans="3:21">
      <c r="C381" s="314"/>
      <c r="G381" s="167"/>
      <c r="J381" s="314"/>
      <c r="K381" s="314"/>
      <c r="M381" s="350"/>
      <c r="O381" s="225"/>
      <c r="R381" s="314"/>
      <c r="T381" s="498"/>
      <c r="U381" s="521"/>
    </row>
    <row r="382" spans="3:21">
      <c r="C382" s="314"/>
      <c r="G382" s="167"/>
      <c r="J382" s="314"/>
      <c r="K382" s="314"/>
      <c r="M382" s="350"/>
      <c r="O382" s="225"/>
      <c r="R382" s="314"/>
      <c r="T382" s="498"/>
      <c r="U382" s="521"/>
    </row>
    <row r="383" spans="3:21">
      <c r="C383" s="314"/>
      <c r="G383" s="167"/>
      <c r="J383" s="314"/>
      <c r="K383" s="314"/>
      <c r="M383" s="350"/>
      <c r="O383" s="225"/>
      <c r="R383" s="314"/>
      <c r="T383" s="498"/>
      <c r="U383" s="521"/>
    </row>
    <row r="384" spans="3:21">
      <c r="C384" s="314"/>
      <c r="G384" s="167"/>
      <c r="J384" s="314"/>
      <c r="K384" s="314"/>
      <c r="M384" s="350"/>
      <c r="O384" s="225"/>
      <c r="R384" s="314"/>
      <c r="T384" s="498"/>
      <c r="U384" s="521"/>
    </row>
    <row r="385" spans="3:21">
      <c r="C385" s="314"/>
      <c r="G385" s="167"/>
      <c r="J385" s="314"/>
      <c r="K385" s="314"/>
      <c r="M385" s="350"/>
      <c r="O385" s="225"/>
      <c r="R385" s="314"/>
      <c r="T385" s="498"/>
      <c r="U385" s="521"/>
    </row>
    <row r="386" spans="3:21">
      <c r="C386" s="314"/>
      <c r="G386" s="167"/>
      <c r="J386" s="314"/>
      <c r="K386" s="314"/>
      <c r="M386" s="350"/>
      <c r="O386" s="225"/>
      <c r="R386" s="314"/>
      <c r="T386" s="498"/>
      <c r="U386" s="521"/>
    </row>
    <row r="387" spans="3:21">
      <c r="C387" s="314"/>
      <c r="G387" s="167"/>
      <c r="J387" s="314"/>
      <c r="K387" s="314"/>
      <c r="M387" s="350"/>
      <c r="O387" s="225"/>
      <c r="R387" s="314"/>
      <c r="T387" s="498"/>
      <c r="U387" s="521"/>
    </row>
    <row r="388" spans="3:21">
      <c r="C388" s="314"/>
      <c r="G388" s="167"/>
      <c r="J388" s="314"/>
      <c r="K388" s="314"/>
      <c r="M388" s="350"/>
      <c r="O388" s="225"/>
      <c r="R388" s="314"/>
      <c r="T388" s="498"/>
      <c r="U388" s="521"/>
    </row>
    <row r="389" spans="3:21">
      <c r="C389" s="314"/>
      <c r="G389" s="167"/>
      <c r="J389" s="314"/>
      <c r="K389" s="314"/>
      <c r="M389" s="350"/>
      <c r="O389" s="225"/>
      <c r="R389" s="314"/>
      <c r="T389" s="498"/>
      <c r="U389" s="521"/>
    </row>
    <row r="390" spans="3:21">
      <c r="C390" s="314"/>
      <c r="G390" s="167"/>
      <c r="J390" s="314"/>
      <c r="K390" s="314"/>
      <c r="M390" s="350"/>
      <c r="O390" s="225"/>
      <c r="R390" s="314"/>
      <c r="T390" s="498"/>
      <c r="U390" s="521"/>
    </row>
    <row r="391" spans="3:21">
      <c r="C391" s="314"/>
      <c r="G391" s="167"/>
      <c r="J391" s="314"/>
      <c r="K391" s="314"/>
      <c r="M391" s="350"/>
      <c r="O391" s="225"/>
      <c r="R391" s="314"/>
      <c r="T391" s="498"/>
      <c r="U391" s="521"/>
    </row>
    <row r="392" spans="3:21">
      <c r="C392" s="314"/>
      <c r="G392" s="167"/>
      <c r="J392" s="314"/>
      <c r="K392" s="314"/>
      <c r="M392" s="350"/>
      <c r="O392" s="225"/>
      <c r="R392" s="314"/>
      <c r="T392" s="498"/>
      <c r="U392" s="521"/>
    </row>
    <row r="393" spans="3:21">
      <c r="C393" s="314"/>
      <c r="G393" s="167"/>
      <c r="J393" s="314"/>
      <c r="K393" s="314"/>
      <c r="M393" s="350"/>
      <c r="O393" s="225"/>
      <c r="R393" s="314"/>
      <c r="T393" s="498"/>
      <c r="U393" s="521"/>
    </row>
    <row r="394" spans="3:21">
      <c r="C394" s="314"/>
      <c r="G394" s="167"/>
      <c r="J394" s="314"/>
      <c r="K394" s="314"/>
      <c r="M394" s="350"/>
      <c r="O394" s="225"/>
      <c r="R394" s="314"/>
      <c r="T394" s="498"/>
      <c r="U394" s="521"/>
    </row>
    <row r="395" spans="3:21">
      <c r="C395" s="314"/>
      <c r="G395" s="167"/>
      <c r="J395" s="314"/>
      <c r="K395" s="314"/>
      <c r="M395" s="350"/>
      <c r="O395" s="225"/>
      <c r="R395" s="314"/>
      <c r="T395" s="498"/>
      <c r="U395" s="521"/>
    </row>
    <row r="396" spans="3:21">
      <c r="C396" s="314"/>
      <c r="G396" s="167"/>
      <c r="J396" s="314"/>
      <c r="K396" s="314"/>
      <c r="M396" s="350"/>
      <c r="O396" s="225"/>
      <c r="R396" s="314"/>
      <c r="T396" s="498"/>
      <c r="U396" s="521"/>
    </row>
    <row r="397" spans="3:21">
      <c r="C397" s="314"/>
      <c r="G397" s="167"/>
      <c r="J397" s="314"/>
      <c r="K397" s="314"/>
      <c r="M397" s="350"/>
      <c r="O397" s="225"/>
      <c r="R397" s="314"/>
      <c r="T397" s="498"/>
      <c r="U397" s="521"/>
    </row>
    <row r="398" spans="3:21">
      <c r="C398" s="314"/>
      <c r="G398" s="167"/>
      <c r="J398" s="314"/>
      <c r="K398" s="314"/>
      <c r="M398" s="350"/>
      <c r="O398" s="225"/>
      <c r="R398" s="314"/>
      <c r="T398" s="498"/>
      <c r="U398" s="521"/>
    </row>
    <row r="399" spans="3:21">
      <c r="C399" s="314"/>
      <c r="G399" s="167"/>
      <c r="J399" s="314"/>
      <c r="K399" s="314"/>
      <c r="M399" s="350"/>
      <c r="O399" s="225"/>
      <c r="R399" s="314"/>
      <c r="T399" s="498"/>
      <c r="U399" s="521"/>
    </row>
    <row r="400" spans="3:21">
      <c r="C400" s="314"/>
      <c r="G400" s="167"/>
      <c r="J400" s="314"/>
      <c r="K400" s="314"/>
      <c r="M400" s="350"/>
      <c r="O400" s="225"/>
      <c r="R400" s="314"/>
      <c r="T400" s="498"/>
      <c r="U400" s="521"/>
    </row>
    <row r="401" spans="3:21">
      <c r="C401" s="314"/>
      <c r="G401" s="167"/>
      <c r="J401" s="314"/>
      <c r="K401" s="314"/>
      <c r="M401" s="350"/>
      <c r="O401" s="225"/>
      <c r="R401" s="314"/>
      <c r="T401" s="498"/>
      <c r="U401" s="521"/>
    </row>
    <row r="402" spans="3:21">
      <c r="C402" s="314"/>
      <c r="G402" s="167"/>
      <c r="J402" s="314"/>
      <c r="K402" s="314"/>
      <c r="M402" s="350"/>
      <c r="O402" s="225"/>
      <c r="R402" s="314"/>
      <c r="T402" s="498"/>
      <c r="U402" s="521"/>
    </row>
    <row r="403" spans="3:21">
      <c r="C403" s="314"/>
      <c r="G403" s="167"/>
      <c r="J403" s="314"/>
      <c r="K403" s="314"/>
      <c r="M403" s="350"/>
      <c r="O403" s="225"/>
      <c r="R403" s="314"/>
      <c r="T403" s="498"/>
      <c r="U403" s="521"/>
    </row>
    <row r="404" spans="3:21">
      <c r="C404" s="314"/>
      <c r="G404" s="167"/>
      <c r="J404" s="314"/>
      <c r="K404" s="314"/>
      <c r="M404" s="350"/>
      <c r="O404" s="225"/>
      <c r="R404" s="314"/>
      <c r="T404" s="498"/>
      <c r="U404" s="521"/>
    </row>
    <row r="405" spans="3:21">
      <c r="C405" s="314"/>
      <c r="G405" s="167"/>
      <c r="J405" s="314"/>
      <c r="K405" s="314"/>
      <c r="M405" s="350"/>
      <c r="O405" s="225"/>
      <c r="R405" s="314"/>
      <c r="T405" s="498"/>
      <c r="U405" s="521"/>
    </row>
    <row r="406" spans="3:21">
      <c r="C406" s="314"/>
      <c r="G406" s="167"/>
      <c r="J406" s="314"/>
      <c r="K406" s="314"/>
      <c r="M406" s="350"/>
      <c r="O406" s="225"/>
      <c r="R406" s="314"/>
      <c r="T406" s="498"/>
      <c r="U406" s="521"/>
    </row>
    <row r="407" spans="3:21">
      <c r="C407" s="314"/>
      <c r="G407" s="167"/>
      <c r="J407" s="314"/>
      <c r="K407" s="314"/>
      <c r="M407" s="350"/>
      <c r="O407" s="225"/>
      <c r="R407" s="314"/>
      <c r="T407" s="498"/>
      <c r="U407" s="521"/>
    </row>
    <row r="408" spans="3:21">
      <c r="C408" s="314"/>
      <c r="G408" s="167"/>
      <c r="J408" s="314"/>
      <c r="K408" s="314"/>
      <c r="M408" s="350"/>
      <c r="O408" s="225"/>
      <c r="R408" s="314"/>
      <c r="T408" s="498"/>
      <c r="U408" s="521"/>
    </row>
    <row r="409" spans="3:21">
      <c r="C409" s="314"/>
      <c r="G409" s="167"/>
      <c r="J409" s="314"/>
      <c r="K409" s="314"/>
      <c r="M409" s="350"/>
      <c r="O409" s="225"/>
      <c r="R409" s="314"/>
      <c r="T409" s="498"/>
      <c r="U409" s="521"/>
    </row>
    <row r="410" spans="3:21">
      <c r="C410" s="314"/>
      <c r="G410" s="167"/>
      <c r="J410" s="314"/>
      <c r="K410" s="314"/>
      <c r="M410" s="350"/>
      <c r="O410" s="225"/>
      <c r="R410" s="314"/>
      <c r="T410" s="498"/>
      <c r="U410" s="521"/>
    </row>
    <row r="411" spans="3:21">
      <c r="C411" s="314"/>
      <c r="G411" s="167"/>
      <c r="J411" s="314"/>
      <c r="K411" s="314"/>
      <c r="M411" s="350"/>
      <c r="O411" s="225"/>
      <c r="R411" s="314"/>
      <c r="T411" s="498"/>
      <c r="U411" s="521"/>
    </row>
    <row r="412" spans="3:21">
      <c r="C412" s="314"/>
      <c r="G412" s="167"/>
      <c r="J412" s="314"/>
      <c r="K412" s="314"/>
      <c r="M412" s="350"/>
      <c r="O412" s="225"/>
      <c r="R412" s="314"/>
      <c r="T412" s="498"/>
      <c r="U412" s="521"/>
    </row>
    <row r="413" spans="3:21">
      <c r="C413" s="314"/>
      <c r="G413" s="167"/>
      <c r="J413" s="314"/>
      <c r="K413" s="314"/>
      <c r="M413" s="350"/>
      <c r="O413" s="225"/>
      <c r="R413" s="314"/>
      <c r="T413" s="498"/>
      <c r="U413" s="521"/>
    </row>
    <row r="414" spans="3:21">
      <c r="C414" s="314"/>
      <c r="G414" s="167"/>
      <c r="J414" s="314"/>
      <c r="K414" s="314"/>
      <c r="M414" s="350"/>
      <c r="O414" s="225"/>
      <c r="R414" s="314"/>
      <c r="T414" s="498"/>
      <c r="U414" s="521"/>
    </row>
    <row r="415" spans="3:21">
      <c r="C415" s="314"/>
      <c r="G415" s="167"/>
      <c r="J415" s="314"/>
      <c r="K415" s="314"/>
      <c r="M415" s="350"/>
      <c r="O415" s="225"/>
      <c r="R415" s="314"/>
      <c r="T415" s="498"/>
      <c r="U415" s="521"/>
    </row>
    <row r="416" spans="3:21">
      <c r="C416" s="314"/>
      <c r="G416" s="167"/>
      <c r="J416" s="314"/>
      <c r="K416" s="314"/>
      <c r="M416" s="350"/>
      <c r="O416" s="225"/>
      <c r="R416" s="314"/>
      <c r="T416" s="498"/>
      <c r="U416" s="521"/>
    </row>
    <row r="417" spans="3:21">
      <c r="C417" s="314"/>
      <c r="G417" s="167"/>
      <c r="J417" s="314"/>
      <c r="K417" s="314"/>
      <c r="M417" s="350"/>
      <c r="O417" s="225"/>
      <c r="R417" s="314"/>
      <c r="T417" s="498"/>
      <c r="U417" s="521"/>
    </row>
    <row r="418" spans="3:21">
      <c r="C418" s="314"/>
      <c r="G418" s="167"/>
      <c r="J418" s="314"/>
      <c r="K418" s="314"/>
      <c r="M418" s="350"/>
      <c r="O418" s="225"/>
      <c r="R418" s="314"/>
      <c r="T418" s="498"/>
      <c r="U418" s="521"/>
    </row>
    <row r="419" spans="3:21">
      <c r="C419" s="314"/>
      <c r="G419" s="167"/>
      <c r="J419" s="314"/>
      <c r="K419" s="314"/>
      <c r="M419" s="350"/>
      <c r="O419" s="225"/>
      <c r="R419" s="314"/>
      <c r="T419" s="498"/>
      <c r="U419" s="521"/>
    </row>
    <row r="420" spans="3:21">
      <c r="C420" s="314"/>
      <c r="G420" s="167"/>
      <c r="J420" s="314"/>
      <c r="K420" s="314"/>
      <c r="M420" s="350"/>
      <c r="O420" s="225"/>
      <c r="R420" s="314"/>
      <c r="T420" s="498"/>
      <c r="U420" s="521"/>
    </row>
    <row r="421" spans="3:21">
      <c r="C421" s="314"/>
      <c r="G421" s="167"/>
      <c r="J421" s="314"/>
      <c r="K421" s="314"/>
      <c r="M421" s="350"/>
      <c r="O421" s="225"/>
      <c r="R421" s="314"/>
      <c r="T421" s="498"/>
      <c r="U421" s="521"/>
    </row>
    <row r="422" spans="3:21">
      <c r="C422" s="314"/>
      <c r="G422" s="167"/>
      <c r="J422" s="314"/>
      <c r="K422" s="314"/>
      <c r="M422" s="350"/>
      <c r="O422" s="225"/>
      <c r="R422" s="314"/>
      <c r="T422" s="498"/>
      <c r="U422" s="521"/>
    </row>
    <row r="423" spans="3:21">
      <c r="C423" s="314"/>
      <c r="G423" s="167"/>
      <c r="J423" s="314"/>
      <c r="K423" s="314"/>
      <c r="M423" s="350"/>
      <c r="O423" s="225"/>
      <c r="R423" s="314"/>
      <c r="T423" s="498"/>
      <c r="U423" s="521"/>
    </row>
    <row r="424" spans="3:21">
      <c r="C424" s="314"/>
      <c r="G424" s="167"/>
      <c r="J424" s="314"/>
      <c r="K424" s="314"/>
      <c r="M424" s="350"/>
      <c r="O424" s="225"/>
      <c r="R424" s="314"/>
      <c r="T424" s="498"/>
      <c r="U424" s="521"/>
    </row>
    <row r="425" spans="3:21">
      <c r="C425" s="314"/>
      <c r="G425" s="167"/>
      <c r="J425" s="314"/>
      <c r="K425" s="314"/>
      <c r="M425" s="350"/>
      <c r="O425" s="225"/>
      <c r="R425" s="314"/>
      <c r="T425" s="498"/>
      <c r="U425" s="521"/>
    </row>
    <row r="426" spans="3:21">
      <c r="C426" s="314"/>
      <c r="G426" s="167"/>
      <c r="J426" s="314"/>
      <c r="K426" s="314"/>
      <c r="M426" s="350"/>
      <c r="O426" s="225"/>
      <c r="R426" s="314"/>
      <c r="T426" s="498"/>
      <c r="U426" s="521"/>
    </row>
    <row r="427" spans="3:21">
      <c r="C427" s="314"/>
      <c r="G427" s="167"/>
      <c r="J427" s="314"/>
      <c r="K427" s="314"/>
      <c r="M427" s="350"/>
      <c r="O427" s="225"/>
      <c r="R427" s="314"/>
      <c r="T427" s="498"/>
      <c r="U427" s="521"/>
    </row>
    <row r="428" spans="3:21">
      <c r="C428" s="314"/>
      <c r="G428" s="167"/>
      <c r="J428" s="314"/>
      <c r="K428" s="314"/>
      <c r="M428" s="350"/>
      <c r="O428" s="225"/>
      <c r="R428" s="314"/>
      <c r="T428" s="498"/>
      <c r="U428" s="521"/>
    </row>
    <row r="429" spans="3:21">
      <c r="C429" s="314"/>
      <c r="G429" s="167"/>
      <c r="J429" s="314"/>
      <c r="K429" s="314"/>
      <c r="M429" s="350"/>
      <c r="O429" s="225"/>
      <c r="R429" s="314"/>
      <c r="T429" s="498"/>
      <c r="U429" s="521"/>
    </row>
    <row r="430" spans="3:21">
      <c r="C430" s="314"/>
      <c r="G430" s="167"/>
      <c r="J430" s="314"/>
      <c r="K430" s="314"/>
      <c r="M430" s="350"/>
      <c r="O430" s="225"/>
      <c r="R430" s="314"/>
      <c r="T430" s="498"/>
      <c r="U430" s="521"/>
    </row>
    <row r="431" spans="3:21">
      <c r="C431" s="314"/>
      <c r="G431" s="167"/>
      <c r="J431" s="314"/>
      <c r="K431" s="314"/>
      <c r="M431" s="350"/>
      <c r="O431" s="225"/>
      <c r="R431" s="314"/>
      <c r="T431" s="498"/>
      <c r="U431" s="521"/>
    </row>
    <row r="432" spans="3:21">
      <c r="C432" s="314"/>
      <c r="G432" s="167"/>
      <c r="J432" s="314"/>
      <c r="K432" s="314"/>
      <c r="M432" s="350"/>
      <c r="O432" s="225"/>
      <c r="R432" s="314"/>
      <c r="T432" s="498"/>
      <c r="U432" s="521"/>
    </row>
    <row r="433" spans="3:21">
      <c r="C433" s="314"/>
      <c r="G433" s="167"/>
      <c r="J433" s="314"/>
      <c r="K433" s="314"/>
      <c r="M433" s="350"/>
      <c r="O433" s="225"/>
      <c r="R433" s="314"/>
      <c r="T433" s="498"/>
      <c r="U433" s="521"/>
    </row>
    <row r="434" spans="3:21">
      <c r="C434" s="314"/>
      <c r="G434" s="167"/>
      <c r="J434" s="314"/>
      <c r="K434" s="314"/>
      <c r="M434" s="350"/>
      <c r="O434" s="225"/>
      <c r="R434" s="314"/>
      <c r="T434" s="498"/>
      <c r="U434" s="521"/>
    </row>
    <row r="435" spans="3:21">
      <c r="C435" s="314"/>
      <c r="G435" s="167"/>
      <c r="J435" s="314"/>
      <c r="K435" s="314"/>
      <c r="M435" s="350"/>
      <c r="O435" s="225"/>
      <c r="R435" s="314"/>
      <c r="T435" s="498"/>
      <c r="U435" s="521"/>
    </row>
    <row r="436" spans="3:21">
      <c r="C436" s="314"/>
      <c r="G436" s="167"/>
      <c r="J436" s="314"/>
      <c r="K436" s="314"/>
      <c r="M436" s="350"/>
      <c r="O436" s="225"/>
      <c r="R436" s="314"/>
      <c r="T436" s="498"/>
      <c r="U436" s="521"/>
    </row>
    <row r="437" spans="3:21">
      <c r="C437" s="314"/>
      <c r="G437" s="167"/>
      <c r="J437" s="314"/>
      <c r="K437" s="314"/>
      <c r="M437" s="350"/>
      <c r="O437" s="225"/>
      <c r="R437" s="314"/>
      <c r="T437" s="498"/>
      <c r="U437" s="521"/>
    </row>
    <row r="438" spans="3:21">
      <c r="C438" s="314"/>
      <c r="G438" s="167"/>
      <c r="J438" s="314"/>
      <c r="K438" s="314"/>
      <c r="M438" s="350"/>
      <c r="O438" s="225"/>
      <c r="R438" s="314"/>
      <c r="T438" s="498"/>
      <c r="U438" s="521"/>
    </row>
    <row r="439" spans="3:21">
      <c r="C439" s="314"/>
      <c r="G439" s="167"/>
      <c r="J439" s="314"/>
      <c r="K439" s="314"/>
      <c r="M439" s="350"/>
      <c r="O439" s="225"/>
      <c r="R439" s="314"/>
      <c r="T439" s="498"/>
      <c r="U439" s="521"/>
    </row>
    <row r="440" spans="3:21">
      <c r="C440" s="314"/>
      <c r="G440" s="167"/>
      <c r="J440" s="314"/>
      <c r="K440" s="314"/>
      <c r="M440" s="350"/>
      <c r="O440" s="225"/>
      <c r="R440" s="314"/>
      <c r="T440" s="498"/>
      <c r="U440" s="521"/>
    </row>
    <row r="441" spans="3:21">
      <c r="C441" s="314"/>
      <c r="G441" s="167"/>
      <c r="J441" s="314"/>
      <c r="K441" s="314"/>
      <c r="M441" s="350"/>
      <c r="O441" s="225"/>
      <c r="R441" s="314"/>
      <c r="T441" s="498"/>
      <c r="U441" s="521"/>
    </row>
    <row r="442" spans="3:21">
      <c r="C442" s="314"/>
      <c r="G442" s="167"/>
      <c r="J442" s="314"/>
      <c r="K442" s="314"/>
      <c r="M442" s="350"/>
      <c r="O442" s="225"/>
      <c r="R442" s="314"/>
      <c r="T442" s="498"/>
      <c r="U442" s="521"/>
    </row>
    <row r="443" spans="3:21">
      <c r="C443" s="314"/>
      <c r="G443" s="167"/>
      <c r="J443" s="314"/>
      <c r="K443" s="314"/>
      <c r="M443" s="350"/>
      <c r="O443" s="225"/>
      <c r="R443" s="314"/>
      <c r="T443" s="498"/>
      <c r="U443" s="521"/>
    </row>
    <row r="444" spans="3:21">
      <c r="C444" s="314"/>
      <c r="G444" s="167"/>
      <c r="J444" s="314"/>
      <c r="K444" s="314"/>
      <c r="M444" s="350"/>
      <c r="O444" s="225"/>
      <c r="R444" s="314"/>
      <c r="T444" s="498"/>
      <c r="U444" s="521"/>
    </row>
    <row r="445" spans="3:21">
      <c r="C445" s="314"/>
      <c r="G445" s="167"/>
      <c r="J445" s="314"/>
      <c r="K445" s="314"/>
      <c r="M445" s="350"/>
      <c r="O445" s="225"/>
      <c r="R445" s="314"/>
      <c r="T445" s="498"/>
      <c r="U445" s="521"/>
    </row>
    <row r="446" spans="3:21">
      <c r="C446" s="314"/>
      <c r="G446" s="167"/>
      <c r="J446" s="314"/>
      <c r="K446" s="314"/>
      <c r="M446" s="350"/>
      <c r="O446" s="225"/>
      <c r="R446" s="314"/>
      <c r="T446" s="498"/>
      <c r="U446" s="521"/>
    </row>
    <row r="447" spans="3:21">
      <c r="C447" s="314"/>
      <c r="G447" s="167"/>
      <c r="J447" s="314"/>
      <c r="K447" s="314"/>
      <c r="M447" s="350"/>
      <c r="O447" s="225"/>
      <c r="R447" s="314"/>
      <c r="T447" s="498"/>
      <c r="U447" s="521"/>
    </row>
    <row r="448" spans="3:21">
      <c r="C448" s="314"/>
      <c r="G448" s="167"/>
      <c r="J448" s="314"/>
      <c r="K448" s="314"/>
      <c r="M448" s="350"/>
      <c r="O448" s="225"/>
      <c r="R448" s="314"/>
      <c r="T448" s="498"/>
      <c r="U448" s="521"/>
    </row>
    <row r="449" spans="3:21">
      <c r="C449" s="314"/>
      <c r="G449" s="167"/>
      <c r="J449" s="314"/>
      <c r="K449" s="314"/>
      <c r="M449" s="350"/>
      <c r="O449" s="225"/>
      <c r="R449" s="314"/>
      <c r="T449" s="498"/>
      <c r="U449" s="521"/>
    </row>
    <row r="450" spans="3:21">
      <c r="C450" s="314"/>
      <c r="G450" s="167"/>
      <c r="J450" s="314"/>
      <c r="K450" s="314"/>
      <c r="M450" s="350"/>
      <c r="O450" s="225"/>
      <c r="R450" s="314"/>
      <c r="T450" s="498"/>
      <c r="U450" s="521"/>
    </row>
    <row r="451" spans="3:21">
      <c r="C451" s="314"/>
      <c r="G451" s="167"/>
      <c r="J451" s="314"/>
      <c r="K451" s="314"/>
      <c r="M451" s="350"/>
      <c r="O451" s="225"/>
      <c r="R451" s="314"/>
      <c r="T451" s="498"/>
      <c r="U451" s="521"/>
    </row>
    <row r="452" spans="3:21">
      <c r="C452" s="314"/>
      <c r="G452" s="167"/>
      <c r="J452" s="314"/>
      <c r="K452" s="314"/>
      <c r="M452" s="350"/>
      <c r="O452" s="225"/>
      <c r="R452" s="314"/>
      <c r="T452" s="498"/>
      <c r="U452" s="521"/>
    </row>
    <row r="453" spans="3:21">
      <c r="C453" s="314"/>
      <c r="G453" s="167"/>
      <c r="J453" s="314"/>
      <c r="K453" s="314"/>
      <c r="M453" s="350"/>
      <c r="O453" s="225"/>
      <c r="R453" s="314"/>
      <c r="T453" s="498"/>
      <c r="U453" s="521"/>
    </row>
    <row r="454" spans="3:21">
      <c r="C454" s="314"/>
      <c r="G454" s="167"/>
      <c r="J454" s="314"/>
      <c r="K454" s="314"/>
      <c r="M454" s="350"/>
      <c r="O454" s="225"/>
      <c r="R454" s="314"/>
      <c r="T454" s="498"/>
      <c r="U454" s="521"/>
    </row>
    <row r="455" spans="3:21">
      <c r="C455" s="314"/>
      <c r="G455" s="167"/>
      <c r="J455" s="314"/>
      <c r="K455" s="314"/>
      <c r="M455" s="350"/>
      <c r="O455" s="225"/>
      <c r="R455" s="314"/>
      <c r="T455" s="498"/>
      <c r="U455" s="521"/>
    </row>
    <row r="456" spans="3:21">
      <c r="C456" s="314"/>
      <c r="G456" s="167"/>
      <c r="J456" s="314"/>
      <c r="K456" s="314"/>
      <c r="M456" s="350"/>
      <c r="O456" s="225"/>
      <c r="R456" s="314"/>
      <c r="T456" s="498"/>
      <c r="U456" s="521"/>
    </row>
    <row r="457" spans="3:21">
      <c r="C457" s="314"/>
      <c r="G457" s="167"/>
      <c r="J457" s="314"/>
      <c r="K457" s="314"/>
      <c r="M457" s="350"/>
      <c r="O457" s="225"/>
      <c r="R457" s="314"/>
      <c r="T457" s="498"/>
      <c r="U457" s="521"/>
    </row>
    <row r="458" spans="3:21">
      <c r="C458" s="314"/>
      <c r="G458" s="167"/>
      <c r="J458" s="314"/>
      <c r="K458" s="314"/>
      <c r="M458" s="350"/>
      <c r="O458" s="225"/>
      <c r="R458" s="314"/>
      <c r="T458" s="498"/>
      <c r="U458" s="521"/>
    </row>
    <row r="459" spans="3:21">
      <c r="C459" s="314"/>
      <c r="G459" s="167"/>
      <c r="J459" s="314"/>
      <c r="K459" s="314"/>
      <c r="M459" s="350"/>
      <c r="O459" s="225"/>
      <c r="R459" s="314"/>
      <c r="T459" s="498"/>
      <c r="U459" s="521"/>
    </row>
    <row r="460" spans="3:21">
      <c r="C460" s="314"/>
      <c r="G460" s="167"/>
      <c r="J460" s="314"/>
      <c r="K460" s="314"/>
      <c r="M460" s="350"/>
      <c r="O460" s="225"/>
      <c r="R460" s="314"/>
      <c r="T460" s="498"/>
      <c r="U460" s="521"/>
    </row>
    <row r="461" spans="3:21">
      <c r="C461" s="314"/>
      <c r="G461" s="167"/>
      <c r="J461" s="314"/>
      <c r="K461" s="314"/>
      <c r="M461" s="350"/>
      <c r="O461" s="225"/>
      <c r="R461" s="314"/>
      <c r="T461" s="498"/>
      <c r="U461" s="521"/>
    </row>
    <row r="462" spans="3:21">
      <c r="C462" s="314"/>
      <c r="G462" s="167"/>
      <c r="J462" s="314"/>
      <c r="K462" s="314"/>
      <c r="M462" s="350"/>
      <c r="O462" s="225"/>
      <c r="R462" s="314"/>
      <c r="T462" s="498"/>
      <c r="U462" s="521"/>
    </row>
    <row r="463" spans="3:21">
      <c r="C463" s="314"/>
      <c r="G463" s="167"/>
      <c r="J463" s="314"/>
      <c r="K463" s="314"/>
      <c r="M463" s="350"/>
      <c r="O463" s="225"/>
      <c r="R463" s="314"/>
      <c r="T463" s="498"/>
      <c r="U463" s="521"/>
    </row>
    <row r="464" spans="3:21">
      <c r="C464" s="314"/>
      <c r="G464" s="167"/>
      <c r="J464" s="314"/>
      <c r="K464" s="314"/>
      <c r="M464" s="350"/>
      <c r="O464" s="225"/>
      <c r="R464" s="314"/>
      <c r="T464" s="498"/>
      <c r="U464" s="521"/>
    </row>
    <row r="465" spans="3:21">
      <c r="C465" s="314"/>
      <c r="G465" s="167"/>
      <c r="J465" s="314"/>
      <c r="K465" s="314"/>
      <c r="M465" s="350"/>
      <c r="O465" s="225"/>
      <c r="R465" s="314"/>
      <c r="T465" s="498"/>
      <c r="U465" s="521"/>
    </row>
    <row r="466" spans="3:21">
      <c r="C466" s="314"/>
      <c r="G466" s="167"/>
      <c r="J466" s="314"/>
      <c r="K466" s="314"/>
      <c r="M466" s="350"/>
      <c r="O466" s="225"/>
      <c r="R466" s="314"/>
      <c r="T466" s="498"/>
      <c r="U466" s="521"/>
    </row>
    <row r="467" spans="3:21">
      <c r="C467" s="314"/>
      <c r="G467" s="167"/>
      <c r="J467" s="314"/>
      <c r="K467" s="314"/>
      <c r="M467" s="350"/>
      <c r="O467" s="225"/>
      <c r="R467" s="314"/>
      <c r="T467" s="498"/>
      <c r="U467" s="521"/>
    </row>
    <row r="468" spans="3:21">
      <c r="C468" s="314"/>
      <c r="G468" s="167"/>
      <c r="J468" s="314"/>
      <c r="K468" s="314"/>
      <c r="M468" s="350"/>
      <c r="O468" s="225"/>
      <c r="R468" s="314"/>
      <c r="T468" s="498"/>
      <c r="U468" s="521"/>
    </row>
    <row r="469" spans="3:21">
      <c r="C469" s="314"/>
      <c r="G469" s="167"/>
      <c r="J469" s="314"/>
      <c r="K469" s="314"/>
      <c r="M469" s="350"/>
      <c r="O469" s="225"/>
      <c r="R469" s="314"/>
      <c r="T469" s="498"/>
      <c r="U469" s="521"/>
    </row>
    <row r="470" spans="3:21">
      <c r="C470" s="314"/>
      <c r="G470" s="167"/>
      <c r="J470" s="314"/>
      <c r="K470" s="314"/>
      <c r="M470" s="350"/>
      <c r="O470" s="225"/>
      <c r="R470" s="314"/>
      <c r="T470" s="498"/>
      <c r="U470" s="521"/>
    </row>
    <row r="471" spans="3:21">
      <c r="C471" s="314"/>
      <c r="G471" s="167"/>
      <c r="J471" s="314"/>
      <c r="K471" s="314"/>
      <c r="M471" s="350"/>
      <c r="O471" s="225"/>
      <c r="R471" s="314"/>
      <c r="T471" s="498"/>
      <c r="U471" s="521"/>
    </row>
    <row r="472" spans="3:21">
      <c r="C472" s="314"/>
      <c r="G472" s="167"/>
      <c r="J472" s="314"/>
      <c r="K472" s="314"/>
      <c r="M472" s="350"/>
      <c r="O472" s="225"/>
      <c r="R472" s="314"/>
      <c r="T472" s="498"/>
      <c r="U472" s="521"/>
    </row>
    <row r="473" spans="3:21">
      <c r="C473" s="314"/>
      <c r="G473" s="167"/>
      <c r="J473" s="314"/>
      <c r="K473" s="314"/>
      <c r="M473" s="350"/>
      <c r="O473" s="225"/>
      <c r="R473" s="314"/>
      <c r="T473" s="498"/>
      <c r="U473" s="521"/>
    </row>
    <row r="474" spans="3:21">
      <c r="C474" s="314"/>
      <c r="G474" s="167"/>
      <c r="J474" s="314"/>
      <c r="K474" s="314"/>
      <c r="M474" s="350"/>
      <c r="O474" s="225"/>
      <c r="R474" s="314"/>
      <c r="T474" s="498"/>
      <c r="U474" s="521"/>
    </row>
    <row r="475" spans="3:21">
      <c r="C475" s="314"/>
      <c r="G475" s="167"/>
      <c r="J475" s="314"/>
      <c r="K475" s="314"/>
      <c r="M475" s="350"/>
      <c r="O475" s="225"/>
      <c r="R475" s="314"/>
      <c r="T475" s="498"/>
      <c r="U475" s="521"/>
    </row>
    <row r="476" spans="3:21">
      <c r="C476" s="314"/>
      <c r="G476" s="167"/>
      <c r="J476" s="314"/>
      <c r="K476" s="314"/>
      <c r="M476" s="350"/>
      <c r="O476" s="225"/>
      <c r="R476" s="314"/>
      <c r="T476" s="498"/>
      <c r="U476" s="521"/>
    </row>
    <row r="477" spans="3:21">
      <c r="C477" s="314"/>
      <c r="G477" s="167"/>
      <c r="J477" s="314"/>
      <c r="K477" s="314"/>
      <c r="M477" s="350"/>
      <c r="O477" s="225"/>
      <c r="R477" s="314"/>
      <c r="T477" s="498"/>
      <c r="U477" s="521"/>
    </row>
    <row r="478" spans="3:21">
      <c r="C478" s="314"/>
      <c r="G478" s="167"/>
      <c r="J478" s="314"/>
      <c r="K478" s="314"/>
      <c r="M478" s="350"/>
      <c r="O478" s="225"/>
      <c r="R478" s="314"/>
      <c r="T478" s="498"/>
      <c r="U478" s="521"/>
    </row>
    <row r="479" spans="3:21">
      <c r="C479" s="314"/>
      <c r="G479" s="167"/>
      <c r="J479" s="314"/>
      <c r="K479" s="314"/>
      <c r="M479" s="350"/>
      <c r="O479" s="225"/>
      <c r="R479" s="314"/>
      <c r="T479" s="498"/>
      <c r="U479" s="521"/>
    </row>
    <row r="480" spans="3:21">
      <c r="C480" s="314"/>
      <c r="G480" s="167"/>
      <c r="J480" s="314"/>
      <c r="K480" s="314"/>
      <c r="M480" s="350"/>
      <c r="O480" s="225"/>
      <c r="R480" s="314"/>
      <c r="T480" s="498"/>
      <c r="U480" s="521"/>
    </row>
    <row r="481" spans="3:21">
      <c r="C481" s="314"/>
      <c r="G481" s="167"/>
      <c r="J481" s="314"/>
      <c r="K481" s="314"/>
      <c r="M481" s="350"/>
      <c r="O481" s="225"/>
      <c r="R481" s="314"/>
      <c r="T481" s="498"/>
      <c r="U481" s="521"/>
    </row>
    <row r="482" spans="3:21">
      <c r="C482" s="314"/>
      <c r="G482" s="167"/>
      <c r="J482" s="314"/>
      <c r="K482" s="314"/>
      <c r="M482" s="350"/>
      <c r="O482" s="225"/>
      <c r="R482" s="314"/>
      <c r="T482" s="498"/>
      <c r="U482" s="521"/>
    </row>
    <row r="483" spans="3:21">
      <c r="C483" s="314"/>
      <c r="G483" s="167"/>
      <c r="J483" s="314"/>
      <c r="K483" s="314"/>
      <c r="M483" s="350"/>
      <c r="O483" s="225"/>
      <c r="R483" s="314"/>
      <c r="T483" s="498"/>
      <c r="U483" s="521"/>
    </row>
    <row r="484" spans="3:21">
      <c r="C484" s="314"/>
      <c r="G484" s="167"/>
      <c r="J484" s="314"/>
      <c r="K484" s="314"/>
      <c r="M484" s="350"/>
      <c r="O484" s="225"/>
      <c r="R484" s="314"/>
      <c r="T484" s="498"/>
      <c r="U484" s="521"/>
    </row>
    <row r="485" spans="3:21">
      <c r="C485" s="314"/>
      <c r="G485" s="167"/>
      <c r="J485" s="314"/>
      <c r="K485" s="314"/>
      <c r="M485" s="350"/>
      <c r="O485" s="225"/>
      <c r="R485" s="314"/>
      <c r="T485" s="498"/>
      <c r="U485" s="521"/>
    </row>
    <row r="486" spans="3:21">
      <c r="C486" s="314"/>
      <c r="G486" s="167"/>
      <c r="J486" s="314"/>
      <c r="K486" s="314"/>
      <c r="M486" s="350"/>
      <c r="O486" s="225"/>
      <c r="R486" s="314"/>
      <c r="T486" s="498"/>
      <c r="U486" s="521"/>
    </row>
    <row r="487" spans="3:21">
      <c r="C487" s="314"/>
      <c r="G487" s="167"/>
      <c r="J487" s="314"/>
      <c r="K487" s="314"/>
      <c r="M487" s="350"/>
      <c r="O487" s="225"/>
      <c r="R487" s="314"/>
      <c r="T487" s="498"/>
      <c r="U487" s="521"/>
    </row>
    <row r="488" spans="3:21">
      <c r="C488" s="314"/>
      <c r="G488" s="167"/>
      <c r="J488" s="314"/>
      <c r="K488" s="314"/>
      <c r="M488" s="350"/>
      <c r="O488" s="225"/>
      <c r="R488" s="314"/>
      <c r="T488" s="498"/>
      <c r="U488" s="521"/>
    </row>
    <row r="489" spans="3:21">
      <c r="C489" s="314"/>
      <c r="G489" s="167"/>
      <c r="J489" s="314"/>
      <c r="K489" s="314"/>
      <c r="M489" s="350"/>
      <c r="O489" s="225"/>
      <c r="R489" s="314"/>
      <c r="T489" s="498"/>
      <c r="U489" s="521"/>
    </row>
    <row r="490" spans="3:21">
      <c r="C490" s="314"/>
      <c r="G490" s="167"/>
      <c r="J490" s="314"/>
      <c r="K490" s="314"/>
      <c r="M490" s="350"/>
      <c r="O490" s="225"/>
      <c r="R490" s="314"/>
      <c r="T490" s="498"/>
      <c r="U490" s="521"/>
    </row>
    <row r="491" spans="3:21">
      <c r="C491" s="314"/>
      <c r="G491" s="167"/>
      <c r="J491" s="314"/>
      <c r="K491" s="314"/>
      <c r="M491" s="350"/>
      <c r="O491" s="225"/>
      <c r="R491" s="314"/>
      <c r="T491" s="498"/>
      <c r="U491" s="521"/>
    </row>
    <row r="492" spans="3:21">
      <c r="C492" s="314"/>
      <c r="G492" s="167"/>
      <c r="J492" s="314"/>
      <c r="K492" s="314"/>
      <c r="M492" s="350"/>
      <c r="O492" s="225"/>
      <c r="R492" s="314"/>
      <c r="T492" s="498"/>
      <c r="U492" s="521"/>
    </row>
    <row r="493" spans="3:21">
      <c r="C493" s="314"/>
      <c r="G493" s="167"/>
      <c r="J493" s="314"/>
      <c r="K493" s="314"/>
      <c r="M493" s="350"/>
      <c r="O493" s="225"/>
      <c r="R493" s="314"/>
      <c r="T493" s="498"/>
      <c r="U493" s="521"/>
    </row>
    <row r="494" spans="3:21">
      <c r="C494" s="314"/>
      <c r="G494" s="167"/>
      <c r="J494" s="314"/>
      <c r="K494" s="314"/>
      <c r="M494" s="350"/>
      <c r="O494" s="225"/>
      <c r="R494" s="314"/>
      <c r="T494" s="498"/>
      <c r="U494" s="521"/>
    </row>
    <row r="495" spans="3:21">
      <c r="C495" s="314"/>
      <c r="G495" s="167"/>
      <c r="J495" s="314"/>
      <c r="K495" s="314"/>
      <c r="M495" s="350"/>
      <c r="O495" s="225"/>
      <c r="R495" s="314"/>
      <c r="T495" s="498"/>
      <c r="U495" s="521"/>
    </row>
    <row r="496" spans="3:21">
      <c r="C496" s="314"/>
      <c r="G496" s="167"/>
      <c r="J496" s="314"/>
      <c r="K496" s="314"/>
      <c r="M496" s="350"/>
      <c r="O496" s="225"/>
      <c r="R496" s="314"/>
      <c r="T496" s="498"/>
      <c r="U496" s="521"/>
    </row>
    <row r="497" spans="3:21">
      <c r="C497" s="314"/>
      <c r="G497" s="167"/>
      <c r="J497" s="314"/>
      <c r="K497" s="314"/>
      <c r="M497" s="350"/>
      <c r="O497" s="225"/>
      <c r="R497" s="314"/>
      <c r="T497" s="498"/>
      <c r="U497" s="521"/>
    </row>
    <row r="498" spans="3:21">
      <c r="C498" s="314"/>
      <c r="G498" s="167"/>
      <c r="J498" s="314"/>
      <c r="K498" s="314"/>
      <c r="M498" s="350"/>
      <c r="O498" s="225"/>
      <c r="R498" s="314"/>
      <c r="T498" s="498"/>
      <c r="U498" s="521"/>
    </row>
    <row r="499" spans="3:21">
      <c r="C499" s="314"/>
      <c r="G499" s="167"/>
      <c r="J499" s="314"/>
      <c r="K499" s="314"/>
      <c r="M499" s="350"/>
      <c r="O499" s="225"/>
      <c r="R499" s="314"/>
      <c r="T499" s="498"/>
      <c r="U499" s="521"/>
    </row>
    <row r="500" spans="3:21">
      <c r="C500" s="314"/>
      <c r="G500" s="167"/>
      <c r="J500" s="314"/>
      <c r="K500" s="314"/>
      <c r="M500" s="350"/>
      <c r="O500" s="225"/>
      <c r="R500" s="314"/>
      <c r="T500" s="498"/>
      <c r="U500" s="521"/>
    </row>
    <row r="501" spans="3:21">
      <c r="C501" s="314"/>
      <c r="G501" s="167"/>
      <c r="J501" s="314"/>
      <c r="K501" s="314"/>
      <c r="M501" s="350"/>
      <c r="O501" s="225"/>
      <c r="R501" s="314"/>
      <c r="T501" s="498"/>
      <c r="U501" s="521"/>
    </row>
    <row r="502" spans="3:21">
      <c r="C502" s="314"/>
      <c r="G502" s="167"/>
      <c r="J502" s="314"/>
      <c r="K502" s="314"/>
      <c r="M502" s="350"/>
      <c r="O502" s="225"/>
      <c r="R502" s="314"/>
      <c r="T502" s="498"/>
      <c r="U502" s="521"/>
    </row>
    <row r="503" spans="3:21">
      <c r="C503" s="314"/>
      <c r="G503" s="167"/>
      <c r="J503" s="314"/>
      <c r="K503" s="314"/>
      <c r="M503" s="350"/>
      <c r="O503" s="225"/>
      <c r="R503" s="314"/>
      <c r="T503" s="498"/>
      <c r="U503" s="521"/>
    </row>
    <row r="504" spans="3:21">
      <c r="C504" s="314"/>
      <c r="G504" s="167"/>
      <c r="J504" s="314"/>
      <c r="K504" s="314"/>
      <c r="M504" s="350"/>
      <c r="O504" s="225"/>
      <c r="R504" s="314"/>
      <c r="T504" s="498"/>
      <c r="U504" s="521"/>
    </row>
    <row r="505" spans="3:21">
      <c r="C505" s="314"/>
      <c r="G505" s="167"/>
      <c r="J505" s="314"/>
      <c r="K505" s="314"/>
      <c r="M505" s="350"/>
      <c r="O505" s="225"/>
      <c r="R505" s="314"/>
      <c r="T505" s="498"/>
      <c r="U505" s="521"/>
    </row>
    <row r="506" spans="3:21">
      <c r="C506" s="314"/>
      <c r="G506" s="167"/>
      <c r="J506" s="314"/>
      <c r="K506" s="314"/>
      <c r="M506" s="350"/>
      <c r="O506" s="225"/>
      <c r="R506" s="314"/>
      <c r="T506" s="498"/>
      <c r="U506" s="521"/>
    </row>
    <row r="507" spans="3:21">
      <c r="C507" s="314"/>
      <c r="G507" s="167"/>
      <c r="J507" s="314"/>
      <c r="K507" s="314"/>
      <c r="M507" s="350"/>
      <c r="O507" s="225"/>
      <c r="R507" s="314"/>
      <c r="T507" s="498"/>
      <c r="U507" s="521"/>
    </row>
    <row r="508" spans="3:21">
      <c r="C508" s="314"/>
      <c r="G508" s="167"/>
      <c r="J508" s="314"/>
      <c r="K508" s="314"/>
      <c r="M508" s="350"/>
      <c r="O508" s="225"/>
      <c r="R508" s="314"/>
      <c r="T508" s="498"/>
      <c r="U508" s="521"/>
    </row>
    <row r="509" spans="3:21">
      <c r="C509" s="314"/>
      <c r="G509" s="167"/>
      <c r="J509" s="314"/>
      <c r="K509" s="314"/>
      <c r="M509" s="350"/>
      <c r="O509" s="225"/>
      <c r="R509" s="314"/>
      <c r="T509" s="498"/>
      <c r="U509" s="521"/>
    </row>
    <row r="510" spans="3:21">
      <c r="C510" s="314"/>
      <c r="G510" s="167"/>
      <c r="J510" s="314"/>
      <c r="K510" s="314"/>
      <c r="M510" s="350"/>
      <c r="O510" s="225"/>
      <c r="R510" s="314"/>
      <c r="T510" s="498"/>
      <c r="U510" s="521"/>
    </row>
    <row r="511" spans="3:21">
      <c r="C511" s="314"/>
      <c r="G511" s="167"/>
      <c r="J511" s="314"/>
      <c r="K511" s="314"/>
      <c r="M511" s="350"/>
      <c r="O511" s="225"/>
      <c r="R511" s="314"/>
      <c r="T511" s="498"/>
      <c r="U511" s="521"/>
    </row>
    <row r="512" spans="3:21">
      <c r="C512" s="314"/>
      <c r="G512" s="167"/>
      <c r="J512" s="314"/>
      <c r="K512" s="314"/>
      <c r="M512" s="350"/>
      <c r="O512" s="225"/>
      <c r="R512" s="314"/>
      <c r="T512" s="498"/>
      <c r="U512" s="521"/>
    </row>
    <row r="513" spans="3:21">
      <c r="C513" s="314"/>
      <c r="G513" s="167"/>
      <c r="J513" s="314"/>
      <c r="K513" s="314"/>
      <c r="M513" s="350"/>
      <c r="O513" s="225"/>
      <c r="R513" s="314"/>
      <c r="T513" s="498"/>
      <c r="U513" s="521"/>
    </row>
    <row r="514" spans="3:21">
      <c r="C514" s="314"/>
      <c r="G514" s="167"/>
      <c r="J514" s="314"/>
      <c r="K514" s="314"/>
      <c r="M514" s="350"/>
      <c r="O514" s="225"/>
      <c r="R514" s="314"/>
      <c r="T514" s="498"/>
      <c r="U514" s="521"/>
    </row>
    <row r="515" spans="3:21">
      <c r="C515" s="314"/>
      <c r="G515" s="167"/>
      <c r="J515" s="314"/>
      <c r="K515" s="314"/>
      <c r="M515" s="350"/>
      <c r="O515" s="225"/>
      <c r="R515" s="314"/>
      <c r="T515" s="498"/>
      <c r="U515" s="521"/>
    </row>
    <row r="516" spans="3:21">
      <c r="C516" s="314"/>
      <c r="G516" s="167"/>
      <c r="J516" s="314"/>
      <c r="K516" s="314"/>
      <c r="M516" s="350"/>
      <c r="O516" s="225"/>
      <c r="R516" s="314"/>
      <c r="T516" s="498"/>
      <c r="U516" s="521"/>
    </row>
    <row r="517" spans="3:21">
      <c r="C517" s="314"/>
      <c r="G517" s="167"/>
      <c r="J517" s="314"/>
      <c r="K517" s="314"/>
      <c r="M517" s="350"/>
      <c r="O517" s="225"/>
      <c r="R517" s="314"/>
      <c r="T517" s="498"/>
      <c r="U517" s="521"/>
    </row>
    <row r="518" spans="3:21">
      <c r="C518" s="314"/>
      <c r="G518" s="167"/>
      <c r="J518" s="314"/>
      <c r="K518" s="314"/>
      <c r="M518" s="350"/>
      <c r="O518" s="225"/>
      <c r="R518" s="314"/>
      <c r="T518" s="498"/>
      <c r="U518" s="521"/>
    </row>
    <row r="519" spans="3:21">
      <c r="C519" s="314"/>
      <c r="G519" s="167"/>
      <c r="J519" s="314"/>
      <c r="K519" s="314"/>
      <c r="M519" s="350"/>
      <c r="O519" s="225"/>
      <c r="R519" s="314"/>
      <c r="T519" s="498"/>
      <c r="U519" s="521"/>
    </row>
    <row r="520" spans="3:21">
      <c r="C520" s="314"/>
      <c r="G520" s="167"/>
      <c r="J520" s="314"/>
      <c r="K520" s="314"/>
      <c r="M520" s="350"/>
      <c r="O520" s="225"/>
      <c r="R520" s="314"/>
      <c r="T520" s="498"/>
      <c r="U520" s="521"/>
    </row>
    <row r="521" spans="3:21">
      <c r="C521" s="314"/>
      <c r="G521" s="167"/>
      <c r="J521" s="314"/>
      <c r="K521" s="314"/>
      <c r="M521" s="350"/>
      <c r="O521" s="225"/>
      <c r="R521" s="314"/>
      <c r="T521" s="498"/>
      <c r="U521" s="521"/>
    </row>
    <row r="522" spans="3:21">
      <c r="C522" s="314"/>
      <c r="G522" s="167"/>
      <c r="J522" s="314"/>
      <c r="K522" s="314"/>
      <c r="M522" s="350"/>
      <c r="O522" s="225"/>
      <c r="R522" s="314"/>
      <c r="T522" s="498"/>
      <c r="U522" s="521"/>
    </row>
    <row r="523" spans="3:21">
      <c r="C523" s="314"/>
      <c r="G523" s="167"/>
      <c r="J523" s="314"/>
      <c r="K523" s="314"/>
      <c r="M523" s="350"/>
      <c r="O523" s="225"/>
      <c r="R523" s="314"/>
      <c r="T523" s="498"/>
      <c r="U523" s="521"/>
    </row>
    <row r="524" spans="3:21">
      <c r="C524" s="314"/>
      <c r="G524" s="167"/>
      <c r="J524" s="314"/>
      <c r="K524" s="314"/>
      <c r="M524" s="350"/>
      <c r="O524" s="225"/>
      <c r="R524" s="314"/>
      <c r="T524" s="498"/>
      <c r="U524" s="521"/>
    </row>
    <row r="525" spans="3:21">
      <c r="C525" s="314"/>
      <c r="G525" s="167"/>
      <c r="J525" s="314"/>
      <c r="K525" s="314"/>
      <c r="M525" s="350"/>
      <c r="O525" s="225"/>
      <c r="R525" s="314"/>
      <c r="T525" s="498"/>
      <c r="U525" s="521"/>
    </row>
    <row r="526" spans="3:21">
      <c r="C526" s="314"/>
      <c r="G526" s="167"/>
      <c r="J526" s="314"/>
      <c r="K526" s="314"/>
      <c r="M526" s="350"/>
      <c r="O526" s="225"/>
      <c r="R526" s="314"/>
      <c r="T526" s="498"/>
      <c r="U526" s="521"/>
    </row>
    <row r="527" spans="3:21">
      <c r="C527" s="314"/>
      <c r="G527" s="167"/>
      <c r="J527" s="314"/>
      <c r="K527" s="314"/>
      <c r="M527" s="350"/>
      <c r="O527" s="225"/>
      <c r="R527" s="314"/>
      <c r="T527" s="498"/>
      <c r="U527" s="521"/>
    </row>
    <row r="528" spans="3:21">
      <c r="C528" s="314"/>
      <c r="G528" s="167"/>
      <c r="J528" s="314"/>
      <c r="K528" s="314"/>
      <c r="M528" s="350"/>
      <c r="O528" s="225"/>
      <c r="R528" s="314"/>
      <c r="T528" s="498"/>
      <c r="U528" s="521"/>
    </row>
    <row r="529" spans="3:21">
      <c r="C529" s="314"/>
      <c r="G529" s="167"/>
      <c r="J529" s="314"/>
      <c r="K529" s="314"/>
      <c r="M529" s="350"/>
      <c r="O529" s="225"/>
      <c r="R529" s="314"/>
      <c r="T529" s="498"/>
      <c r="U529" s="521"/>
    </row>
    <row r="530" spans="3:21">
      <c r="C530" s="314"/>
      <c r="G530" s="167"/>
      <c r="J530" s="314"/>
      <c r="K530" s="314"/>
      <c r="M530" s="350"/>
      <c r="O530" s="225"/>
      <c r="R530" s="314"/>
      <c r="T530" s="498"/>
      <c r="U530" s="521"/>
    </row>
    <row r="531" spans="3:21">
      <c r="C531" s="314"/>
      <c r="G531" s="167"/>
      <c r="J531" s="314"/>
      <c r="K531" s="314"/>
      <c r="M531" s="350"/>
      <c r="O531" s="225"/>
      <c r="R531" s="314"/>
      <c r="T531" s="498"/>
      <c r="U531" s="521"/>
    </row>
    <row r="532" spans="3:21">
      <c r="C532" s="314"/>
      <c r="G532" s="167"/>
      <c r="J532" s="314"/>
      <c r="K532" s="314"/>
      <c r="M532" s="350"/>
      <c r="O532" s="225"/>
      <c r="R532" s="314"/>
      <c r="T532" s="498"/>
      <c r="U532" s="521"/>
    </row>
    <row r="533" spans="3:21">
      <c r="C533" s="314"/>
      <c r="G533" s="167"/>
      <c r="J533" s="314"/>
      <c r="K533" s="314"/>
      <c r="M533" s="350"/>
      <c r="O533" s="225"/>
      <c r="R533" s="314"/>
      <c r="T533" s="498"/>
      <c r="U533" s="521"/>
    </row>
    <row r="534" spans="3:21">
      <c r="C534" s="314"/>
      <c r="G534" s="167"/>
      <c r="J534" s="314"/>
      <c r="K534" s="314"/>
      <c r="M534" s="350"/>
      <c r="O534" s="225"/>
      <c r="R534" s="314"/>
      <c r="T534" s="498"/>
      <c r="U534" s="521"/>
    </row>
    <row r="535" spans="3:21">
      <c r="C535" s="314"/>
      <c r="G535" s="167"/>
      <c r="J535" s="314"/>
      <c r="K535" s="314"/>
      <c r="M535" s="350"/>
      <c r="O535" s="225"/>
      <c r="R535" s="314"/>
      <c r="T535" s="498"/>
      <c r="U535" s="521"/>
    </row>
    <row r="536" spans="3:21">
      <c r="C536" s="314"/>
      <c r="G536" s="167"/>
      <c r="J536" s="314"/>
      <c r="K536" s="314"/>
      <c r="M536" s="350"/>
      <c r="O536" s="225"/>
      <c r="R536" s="314"/>
      <c r="T536" s="498"/>
      <c r="U536" s="521"/>
    </row>
    <row r="537" spans="3:21">
      <c r="C537" s="314"/>
      <c r="G537" s="167"/>
      <c r="J537" s="314"/>
      <c r="K537" s="314"/>
      <c r="M537" s="350"/>
      <c r="O537" s="225"/>
      <c r="R537" s="314"/>
      <c r="T537" s="498"/>
      <c r="U537" s="521"/>
    </row>
    <row r="538" spans="3:21">
      <c r="C538" s="314"/>
      <c r="G538" s="167"/>
      <c r="J538" s="314"/>
      <c r="K538" s="314"/>
      <c r="M538" s="350"/>
      <c r="O538" s="225"/>
      <c r="R538" s="314"/>
      <c r="T538" s="498"/>
      <c r="U538" s="521"/>
    </row>
    <row r="539" spans="3:21">
      <c r="C539" s="314"/>
      <c r="G539" s="167"/>
      <c r="J539" s="314"/>
      <c r="K539" s="314"/>
      <c r="M539" s="350"/>
      <c r="O539" s="225"/>
      <c r="R539" s="314"/>
      <c r="T539" s="498"/>
      <c r="U539" s="521"/>
    </row>
    <row r="540" spans="3:21">
      <c r="C540" s="314"/>
      <c r="G540" s="167"/>
      <c r="J540" s="314"/>
      <c r="K540" s="314"/>
      <c r="M540" s="350"/>
      <c r="O540" s="225"/>
      <c r="R540" s="314"/>
      <c r="T540" s="498"/>
      <c r="U540" s="521"/>
    </row>
    <row r="541" spans="3:21">
      <c r="C541" s="314"/>
      <c r="G541" s="167"/>
      <c r="J541" s="314"/>
      <c r="K541" s="314"/>
      <c r="M541" s="350"/>
      <c r="O541" s="225"/>
      <c r="R541" s="314"/>
      <c r="T541" s="498"/>
      <c r="U541" s="521"/>
    </row>
    <row r="542" spans="3:21">
      <c r="C542" s="314"/>
      <c r="G542" s="167"/>
      <c r="J542" s="314"/>
      <c r="K542" s="314"/>
      <c r="M542" s="350"/>
      <c r="O542" s="225"/>
      <c r="R542" s="314"/>
      <c r="T542" s="498"/>
      <c r="U542" s="521"/>
    </row>
    <row r="543" spans="3:21">
      <c r="C543" s="314"/>
      <c r="G543" s="167"/>
      <c r="J543" s="314"/>
      <c r="K543" s="314"/>
      <c r="M543" s="350"/>
      <c r="O543" s="225"/>
      <c r="R543" s="314"/>
      <c r="T543" s="498"/>
      <c r="U543" s="521"/>
    </row>
    <row r="544" spans="3:21">
      <c r="C544" s="314"/>
      <c r="G544" s="167"/>
      <c r="J544" s="314"/>
      <c r="K544" s="314"/>
      <c r="M544" s="350"/>
      <c r="O544" s="225"/>
      <c r="R544" s="314"/>
      <c r="T544" s="498"/>
      <c r="U544" s="521"/>
    </row>
    <row r="545" spans="3:21">
      <c r="C545" s="314"/>
      <c r="G545" s="167"/>
      <c r="J545" s="314"/>
      <c r="K545" s="314"/>
      <c r="M545" s="350"/>
      <c r="O545" s="225"/>
      <c r="R545" s="314"/>
      <c r="T545" s="498"/>
      <c r="U545" s="521"/>
    </row>
    <row r="546" spans="3:21">
      <c r="C546" s="314"/>
      <c r="G546" s="167"/>
      <c r="J546" s="314"/>
      <c r="K546" s="314"/>
      <c r="M546" s="350"/>
      <c r="O546" s="225"/>
      <c r="R546" s="314"/>
      <c r="T546" s="498"/>
      <c r="U546" s="521"/>
    </row>
    <row r="547" spans="3:21">
      <c r="C547" s="314"/>
      <c r="G547" s="167"/>
      <c r="J547" s="314"/>
      <c r="K547" s="314"/>
      <c r="M547" s="350"/>
      <c r="O547" s="225"/>
      <c r="R547" s="314"/>
      <c r="T547" s="498"/>
      <c r="U547" s="521"/>
    </row>
    <row r="548" spans="3:21">
      <c r="C548" s="314"/>
      <c r="G548" s="167"/>
      <c r="J548" s="314"/>
      <c r="K548" s="314"/>
      <c r="M548" s="350"/>
      <c r="O548" s="225"/>
      <c r="R548" s="314"/>
      <c r="T548" s="498"/>
      <c r="U548" s="521"/>
    </row>
    <row r="549" spans="3:21">
      <c r="C549" s="314"/>
      <c r="G549" s="167"/>
      <c r="J549" s="314"/>
      <c r="K549" s="314"/>
      <c r="M549" s="350"/>
      <c r="O549" s="225"/>
      <c r="R549" s="314"/>
      <c r="T549" s="498"/>
      <c r="U549" s="521"/>
    </row>
    <row r="550" spans="3:21">
      <c r="C550" s="314"/>
      <c r="G550" s="167"/>
      <c r="J550" s="314"/>
      <c r="K550" s="314"/>
      <c r="M550" s="350"/>
      <c r="O550" s="225"/>
      <c r="R550" s="314"/>
      <c r="T550" s="498"/>
      <c r="U550" s="521"/>
    </row>
    <row r="551" spans="3:21">
      <c r="C551" s="314"/>
      <c r="G551" s="167"/>
      <c r="J551" s="314"/>
      <c r="K551" s="314"/>
      <c r="M551" s="350"/>
      <c r="O551" s="225"/>
      <c r="R551" s="314"/>
      <c r="T551" s="498"/>
      <c r="U551" s="521"/>
    </row>
    <row r="552" spans="3:21">
      <c r="C552" s="314"/>
      <c r="G552" s="167"/>
      <c r="J552" s="314"/>
      <c r="K552" s="314"/>
      <c r="M552" s="350"/>
      <c r="O552" s="225"/>
      <c r="R552" s="314"/>
      <c r="T552" s="498"/>
      <c r="U552" s="521"/>
    </row>
    <row r="553" spans="3:21">
      <c r="C553" s="314"/>
      <c r="G553" s="167"/>
      <c r="J553" s="314"/>
      <c r="K553" s="314"/>
      <c r="M553" s="350"/>
      <c r="O553" s="225"/>
      <c r="R553" s="314"/>
      <c r="T553" s="498"/>
      <c r="U553" s="521"/>
    </row>
    <row r="554" spans="3:21">
      <c r="C554" s="314"/>
      <c r="G554" s="167"/>
      <c r="J554" s="314"/>
      <c r="K554" s="314"/>
      <c r="M554" s="350"/>
      <c r="O554" s="225"/>
      <c r="R554" s="314"/>
      <c r="T554" s="498"/>
      <c r="U554" s="521"/>
    </row>
    <row r="555" spans="3:21">
      <c r="C555" s="314"/>
      <c r="G555" s="167"/>
      <c r="J555" s="314"/>
      <c r="K555" s="314"/>
      <c r="M555" s="350"/>
      <c r="O555" s="225"/>
      <c r="R555" s="314"/>
      <c r="T555" s="498"/>
      <c r="U555" s="521"/>
    </row>
    <row r="556" spans="3:21">
      <c r="C556" s="314"/>
      <c r="G556" s="167"/>
      <c r="J556" s="314"/>
      <c r="K556" s="314"/>
      <c r="M556" s="350"/>
      <c r="O556" s="225"/>
      <c r="R556" s="314"/>
      <c r="T556" s="498"/>
      <c r="U556" s="521"/>
    </row>
    <row r="557" spans="3:21">
      <c r="C557" s="314"/>
      <c r="G557" s="167"/>
      <c r="J557" s="314"/>
      <c r="K557" s="314"/>
      <c r="M557" s="350"/>
      <c r="O557" s="225"/>
      <c r="R557" s="314"/>
      <c r="T557" s="498"/>
      <c r="U557" s="521"/>
    </row>
    <row r="558" spans="3:21">
      <c r="C558" s="314"/>
      <c r="G558" s="167"/>
      <c r="J558" s="314"/>
      <c r="K558" s="314"/>
      <c r="M558" s="350"/>
      <c r="O558" s="225"/>
      <c r="R558" s="314"/>
      <c r="T558" s="498"/>
      <c r="U558" s="521"/>
    </row>
    <row r="559" spans="3:21">
      <c r="C559" s="314"/>
      <c r="G559" s="167"/>
      <c r="J559" s="314"/>
      <c r="K559" s="314"/>
      <c r="M559" s="350"/>
      <c r="O559" s="225"/>
      <c r="R559" s="314"/>
      <c r="T559" s="498"/>
      <c r="U559" s="521"/>
    </row>
    <row r="560" spans="3:21">
      <c r="C560" s="314"/>
      <c r="G560" s="167"/>
      <c r="J560" s="314"/>
      <c r="K560" s="314"/>
      <c r="M560" s="350"/>
      <c r="O560" s="225"/>
      <c r="R560" s="314"/>
      <c r="T560" s="498"/>
      <c r="U560" s="521"/>
    </row>
    <row r="561" spans="3:21">
      <c r="C561" s="314"/>
      <c r="G561" s="167"/>
      <c r="J561" s="314"/>
      <c r="K561" s="314"/>
      <c r="M561" s="350"/>
      <c r="O561" s="225"/>
      <c r="R561" s="314"/>
      <c r="T561" s="498"/>
      <c r="U561" s="521"/>
    </row>
    <row r="562" spans="3:21">
      <c r="C562" s="314"/>
      <c r="G562" s="167"/>
      <c r="J562" s="314"/>
      <c r="K562" s="314"/>
      <c r="M562" s="350"/>
      <c r="O562" s="225"/>
      <c r="R562" s="314"/>
      <c r="T562" s="498"/>
      <c r="U562" s="521"/>
    </row>
    <row r="563" spans="3:21">
      <c r="C563" s="314"/>
      <c r="G563" s="167"/>
      <c r="J563" s="314"/>
      <c r="K563" s="314"/>
      <c r="M563" s="350"/>
      <c r="O563" s="225"/>
      <c r="R563" s="314"/>
      <c r="T563" s="498"/>
      <c r="U563" s="521"/>
    </row>
    <row r="564" spans="3:21">
      <c r="C564" s="314"/>
      <c r="G564" s="167"/>
      <c r="J564" s="314"/>
      <c r="K564" s="314"/>
      <c r="M564" s="350"/>
      <c r="O564" s="225"/>
      <c r="R564" s="314"/>
      <c r="T564" s="498"/>
      <c r="U564" s="521"/>
    </row>
    <row r="565" spans="3:21">
      <c r="C565" s="314"/>
      <c r="G565" s="167"/>
      <c r="J565" s="314"/>
      <c r="K565" s="314"/>
      <c r="M565" s="350"/>
      <c r="O565" s="225"/>
      <c r="R565" s="314"/>
      <c r="T565" s="498"/>
      <c r="U565" s="521"/>
    </row>
    <row r="566" spans="3:21">
      <c r="C566" s="314"/>
      <c r="G566" s="167"/>
      <c r="J566" s="314"/>
      <c r="K566" s="314"/>
      <c r="M566" s="350"/>
      <c r="O566" s="225"/>
      <c r="R566" s="314"/>
      <c r="T566" s="498"/>
      <c r="U566" s="521"/>
    </row>
    <row r="567" spans="3:21">
      <c r="C567" s="314"/>
      <c r="G567" s="167"/>
      <c r="J567" s="314"/>
      <c r="K567" s="314"/>
      <c r="M567" s="350"/>
      <c r="O567" s="225"/>
      <c r="R567" s="314"/>
      <c r="T567" s="498"/>
      <c r="U567" s="521"/>
    </row>
    <row r="568" spans="3:21">
      <c r="C568" s="314"/>
      <c r="G568" s="167"/>
      <c r="J568" s="314"/>
      <c r="K568" s="314"/>
      <c r="M568" s="350"/>
      <c r="O568" s="225"/>
      <c r="R568" s="314"/>
      <c r="T568" s="498"/>
      <c r="U568" s="521"/>
    </row>
    <row r="569" spans="3:21">
      <c r="C569" s="314"/>
      <c r="G569" s="167"/>
      <c r="J569" s="314"/>
      <c r="K569" s="314"/>
      <c r="M569" s="350"/>
      <c r="O569" s="225"/>
      <c r="R569" s="314"/>
      <c r="T569" s="498"/>
      <c r="U569" s="521"/>
    </row>
    <row r="570" spans="3:21">
      <c r="C570" s="314"/>
      <c r="G570" s="167"/>
      <c r="J570" s="314"/>
      <c r="K570" s="314"/>
      <c r="M570" s="350"/>
      <c r="O570" s="225"/>
      <c r="R570" s="314"/>
      <c r="T570" s="498"/>
      <c r="U570" s="521"/>
    </row>
    <row r="571" spans="3:21">
      <c r="C571" s="314"/>
      <c r="G571" s="167"/>
      <c r="J571" s="314"/>
      <c r="K571" s="314"/>
      <c r="M571" s="350"/>
      <c r="O571" s="225"/>
      <c r="R571" s="314"/>
      <c r="T571" s="498"/>
      <c r="U571" s="521"/>
    </row>
    <row r="572" spans="3:21">
      <c r="C572" s="314"/>
      <c r="G572" s="167"/>
      <c r="J572" s="314"/>
      <c r="K572" s="314"/>
      <c r="M572" s="350"/>
      <c r="O572" s="225"/>
      <c r="R572" s="314"/>
      <c r="T572" s="498"/>
      <c r="U572" s="521"/>
    </row>
    <row r="573" spans="3:21">
      <c r="C573" s="314"/>
      <c r="G573" s="167"/>
      <c r="J573" s="314"/>
      <c r="K573" s="314"/>
      <c r="M573" s="350"/>
      <c r="O573" s="225"/>
      <c r="R573" s="314"/>
      <c r="T573" s="498"/>
      <c r="U573" s="521"/>
    </row>
    <row r="574" spans="3:21">
      <c r="C574" s="314"/>
      <c r="G574" s="167"/>
      <c r="J574" s="314"/>
      <c r="K574" s="314"/>
      <c r="M574" s="350"/>
      <c r="O574" s="225"/>
      <c r="R574" s="314"/>
      <c r="T574" s="498"/>
      <c r="U574" s="521"/>
    </row>
    <row r="575" spans="3:21">
      <c r="C575" s="314"/>
      <c r="G575" s="167"/>
      <c r="J575" s="314"/>
      <c r="K575" s="314"/>
      <c r="M575" s="350"/>
      <c r="O575" s="225"/>
      <c r="R575" s="314"/>
      <c r="T575" s="498"/>
      <c r="U575" s="521"/>
    </row>
    <row r="576" spans="3:21">
      <c r="C576" s="314"/>
      <c r="G576" s="167"/>
      <c r="J576" s="314"/>
      <c r="K576" s="314"/>
      <c r="M576" s="350"/>
      <c r="O576" s="225"/>
      <c r="R576" s="314"/>
      <c r="T576" s="498"/>
      <c r="U576" s="521"/>
    </row>
    <row r="577" spans="3:21">
      <c r="C577" s="314"/>
      <c r="G577" s="167"/>
      <c r="J577" s="314"/>
      <c r="K577" s="314"/>
      <c r="M577" s="350"/>
      <c r="O577" s="225"/>
      <c r="R577" s="314"/>
      <c r="T577" s="498"/>
      <c r="U577" s="521"/>
    </row>
    <row r="578" spans="3:21">
      <c r="C578" s="314"/>
      <c r="G578" s="167"/>
      <c r="J578" s="314"/>
      <c r="K578" s="314"/>
      <c r="M578" s="350"/>
      <c r="O578" s="225"/>
      <c r="R578" s="314"/>
      <c r="T578" s="498"/>
      <c r="U578" s="521"/>
    </row>
    <row r="579" spans="3:21">
      <c r="C579" s="314"/>
      <c r="G579" s="167"/>
      <c r="J579" s="314"/>
      <c r="K579" s="314"/>
      <c r="M579" s="350"/>
      <c r="O579" s="225"/>
      <c r="R579" s="314"/>
      <c r="T579" s="498"/>
      <c r="U579" s="521"/>
    </row>
    <row r="580" spans="3:21">
      <c r="C580" s="314"/>
      <c r="G580" s="167"/>
      <c r="J580" s="314"/>
      <c r="K580" s="314"/>
      <c r="M580" s="350"/>
      <c r="O580" s="225"/>
      <c r="R580" s="314"/>
      <c r="T580" s="498"/>
      <c r="U580" s="521"/>
    </row>
    <row r="581" spans="3:21">
      <c r="C581" s="314"/>
      <c r="G581" s="167"/>
      <c r="J581" s="314"/>
      <c r="K581" s="314"/>
      <c r="M581" s="350"/>
      <c r="O581" s="225"/>
      <c r="R581" s="314"/>
      <c r="T581" s="498"/>
      <c r="U581" s="521"/>
    </row>
    <row r="582" spans="3:21">
      <c r="C582" s="314"/>
      <c r="G582" s="167"/>
      <c r="J582" s="314"/>
      <c r="K582" s="314"/>
      <c r="M582" s="350"/>
      <c r="O582" s="225"/>
      <c r="R582" s="314"/>
      <c r="T582" s="498"/>
      <c r="U582" s="521"/>
    </row>
    <row r="583" spans="3:21">
      <c r="C583" s="314"/>
      <c r="G583" s="167"/>
      <c r="J583" s="314"/>
      <c r="K583" s="314"/>
      <c r="M583" s="350"/>
      <c r="O583" s="225"/>
      <c r="R583" s="314"/>
      <c r="T583" s="498"/>
      <c r="U583" s="521"/>
    </row>
    <row r="584" spans="3:21">
      <c r="C584" s="314"/>
      <c r="G584" s="167"/>
      <c r="J584" s="314"/>
      <c r="K584" s="314"/>
      <c r="M584" s="350"/>
      <c r="O584" s="225"/>
      <c r="R584" s="314"/>
      <c r="T584" s="498"/>
      <c r="U584" s="521"/>
    </row>
    <row r="585" spans="3:21">
      <c r="C585" s="314"/>
      <c r="G585" s="167"/>
      <c r="J585" s="314"/>
      <c r="K585" s="314"/>
      <c r="M585" s="350"/>
      <c r="O585" s="225"/>
      <c r="R585" s="314"/>
      <c r="T585" s="498"/>
      <c r="U585" s="521"/>
    </row>
    <row r="586" spans="3:21">
      <c r="C586" s="314"/>
      <c r="G586" s="167"/>
      <c r="J586" s="314"/>
      <c r="K586" s="314"/>
      <c r="M586" s="350"/>
      <c r="O586" s="225"/>
      <c r="R586" s="314"/>
      <c r="T586" s="498"/>
      <c r="U586" s="521"/>
    </row>
    <row r="587" spans="3:21">
      <c r="C587" s="314"/>
      <c r="G587" s="167"/>
      <c r="J587" s="314"/>
      <c r="K587" s="314"/>
      <c r="M587" s="350"/>
      <c r="O587" s="225"/>
      <c r="R587" s="314"/>
      <c r="T587" s="498"/>
      <c r="U587" s="521"/>
    </row>
    <row r="588" spans="3:21">
      <c r="C588" s="314"/>
      <c r="G588" s="167"/>
      <c r="J588" s="314"/>
      <c r="K588" s="314"/>
      <c r="M588" s="350"/>
      <c r="O588" s="225"/>
      <c r="R588" s="314"/>
      <c r="T588" s="498"/>
      <c r="U588" s="521"/>
    </row>
    <row r="589" spans="3:21">
      <c r="C589" s="314"/>
      <c r="G589" s="167"/>
      <c r="J589" s="314"/>
      <c r="K589" s="314"/>
      <c r="M589" s="350"/>
      <c r="O589" s="225"/>
      <c r="R589" s="314"/>
      <c r="T589" s="498"/>
      <c r="U589" s="521"/>
    </row>
    <row r="590" spans="3:21">
      <c r="C590" s="314"/>
      <c r="G590" s="167"/>
      <c r="J590" s="314"/>
      <c r="K590" s="314"/>
      <c r="M590" s="350"/>
      <c r="O590" s="225"/>
      <c r="R590" s="314"/>
      <c r="T590" s="498"/>
      <c r="U590" s="521"/>
    </row>
    <row r="591" spans="3:21">
      <c r="C591" s="314"/>
      <c r="G591" s="167"/>
      <c r="J591" s="314"/>
      <c r="K591" s="314"/>
      <c r="M591" s="350"/>
      <c r="O591" s="225"/>
      <c r="R591" s="314"/>
      <c r="T591" s="498"/>
      <c r="U591" s="521"/>
    </row>
    <row r="592" spans="3:21">
      <c r="C592" s="314"/>
      <c r="G592" s="167"/>
      <c r="J592" s="314"/>
      <c r="K592" s="314"/>
      <c r="M592" s="350"/>
      <c r="O592" s="225"/>
      <c r="R592" s="314"/>
      <c r="T592" s="498"/>
      <c r="U592" s="521"/>
    </row>
    <row r="593" spans="3:21">
      <c r="C593" s="314"/>
      <c r="G593" s="167"/>
      <c r="J593" s="314"/>
      <c r="K593" s="314"/>
      <c r="M593" s="350"/>
      <c r="O593" s="225"/>
      <c r="R593" s="314"/>
      <c r="T593" s="498"/>
      <c r="U593" s="521"/>
    </row>
    <row r="594" spans="3:21">
      <c r="C594" s="314"/>
      <c r="G594" s="167"/>
      <c r="J594" s="314"/>
      <c r="K594" s="314"/>
      <c r="M594" s="350"/>
      <c r="O594" s="225"/>
      <c r="R594" s="314"/>
      <c r="T594" s="498"/>
      <c r="U594" s="521"/>
    </row>
    <row r="595" spans="3:21">
      <c r="C595" s="314"/>
      <c r="G595" s="167"/>
      <c r="J595" s="314"/>
      <c r="K595" s="314"/>
      <c r="M595" s="350"/>
      <c r="O595" s="225"/>
      <c r="R595" s="314"/>
      <c r="T595" s="498"/>
      <c r="U595" s="521"/>
    </row>
    <row r="596" spans="3:21">
      <c r="C596" s="314"/>
      <c r="G596" s="167"/>
      <c r="J596" s="314"/>
      <c r="K596" s="314"/>
      <c r="M596" s="350"/>
      <c r="O596" s="225"/>
      <c r="R596" s="314"/>
      <c r="T596" s="498"/>
      <c r="U596" s="521"/>
    </row>
    <row r="597" spans="3:21">
      <c r="C597" s="314"/>
      <c r="G597" s="167"/>
      <c r="J597" s="314"/>
      <c r="K597" s="314"/>
      <c r="M597" s="350"/>
      <c r="O597" s="225"/>
      <c r="R597" s="314"/>
      <c r="T597" s="498"/>
      <c r="U597" s="521"/>
    </row>
    <row r="598" spans="3:21">
      <c r="C598" s="314"/>
      <c r="G598" s="167"/>
      <c r="J598" s="314"/>
      <c r="K598" s="314"/>
      <c r="M598" s="350"/>
      <c r="O598" s="225"/>
      <c r="R598" s="314"/>
      <c r="T598" s="498"/>
      <c r="U598" s="521"/>
    </row>
    <row r="599" spans="3:21">
      <c r="C599" s="314"/>
      <c r="G599" s="167"/>
      <c r="J599" s="314"/>
      <c r="K599" s="314"/>
      <c r="M599" s="350"/>
      <c r="O599" s="225"/>
      <c r="R599" s="314"/>
      <c r="T599" s="498"/>
      <c r="U599" s="521"/>
    </row>
    <row r="600" spans="3:21">
      <c r="C600" s="314"/>
      <c r="G600" s="167"/>
      <c r="J600" s="314"/>
      <c r="K600" s="314"/>
      <c r="M600" s="350"/>
      <c r="O600" s="225"/>
      <c r="R600" s="314"/>
      <c r="T600" s="498"/>
      <c r="U600" s="521"/>
    </row>
    <row r="601" spans="3:21">
      <c r="C601" s="314"/>
      <c r="G601" s="167"/>
      <c r="J601" s="314"/>
      <c r="K601" s="314"/>
      <c r="M601" s="350"/>
      <c r="O601" s="225"/>
      <c r="R601" s="314"/>
      <c r="T601" s="498"/>
      <c r="U601" s="521"/>
    </row>
    <row r="602" spans="3:21">
      <c r="C602" s="314"/>
      <c r="G602" s="167"/>
      <c r="J602" s="314"/>
      <c r="K602" s="314"/>
      <c r="M602" s="350"/>
      <c r="O602" s="225"/>
      <c r="R602" s="314"/>
      <c r="T602" s="498"/>
      <c r="U602" s="521"/>
    </row>
    <row r="603" spans="3:21">
      <c r="C603" s="314"/>
      <c r="G603" s="167"/>
      <c r="J603" s="314"/>
      <c r="K603" s="314"/>
      <c r="M603" s="350"/>
      <c r="O603" s="225"/>
      <c r="R603" s="314"/>
      <c r="T603" s="498"/>
      <c r="U603" s="521"/>
    </row>
    <row r="604" spans="3:21">
      <c r="C604" s="314"/>
      <c r="G604" s="167"/>
      <c r="J604" s="314"/>
      <c r="K604" s="314"/>
      <c r="M604" s="350"/>
      <c r="O604" s="225"/>
      <c r="R604" s="314"/>
      <c r="T604" s="498"/>
      <c r="U604" s="521"/>
    </row>
    <row r="605" spans="3:21">
      <c r="C605" s="314"/>
      <c r="G605" s="167"/>
      <c r="J605" s="314"/>
      <c r="K605" s="314"/>
      <c r="M605" s="350"/>
      <c r="O605" s="225"/>
      <c r="R605" s="314"/>
      <c r="T605" s="498"/>
      <c r="U605" s="521"/>
    </row>
    <row r="606" spans="3:21">
      <c r="C606" s="314"/>
      <c r="G606" s="167"/>
      <c r="J606" s="314"/>
      <c r="K606" s="314"/>
      <c r="M606" s="350"/>
      <c r="O606" s="225"/>
      <c r="R606" s="314"/>
      <c r="T606" s="498"/>
      <c r="U606" s="521"/>
    </row>
    <row r="607" spans="3:21">
      <c r="C607" s="314"/>
      <c r="G607" s="167"/>
      <c r="J607" s="314"/>
      <c r="K607" s="314"/>
      <c r="M607" s="350"/>
      <c r="O607" s="225"/>
      <c r="R607" s="314"/>
      <c r="T607" s="498"/>
      <c r="U607" s="521"/>
    </row>
    <row r="608" spans="3:21">
      <c r="C608" s="314"/>
      <c r="G608" s="167"/>
      <c r="J608" s="314"/>
      <c r="K608" s="314"/>
      <c r="M608" s="350"/>
      <c r="O608" s="225"/>
      <c r="R608" s="314"/>
      <c r="T608" s="498"/>
      <c r="U608" s="521"/>
    </row>
    <row r="609" spans="3:21">
      <c r="C609" s="314"/>
      <c r="G609" s="167"/>
      <c r="J609" s="314"/>
      <c r="K609" s="314"/>
      <c r="M609" s="350"/>
      <c r="O609" s="225"/>
      <c r="R609" s="314"/>
      <c r="T609" s="498"/>
      <c r="U609" s="521"/>
    </row>
    <row r="610" spans="3:21">
      <c r="C610" s="314"/>
      <c r="G610" s="167"/>
      <c r="J610" s="314"/>
      <c r="K610" s="314"/>
      <c r="M610" s="350"/>
      <c r="O610" s="225"/>
      <c r="R610" s="314"/>
      <c r="T610" s="498"/>
      <c r="U610" s="521"/>
    </row>
    <row r="611" spans="3:21">
      <c r="C611" s="314"/>
      <c r="G611" s="167"/>
      <c r="J611" s="314"/>
      <c r="K611" s="314"/>
      <c r="M611" s="350"/>
      <c r="O611" s="225"/>
      <c r="R611" s="314"/>
      <c r="T611" s="498"/>
      <c r="U611" s="521"/>
    </row>
    <row r="612" spans="3:21">
      <c r="C612" s="314"/>
      <c r="G612" s="167"/>
      <c r="J612" s="314"/>
      <c r="K612" s="314"/>
      <c r="M612" s="350"/>
      <c r="O612" s="225"/>
      <c r="R612" s="314"/>
      <c r="T612" s="498"/>
      <c r="U612" s="521"/>
    </row>
    <row r="613" spans="3:21">
      <c r="C613" s="314"/>
      <c r="G613" s="167"/>
      <c r="J613" s="314"/>
      <c r="K613" s="314"/>
      <c r="M613" s="350"/>
      <c r="O613" s="225"/>
      <c r="R613" s="314"/>
      <c r="T613" s="498"/>
      <c r="U613" s="521"/>
    </row>
    <row r="614" spans="3:21">
      <c r="C614" s="314"/>
      <c r="G614" s="167"/>
      <c r="J614" s="314"/>
      <c r="K614" s="314"/>
      <c r="M614" s="350"/>
      <c r="O614" s="225"/>
      <c r="R614" s="314"/>
      <c r="T614" s="498"/>
      <c r="U614" s="521"/>
    </row>
    <row r="615" spans="3:21">
      <c r="C615" s="314"/>
      <c r="G615" s="167"/>
      <c r="J615" s="314"/>
      <c r="K615" s="314"/>
      <c r="M615" s="350"/>
      <c r="O615" s="225"/>
      <c r="R615" s="314"/>
      <c r="T615" s="498"/>
      <c r="U615" s="521"/>
    </row>
    <row r="616" spans="3:21">
      <c r="C616" s="314"/>
      <c r="G616" s="167"/>
      <c r="J616" s="314"/>
      <c r="K616" s="314"/>
      <c r="M616" s="350"/>
      <c r="O616" s="225"/>
      <c r="R616" s="314"/>
      <c r="T616" s="498"/>
      <c r="U616" s="521"/>
    </row>
    <row r="617" spans="3:21">
      <c r="C617" s="314"/>
      <c r="G617" s="167"/>
      <c r="J617" s="314"/>
      <c r="K617" s="314"/>
      <c r="M617" s="350"/>
      <c r="O617" s="225"/>
      <c r="R617" s="314"/>
      <c r="T617" s="498"/>
      <c r="U617" s="521"/>
    </row>
    <row r="618" spans="3:21">
      <c r="C618" s="314"/>
      <c r="G618" s="167"/>
      <c r="J618" s="314"/>
      <c r="K618" s="314"/>
      <c r="M618" s="350"/>
      <c r="O618" s="225"/>
      <c r="R618" s="314"/>
      <c r="T618" s="498"/>
      <c r="U618" s="521"/>
    </row>
    <row r="619" spans="3:21">
      <c r="C619" s="314"/>
      <c r="G619" s="167"/>
      <c r="J619" s="314"/>
      <c r="K619" s="314"/>
      <c r="M619" s="350"/>
      <c r="O619" s="225"/>
      <c r="R619" s="314"/>
      <c r="T619" s="498"/>
      <c r="U619" s="521"/>
    </row>
    <row r="620" spans="3:21">
      <c r="C620" s="314"/>
      <c r="G620" s="167"/>
      <c r="J620" s="314"/>
      <c r="K620" s="314"/>
      <c r="M620" s="350"/>
      <c r="O620" s="225"/>
      <c r="R620" s="314"/>
      <c r="T620" s="498"/>
      <c r="U620" s="521"/>
    </row>
    <row r="621" spans="3:21">
      <c r="C621" s="314"/>
      <c r="G621" s="167"/>
      <c r="J621" s="314"/>
      <c r="K621" s="314"/>
      <c r="M621" s="350"/>
      <c r="O621" s="225"/>
      <c r="R621" s="314"/>
      <c r="T621" s="498"/>
      <c r="U621" s="521"/>
    </row>
    <row r="622" spans="3:21">
      <c r="C622" s="314"/>
      <c r="G622" s="167"/>
      <c r="J622" s="314"/>
      <c r="K622" s="314"/>
      <c r="M622" s="350"/>
      <c r="O622" s="225"/>
      <c r="R622" s="314"/>
      <c r="T622" s="498"/>
      <c r="U622" s="521"/>
    </row>
    <row r="623" spans="3:21">
      <c r="C623" s="314"/>
      <c r="G623" s="167"/>
      <c r="J623" s="314"/>
      <c r="K623" s="314"/>
      <c r="M623" s="350"/>
      <c r="O623" s="225"/>
      <c r="R623" s="314"/>
      <c r="T623" s="498"/>
      <c r="U623" s="521"/>
    </row>
    <row r="624" spans="3:21">
      <c r="C624" s="314"/>
      <c r="G624" s="167"/>
      <c r="J624" s="314"/>
      <c r="K624" s="314"/>
      <c r="M624" s="350"/>
      <c r="O624" s="225"/>
      <c r="R624" s="314"/>
      <c r="T624" s="498"/>
      <c r="U624" s="521"/>
    </row>
    <row r="625" spans="3:21">
      <c r="C625" s="314"/>
      <c r="G625" s="167"/>
      <c r="J625" s="314"/>
      <c r="K625" s="314"/>
      <c r="M625" s="350"/>
      <c r="O625" s="225"/>
      <c r="R625" s="314"/>
      <c r="T625" s="498"/>
      <c r="U625" s="521"/>
    </row>
    <row r="626" spans="3:21">
      <c r="C626" s="314"/>
      <c r="G626" s="167"/>
      <c r="J626" s="314"/>
      <c r="K626" s="314"/>
      <c r="M626" s="350"/>
      <c r="O626" s="225"/>
      <c r="R626" s="314"/>
      <c r="T626" s="498"/>
      <c r="U626" s="521"/>
    </row>
    <row r="627" spans="3:21">
      <c r="C627" s="314"/>
      <c r="G627" s="167"/>
      <c r="J627" s="314"/>
      <c r="K627" s="314"/>
      <c r="M627" s="350"/>
      <c r="O627" s="225"/>
      <c r="R627" s="314"/>
      <c r="T627" s="498"/>
      <c r="U627" s="521"/>
    </row>
    <row r="628" spans="3:21">
      <c r="C628" s="314"/>
      <c r="G628" s="167"/>
      <c r="J628" s="314"/>
      <c r="K628" s="314"/>
      <c r="M628" s="350"/>
      <c r="O628" s="225"/>
      <c r="R628" s="314"/>
      <c r="T628" s="498"/>
      <c r="U628" s="521"/>
    </row>
    <row r="629" spans="3:21">
      <c r="C629" s="314"/>
      <c r="G629" s="167"/>
      <c r="J629" s="314"/>
      <c r="K629" s="314"/>
      <c r="M629" s="350"/>
      <c r="O629" s="225"/>
      <c r="R629" s="314"/>
      <c r="T629" s="498"/>
      <c r="U629" s="521"/>
    </row>
    <row r="630" spans="3:21">
      <c r="C630" s="314"/>
      <c r="G630" s="167"/>
      <c r="J630" s="314"/>
      <c r="K630" s="314"/>
      <c r="M630" s="350"/>
      <c r="O630" s="225"/>
      <c r="R630" s="314"/>
      <c r="T630" s="498"/>
      <c r="U630" s="521"/>
    </row>
    <row r="631" spans="3:21">
      <c r="C631" s="314"/>
      <c r="G631" s="167"/>
      <c r="J631" s="314"/>
      <c r="K631" s="314"/>
      <c r="M631" s="350"/>
      <c r="O631" s="225"/>
      <c r="R631" s="314"/>
      <c r="T631" s="498"/>
      <c r="U631" s="521"/>
    </row>
    <row r="632" spans="3:21">
      <c r="C632" s="314"/>
      <c r="G632" s="167"/>
      <c r="J632" s="314"/>
      <c r="K632" s="314"/>
      <c r="M632" s="350"/>
      <c r="O632" s="225"/>
      <c r="R632" s="314"/>
      <c r="T632" s="498"/>
      <c r="U632" s="521"/>
    </row>
    <row r="633" spans="3:21">
      <c r="C633" s="314"/>
      <c r="G633" s="167"/>
      <c r="J633" s="314"/>
      <c r="K633" s="314"/>
      <c r="M633" s="350"/>
      <c r="O633" s="225"/>
      <c r="R633" s="314"/>
      <c r="T633" s="498"/>
      <c r="U633" s="521"/>
    </row>
    <row r="634" spans="3:21">
      <c r="C634" s="314"/>
      <c r="G634" s="167"/>
      <c r="J634" s="314"/>
      <c r="K634" s="314"/>
      <c r="M634" s="350"/>
      <c r="O634" s="225"/>
      <c r="R634" s="314"/>
      <c r="T634" s="498"/>
      <c r="U634" s="521"/>
    </row>
    <row r="635" spans="3:21">
      <c r="C635" s="314"/>
      <c r="G635" s="167"/>
      <c r="J635" s="314"/>
      <c r="K635" s="314"/>
      <c r="M635" s="350"/>
      <c r="O635" s="225"/>
      <c r="R635" s="314"/>
      <c r="T635" s="498"/>
      <c r="U635" s="521"/>
    </row>
    <row r="636" spans="3:21">
      <c r="C636" s="314"/>
      <c r="G636" s="167"/>
      <c r="J636" s="314"/>
      <c r="K636" s="314"/>
      <c r="M636" s="350"/>
      <c r="O636" s="225"/>
      <c r="R636" s="314"/>
      <c r="T636" s="498"/>
      <c r="U636" s="521"/>
    </row>
    <row r="637" spans="3:21">
      <c r="C637" s="314"/>
      <c r="G637" s="167"/>
      <c r="J637" s="314"/>
      <c r="K637" s="314"/>
      <c r="M637" s="350"/>
      <c r="O637" s="225"/>
      <c r="R637" s="314"/>
      <c r="T637" s="498"/>
      <c r="U637" s="521"/>
    </row>
    <row r="638" spans="3:21">
      <c r="C638" s="314"/>
      <c r="G638" s="167"/>
      <c r="J638" s="314"/>
      <c r="K638" s="314"/>
      <c r="M638" s="350"/>
      <c r="O638" s="225"/>
      <c r="R638" s="314"/>
      <c r="T638" s="498"/>
      <c r="U638" s="521"/>
    </row>
    <row r="639" spans="3:21">
      <c r="C639" s="314"/>
      <c r="G639" s="167"/>
      <c r="J639" s="314"/>
      <c r="K639" s="314"/>
      <c r="M639" s="350"/>
      <c r="O639" s="225"/>
      <c r="R639" s="314"/>
      <c r="T639" s="498"/>
      <c r="U639" s="521"/>
    </row>
    <row r="640" spans="3:21">
      <c r="C640" s="314"/>
      <c r="G640" s="167"/>
      <c r="J640" s="314"/>
      <c r="K640" s="314"/>
      <c r="M640" s="350"/>
      <c r="O640" s="225"/>
      <c r="R640" s="314"/>
      <c r="T640" s="498"/>
      <c r="U640" s="521"/>
    </row>
    <row r="641" spans="3:21">
      <c r="C641" s="314"/>
      <c r="G641" s="167"/>
      <c r="J641" s="314"/>
      <c r="K641" s="314"/>
      <c r="M641" s="350"/>
      <c r="O641" s="225"/>
      <c r="R641" s="314"/>
      <c r="T641" s="498"/>
      <c r="U641" s="521"/>
    </row>
    <row r="642" spans="3:21">
      <c r="C642" s="314"/>
      <c r="G642" s="167"/>
      <c r="J642" s="314"/>
      <c r="K642" s="314"/>
      <c r="M642" s="350"/>
      <c r="O642" s="225"/>
      <c r="R642" s="314"/>
      <c r="T642" s="498"/>
      <c r="U642" s="521"/>
    </row>
    <row r="643" spans="3:21">
      <c r="C643" s="314"/>
      <c r="G643" s="167"/>
      <c r="J643" s="314"/>
      <c r="K643" s="314"/>
      <c r="M643" s="350"/>
      <c r="O643" s="225"/>
      <c r="R643" s="314"/>
      <c r="T643" s="498"/>
      <c r="U643" s="521"/>
    </row>
    <row r="644" spans="3:21">
      <c r="C644" s="314"/>
      <c r="G644" s="167"/>
      <c r="J644" s="314"/>
      <c r="K644" s="314"/>
      <c r="M644" s="350"/>
      <c r="O644" s="225"/>
      <c r="R644" s="314"/>
      <c r="T644" s="498"/>
      <c r="U644" s="521"/>
    </row>
    <row r="645" spans="3:21">
      <c r="C645" s="314"/>
      <c r="G645" s="167"/>
      <c r="J645" s="314"/>
      <c r="K645" s="314"/>
      <c r="M645" s="350"/>
      <c r="O645" s="225"/>
      <c r="R645" s="314"/>
      <c r="T645" s="498"/>
      <c r="U645" s="521"/>
    </row>
    <row r="646" spans="3:21">
      <c r="C646" s="314"/>
      <c r="G646" s="167"/>
      <c r="J646" s="314"/>
      <c r="K646" s="314"/>
      <c r="M646" s="350"/>
      <c r="O646" s="225"/>
      <c r="R646" s="314"/>
      <c r="T646" s="498"/>
      <c r="U646" s="521"/>
    </row>
    <row r="647" spans="3:21">
      <c r="C647" s="314"/>
      <c r="G647" s="167"/>
      <c r="J647" s="314"/>
      <c r="K647" s="314"/>
      <c r="M647" s="350"/>
      <c r="O647" s="225"/>
      <c r="R647" s="314"/>
      <c r="T647" s="498"/>
      <c r="U647" s="521"/>
    </row>
    <row r="648" spans="3:21">
      <c r="C648" s="314"/>
      <c r="G648" s="167"/>
      <c r="J648" s="314"/>
      <c r="K648" s="314"/>
      <c r="M648" s="350"/>
      <c r="O648" s="225"/>
      <c r="R648" s="314"/>
      <c r="T648" s="498"/>
      <c r="U648" s="521"/>
    </row>
    <row r="649" spans="3:21">
      <c r="C649" s="314"/>
      <c r="G649" s="167"/>
      <c r="J649" s="314"/>
      <c r="K649" s="314"/>
      <c r="M649" s="350"/>
      <c r="O649" s="225"/>
      <c r="R649" s="314"/>
      <c r="T649" s="498"/>
      <c r="U649" s="521"/>
    </row>
    <row r="650" spans="3:21">
      <c r="C650" s="314"/>
      <c r="G650" s="167"/>
      <c r="J650" s="314"/>
      <c r="K650" s="314"/>
      <c r="M650" s="350"/>
      <c r="O650" s="225"/>
      <c r="R650" s="314"/>
      <c r="T650" s="498"/>
      <c r="U650" s="521"/>
    </row>
    <row r="651" spans="3:21">
      <c r="C651" s="314"/>
      <c r="G651" s="167"/>
      <c r="J651" s="314"/>
      <c r="K651" s="314"/>
      <c r="M651" s="350"/>
      <c r="O651" s="225"/>
      <c r="R651" s="314"/>
      <c r="T651" s="498"/>
      <c r="U651" s="521"/>
    </row>
    <row r="652" spans="3:21">
      <c r="C652" s="314"/>
      <c r="G652" s="167"/>
      <c r="J652" s="314"/>
      <c r="K652" s="314"/>
      <c r="M652" s="350"/>
      <c r="O652" s="225"/>
      <c r="R652" s="314"/>
      <c r="T652" s="498"/>
      <c r="U652" s="521"/>
    </row>
    <row r="653" spans="3:21">
      <c r="C653" s="314"/>
      <c r="G653" s="167"/>
      <c r="J653" s="314"/>
      <c r="K653" s="314"/>
      <c r="M653" s="350"/>
      <c r="O653" s="225"/>
      <c r="R653" s="314"/>
      <c r="T653" s="498"/>
      <c r="U653" s="521"/>
    </row>
    <row r="654" spans="3:21">
      <c r="C654" s="314"/>
      <c r="G654" s="167"/>
      <c r="J654" s="314"/>
      <c r="K654" s="314"/>
      <c r="M654" s="350"/>
      <c r="O654" s="225"/>
      <c r="R654" s="314"/>
      <c r="T654" s="498"/>
      <c r="U654" s="521"/>
    </row>
    <row r="655" spans="3:21">
      <c r="C655" s="314"/>
      <c r="G655" s="167"/>
      <c r="J655" s="314"/>
      <c r="K655" s="314"/>
      <c r="M655" s="350"/>
      <c r="O655" s="225"/>
      <c r="R655" s="314"/>
      <c r="T655" s="498"/>
      <c r="U655" s="521"/>
    </row>
    <row r="656" spans="3:21">
      <c r="C656" s="314"/>
      <c r="G656" s="167"/>
      <c r="J656" s="314"/>
      <c r="K656" s="314"/>
      <c r="M656" s="350"/>
      <c r="O656" s="225"/>
      <c r="R656" s="314"/>
      <c r="T656" s="498"/>
      <c r="U656" s="521"/>
    </row>
    <row r="657" spans="3:21">
      <c r="C657" s="314"/>
      <c r="G657" s="167"/>
      <c r="J657" s="314"/>
      <c r="K657" s="314"/>
      <c r="M657" s="350"/>
      <c r="O657" s="225"/>
      <c r="R657" s="314"/>
      <c r="T657" s="498"/>
      <c r="U657" s="521"/>
    </row>
    <row r="658" spans="3:21">
      <c r="C658" s="314"/>
      <c r="G658" s="167"/>
      <c r="J658" s="314"/>
      <c r="K658" s="314"/>
      <c r="M658" s="350"/>
      <c r="O658" s="225"/>
      <c r="R658" s="314"/>
      <c r="T658" s="498"/>
      <c r="U658" s="521"/>
    </row>
    <row r="659" spans="3:21">
      <c r="C659" s="314"/>
      <c r="G659" s="167"/>
      <c r="J659" s="314"/>
      <c r="K659" s="314"/>
      <c r="M659" s="350"/>
      <c r="O659" s="225"/>
      <c r="R659" s="314"/>
      <c r="T659" s="498"/>
      <c r="U659" s="521"/>
    </row>
    <row r="660" spans="3:21">
      <c r="C660" s="314"/>
      <c r="G660" s="167"/>
      <c r="J660" s="314"/>
      <c r="K660" s="314"/>
      <c r="M660" s="350"/>
      <c r="O660" s="225"/>
      <c r="R660" s="314"/>
      <c r="T660" s="498"/>
      <c r="U660" s="521"/>
    </row>
    <row r="661" spans="3:21">
      <c r="C661" s="314"/>
      <c r="G661" s="167"/>
      <c r="J661" s="314"/>
      <c r="K661" s="314"/>
      <c r="M661" s="350"/>
      <c r="O661" s="225"/>
      <c r="R661" s="314"/>
      <c r="T661" s="498"/>
      <c r="U661" s="521"/>
    </row>
    <row r="662" spans="3:21">
      <c r="C662" s="314"/>
      <c r="G662" s="167"/>
      <c r="J662" s="314"/>
      <c r="K662" s="314"/>
      <c r="M662" s="350"/>
      <c r="O662" s="225"/>
      <c r="R662" s="314"/>
      <c r="T662" s="498"/>
      <c r="U662" s="521"/>
    </row>
    <row r="663" spans="3:21">
      <c r="C663" s="314"/>
      <c r="G663" s="167"/>
      <c r="J663" s="314"/>
      <c r="K663" s="314"/>
      <c r="M663" s="350"/>
      <c r="O663" s="225"/>
      <c r="R663" s="314"/>
      <c r="T663" s="498"/>
      <c r="U663" s="521"/>
    </row>
    <row r="664" spans="3:21">
      <c r="C664" s="314"/>
      <c r="G664" s="167"/>
      <c r="J664" s="314"/>
      <c r="K664" s="314"/>
      <c r="M664" s="350"/>
      <c r="O664" s="225"/>
      <c r="R664" s="314"/>
      <c r="T664" s="498"/>
      <c r="U664" s="521"/>
    </row>
    <row r="665" spans="3:21">
      <c r="C665" s="314"/>
      <c r="G665" s="167"/>
      <c r="J665" s="314"/>
      <c r="K665" s="314"/>
      <c r="M665" s="350"/>
      <c r="O665" s="225"/>
      <c r="R665" s="314"/>
      <c r="T665" s="498"/>
      <c r="U665" s="521"/>
    </row>
    <row r="666" spans="3:21">
      <c r="C666" s="314"/>
      <c r="G666" s="167"/>
      <c r="J666" s="314"/>
      <c r="K666" s="314"/>
      <c r="M666" s="350"/>
      <c r="O666" s="225"/>
      <c r="R666" s="314"/>
      <c r="T666" s="498"/>
      <c r="U666" s="521"/>
    </row>
    <row r="667" spans="3:21">
      <c r="C667" s="314"/>
      <c r="G667" s="167"/>
      <c r="J667" s="314"/>
      <c r="K667" s="314"/>
      <c r="M667" s="350"/>
      <c r="O667" s="225"/>
      <c r="R667" s="314"/>
      <c r="T667" s="498"/>
      <c r="U667" s="521"/>
    </row>
    <row r="668" spans="3:21">
      <c r="C668" s="314"/>
      <c r="G668" s="167"/>
      <c r="J668" s="314"/>
      <c r="K668" s="314"/>
      <c r="M668" s="350"/>
      <c r="O668" s="225"/>
      <c r="R668" s="314"/>
      <c r="T668" s="498"/>
      <c r="U668" s="521"/>
    </row>
    <row r="669" spans="3:21">
      <c r="C669" s="314"/>
      <c r="G669" s="167"/>
      <c r="J669" s="314"/>
      <c r="K669" s="314"/>
      <c r="M669" s="350"/>
      <c r="O669" s="225"/>
      <c r="R669" s="314"/>
      <c r="T669" s="498"/>
      <c r="U669" s="521"/>
    </row>
    <row r="670" spans="3:21">
      <c r="C670" s="314"/>
      <c r="G670" s="167"/>
      <c r="J670" s="314"/>
      <c r="K670" s="314"/>
      <c r="M670" s="350"/>
      <c r="O670" s="225"/>
      <c r="R670" s="314"/>
      <c r="T670" s="498"/>
      <c r="U670" s="521"/>
    </row>
    <row r="671" spans="3:21">
      <c r="C671" s="314"/>
      <c r="G671" s="167"/>
      <c r="J671" s="314"/>
      <c r="K671" s="314"/>
      <c r="M671" s="350"/>
      <c r="O671" s="225"/>
      <c r="R671" s="314"/>
      <c r="T671" s="498"/>
      <c r="U671" s="521"/>
    </row>
    <row r="672" spans="3:21">
      <c r="C672" s="314"/>
      <c r="G672" s="167"/>
      <c r="J672" s="314"/>
      <c r="K672" s="314"/>
      <c r="M672" s="350"/>
      <c r="O672" s="225"/>
      <c r="R672" s="314"/>
      <c r="T672" s="498"/>
      <c r="U672" s="521"/>
    </row>
    <row r="673" spans="3:21">
      <c r="C673" s="314"/>
      <c r="G673" s="167"/>
      <c r="J673" s="314"/>
      <c r="K673" s="314"/>
      <c r="M673" s="350"/>
      <c r="O673" s="225"/>
      <c r="R673" s="314"/>
      <c r="T673" s="498"/>
      <c r="U673" s="521"/>
    </row>
    <row r="674" spans="3:21">
      <c r="C674" s="314"/>
      <c r="G674" s="167"/>
      <c r="J674" s="314"/>
      <c r="K674" s="314"/>
      <c r="M674" s="350"/>
      <c r="O674" s="225"/>
      <c r="R674" s="314"/>
      <c r="T674" s="498"/>
      <c r="U674" s="521"/>
    </row>
    <row r="675" spans="3:21">
      <c r="C675" s="314"/>
      <c r="G675" s="167"/>
      <c r="J675" s="314"/>
      <c r="K675" s="314"/>
      <c r="M675" s="350"/>
      <c r="O675" s="225"/>
      <c r="R675" s="314"/>
      <c r="T675" s="498"/>
      <c r="U675" s="521"/>
    </row>
    <row r="676" spans="3:21">
      <c r="C676" s="314"/>
      <c r="G676" s="167"/>
      <c r="J676" s="314"/>
      <c r="K676" s="314"/>
      <c r="M676" s="350"/>
      <c r="O676" s="225"/>
      <c r="R676" s="314"/>
      <c r="T676" s="498"/>
      <c r="U676" s="521"/>
    </row>
    <row r="677" spans="3:21">
      <c r="C677" s="314"/>
      <c r="G677" s="167"/>
      <c r="J677" s="314"/>
      <c r="K677" s="314"/>
      <c r="M677" s="350"/>
      <c r="O677" s="225"/>
      <c r="R677" s="314"/>
      <c r="T677" s="498"/>
      <c r="U677" s="521"/>
    </row>
    <row r="678" spans="3:21">
      <c r="C678" s="314"/>
      <c r="G678" s="167"/>
      <c r="J678" s="314"/>
      <c r="K678" s="314"/>
      <c r="M678" s="350"/>
      <c r="O678" s="225"/>
      <c r="R678" s="314"/>
      <c r="T678" s="498"/>
      <c r="U678" s="521"/>
    </row>
    <row r="679" spans="3:21">
      <c r="C679" s="314"/>
      <c r="G679" s="167"/>
      <c r="J679" s="314"/>
      <c r="K679" s="314"/>
      <c r="M679" s="350"/>
      <c r="O679" s="225"/>
      <c r="R679" s="314"/>
      <c r="T679" s="498"/>
      <c r="U679" s="521"/>
    </row>
    <row r="680" spans="3:21">
      <c r="C680" s="314"/>
      <c r="G680" s="167"/>
      <c r="J680" s="314"/>
      <c r="K680" s="314"/>
      <c r="M680" s="350"/>
      <c r="O680" s="225"/>
      <c r="R680" s="314"/>
      <c r="T680" s="498"/>
      <c r="U680" s="521"/>
    </row>
    <row r="681" spans="3:21">
      <c r="C681" s="314"/>
      <c r="G681" s="167"/>
      <c r="J681" s="314"/>
      <c r="K681" s="314"/>
      <c r="M681" s="350"/>
      <c r="O681" s="225"/>
      <c r="R681" s="314"/>
      <c r="T681" s="498"/>
      <c r="U681" s="521"/>
    </row>
    <row r="682" spans="3:21">
      <c r="C682" s="314"/>
      <c r="G682" s="167"/>
      <c r="J682" s="314"/>
      <c r="K682" s="314"/>
      <c r="M682" s="350"/>
      <c r="O682" s="225"/>
      <c r="R682" s="314"/>
      <c r="T682" s="498"/>
      <c r="U682" s="521"/>
    </row>
    <row r="683" spans="3:21">
      <c r="C683" s="314"/>
      <c r="G683" s="167"/>
      <c r="J683" s="314"/>
      <c r="K683" s="314"/>
      <c r="M683" s="350"/>
      <c r="O683" s="225"/>
      <c r="R683" s="314"/>
      <c r="T683" s="498"/>
      <c r="U683" s="521"/>
    </row>
    <row r="684" spans="3:21">
      <c r="C684" s="314"/>
      <c r="G684" s="167"/>
      <c r="J684" s="314"/>
      <c r="K684" s="314"/>
      <c r="M684" s="350"/>
      <c r="O684" s="225"/>
      <c r="R684" s="314"/>
      <c r="T684" s="498"/>
      <c r="U684" s="521"/>
    </row>
    <row r="685" spans="3:21">
      <c r="C685" s="314"/>
      <c r="G685" s="167"/>
      <c r="J685" s="314"/>
      <c r="K685" s="314"/>
      <c r="M685" s="350"/>
      <c r="O685" s="225"/>
      <c r="R685" s="314"/>
      <c r="T685" s="498"/>
      <c r="U685" s="521"/>
    </row>
    <row r="686" spans="3:21">
      <c r="C686" s="314"/>
      <c r="G686" s="167"/>
      <c r="J686" s="314"/>
      <c r="K686" s="314"/>
      <c r="M686" s="350"/>
      <c r="O686" s="225"/>
      <c r="R686" s="314"/>
      <c r="T686" s="498"/>
      <c r="U686" s="521"/>
    </row>
    <row r="687" spans="3:21">
      <c r="C687" s="314"/>
      <c r="G687" s="167"/>
      <c r="J687" s="314"/>
      <c r="K687" s="314"/>
      <c r="M687" s="350"/>
      <c r="O687" s="225"/>
      <c r="R687" s="314"/>
      <c r="T687" s="498"/>
      <c r="U687" s="521"/>
    </row>
    <row r="688" spans="3:21">
      <c r="C688" s="314"/>
      <c r="G688" s="167"/>
      <c r="J688" s="314"/>
      <c r="K688" s="314"/>
      <c r="M688" s="350"/>
      <c r="O688" s="225"/>
      <c r="R688" s="314"/>
      <c r="T688" s="498"/>
      <c r="U688" s="521"/>
    </row>
    <row r="689" spans="3:21">
      <c r="C689" s="314"/>
      <c r="G689" s="167"/>
      <c r="J689" s="314"/>
      <c r="K689" s="314"/>
      <c r="M689" s="350"/>
      <c r="O689" s="225"/>
      <c r="R689" s="314"/>
      <c r="T689" s="498"/>
      <c r="U689" s="521"/>
    </row>
    <row r="690" spans="3:21">
      <c r="C690" s="314"/>
      <c r="G690" s="167"/>
      <c r="J690" s="314"/>
      <c r="K690" s="314"/>
      <c r="M690" s="350"/>
      <c r="O690" s="225"/>
      <c r="R690" s="314"/>
      <c r="T690" s="498"/>
      <c r="U690" s="521"/>
    </row>
    <row r="691" spans="3:21">
      <c r="C691" s="314"/>
      <c r="G691" s="167"/>
      <c r="J691" s="314"/>
      <c r="K691" s="314"/>
      <c r="M691" s="350"/>
      <c r="O691" s="225"/>
      <c r="R691" s="314"/>
      <c r="T691" s="498"/>
      <c r="U691" s="521"/>
    </row>
    <row r="692" spans="3:21">
      <c r="C692" s="314"/>
      <c r="G692" s="167"/>
      <c r="J692" s="314"/>
      <c r="K692" s="314"/>
      <c r="M692" s="350"/>
      <c r="O692" s="225"/>
      <c r="R692" s="314"/>
      <c r="T692" s="498"/>
      <c r="U692" s="521"/>
    </row>
    <row r="693" spans="3:21">
      <c r="C693" s="314"/>
      <c r="G693" s="167"/>
      <c r="J693" s="314"/>
      <c r="K693" s="314"/>
      <c r="M693" s="350"/>
      <c r="O693" s="225"/>
      <c r="R693" s="314"/>
      <c r="T693" s="498"/>
      <c r="U693" s="521"/>
    </row>
    <row r="694" spans="3:21">
      <c r="C694" s="314"/>
      <c r="G694" s="167"/>
      <c r="J694" s="314"/>
      <c r="K694" s="314"/>
      <c r="M694" s="350"/>
      <c r="O694" s="225"/>
      <c r="R694" s="314"/>
      <c r="T694" s="498"/>
      <c r="U694" s="521"/>
    </row>
    <row r="695" spans="3:21">
      <c r="C695" s="314"/>
      <c r="G695" s="167"/>
      <c r="J695" s="314"/>
      <c r="K695" s="314"/>
      <c r="M695" s="350"/>
      <c r="O695" s="225"/>
      <c r="R695" s="314"/>
      <c r="T695" s="498"/>
      <c r="U695" s="521"/>
    </row>
    <row r="696" spans="3:21">
      <c r="C696" s="314"/>
      <c r="G696" s="167"/>
      <c r="J696" s="314"/>
      <c r="K696" s="314"/>
      <c r="M696" s="350"/>
      <c r="O696" s="225"/>
      <c r="R696" s="314"/>
      <c r="T696" s="498"/>
      <c r="U696" s="521"/>
    </row>
    <row r="697" spans="3:21">
      <c r="C697" s="314"/>
      <c r="G697" s="167"/>
      <c r="J697" s="314"/>
      <c r="K697" s="314"/>
      <c r="M697" s="350"/>
      <c r="O697" s="225"/>
      <c r="R697" s="314"/>
      <c r="T697" s="498"/>
      <c r="U697" s="521"/>
    </row>
    <row r="698" spans="3:21">
      <c r="C698" s="314"/>
      <c r="G698" s="167"/>
      <c r="J698" s="314"/>
      <c r="K698" s="314"/>
      <c r="M698" s="350"/>
      <c r="O698" s="225"/>
      <c r="R698" s="314"/>
      <c r="T698" s="498"/>
      <c r="U698" s="521"/>
    </row>
    <row r="699" spans="3:21">
      <c r="C699" s="314"/>
      <c r="G699" s="167"/>
      <c r="J699" s="314"/>
      <c r="K699" s="314"/>
      <c r="M699" s="350"/>
      <c r="O699" s="225"/>
      <c r="R699" s="314"/>
      <c r="T699" s="498"/>
      <c r="U699" s="521"/>
    </row>
    <row r="700" spans="3:21">
      <c r="C700" s="314"/>
      <c r="G700" s="167"/>
      <c r="J700" s="314"/>
      <c r="K700" s="314"/>
      <c r="M700" s="350"/>
      <c r="O700" s="225"/>
      <c r="R700" s="314"/>
      <c r="T700" s="498"/>
      <c r="U700" s="521"/>
    </row>
    <row r="701" spans="3:21">
      <c r="C701" s="314"/>
      <c r="G701" s="167"/>
      <c r="J701" s="314"/>
      <c r="K701" s="314"/>
      <c r="M701" s="350"/>
      <c r="O701" s="225"/>
      <c r="R701" s="314"/>
      <c r="T701" s="498"/>
      <c r="U701" s="521"/>
    </row>
    <row r="702" spans="3:21">
      <c r="C702" s="314"/>
      <c r="G702" s="167"/>
      <c r="J702" s="314"/>
      <c r="K702" s="314"/>
      <c r="M702" s="350"/>
      <c r="O702" s="225"/>
      <c r="R702" s="314"/>
      <c r="T702" s="498"/>
      <c r="U702" s="521"/>
    </row>
    <row r="703" spans="3:21">
      <c r="C703" s="314"/>
      <c r="G703" s="167"/>
      <c r="J703" s="314"/>
      <c r="K703" s="314"/>
      <c r="M703" s="350"/>
      <c r="O703" s="225"/>
      <c r="R703" s="314"/>
      <c r="T703" s="498"/>
      <c r="U703" s="521"/>
    </row>
    <row r="704" spans="3:21">
      <c r="C704" s="314"/>
      <c r="G704" s="167"/>
      <c r="J704" s="314"/>
      <c r="K704" s="314"/>
      <c r="M704" s="350"/>
      <c r="O704" s="225"/>
      <c r="R704" s="314"/>
      <c r="T704" s="498"/>
      <c r="U704" s="521"/>
    </row>
    <row r="705" spans="3:21">
      <c r="C705" s="314"/>
      <c r="G705" s="167"/>
      <c r="J705" s="314"/>
      <c r="K705" s="314"/>
      <c r="M705" s="350"/>
      <c r="O705" s="225"/>
      <c r="R705" s="314"/>
      <c r="T705" s="498"/>
      <c r="U705" s="521"/>
    </row>
    <row r="706" spans="3:21">
      <c r="C706" s="314"/>
      <c r="G706" s="167"/>
      <c r="J706" s="314"/>
      <c r="K706" s="314"/>
      <c r="M706" s="350"/>
      <c r="O706" s="225"/>
      <c r="R706" s="314"/>
      <c r="T706" s="498"/>
      <c r="U706" s="521"/>
    </row>
    <row r="707" spans="3:21">
      <c r="C707" s="314"/>
      <c r="G707" s="167"/>
      <c r="J707" s="314"/>
      <c r="K707" s="314"/>
      <c r="M707" s="350"/>
      <c r="O707" s="225"/>
      <c r="R707" s="314"/>
      <c r="T707" s="498"/>
      <c r="U707" s="521"/>
    </row>
    <row r="708" spans="3:21">
      <c r="C708" s="314"/>
      <c r="G708" s="167"/>
      <c r="J708" s="314"/>
      <c r="K708" s="314"/>
      <c r="M708" s="350"/>
      <c r="O708" s="225"/>
      <c r="R708" s="314"/>
      <c r="T708" s="498"/>
      <c r="U708" s="521"/>
    </row>
    <row r="709" spans="3:21">
      <c r="C709" s="314"/>
      <c r="G709" s="167"/>
      <c r="J709" s="314"/>
      <c r="K709" s="314"/>
      <c r="M709" s="350"/>
      <c r="O709" s="225"/>
      <c r="R709" s="314"/>
      <c r="T709" s="498"/>
      <c r="U709" s="521"/>
    </row>
    <row r="710" spans="3:21">
      <c r="C710" s="314"/>
      <c r="G710" s="167"/>
      <c r="J710" s="314"/>
      <c r="K710" s="314"/>
      <c r="M710" s="350"/>
      <c r="O710" s="225"/>
      <c r="R710" s="314"/>
      <c r="T710" s="498"/>
      <c r="U710" s="521"/>
    </row>
    <row r="711" spans="3:21">
      <c r="C711" s="314"/>
      <c r="G711" s="167"/>
      <c r="J711" s="314"/>
      <c r="K711" s="314"/>
      <c r="M711" s="350"/>
      <c r="O711" s="225"/>
      <c r="R711" s="314"/>
      <c r="T711" s="498"/>
      <c r="U711" s="521"/>
    </row>
    <row r="712" spans="3:21">
      <c r="C712" s="314"/>
      <c r="G712" s="167"/>
      <c r="J712" s="314"/>
      <c r="K712" s="314"/>
      <c r="M712" s="350"/>
      <c r="O712" s="225"/>
      <c r="R712" s="314"/>
      <c r="T712" s="498"/>
      <c r="U712" s="521"/>
    </row>
    <row r="713" spans="3:21">
      <c r="C713" s="314"/>
      <c r="G713" s="167"/>
      <c r="J713" s="314"/>
      <c r="K713" s="314"/>
      <c r="M713" s="350"/>
      <c r="O713" s="225"/>
      <c r="R713" s="314"/>
      <c r="T713" s="498"/>
      <c r="U713" s="521"/>
    </row>
    <row r="714" spans="3:21">
      <c r="C714" s="314"/>
      <c r="G714" s="167"/>
      <c r="J714" s="314"/>
      <c r="K714" s="314"/>
      <c r="M714" s="350"/>
      <c r="O714" s="225"/>
      <c r="R714" s="314"/>
      <c r="T714" s="498"/>
      <c r="U714" s="521"/>
    </row>
    <row r="715" spans="3:21">
      <c r="C715" s="314"/>
      <c r="G715" s="167"/>
      <c r="J715" s="314"/>
      <c r="K715" s="314"/>
      <c r="M715" s="350"/>
      <c r="O715" s="225"/>
      <c r="R715" s="314"/>
      <c r="T715" s="498"/>
      <c r="U715" s="521"/>
    </row>
    <row r="716" spans="3:21">
      <c r="C716" s="314"/>
      <c r="G716" s="167"/>
      <c r="J716" s="314"/>
      <c r="K716" s="314"/>
      <c r="M716" s="350"/>
      <c r="O716" s="225"/>
      <c r="R716" s="314"/>
      <c r="T716" s="498"/>
      <c r="U716" s="521"/>
    </row>
    <row r="717" spans="3:21">
      <c r="C717" s="314"/>
      <c r="G717" s="167"/>
      <c r="J717" s="314"/>
      <c r="K717" s="314"/>
      <c r="M717" s="350"/>
      <c r="O717" s="225"/>
      <c r="R717" s="314"/>
      <c r="T717" s="498"/>
      <c r="U717" s="521"/>
    </row>
    <row r="718" spans="3:21">
      <c r="C718" s="314"/>
      <c r="G718" s="167"/>
      <c r="J718" s="314"/>
      <c r="K718" s="314"/>
      <c r="M718" s="350"/>
      <c r="O718" s="225"/>
      <c r="R718" s="314"/>
      <c r="T718" s="498"/>
      <c r="U718" s="521"/>
    </row>
    <row r="719" spans="3:21">
      <c r="C719" s="314"/>
      <c r="G719" s="167"/>
      <c r="J719" s="314"/>
      <c r="K719" s="314"/>
      <c r="M719" s="350"/>
      <c r="O719" s="225"/>
      <c r="R719" s="314"/>
      <c r="T719" s="498"/>
      <c r="U719" s="521"/>
    </row>
    <row r="720" spans="3:21">
      <c r="C720" s="314"/>
      <c r="G720" s="167"/>
      <c r="J720" s="314"/>
      <c r="K720" s="314"/>
      <c r="M720" s="350"/>
      <c r="O720" s="225"/>
      <c r="R720" s="314"/>
      <c r="T720" s="498"/>
      <c r="U720" s="521"/>
    </row>
    <row r="721" spans="3:21">
      <c r="C721" s="314"/>
      <c r="G721" s="167"/>
      <c r="J721" s="314"/>
      <c r="K721" s="314"/>
      <c r="M721" s="350"/>
      <c r="O721" s="225"/>
      <c r="R721" s="314"/>
      <c r="T721" s="498"/>
      <c r="U721" s="521"/>
    </row>
    <row r="722" spans="3:21">
      <c r="C722" s="314"/>
      <c r="G722" s="167"/>
      <c r="J722" s="314"/>
      <c r="K722" s="314"/>
      <c r="M722" s="350"/>
      <c r="O722" s="225"/>
      <c r="R722" s="314"/>
      <c r="T722" s="498"/>
      <c r="U722" s="521"/>
    </row>
    <row r="723" spans="3:21">
      <c r="C723" s="314"/>
      <c r="G723" s="167"/>
      <c r="J723" s="314"/>
      <c r="K723" s="314"/>
      <c r="M723" s="350"/>
      <c r="O723" s="225"/>
      <c r="R723" s="314"/>
      <c r="T723" s="498"/>
      <c r="U723" s="521"/>
    </row>
    <row r="724" spans="3:21">
      <c r="C724" s="314"/>
      <c r="G724" s="167"/>
      <c r="J724" s="314"/>
      <c r="K724" s="314"/>
      <c r="M724" s="350"/>
      <c r="O724" s="225"/>
      <c r="R724" s="314"/>
      <c r="T724" s="498"/>
      <c r="U724" s="521"/>
    </row>
    <row r="725" spans="3:21">
      <c r="C725" s="314"/>
      <c r="G725" s="167"/>
      <c r="J725" s="314"/>
      <c r="K725" s="314"/>
      <c r="M725" s="350"/>
      <c r="O725" s="225"/>
      <c r="R725" s="314"/>
      <c r="T725" s="498"/>
      <c r="U725" s="521"/>
    </row>
    <row r="726" spans="3:21">
      <c r="C726" s="314"/>
      <c r="G726" s="167"/>
      <c r="J726" s="314"/>
      <c r="K726" s="314"/>
      <c r="M726" s="350"/>
      <c r="O726" s="225"/>
      <c r="R726" s="314"/>
      <c r="T726" s="498"/>
      <c r="U726" s="521"/>
    </row>
    <row r="727" spans="3:21">
      <c r="C727" s="314"/>
      <c r="G727" s="167"/>
      <c r="J727" s="314"/>
      <c r="K727" s="314"/>
      <c r="M727" s="350"/>
      <c r="O727" s="225"/>
      <c r="R727" s="314"/>
      <c r="T727" s="498"/>
      <c r="U727" s="521"/>
    </row>
    <row r="728" spans="3:21">
      <c r="C728" s="314"/>
      <c r="G728" s="167"/>
      <c r="J728" s="314"/>
      <c r="K728" s="314"/>
      <c r="M728" s="350"/>
      <c r="O728" s="225"/>
      <c r="R728" s="314"/>
      <c r="T728" s="498"/>
      <c r="U728" s="521"/>
    </row>
    <row r="729" spans="3:21">
      <c r="C729" s="314"/>
      <c r="G729" s="167"/>
      <c r="J729" s="314"/>
      <c r="K729" s="314"/>
      <c r="M729" s="350"/>
      <c r="O729" s="225"/>
      <c r="R729" s="314"/>
      <c r="T729" s="498"/>
      <c r="U729" s="521"/>
    </row>
    <row r="730" spans="3:21">
      <c r="C730" s="314"/>
      <c r="G730" s="167"/>
      <c r="J730" s="314"/>
      <c r="K730" s="314"/>
      <c r="M730" s="350"/>
      <c r="O730" s="225"/>
      <c r="R730" s="314"/>
      <c r="T730" s="498"/>
      <c r="U730" s="521"/>
    </row>
    <row r="731" spans="3:21">
      <c r="C731" s="314"/>
      <c r="G731" s="167"/>
      <c r="J731" s="314"/>
      <c r="K731" s="314"/>
      <c r="M731" s="350"/>
      <c r="O731" s="225"/>
      <c r="R731" s="314"/>
      <c r="T731" s="498"/>
      <c r="U731" s="521"/>
    </row>
    <row r="732" spans="3:21">
      <c r="C732" s="314"/>
      <c r="G732" s="167"/>
      <c r="J732" s="314"/>
      <c r="K732" s="314"/>
      <c r="M732" s="350"/>
      <c r="O732" s="225"/>
      <c r="R732" s="314"/>
      <c r="T732" s="498"/>
      <c r="U732" s="521"/>
    </row>
    <row r="733" spans="3:21">
      <c r="C733" s="314"/>
      <c r="G733" s="167"/>
      <c r="J733" s="314"/>
      <c r="K733" s="314"/>
      <c r="M733" s="350"/>
      <c r="O733" s="225"/>
      <c r="R733" s="314"/>
      <c r="T733" s="498"/>
      <c r="U733" s="521"/>
    </row>
    <row r="734" spans="3:21">
      <c r="C734" s="314"/>
      <c r="G734" s="167"/>
      <c r="J734" s="314"/>
      <c r="K734" s="314"/>
      <c r="M734" s="350"/>
      <c r="O734" s="225"/>
      <c r="R734" s="314"/>
      <c r="T734" s="498"/>
      <c r="U734" s="521"/>
    </row>
    <row r="735" spans="3:21">
      <c r="C735" s="314"/>
      <c r="G735" s="167"/>
      <c r="J735" s="314"/>
      <c r="K735" s="314"/>
      <c r="M735" s="350"/>
      <c r="O735" s="225"/>
      <c r="R735" s="314"/>
      <c r="T735" s="498"/>
      <c r="U735" s="521"/>
    </row>
    <row r="736" spans="3:21">
      <c r="C736" s="314"/>
      <c r="G736" s="167"/>
      <c r="J736" s="314"/>
      <c r="K736" s="314"/>
      <c r="M736" s="350"/>
      <c r="O736" s="225"/>
      <c r="R736" s="314"/>
      <c r="T736" s="498"/>
      <c r="U736" s="521"/>
    </row>
    <row r="737" spans="3:21">
      <c r="C737" s="314"/>
      <c r="G737" s="167"/>
      <c r="J737" s="314"/>
      <c r="K737" s="314"/>
      <c r="M737" s="350"/>
      <c r="O737" s="225"/>
      <c r="R737" s="314"/>
      <c r="T737" s="498"/>
      <c r="U737" s="521"/>
    </row>
    <row r="738" spans="3:21">
      <c r="C738" s="314"/>
      <c r="G738" s="167"/>
      <c r="J738" s="314"/>
      <c r="K738" s="314"/>
      <c r="M738" s="350"/>
      <c r="O738" s="225"/>
      <c r="R738" s="314"/>
      <c r="T738" s="498"/>
      <c r="U738" s="521"/>
    </row>
    <row r="739" spans="3:21">
      <c r="C739" s="314"/>
      <c r="G739" s="167"/>
      <c r="J739" s="314"/>
      <c r="K739" s="314"/>
      <c r="M739" s="350"/>
      <c r="O739" s="225"/>
      <c r="R739" s="314"/>
      <c r="T739" s="498"/>
      <c r="U739" s="521"/>
    </row>
    <row r="740" spans="3:21">
      <c r="C740" s="314"/>
      <c r="G740" s="167"/>
      <c r="J740" s="314"/>
      <c r="K740" s="314"/>
      <c r="M740" s="350"/>
      <c r="O740" s="225"/>
      <c r="R740" s="314"/>
      <c r="T740" s="498"/>
      <c r="U740" s="521"/>
    </row>
    <row r="741" spans="3:21">
      <c r="C741" s="314"/>
      <c r="G741" s="167"/>
      <c r="J741" s="314"/>
      <c r="K741" s="314"/>
      <c r="M741" s="350"/>
      <c r="O741" s="225"/>
      <c r="R741" s="314"/>
      <c r="T741" s="498"/>
      <c r="U741" s="521"/>
    </row>
    <row r="742" spans="3:21">
      <c r="C742" s="314"/>
      <c r="G742" s="167"/>
      <c r="J742" s="314"/>
      <c r="K742" s="314"/>
      <c r="M742" s="350"/>
      <c r="O742" s="225"/>
      <c r="R742" s="314"/>
      <c r="T742" s="498"/>
      <c r="U742" s="521"/>
    </row>
    <row r="743" spans="3:21">
      <c r="C743" s="314"/>
      <c r="G743" s="167"/>
      <c r="J743" s="314"/>
      <c r="K743" s="314"/>
      <c r="M743" s="350"/>
      <c r="O743" s="225"/>
      <c r="R743" s="314"/>
      <c r="T743" s="498"/>
      <c r="U743" s="521"/>
    </row>
    <row r="744" spans="3:21">
      <c r="C744" s="314"/>
      <c r="G744" s="167"/>
      <c r="J744" s="314"/>
      <c r="K744" s="314"/>
      <c r="M744" s="350"/>
      <c r="O744" s="225"/>
      <c r="R744" s="314"/>
      <c r="T744" s="498"/>
      <c r="U744" s="521"/>
    </row>
    <row r="745" spans="3:21">
      <c r="C745" s="314"/>
      <c r="G745" s="167"/>
      <c r="J745" s="314"/>
      <c r="K745" s="314"/>
      <c r="M745" s="350"/>
      <c r="O745" s="225"/>
      <c r="R745" s="314"/>
      <c r="T745" s="498"/>
      <c r="U745" s="521"/>
    </row>
    <row r="746" spans="3:21">
      <c r="C746" s="314"/>
      <c r="G746" s="167"/>
      <c r="J746" s="314"/>
      <c r="K746" s="314"/>
      <c r="M746" s="350"/>
      <c r="O746" s="225"/>
      <c r="R746" s="314"/>
      <c r="T746" s="498"/>
      <c r="U746" s="521"/>
    </row>
    <row r="747" spans="3:21">
      <c r="C747" s="314"/>
      <c r="G747" s="167"/>
      <c r="J747" s="314"/>
      <c r="K747" s="314"/>
      <c r="M747" s="350"/>
      <c r="O747" s="225"/>
      <c r="R747" s="314"/>
      <c r="T747" s="498"/>
      <c r="U747" s="521"/>
    </row>
    <row r="748" spans="3:21">
      <c r="C748" s="314"/>
      <c r="G748" s="167"/>
      <c r="J748" s="314"/>
      <c r="K748" s="314"/>
      <c r="M748" s="350"/>
      <c r="O748" s="225"/>
      <c r="R748" s="314"/>
      <c r="T748" s="498"/>
      <c r="U748" s="521"/>
    </row>
    <row r="749" spans="3:21">
      <c r="C749" s="314"/>
      <c r="G749" s="167"/>
      <c r="J749" s="314"/>
      <c r="K749" s="314"/>
      <c r="M749" s="350"/>
      <c r="O749" s="225"/>
      <c r="R749" s="314"/>
      <c r="T749" s="498"/>
      <c r="U749" s="521"/>
    </row>
    <row r="750" spans="3:21">
      <c r="C750" s="314"/>
      <c r="G750" s="167"/>
      <c r="J750" s="314"/>
      <c r="K750" s="314"/>
      <c r="M750" s="350"/>
      <c r="O750" s="225"/>
      <c r="R750" s="314"/>
      <c r="T750" s="498"/>
      <c r="U750" s="521"/>
    </row>
    <row r="751" spans="3:21">
      <c r="C751" s="314"/>
      <c r="G751" s="167"/>
      <c r="J751" s="314"/>
      <c r="K751" s="314"/>
      <c r="M751" s="350"/>
      <c r="O751" s="225"/>
      <c r="R751" s="314"/>
      <c r="T751" s="498"/>
      <c r="U751" s="521"/>
    </row>
    <row r="752" spans="3:21">
      <c r="C752" s="314"/>
      <c r="G752" s="167"/>
      <c r="J752" s="314"/>
      <c r="K752" s="314"/>
      <c r="M752" s="350"/>
      <c r="O752" s="225"/>
      <c r="R752" s="314"/>
      <c r="T752" s="498"/>
      <c r="U752" s="521"/>
    </row>
    <row r="753" spans="3:21">
      <c r="C753" s="314"/>
      <c r="G753" s="167"/>
      <c r="J753" s="314"/>
      <c r="K753" s="314"/>
      <c r="M753" s="350"/>
      <c r="O753" s="225"/>
      <c r="R753" s="314"/>
      <c r="T753" s="498"/>
      <c r="U753" s="521"/>
    </row>
    <row r="754" spans="3:21">
      <c r="C754" s="314"/>
      <c r="G754" s="167"/>
      <c r="J754" s="314"/>
      <c r="K754" s="314"/>
      <c r="M754" s="350"/>
      <c r="O754" s="225"/>
      <c r="R754" s="314"/>
      <c r="T754" s="498"/>
      <c r="U754" s="521"/>
    </row>
    <row r="755" spans="3:21">
      <c r="C755" s="314"/>
      <c r="G755" s="167"/>
      <c r="J755" s="314"/>
      <c r="K755" s="314"/>
      <c r="M755" s="350"/>
      <c r="O755" s="225"/>
      <c r="R755" s="314"/>
      <c r="T755" s="498"/>
      <c r="U755" s="521"/>
    </row>
    <row r="756" spans="3:21">
      <c r="C756" s="314"/>
      <c r="G756" s="167"/>
      <c r="J756" s="314"/>
      <c r="K756" s="314"/>
      <c r="M756" s="350"/>
      <c r="O756" s="225"/>
      <c r="R756" s="314"/>
      <c r="T756" s="498"/>
      <c r="U756" s="521"/>
    </row>
    <row r="757" spans="3:21">
      <c r="C757" s="314"/>
      <c r="G757" s="167"/>
      <c r="J757" s="314"/>
      <c r="K757" s="314"/>
      <c r="M757" s="350"/>
      <c r="O757" s="225"/>
      <c r="R757" s="314"/>
      <c r="T757" s="498"/>
      <c r="U757" s="521"/>
    </row>
    <row r="758" spans="3:21">
      <c r="C758" s="314"/>
      <c r="G758" s="167"/>
      <c r="J758" s="314"/>
      <c r="K758" s="314"/>
      <c r="M758" s="350"/>
      <c r="O758" s="225"/>
      <c r="R758" s="314"/>
      <c r="T758" s="498"/>
      <c r="U758" s="521"/>
    </row>
    <row r="759" spans="3:21">
      <c r="C759" s="314"/>
      <c r="G759" s="167"/>
      <c r="J759" s="314"/>
      <c r="K759" s="314"/>
      <c r="M759" s="350"/>
      <c r="O759" s="225"/>
      <c r="R759" s="314"/>
      <c r="T759" s="498"/>
      <c r="U759" s="521"/>
    </row>
    <row r="760" spans="3:21">
      <c r="C760" s="314"/>
      <c r="G760" s="167"/>
      <c r="J760" s="314"/>
      <c r="K760" s="314"/>
      <c r="M760" s="350"/>
      <c r="O760" s="225"/>
      <c r="R760" s="314"/>
      <c r="T760" s="498"/>
      <c r="U760" s="521"/>
    </row>
    <row r="761" spans="3:21">
      <c r="C761" s="314"/>
      <c r="G761" s="167"/>
      <c r="J761" s="314"/>
      <c r="K761" s="314"/>
      <c r="M761" s="350"/>
      <c r="O761" s="225"/>
      <c r="R761" s="314"/>
      <c r="T761" s="498"/>
      <c r="U761" s="521"/>
    </row>
    <row r="762" spans="3:21">
      <c r="C762" s="314"/>
      <c r="G762" s="167"/>
      <c r="J762" s="314"/>
      <c r="K762" s="314"/>
      <c r="M762" s="350"/>
      <c r="O762" s="225"/>
      <c r="R762" s="314"/>
      <c r="T762" s="498"/>
      <c r="U762" s="521"/>
    </row>
    <row r="763" spans="3:21">
      <c r="C763" s="314"/>
      <c r="G763" s="167"/>
      <c r="J763" s="314"/>
      <c r="K763" s="314"/>
      <c r="M763" s="350"/>
      <c r="O763" s="225"/>
      <c r="R763" s="314"/>
      <c r="T763" s="498"/>
      <c r="U763" s="521"/>
    </row>
    <row r="764" spans="3:21">
      <c r="C764" s="314"/>
      <c r="G764" s="167"/>
      <c r="J764" s="314"/>
      <c r="K764" s="314"/>
      <c r="M764" s="350"/>
      <c r="O764" s="225"/>
      <c r="R764" s="314"/>
      <c r="T764" s="498"/>
      <c r="U764" s="521"/>
    </row>
    <row r="765" spans="3:21">
      <c r="C765" s="314"/>
      <c r="G765" s="167"/>
      <c r="J765" s="314"/>
      <c r="K765" s="314"/>
      <c r="M765" s="350"/>
      <c r="O765" s="225"/>
      <c r="R765" s="314"/>
      <c r="T765" s="498"/>
      <c r="U765" s="521"/>
    </row>
    <row r="766" spans="3:21">
      <c r="C766" s="314"/>
      <c r="G766" s="167"/>
      <c r="J766" s="314"/>
      <c r="K766" s="314"/>
      <c r="M766" s="350"/>
      <c r="O766" s="225"/>
      <c r="R766" s="314"/>
      <c r="T766" s="498"/>
      <c r="U766" s="521"/>
    </row>
    <row r="767" spans="3:21">
      <c r="C767" s="314"/>
      <c r="G767" s="167"/>
      <c r="J767" s="314"/>
      <c r="K767" s="314"/>
      <c r="M767" s="350"/>
      <c r="O767" s="225"/>
      <c r="R767" s="314"/>
      <c r="T767" s="498"/>
      <c r="U767" s="521"/>
    </row>
    <row r="768" spans="3:21">
      <c r="C768" s="314"/>
      <c r="G768" s="167"/>
      <c r="J768" s="314"/>
      <c r="K768" s="314"/>
      <c r="M768" s="350"/>
      <c r="O768" s="225"/>
      <c r="R768" s="314"/>
      <c r="T768" s="498"/>
      <c r="U768" s="521"/>
    </row>
    <row r="769" spans="3:21">
      <c r="C769" s="314"/>
      <c r="G769" s="167"/>
      <c r="J769" s="314"/>
      <c r="K769" s="314"/>
      <c r="M769" s="350"/>
      <c r="O769" s="225"/>
      <c r="R769" s="314"/>
      <c r="T769" s="498"/>
      <c r="U769" s="521"/>
    </row>
    <row r="770" spans="3:21">
      <c r="C770" s="314"/>
      <c r="G770" s="167"/>
      <c r="J770" s="314"/>
      <c r="K770" s="314"/>
      <c r="M770" s="350"/>
      <c r="O770" s="225"/>
      <c r="R770" s="314"/>
      <c r="T770" s="498"/>
      <c r="U770" s="521"/>
    </row>
    <row r="771" spans="3:21">
      <c r="C771" s="314"/>
      <c r="G771" s="167"/>
      <c r="J771" s="314"/>
      <c r="K771" s="314"/>
      <c r="M771" s="350"/>
      <c r="O771" s="225"/>
      <c r="R771" s="314"/>
      <c r="T771" s="498"/>
      <c r="U771" s="521"/>
    </row>
    <row r="772" spans="3:21">
      <c r="C772" s="314"/>
      <c r="G772" s="167"/>
      <c r="J772" s="314"/>
      <c r="K772" s="314"/>
      <c r="M772" s="350"/>
      <c r="O772" s="225"/>
      <c r="R772" s="314"/>
      <c r="T772" s="498"/>
      <c r="U772" s="521"/>
    </row>
    <row r="773" spans="3:21">
      <c r="C773" s="314"/>
      <c r="G773" s="167"/>
      <c r="J773" s="314"/>
      <c r="K773" s="314"/>
      <c r="M773" s="350"/>
      <c r="O773" s="225"/>
      <c r="R773" s="314"/>
      <c r="T773" s="498"/>
      <c r="U773" s="521"/>
    </row>
    <row r="774" spans="3:21">
      <c r="C774" s="314"/>
      <c r="G774" s="167"/>
      <c r="J774" s="314"/>
      <c r="K774" s="314"/>
      <c r="M774" s="350"/>
      <c r="O774" s="225"/>
      <c r="R774" s="314"/>
      <c r="T774" s="498"/>
      <c r="U774" s="521"/>
    </row>
    <row r="775" spans="3:21">
      <c r="C775" s="314"/>
      <c r="G775" s="167"/>
      <c r="J775" s="314"/>
      <c r="K775" s="314"/>
      <c r="M775" s="350"/>
      <c r="O775" s="225"/>
      <c r="R775" s="314"/>
      <c r="T775" s="498"/>
      <c r="U775" s="521"/>
    </row>
    <row r="776" spans="3:21">
      <c r="C776" s="314"/>
      <c r="G776" s="167"/>
      <c r="J776" s="314"/>
      <c r="K776" s="314"/>
      <c r="M776" s="350"/>
      <c r="O776" s="225"/>
      <c r="R776" s="314"/>
      <c r="T776" s="498"/>
      <c r="U776" s="521"/>
    </row>
    <row r="777" spans="3:21">
      <c r="C777" s="314"/>
      <c r="G777" s="167"/>
      <c r="J777" s="314"/>
      <c r="K777" s="314"/>
      <c r="M777" s="350"/>
      <c r="O777" s="225"/>
      <c r="R777" s="314"/>
      <c r="T777" s="498"/>
      <c r="U777" s="521"/>
    </row>
    <row r="778" spans="3:21">
      <c r="C778" s="314"/>
      <c r="G778" s="167"/>
      <c r="J778" s="314"/>
      <c r="K778" s="314"/>
      <c r="M778" s="350"/>
      <c r="O778" s="225"/>
      <c r="R778" s="314"/>
      <c r="T778" s="498"/>
      <c r="U778" s="521"/>
    </row>
    <row r="779" spans="3:21">
      <c r="C779" s="314"/>
      <c r="G779" s="167"/>
      <c r="J779" s="314"/>
      <c r="K779" s="314"/>
      <c r="M779" s="350"/>
      <c r="O779" s="225"/>
      <c r="R779" s="314"/>
      <c r="T779" s="498"/>
      <c r="U779" s="521"/>
    </row>
    <row r="780" spans="3:21">
      <c r="C780" s="314"/>
      <c r="G780" s="167"/>
      <c r="J780" s="314"/>
      <c r="K780" s="314"/>
      <c r="M780" s="350"/>
      <c r="O780" s="225"/>
      <c r="R780" s="314"/>
      <c r="T780" s="498"/>
      <c r="U780" s="521"/>
    </row>
    <row r="781" spans="3:21">
      <c r="C781" s="314"/>
      <c r="G781" s="167"/>
      <c r="J781" s="314"/>
      <c r="K781" s="314"/>
      <c r="M781" s="350"/>
      <c r="O781" s="225"/>
      <c r="R781" s="314"/>
      <c r="T781" s="498"/>
      <c r="U781" s="521"/>
    </row>
    <row r="782" spans="3:21">
      <c r="C782" s="314"/>
      <c r="G782" s="167"/>
      <c r="J782" s="314"/>
      <c r="K782" s="314"/>
      <c r="M782" s="350"/>
      <c r="O782" s="225"/>
      <c r="R782" s="314"/>
      <c r="T782" s="498"/>
      <c r="U782" s="521"/>
    </row>
    <row r="783" spans="3:21">
      <c r="C783" s="314"/>
      <c r="G783" s="167"/>
      <c r="J783" s="314"/>
      <c r="K783" s="314"/>
      <c r="M783" s="350"/>
      <c r="O783" s="225"/>
      <c r="R783" s="314"/>
      <c r="T783" s="498"/>
      <c r="U783" s="521"/>
    </row>
    <row r="784" spans="3:21">
      <c r="C784" s="314"/>
      <c r="G784" s="167"/>
      <c r="J784" s="314"/>
      <c r="K784" s="314"/>
      <c r="M784" s="350"/>
      <c r="O784" s="225"/>
      <c r="R784" s="314"/>
      <c r="T784" s="498"/>
      <c r="U784" s="521"/>
    </row>
    <row r="785" spans="3:21">
      <c r="C785" s="314"/>
      <c r="G785" s="167"/>
      <c r="J785" s="314"/>
      <c r="K785" s="314"/>
      <c r="M785" s="350"/>
      <c r="O785" s="225"/>
      <c r="R785" s="314"/>
      <c r="T785" s="498"/>
      <c r="U785" s="521"/>
    </row>
    <row r="786" spans="3:21">
      <c r="C786" s="314"/>
      <c r="G786" s="167"/>
      <c r="J786" s="314"/>
      <c r="K786" s="314"/>
      <c r="M786" s="350"/>
      <c r="O786" s="225"/>
      <c r="R786" s="314"/>
      <c r="T786" s="498"/>
      <c r="U786" s="521"/>
    </row>
    <row r="787" spans="3:21">
      <c r="C787" s="314"/>
      <c r="G787" s="167"/>
      <c r="J787" s="314"/>
      <c r="K787" s="314"/>
      <c r="M787" s="350"/>
      <c r="O787" s="225"/>
      <c r="R787" s="314"/>
      <c r="T787" s="498"/>
      <c r="U787" s="521"/>
    </row>
    <row r="788" spans="3:21">
      <c r="C788" s="314"/>
      <c r="G788" s="167"/>
      <c r="J788" s="314"/>
      <c r="K788" s="314"/>
      <c r="M788" s="350"/>
      <c r="O788" s="225"/>
      <c r="R788" s="314"/>
      <c r="T788" s="498"/>
      <c r="U788" s="521"/>
    </row>
    <row r="789" spans="3:21">
      <c r="C789" s="314"/>
      <c r="G789" s="167"/>
      <c r="J789" s="314"/>
      <c r="K789" s="314"/>
      <c r="M789" s="350"/>
      <c r="O789" s="225"/>
      <c r="R789" s="314"/>
      <c r="T789" s="498"/>
      <c r="U789" s="521"/>
    </row>
    <row r="790" spans="3:21">
      <c r="C790" s="314"/>
      <c r="G790" s="167"/>
      <c r="J790" s="314"/>
      <c r="K790" s="314"/>
      <c r="M790" s="350"/>
      <c r="O790" s="225"/>
      <c r="R790" s="314"/>
      <c r="T790" s="498"/>
      <c r="U790" s="521"/>
    </row>
    <row r="791" spans="3:21">
      <c r="C791" s="314"/>
      <c r="G791" s="167"/>
      <c r="J791" s="314"/>
      <c r="K791" s="314"/>
      <c r="M791" s="350"/>
      <c r="O791" s="225"/>
      <c r="R791" s="314"/>
      <c r="T791" s="498"/>
      <c r="U791" s="521"/>
    </row>
    <row r="792" spans="3:21">
      <c r="C792" s="314"/>
      <c r="G792" s="167"/>
      <c r="J792" s="314"/>
      <c r="K792" s="314"/>
      <c r="M792" s="350"/>
      <c r="O792" s="225"/>
      <c r="R792" s="314"/>
      <c r="T792" s="498"/>
      <c r="U792" s="521"/>
    </row>
    <row r="793" spans="3:21">
      <c r="C793" s="314"/>
      <c r="G793" s="167"/>
      <c r="J793" s="314"/>
      <c r="K793" s="314"/>
      <c r="M793" s="350"/>
      <c r="O793" s="225"/>
      <c r="R793" s="314"/>
      <c r="T793" s="498"/>
      <c r="U793" s="521"/>
    </row>
    <row r="794" spans="3:21">
      <c r="C794" s="314"/>
      <c r="G794" s="167"/>
      <c r="J794" s="314"/>
      <c r="K794" s="314"/>
      <c r="M794" s="350"/>
      <c r="O794" s="225"/>
      <c r="R794" s="314"/>
      <c r="T794" s="498"/>
      <c r="U794" s="521"/>
    </row>
    <row r="795" spans="3:21">
      <c r="C795" s="314"/>
      <c r="G795" s="167"/>
      <c r="J795" s="314"/>
      <c r="K795" s="314"/>
      <c r="M795" s="350"/>
      <c r="O795" s="225"/>
      <c r="R795" s="314"/>
      <c r="T795" s="498"/>
      <c r="U795" s="521"/>
    </row>
    <row r="796" spans="3:21">
      <c r="C796" s="314"/>
      <c r="G796" s="167"/>
      <c r="J796" s="314"/>
      <c r="K796" s="314"/>
      <c r="M796" s="350"/>
      <c r="O796" s="225"/>
      <c r="R796" s="314"/>
      <c r="T796" s="498"/>
      <c r="U796" s="521"/>
    </row>
    <row r="797" spans="3:21">
      <c r="C797" s="314"/>
      <c r="G797" s="167"/>
      <c r="J797" s="314"/>
      <c r="K797" s="314"/>
      <c r="M797" s="350"/>
      <c r="O797" s="225"/>
      <c r="R797" s="314"/>
      <c r="T797" s="498"/>
      <c r="U797" s="521"/>
    </row>
    <row r="798" spans="3:21">
      <c r="C798" s="314"/>
      <c r="G798" s="167"/>
      <c r="J798" s="314"/>
      <c r="K798" s="314"/>
      <c r="M798" s="350"/>
      <c r="O798" s="225"/>
      <c r="R798" s="314"/>
      <c r="T798" s="498"/>
      <c r="U798" s="521"/>
    </row>
    <row r="799" spans="3:21">
      <c r="C799" s="314"/>
      <c r="G799" s="167"/>
      <c r="J799" s="314"/>
      <c r="K799" s="314"/>
      <c r="M799" s="350"/>
      <c r="O799" s="225"/>
      <c r="R799" s="314"/>
      <c r="T799" s="498"/>
      <c r="U799" s="521"/>
    </row>
    <row r="800" spans="3:21">
      <c r="C800" s="314"/>
      <c r="G800" s="167"/>
      <c r="J800" s="314"/>
      <c r="K800" s="314"/>
      <c r="M800" s="350"/>
      <c r="O800" s="225"/>
      <c r="R800" s="314"/>
      <c r="T800" s="498"/>
      <c r="U800" s="521"/>
    </row>
    <row r="801" spans="3:21">
      <c r="C801" s="314"/>
      <c r="G801" s="167"/>
      <c r="J801" s="314"/>
      <c r="K801" s="314"/>
      <c r="M801" s="350"/>
      <c r="O801" s="225"/>
      <c r="R801" s="314"/>
      <c r="T801" s="498"/>
      <c r="U801" s="521"/>
    </row>
    <row r="802" spans="3:21">
      <c r="C802" s="314"/>
      <c r="G802" s="167"/>
      <c r="J802" s="314"/>
      <c r="K802" s="314"/>
      <c r="M802" s="350"/>
      <c r="O802" s="225"/>
      <c r="R802" s="314"/>
      <c r="T802" s="498"/>
      <c r="U802" s="521"/>
    </row>
    <row r="803" spans="3:21">
      <c r="C803" s="314"/>
      <c r="G803" s="167"/>
      <c r="J803" s="314"/>
      <c r="K803" s="314"/>
      <c r="M803" s="350"/>
      <c r="O803" s="225"/>
      <c r="R803" s="314"/>
      <c r="T803" s="498"/>
      <c r="U803" s="521"/>
    </row>
    <row r="804" spans="3:21">
      <c r="C804" s="314"/>
      <c r="G804" s="167"/>
      <c r="J804" s="314"/>
      <c r="K804" s="314"/>
      <c r="M804" s="350"/>
      <c r="O804" s="225"/>
      <c r="R804" s="314"/>
      <c r="T804" s="498"/>
      <c r="U804" s="521"/>
    </row>
    <row r="805" spans="3:21">
      <c r="C805" s="314"/>
      <c r="G805" s="167"/>
      <c r="J805" s="314"/>
      <c r="K805" s="314"/>
      <c r="M805" s="350"/>
      <c r="O805" s="225"/>
      <c r="R805" s="314"/>
      <c r="T805" s="498"/>
      <c r="U805" s="521"/>
    </row>
    <row r="806" spans="3:21">
      <c r="C806" s="314"/>
      <c r="G806" s="167"/>
      <c r="J806" s="314"/>
      <c r="K806" s="314"/>
      <c r="M806" s="350"/>
      <c r="O806" s="225"/>
      <c r="R806" s="314"/>
      <c r="T806" s="498"/>
      <c r="U806" s="521"/>
    </row>
    <row r="807" spans="3:21">
      <c r="C807" s="314"/>
      <c r="G807" s="167"/>
      <c r="J807" s="314"/>
      <c r="K807" s="314"/>
      <c r="M807" s="350"/>
      <c r="O807" s="225"/>
      <c r="R807" s="314"/>
      <c r="T807" s="498"/>
      <c r="U807" s="521"/>
    </row>
    <row r="808" spans="3:21">
      <c r="C808" s="314"/>
      <c r="G808" s="167"/>
      <c r="J808" s="314"/>
      <c r="K808" s="314"/>
      <c r="M808" s="350"/>
      <c r="O808" s="225"/>
      <c r="R808" s="314"/>
      <c r="T808" s="498"/>
      <c r="U808" s="521"/>
    </row>
    <row r="809" spans="3:21">
      <c r="C809" s="314"/>
      <c r="G809" s="167"/>
      <c r="J809" s="314"/>
      <c r="K809" s="314"/>
      <c r="M809" s="350"/>
      <c r="O809" s="225"/>
      <c r="R809" s="314"/>
      <c r="T809" s="498"/>
      <c r="U809" s="521"/>
    </row>
    <row r="810" spans="3:21">
      <c r="C810" s="314"/>
      <c r="G810" s="167"/>
      <c r="J810" s="314"/>
      <c r="K810" s="314"/>
      <c r="M810" s="350"/>
      <c r="O810" s="225"/>
      <c r="R810" s="314"/>
      <c r="T810" s="498"/>
      <c r="U810" s="521"/>
    </row>
    <row r="811" spans="3:21">
      <c r="C811" s="314"/>
      <c r="G811" s="167"/>
      <c r="J811" s="314"/>
      <c r="K811" s="314"/>
      <c r="M811" s="350"/>
      <c r="O811" s="225"/>
      <c r="R811" s="314"/>
      <c r="T811" s="498"/>
      <c r="U811" s="521"/>
    </row>
    <row r="812" spans="3:21">
      <c r="C812" s="314"/>
      <c r="G812" s="167"/>
      <c r="J812" s="314"/>
      <c r="K812" s="314"/>
      <c r="M812" s="350"/>
      <c r="O812" s="225"/>
      <c r="R812" s="314"/>
      <c r="T812" s="498"/>
      <c r="U812" s="521"/>
    </row>
    <row r="813" spans="3:21">
      <c r="C813" s="314"/>
      <c r="G813" s="167"/>
      <c r="J813" s="314"/>
      <c r="K813" s="314"/>
      <c r="M813" s="350"/>
      <c r="O813" s="225"/>
      <c r="R813" s="314"/>
      <c r="T813" s="498"/>
      <c r="U813" s="521"/>
    </row>
    <row r="814" spans="3:21">
      <c r="C814" s="314"/>
      <c r="G814" s="167"/>
      <c r="J814" s="314"/>
      <c r="K814" s="314"/>
      <c r="M814" s="350"/>
      <c r="O814" s="225"/>
      <c r="R814" s="314"/>
      <c r="T814" s="498"/>
      <c r="U814" s="521"/>
    </row>
    <row r="815" spans="3:21">
      <c r="C815" s="314"/>
      <c r="G815" s="167"/>
      <c r="J815" s="314"/>
      <c r="K815" s="314"/>
      <c r="M815" s="350"/>
      <c r="O815" s="225"/>
      <c r="R815" s="314"/>
      <c r="T815" s="498"/>
      <c r="U815" s="521"/>
    </row>
    <row r="816" spans="3:21">
      <c r="C816" s="314"/>
      <c r="G816" s="167"/>
      <c r="J816" s="314"/>
      <c r="K816" s="314"/>
      <c r="M816" s="350"/>
      <c r="O816" s="225"/>
      <c r="R816" s="314"/>
      <c r="T816" s="498"/>
      <c r="U816" s="521"/>
    </row>
    <row r="817" spans="3:21">
      <c r="C817" s="314"/>
      <c r="G817" s="167"/>
      <c r="J817" s="314"/>
      <c r="K817" s="314"/>
      <c r="M817" s="350"/>
      <c r="O817" s="225"/>
      <c r="R817" s="314"/>
      <c r="T817" s="498"/>
      <c r="U817" s="521"/>
    </row>
    <row r="818" spans="3:21">
      <c r="C818" s="314"/>
      <c r="G818" s="167"/>
      <c r="J818" s="314"/>
      <c r="K818" s="314"/>
      <c r="M818" s="350"/>
      <c r="O818" s="225"/>
      <c r="R818" s="314"/>
      <c r="T818" s="498"/>
      <c r="U818" s="521"/>
    </row>
    <row r="819" spans="3:21">
      <c r="C819" s="314"/>
      <c r="G819" s="167"/>
      <c r="J819" s="314"/>
      <c r="K819" s="314"/>
      <c r="M819" s="350"/>
      <c r="O819" s="225"/>
      <c r="R819" s="314"/>
      <c r="T819" s="498"/>
      <c r="U819" s="521"/>
    </row>
    <row r="820" spans="3:21">
      <c r="C820" s="314"/>
      <c r="G820" s="167"/>
      <c r="J820" s="314"/>
      <c r="K820" s="314"/>
      <c r="M820" s="350"/>
      <c r="O820" s="225"/>
      <c r="R820" s="314"/>
      <c r="T820" s="498"/>
      <c r="U820" s="521"/>
    </row>
    <row r="821" spans="3:21">
      <c r="C821" s="314"/>
      <c r="G821" s="167"/>
      <c r="J821" s="314"/>
      <c r="K821" s="314"/>
      <c r="M821" s="350"/>
      <c r="O821" s="225"/>
      <c r="R821" s="314"/>
      <c r="T821" s="498"/>
      <c r="U821" s="521"/>
    </row>
    <row r="822" spans="3:21">
      <c r="C822" s="314"/>
      <c r="G822" s="167"/>
      <c r="J822" s="314"/>
      <c r="K822" s="314"/>
      <c r="M822" s="350"/>
      <c r="O822" s="225"/>
      <c r="R822" s="314"/>
      <c r="T822" s="498"/>
      <c r="U822" s="521"/>
    </row>
    <row r="823" spans="3:21">
      <c r="C823" s="314"/>
      <c r="G823" s="167"/>
      <c r="J823" s="314"/>
      <c r="K823" s="314"/>
      <c r="M823" s="350"/>
      <c r="O823" s="225"/>
      <c r="R823" s="314"/>
      <c r="T823" s="498"/>
      <c r="U823" s="521"/>
    </row>
    <row r="824" spans="3:21">
      <c r="C824" s="314"/>
      <c r="G824" s="167"/>
      <c r="J824" s="314"/>
      <c r="K824" s="314"/>
      <c r="M824" s="350"/>
      <c r="O824" s="225"/>
      <c r="R824" s="314"/>
      <c r="T824" s="498"/>
      <c r="U824" s="521"/>
    </row>
    <row r="825" spans="3:21">
      <c r="C825" s="314"/>
      <c r="G825" s="167"/>
      <c r="J825" s="314"/>
      <c r="K825" s="314"/>
      <c r="M825" s="350"/>
      <c r="O825" s="225"/>
      <c r="R825" s="314"/>
      <c r="T825" s="498"/>
      <c r="U825" s="521"/>
    </row>
    <row r="826" spans="3:21">
      <c r="C826" s="314"/>
      <c r="G826" s="167"/>
      <c r="J826" s="314"/>
      <c r="K826" s="314"/>
      <c r="M826" s="350"/>
      <c r="O826" s="225"/>
      <c r="R826" s="314"/>
      <c r="T826" s="498"/>
      <c r="U826" s="521"/>
    </row>
    <row r="827" spans="3:21">
      <c r="C827" s="314"/>
      <c r="G827" s="167"/>
      <c r="J827" s="314"/>
      <c r="K827" s="314"/>
      <c r="M827" s="350"/>
      <c r="O827" s="225"/>
      <c r="R827" s="314"/>
      <c r="T827" s="498"/>
      <c r="U827" s="521"/>
    </row>
    <row r="828" spans="3:21">
      <c r="C828" s="314"/>
      <c r="G828" s="167"/>
      <c r="J828" s="314"/>
      <c r="K828" s="314"/>
      <c r="M828" s="350"/>
      <c r="O828" s="225"/>
      <c r="R828" s="314"/>
      <c r="T828" s="498"/>
      <c r="U828" s="521"/>
    </row>
    <row r="829" spans="3:21">
      <c r="C829" s="314"/>
      <c r="G829" s="167"/>
      <c r="J829" s="314"/>
      <c r="K829" s="314"/>
      <c r="M829" s="350"/>
      <c r="O829" s="225"/>
      <c r="R829" s="314"/>
      <c r="T829" s="498"/>
      <c r="U829" s="521"/>
    </row>
    <row r="830" spans="3:21">
      <c r="C830" s="314"/>
      <c r="G830" s="167"/>
      <c r="J830" s="314"/>
      <c r="K830" s="314"/>
      <c r="M830" s="350"/>
      <c r="O830" s="225"/>
      <c r="R830" s="314"/>
      <c r="T830" s="498"/>
      <c r="U830" s="521"/>
    </row>
    <row r="831" spans="3:21">
      <c r="C831" s="314"/>
      <c r="G831" s="167"/>
      <c r="J831" s="314"/>
      <c r="K831" s="314"/>
      <c r="M831" s="350"/>
      <c r="O831" s="225"/>
      <c r="R831" s="314"/>
      <c r="T831" s="498"/>
      <c r="U831" s="521"/>
    </row>
    <row r="832" spans="3:21">
      <c r="C832" s="314"/>
      <c r="G832" s="167"/>
      <c r="J832" s="314"/>
      <c r="K832" s="314"/>
      <c r="M832" s="350"/>
      <c r="O832" s="225"/>
      <c r="R832" s="314"/>
      <c r="T832" s="498"/>
      <c r="U832" s="521"/>
    </row>
    <row r="833" spans="3:21">
      <c r="C833" s="314"/>
      <c r="G833" s="167"/>
      <c r="J833" s="314"/>
      <c r="K833" s="314"/>
      <c r="M833" s="350"/>
      <c r="O833" s="225"/>
      <c r="R833" s="314"/>
      <c r="T833" s="498"/>
      <c r="U833" s="521"/>
    </row>
    <row r="834" spans="3:21">
      <c r="C834" s="314"/>
      <c r="G834" s="167"/>
      <c r="J834" s="314"/>
      <c r="K834" s="314"/>
      <c r="M834" s="350"/>
      <c r="O834" s="225"/>
      <c r="R834" s="314"/>
      <c r="T834" s="498"/>
      <c r="U834" s="521"/>
    </row>
    <row r="835" spans="3:21">
      <c r="C835" s="314"/>
      <c r="G835" s="167"/>
      <c r="J835" s="314"/>
      <c r="K835" s="314"/>
      <c r="M835" s="350"/>
      <c r="O835" s="225"/>
      <c r="R835" s="314"/>
      <c r="T835" s="498"/>
      <c r="U835" s="521"/>
    </row>
    <row r="836" spans="3:21">
      <c r="C836" s="314"/>
      <c r="G836" s="167"/>
      <c r="J836" s="314"/>
      <c r="K836" s="314"/>
      <c r="M836" s="350"/>
      <c r="O836" s="225"/>
      <c r="R836" s="314"/>
      <c r="T836" s="498"/>
      <c r="U836" s="521"/>
    </row>
    <row r="837" spans="3:21">
      <c r="C837" s="314"/>
      <c r="G837" s="167"/>
      <c r="J837" s="314"/>
      <c r="K837" s="314"/>
      <c r="M837" s="350"/>
      <c r="O837" s="225"/>
      <c r="R837" s="314"/>
      <c r="T837" s="498"/>
      <c r="U837" s="521"/>
    </row>
    <row r="838" spans="3:21">
      <c r="C838" s="314"/>
      <c r="G838" s="167"/>
      <c r="J838" s="314"/>
      <c r="K838" s="314"/>
      <c r="M838" s="350"/>
      <c r="O838" s="225"/>
      <c r="R838" s="314"/>
      <c r="T838" s="498"/>
      <c r="U838" s="521"/>
    </row>
    <row r="839" spans="3:21">
      <c r="C839" s="314"/>
      <c r="G839" s="167"/>
      <c r="J839" s="314"/>
      <c r="K839" s="314"/>
      <c r="M839" s="350"/>
      <c r="O839" s="225"/>
      <c r="R839" s="314"/>
      <c r="T839" s="498"/>
      <c r="U839" s="521"/>
    </row>
    <row r="840" spans="3:21">
      <c r="C840" s="314"/>
      <c r="G840" s="167"/>
      <c r="J840" s="314"/>
      <c r="K840" s="314"/>
      <c r="M840" s="350"/>
      <c r="O840" s="225"/>
      <c r="R840" s="314"/>
      <c r="T840" s="498"/>
      <c r="U840" s="521"/>
    </row>
    <row r="841" spans="3:21">
      <c r="C841" s="314"/>
      <c r="G841" s="167"/>
      <c r="J841" s="314"/>
      <c r="K841" s="314"/>
      <c r="M841" s="350"/>
      <c r="O841" s="225"/>
      <c r="R841" s="314"/>
      <c r="T841" s="498"/>
      <c r="U841" s="521"/>
    </row>
    <row r="842" spans="3:21">
      <c r="C842" s="314"/>
      <c r="G842" s="167"/>
      <c r="J842" s="314"/>
      <c r="K842" s="314"/>
      <c r="M842" s="350"/>
      <c r="O842" s="225"/>
      <c r="R842" s="314"/>
      <c r="T842" s="498"/>
      <c r="U842" s="521"/>
    </row>
    <row r="843" spans="3:21">
      <c r="C843" s="314"/>
      <c r="G843" s="167"/>
      <c r="J843" s="314"/>
      <c r="K843" s="314"/>
      <c r="M843" s="350"/>
      <c r="O843" s="225"/>
      <c r="R843" s="314"/>
      <c r="T843" s="498"/>
      <c r="U843" s="521"/>
    </row>
    <row r="844" spans="3:21">
      <c r="C844" s="314"/>
      <c r="G844" s="167"/>
      <c r="J844" s="314"/>
      <c r="K844" s="314"/>
      <c r="M844" s="350"/>
      <c r="O844" s="225"/>
      <c r="R844" s="314"/>
      <c r="T844" s="498"/>
      <c r="U844" s="521"/>
    </row>
    <row r="845" spans="3:21">
      <c r="C845" s="314"/>
      <c r="G845" s="167"/>
      <c r="J845" s="314"/>
      <c r="K845" s="314"/>
      <c r="M845" s="350"/>
      <c r="O845" s="225"/>
      <c r="R845" s="314"/>
      <c r="T845" s="498"/>
      <c r="U845" s="521"/>
    </row>
    <row r="846" spans="3:21">
      <c r="C846" s="314"/>
      <c r="G846" s="167"/>
      <c r="J846" s="314"/>
      <c r="K846" s="314"/>
      <c r="M846" s="350"/>
      <c r="O846" s="225"/>
      <c r="R846" s="314"/>
      <c r="T846" s="498"/>
      <c r="U846" s="521"/>
    </row>
    <row r="847" spans="3:21">
      <c r="C847" s="314"/>
      <c r="G847" s="167"/>
      <c r="J847" s="314"/>
      <c r="K847" s="314"/>
      <c r="M847" s="350"/>
      <c r="O847" s="225"/>
      <c r="R847" s="314"/>
      <c r="T847" s="498"/>
      <c r="U847" s="521"/>
    </row>
    <row r="848" spans="3:21">
      <c r="C848" s="314"/>
      <c r="G848" s="167"/>
      <c r="J848" s="314"/>
      <c r="K848" s="314"/>
      <c r="M848" s="350"/>
      <c r="O848" s="225"/>
      <c r="R848" s="314"/>
      <c r="T848" s="498"/>
      <c r="U848" s="521"/>
    </row>
    <row r="849" spans="3:21">
      <c r="C849" s="314"/>
      <c r="G849" s="167"/>
      <c r="J849" s="314"/>
      <c r="K849" s="314"/>
      <c r="M849" s="350"/>
      <c r="O849" s="225"/>
      <c r="R849" s="314"/>
      <c r="T849" s="498"/>
      <c r="U849" s="521"/>
    </row>
    <row r="850" spans="3:21">
      <c r="C850" s="314"/>
      <c r="G850" s="167"/>
      <c r="J850" s="314"/>
      <c r="K850" s="314"/>
      <c r="M850" s="350"/>
      <c r="O850" s="225"/>
      <c r="R850" s="314"/>
      <c r="T850" s="498"/>
      <c r="U850" s="521"/>
    </row>
    <row r="851" spans="3:21">
      <c r="C851" s="314"/>
      <c r="G851" s="167"/>
      <c r="J851" s="314"/>
      <c r="K851" s="314"/>
      <c r="M851" s="350"/>
      <c r="O851" s="225"/>
      <c r="R851" s="314"/>
      <c r="T851" s="498"/>
      <c r="U851" s="521"/>
    </row>
    <row r="852" spans="3:21">
      <c r="C852" s="314"/>
      <c r="G852" s="167"/>
      <c r="J852" s="314"/>
      <c r="K852" s="314"/>
      <c r="M852" s="350"/>
      <c r="O852" s="225"/>
      <c r="R852" s="314"/>
      <c r="T852" s="498"/>
      <c r="U852" s="521"/>
    </row>
    <row r="853" spans="3:21">
      <c r="C853" s="314"/>
      <c r="G853" s="167"/>
      <c r="J853" s="314"/>
      <c r="K853" s="314"/>
      <c r="M853" s="350"/>
      <c r="O853" s="225"/>
      <c r="R853" s="314"/>
      <c r="T853" s="498"/>
      <c r="U853" s="521"/>
    </row>
    <row r="854" spans="3:21">
      <c r="C854" s="314"/>
      <c r="G854" s="167"/>
      <c r="J854" s="314"/>
      <c r="K854" s="314"/>
      <c r="M854" s="350"/>
      <c r="O854" s="225"/>
      <c r="R854" s="314"/>
      <c r="T854" s="498"/>
      <c r="U854" s="521"/>
    </row>
    <row r="855" spans="3:21">
      <c r="C855" s="314"/>
      <c r="G855" s="167"/>
      <c r="J855" s="314"/>
      <c r="K855" s="314"/>
      <c r="M855" s="350"/>
      <c r="O855" s="225"/>
      <c r="R855" s="314"/>
      <c r="T855" s="498"/>
      <c r="U855" s="521"/>
    </row>
    <row r="856" spans="3:21">
      <c r="C856" s="314"/>
      <c r="G856" s="167"/>
      <c r="J856" s="314"/>
      <c r="K856" s="314"/>
      <c r="M856" s="350"/>
      <c r="O856" s="225"/>
      <c r="R856" s="314"/>
      <c r="T856" s="498"/>
      <c r="U856" s="521"/>
    </row>
    <row r="857" spans="3:21">
      <c r="C857" s="314"/>
      <c r="G857" s="167"/>
      <c r="J857" s="314"/>
      <c r="K857" s="314"/>
      <c r="M857" s="350"/>
      <c r="O857" s="225"/>
      <c r="R857" s="314"/>
      <c r="T857" s="498"/>
      <c r="U857" s="521"/>
    </row>
    <row r="858" spans="3:21">
      <c r="C858" s="314"/>
      <c r="G858" s="167"/>
      <c r="J858" s="314"/>
      <c r="K858" s="314"/>
      <c r="M858" s="350"/>
      <c r="O858" s="225"/>
      <c r="R858" s="314"/>
      <c r="T858" s="498"/>
      <c r="U858" s="521"/>
    </row>
    <row r="859" spans="3:21">
      <c r="C859" s="314"/>
      <c r="G859" s="167"/>
      <c r="J859" s="314"/>
      <c r="K859" s="314"/>
      <c r="M859" s="350"/>
      <c r="O859" s="225"/>
      <c r="R859" s="314"/>
      <c r="T859" s="498"/>
      <c r="U859" s="521"/>
    </row>
    <row r="860" spans="3:21">
      <c r="C860" s="314"/>
      <c r="G860" s="167"/>
      <c r="J860" s="314"/>
      <c r="K860" s="314"/>
      <c r="M860" s="350"/>
      <c r="O860" s="225"/>
      <c r="R860" s="314"/>
      <c r="T860" s="498"/>
      <c r="U860" s="521"/>
    </row>
    <row r="861" spans="3:21">
      <c r="C861" s="314"/>
      <c r="G861" s="167"/>
      <c r="J861" s="314"/>
      <c r="K861" s="314"/>
      <c r="M861" s="350"/>
      <c r="O861" s="225"/>
      <c r="R861" s="314"/>
      <c r="T861" s="498"/>
      <c r="U861" s="521"/>
    </row>
    <row r="862" spans="3:21">
      <c r="C862" s="314"/>
      <c r="G862" s="167"/>
      <c r="J862" s="314"/>
      <c r="K862" s="314"/>
      <c r="M862" s="350"/>
      <c r="O862" s="225"/>
      <c r="R862" s="314"/>
      <c r="T862" s="498"/>
      <c r="U862" s="521"/>
    </row>
    <row r="863" spans="3:21">
      <c r="C863" s="314"/>
      <c r="G863" s="167"/>
      <c r="J863" s="314"/>
      <c r="K863" s="314"/>
      <c r="M863" s="350"/>
      <c r="O863" s="225"/>
      <c r="R863" s="314"/>
      <c r="T863" s="498"/>
      <c r="U863" s="521"/>
    </row>
    <row r="864" spans="3:21">
      <c r="C864" s="314"/>
      <c r="G864" s="167"/>
      <c r="J864" s="314"/>
      <c r="K864" s="314"/>
      <c r="M864" s="350"/>
      <c r="O864" s="225"/>
      <c r="R864" s="314"/>
      <c r="T864" s="498"/>
      <c r="U864" s="521"/>
    </row>
    <row r="865" spans="3:21">
      <c r="C865" s="314"/>
      <c r="G865" s="167"/>
      <c r="J865" s="314"/>
      <c r="K865" s="314"/>
      <c r="M865" s="350"/>
      <c r="O865" s="225"/>
      <c r="R865" s="314"/>
      <c r="T865" s="498"/>
      <c r="U865" s="521"/>
    </row>
    <row r="866" spans="3:21">
      <c r="C866" s="314"/>
      <c r="G866" s="167"/>
      <c r="J866" s="314"/>
      <c r="K866" s="314"/>
      <c r="M866" s="350"/>
      <c r="O866" s="225"/>
      <c r="R866" s="314"/>
      <c r="T866" s="498"/>
      <c r="U866" s="521"/>
    </row>
    <row r="867" spans="3:21">
      <c r="C867" s="314"/>
      <c r="G867" s="167"/>
      <c r="J867" s="314"/>
      <c r="K867" s="314"/>
      <c r="M867" s="350"/>
      <c r="O867" s="225"/>
      <c r="R867" s="314"/>
      <c r="T867" s="498"/>
      <c r="U867" s="521"/>
    </row>
    <row r="868" spans="3:21">
      <c r="C868" s="314"/>
      <c r="G868" s="167"/>
      <c r="J868" s="314"/>
      <c r="K868" s="314"/>
      <c r="M868" s="350"/>
      <c r="O868" s="225"/>
      <c r="R868" s="314"/>
      <c r="T868" s="498"/>
      <c r="U868" s="521"/>
    </row>
    <row r="869" spans="3:21">
      <c r="C869" s="314"/>
      <c r="G869" s="167"/>
      <c r="J869" s="314"/>
      <c r="K869" s="314"/>
      <c r="M869" s="350"/>
      <c r="O869" s="225"/>
      <c r="R869" s="314"/>
      <c r="T869" s="498"/>
      <c r="U869" s="521"/>
    </row>
    <row r="870" spans="3:21">
      <c r="C870" s="314"/>
      <c r="G870" s="167"/>
      <c r="J870" s="314"/>
      <c r="K870" s="314"/>
      <c r="M870" s="350"/>
      <c r="O870" s="225"/>
      <c r="R870" s="314"/>
      <c r="T870" s="498"/>
      <c r="U870" s="521"/>
    </row>
    <row r="871" spans="3:21">
      <c r="C871" s="314"/>
      <c r="G871" s="167"/>
      <c r="J871" s="314"/>
      <c r="K871" s="314"/>
      <c r="M871" s="350"/>
      <c r="O871" s="225"/>
      <c r="R871" s="314"/>
      <c r="T871" s="498"/>
      <c r="U871" s="521"/>
    </row>
    <row r="872" spans="3:21">
      <c r="C872" s="314"/>
      <c r="G872" s="167"/>
      <c r="J872" s="314"/>
      <c r="K872" s="314"/>
      <c r="M872" s="350"/>
      <c r="O872" s="225"/>
      <c r="R872" s="314"/>
      <c r="T872" s="498"/>
      <c r="U872" s="521"/>
    </row>
    <row r="873" spans="3:21">
      <c r="C873" s="314"/>
      <c r="G873" s="167"/>
      <c r="J873" s="314"/>
      <c r="K873" s="314"/>
      <c r="M873" s="350"/>
      <c r="O873" s="225"/>
      <c r="R873" s="314"/>
      <c r="T873" s="498"/>
      <c r="U873" s="521"/>
    </row>
    <row r="874" spans="3:21">
      <c r="C874" s="314"/>
      <c r="G874" s="167"/>
      <c r="J874" s="314"/>
      <c r="K874" s="314"/>
      <c r="M874" s="350"/>
      <c r="O874" s="225"/>
      <c r="R874" s="314"/>
      <c r="T874" s="498"/>
      <c r="U874" s="521"/>
    </row>
    <row r="875" spans="3:21">
      <c r="C875" s="314"/>
      <c r="G875" s="167"/>
      <c r="J875" s="314"/>
      <c r="K875" s="314"/>
      <c r="M875" s="350"/>
      <c r="O875" s="225"/>
      <c r="R875" s="314"/>
      <c r="T875" s="498"/>
      <c r="U875" s="521"/>
    </row>
    <row r="876" spans="3:21">
      <c r="C876" s="314"/>
      <c r="G876" s="167"/>
      <c r="J876" s="314"/>
      <c r="K876" s="314"/>
      <c r="M876" s="350"/>
      <c r="O876" s="225"/>
      <c r="R876" s="314"/>
      <c r="T876" s="498"/>
      <c r="U876" s="521"/>
    </row>
    <row r="877" spans="3:21">
      <c r="C877" s="314"/>
      <c r="G877" s="167"/>
      <c r="J877" s="314"/>
      <c r="K877" s="314"/>
      <c r="M877" s="350"/>
      <c r="O877" s="225"/>
      <c r="R877" s="314"/>
      <c r="T877" s="498"/>
      <c r="U877" s="521"/>
    </row>
    <row r="878" spans="3:21">
      <c r="C878" s="314"/>
      <c r="G878" s="167"/>
      <c r="J878" s="314"/>
      <c r="K878" s="314"/>
      <c r="M878" s="350"/>
      <c r="O878" s="225"/>
      <c r="R878" s="314"/>
      <c r="T878" s="498"/>
      <c r="U878" s="521"/>
    </row>
    <row r="879" spans="3:21">
      <c r="C879" s="314"/>
      <c r="G879" s="167"/>
      <c r="J879" s="314"/>
      <c r="K879" s="314"/>
      <c r="M879" s="350"/>
      <c r="O879" s="225"/>
      <c r="R879" s="314"/>
      <c r="T879" s="498"/>
      <c r="U879" s="521"/>
    </row>
    <row r="880" spans="3:21">
      <c r="C880" s="314"/>
      <c r="G880" s="167"/>
      <c r="J880" s="314"/>
      <c r="K880" s="314"/>
      <c r="M880" s="350"/>
      <c r="O880" s="225"/>
      <c r="R880" s="314"/>
      <c r="T880" s="498"/>
      <c r="U880" s="521"/>
    </row>
    <row r="881" spans="3:21">
      <c r="C881" s="314"/>
      <c r="G881" s="167"/>
      <c r="J881" s="314"/>
      <c r="K881" s="314"/>
      <c r="M881" s="350"/>
      <c r="O881" s="225"/>
      <c r="R881" s="314"/>
      <c r="T881" s="498"/>
      <c r="U881" s="521"/>
    </row>
    <row r="882" spans="3:21">
      <c r="C882" s="314"/>
      <c r="G882" s="167"/>
      <c r="J882" s="314"/>
      <c r="K882" s="314"/>
      <c r="M882" s="350"/>
      <c r="O882" s="225"/>
      <c r="R882" s="314"/>
      <c r="T882" s="498"/>
      <c r="U882" s="521"/>
    </row>
    <row r="883" spans="3:21">
      <c r="C883" s="314"/>
      <c r="G883" s="167"/>
      <c r="J883" s="314"/>
      <c r="K883" s="314"/>
      <c r="M883" s="350"/>
      <c r="O883" s="225"/>
      <c r="R883" s="314"/>
      <c r="T883" s="498"/>
      <c r="U883" s="521"/>
    </row>
    <row r="884" spans="3:21">
      <c r="C884" s="314"/>
      <c r="G884" s="167"/>
      <c r="J884" s="314"/>
      <c r="K884" s="314"/>
      <c r="M884" s="350"/>
      <c r="O884" s="225"/>
      <c r="R884" s="314"/>
      <c r="T884" s="498"/>
      <c r="U884" s="521"/>
    </row>
    <row r="885" spans="3:21">
      <c r="C885" s="314"/>
      <c r="G885" s="167"/>
      <c r="J885" s="314"/>
      <c r="K885" s="314"/>
      <c r="M885" s="350"/>
      <c r="O885" s="225"/>
      <c r="R885" s="314"/>
      <c r="T885" s="498"/>
      <c r="U885" s="521"/>
    </row>
    <row r="886" spans="3:21">
      <c r="C886" s="314"/>
      <c r="G886" s="167"/>
      <c r="J886" s="314"/>
      <c r="K886" s="314"/>
      <c r="M886" s="350"/>
      <c r="O886" s="225"/>
      <c r="R886" s="314"/>
      <c r="T886" s="498"/>
      <c r="U886" s="521"/>
    </row>
    <row r="887" spans="3:21">
      <c r="C887" s="314"/>
      <c r="G887" s="167"/>
      <c r="J887" s="314"/>
      <c r="K887" s="314"/>
      <c r="M887" s="350"/>
      <c r="O887" s="225"/>
      <c r="R887" s="314"/>
      <c r="T887" s="498"/>
      <c r="U887" s="521"/>
    </row>
    <row r="888" spans="3:21">
      <c r="C888" s="314"/>
      <c r="G888" s="167"/>
      <c r="J888" s="314"/>
      <c r="K888" s="314"/>
      <c r="M888" s="350"/>
      <c r="O888" s="225"/>
      <c r="R888" s="314"/>
      <c r="T888" s="498"/>
      <c r="U888" s="521"/>
    </row>
    <row r="889" spans="3:21">
      <c r="C889" s="314"/>
      <c r="G889" s="167"/>
      <c r="J889" s="314"/>
      <c r="K889" s="314"/>
      <c r="M889" s="350"/>
      <c r="O889" s="225"/>
      <c r="R889" s="314"/>
      <c r="T889" s="498"/>
      <c r="U889" s="521"/>
    </row>
    <row r="890" spans="3:21">
      <c r="C890" s="314"/>
      <c r="G890" s="167"/>
      <c r="J890" s="314"/>
      <c r="K890" s="314"/>
      <c r="M890" s="350"/>
      <c r="O890" s="225"/>
      <c r="R890" s="314"/>
      <c r="T890" s="498"/>
      <c r="U890" s="521"/>
    </row>
    <row r="891" spans="3:21">
      <c r="C891" s="314"/>
      <c r="G891" s="167"/>
      <c r="J891" s="314"/>
      <c r="K891" s="314"/>
      <c r="M891" s="350"/>
      <c r="O891" s="225"/>
      <c r="R891" s="314"/>
      <c r="T891" s="498"/>
      <c r="U891" s="521"/>
    </row>
    <row r="892" spans="3:21">
      <c r="C892" s="314"/>
      <c r="G892" s="167"/>
      <c r="J892" s="314"/>
      <c r="K892" s="314"/>
      <c r="M892" s="350"/>
      <c r="O892" s="225"/>
      <c r="R892" s="314"/>
      <c r="T892" s="498"/>
      <c r="U892" s="521"/>
    </row>
    <row r="893" spans="3:21">
      <c r="C893" s="314"/>
      <c r="G893" s="167"/>
      <c r="J893" s="314"/>
      <c r="K893" s="314"/>
      <c r="M893" s="350"/>
      <c r="O893" s="225"/>
      <c r="R893" s="314"/>
      <c r="T893" s="498"/>
      <c r="U893" s="521"/>
    </row>
    <row r="894" spans="3:21">
      <c r="C894" s="314"/>
      <c r="G894" s="167"/>
      <c r="J894" s="314"/>
      <c r="K894" s="314"/>
      <c r="M894" s="350"/>
      <c r="O894" s="225"/>
      <c r="R894" s="314"/>
      <c r="T894" s="498"/>
      <c r="U894" s="521"/>
    </row>
    <row r="895" spans="3:21">
      <c r="C895" s="314"/>
      <c r="G895" s="167"/>
      <c r="J895" s="314"/>
      <c r="K895" s="314"/>
      <c r="M895" s="350"/>
      <c r="O895" s="225"/>
      <c r="R895" s="314"/>
      <c r="T895" s="498"/>
      <c r="U895" s="521"/>
    </row>
    <row r="896" spans="3:21">
      <c r="C896" s="314"/>
      <c r="G896" s="167"/>
      <c r="J896" s="314"/>
      <c r="K896" s="314"/>
      <c r="M896" s="350"/>
      <c r="O896" s="225"/>
      <c r="R896" s="314"/>
      <c r="T896" s="498"/>
      <c r="U896" s="521"/>
    </row>
    <row r="897" spans="3:21">
      <c r="C897" s="314"/>
      <c r="G897" s="167"/>
      <c r="J897" s="314"/>
      <c r="K897" s="314"/>
      <c r="M897" s="350"/>
      <c r="O897" s="225"/>
      <c r="R897" s="314"/>
      <c r="T897" s="498"/>
      <c r="U897" s="521"/>
    </row>
    <row r="898" spans="3:21">
      <c r="C898" s="314"/>
      <c r="G898" s="167"/>
      <c r="J898" s="314"/>
      <c r="K898" s="314"/>
      <c r="M898" s="350"/>
      <c r="O898" s="225"/>
      <c r="R898" s="314"/>
      <c r="T898" s="498"/>
      <c r="U898" s="521"/>
    </row>
    <row r="899" spans="3:21">
      <c r="C899" s="314"/>
      <c r="G899" s="167"/>
      <c r="J899" s="314"/>
      <c r="K899" s="314"/>
      <c r="M899" s="350"/>
      <c r="O899" s="225"/>
      <c r="R899" s="314"/>
      <c r="T899" s="498"/>
      <c r="U899" s="521"/>
    </row>
    <row r="900" spans="3:21">
      <c r="C900" s="314"/>
      <c r="G900" s="167"/>
      <c r="J900" s="314"/>
      <c r="K900" s="314"/>
      <c r="M900" s="350"/>
      <c r="O900" s="225"/>
      <c r="R900" s="314"/>
      <c r="T900" s="498"/>
      <c r="U900" s="521"/>
    </row>
    <row r="901" spans="3:21">
      <c r="C901" s="314"/>
      <c r="G901" s="167"/>
      <c r="J901" s="314"/>
      <c r="K901" s="314"/>
      <c r="M901" s="350"/>
      <c r="O901" s="225"/>
      <c r="R901" s="314"/>
      <c r="T901" s="498"/>
      <c r="U901" s="521"/>
    </row>
    <row r="902" spans="3:21">
      <c r="C902" s="314"/>
      <c r="G902" s="167"/>
      <c r="J902" s="314"/>
      <c r="K902" s="314"/>
      <c r="M902" s="350"/>
      <c r="O902" s="225"/>
      <c r="R902" s="314"/>
      <c r="T902" s="498"/>
      <c r="U902" s="521"/>
    </row>
    <row r="903" spans="3:21">
      <c r="C903" s="314"/>
      <c r="G903" s="167"/>
      <c r="J903" s="314"/>
      <c r="K903" s="314"/>
      <c r="M903" s="350"/>
      <c r="O903" s="225"/>
      <c r="R903" s="314"/>
      <c r="T903" s="498"/>
      <c r="U903" s="521"/>
    </row>
    <row r="904" spans="3:21">
      <c r="C904" s="314"/>
      <c r="G904" s="167"/>
      <c r="J904" s="314"/>
      <c r="K904" s="314"/>
      <c r="M904" s="350"/>
      <c r="O904" s="225"/>
      <c r="R904" s="314"/>
      <c r="T904" s="498"/>
      <c r="U904" s="521"/>
    </row>
    <row r="905" spans="3:21">
      <c r="C905" s="314"/>
      <c r="G905" s="167"/>
      <c r="J905" s="314"/>
      <c r="K905" s="314"/>
      <c r="M905" s="350"/>
      <c r="O905" s="225"/>
      <c r="R905" s="314"/>
      <c r="T905" s="498"/>
      <c r="U905" s="521"/>
    </row>
    <row r="906" spans="3:21">
      <c r="C906" s="314"/>
      <c r="G906" s="167"/>
      <c r="J906" s="314"/>
      <c r="K906" s="314"/>
      <c r="M906" s="350"/>
      <c r="O906" s="225"/>
      <c r="R906" s="314"/>
      <c r="T906" s="498"/>
      <c r="U906" s="521"/>
    </row>
    <row r="907" spans="3:21">
      <c r="C907" s="314"/>
      <c r="G907" s="167"/>
      <c r="J907" s="314"/>
      <c r="K907" s="314"/>
      <c r="M907" s="350"/>
      <c r="O907" s="225"/>
      <c r="R907" s="314"/>
      <c r="T907" s="498"/>
      <c r="U907" s="521"/>
    </row>
    <row r="908" spans="3:21">
      <c r="C908" s="314"/>
      <c r="G908" s="167"/>
      <c r="J908" s="314"/>
      <c r="K908" s="314"/>
      <c r="M908" s="350"/>
      <c r="O908" s="225"/>
      <c r="R908" s="314"/>
      <c r="T908" s="498"/>
      <c r="U908" s="521"/>
    </row>
    <row r="909" spans="3:21">
      <c r="C909" s="314"/>
      <c r="G909" s="167"/>
      <c r="J909" s="314"/>
      <c r="K909" s="314"/>
      <c r="M909" s="350"/>
      <c r="O909" s="225"/>
      <c r="R909" s="314"/>
      <c r="T909" s="498"/>
      <c r="U909" s="521"/>
    </row>
    <row r="910" spans="3:21">
      <c r="C910" s="314"/>
      <c r="G910" s="167"/>
      <c r="J910" s="314"/>
      <c r="K910" s="314"/>
      <c r="M910" s="350"/>
      <c r="O910" s="225"/>
      <c r="R910" s="314"/>
      <c r="T910" s="498"/>
      <c r="U910" s="521"/>
    </row>
    <row r="911" spans="3:21">
      <c r="C911" s="314"/>
      <c r="G911" s="167"/>
      <c r="J911" s="314"/>
      <c r="K911" s="314"/>
      <c r="M911" s="350"/>
      <c r="O911" s="225"/>
      <c r="R911" s="314"/>
      <c r="T911" s="498"/>
      <c r="U911" s="521"/>
    </row>
    <row r="912" spans="3:21">
      <c r="C912" s="314"/>
      <c r="G912" s="167"/>
      <c r="J912" s="314"/>
      <c r="K912" s="314"/>
      <c r="M912" s="350"/>
      <c r="O912" s="225"/>
      <c r="R912" s="314"/>
      <c r="T912" s="498"/>
      <c r="U912" s="521"/>
    </row>
    <row r="913" spans="3:21">
      <c r="C913" s="314"/>
      <c r="G913" s="167"/>
      <c r="J913" s="314"/>
      <c r="K913" s="314"/>
      <c r="M913" s="350"/>
      <c r="O913" s="225"/>
      <c r="R913" s="314"/>
      <c r="T913" s="498"/>
      <c r="U913" s="521"/>
    </row>
    <row r="914" spans="3:21">
      <c r="C914" s="314"/>
      <c r="G914" s="167"/>
      <c r="J914" s="314"/>
      <c r="K914" s="314"/>
      <c r="M914" s="350"/>
      <c r="O914" s="225"/>
      <c r="R914" s="314"/>
      <c r="T914" s="498"/>
      <c r="U914" s="521"/>
    </row>
    <row r="915" spans="3:21">
      <c r="C915" s="314"/>
      <c r="G915" s="167"/>
      <c r="J915" s="314"/>
      <c r="K915" s="314"/>
      <c r="M915" s="350"/>
      <c r="O915" s="225"/>
      <c r="R915" s="314"/>
      <c r="T915" s="498"/>
      <c r="U915" s="521"/>
    </row>
    <row r="916" spans="3:21">
      <c r="C916" s="314"/>
      <c r="G916" s="167"/>
      <c r="J916" s="314"/>
      <c r="K916" s="314"/>
      <c r="M916" s="350"/>
      <c r="O916" s="225"/>
      <c r="R916" s="314"/>
      <c r="T916" s="498"/>
      <c r="U916" s="521"/>
    </row>
    <row r="917" spans="3:21">
      <c r="C917" s="314"/>
      <c r="G917" s="167"/>
      <c r="J917" s="314"/>
      <c r="K917" s="314"/>
      <c r="M917" s="350"/>
      <c r="O917" s="225"/>
      <c r="R917" s="314"/>
      <c r="T917" s="498"/>
      <c r="U917" s="521"/>
    </row>
    <row r="918" spans="3:21">
      <c r="C918" s="314"/>
      <c r="G918" s="167"/>
      <c r="J918" s="314"/>
      <c r="K918" s="314"/>
      <c r="M918" s="350"/>
      <c r="O918" s="225"/>
      <c r="R918" s="314"/>
      <c r="T918" s="498"/>
      <c r="U918" s="521"/>
    </row>
    <row r="919" spans="3:21">
      <c r="C919" s="314"/>
      <c r="G919" s="167"/>
      <c r="J919" s="314"/>
      <c r="K919" s="314"/>
      <c r="M919" s="350"/>
      <c r="O919" s="225"/>
      <c r="R919" s="314"/>
      <c r="T919" s="498"/>
      <c r="U919" s="521"/>
    </row>
    <row r="920" spans="3:21">
      <c r="C920" s="314"/>
      <c r="G920" s="167"/>
      <c r="J920" s="314"/>
      <c r="K920" s="314"/>
      <c r="M920" s="350"/>
      <c r="O920" s="225"/>
      <c r="R920" s="314"/>
      <c r="T920" s="498"/>
      <c r="U920" s="521"/>
    </row>
    <row r="921" spans="3:21">
      <c r="C921" s="314"/>
      <c r="G921" s="167"/>
      <c r="J921" s="314"/>
      <c r="K921" s="314"/>
      <c r="M921" s="350"/>
      <c r="O921" s="225"/>
      <c r="R921" s="314"/>
      <c r="T921" s="498"/>
      <c r="U921" s="521"/>
    </row>
    <row r="922" spans="3:21">
      <c r="C922" s="314"/>
      <c r="G922" s="167"/>
      <c r="J922" s="314"/>
      <c r="K922" s="314"/>
      <c r="M922" s="350"/>
      <c r="O922" s="225"/>
      <c r="R922" s="314"/>
      <c r="T922" s="498"/>
      <c r="U922" s="521"/>
    </row>
    <row r="923" spans="3:21">
      <c r="C923" s="314"/>
      <c r="G923" s="167"/>
      <c r="J923" s="314"/>
      <c r="K923" s="314"/>
      <c r="M923" s="350"/>
      <c r="O923" s="225"/>
      <c r="R923" s="314"/>
      <c r="T923" s="498"/>
      <c r="U923" s="521"/>
    </row>
    <row r="924" spans="3:21">
      <c r="C924" s="314"/>
      <c r="G924" s="167"/>
      <c r="J924" s="314"/>
      <c r="K924" s="314"/>
      <c r="M924" s="350"/>
      <c r="O924" s="225"/>
      <c r="R924" s="314"/>
      <c r="T924" s="498"/>
      <c r="U924" s="521"/>
    </row>
    <row r="925" spans="3:21">
      <c r="C925" s="314"/>
      <c r="G925" s="167"/>
      <c r="J925" s="314"/>
      <c r="K925" s="314"/>
      <c r="M925" s="350"/>
      <c r="O925" s="225"/>
      <c r="R925" s="314"/>
      <c r="T925" s="498"/>
      <c r="U925" s="521"/>
    </row>
    <row r="926" spans="3:21">
      <c r="C926" s="314"/>
      <c r="G926" s="167"/>
      <c r="J926" s="314"/>
      <c r="K926" s="314"/>
      <c r="M926" s="350"/>
      <c r="O926" s="225"/>
      <c r="R926" s="314"/>
      <c r="T926" s="498"/>
      <c r="U926" s="521"/>
    </row>
    <row r="927" spans="3:21">
      <c r="C927" s="314"/>
      <c r="G927" s="167"/>
      <c r="J927" s="314"/>
      <c r="K927" s="314"/>
      <c r="M927" s="350"/>
      <c r="O927" s="225"/>
      <c r="R927" s="314"/>
      <c r="T927" s="498"/>
      <c r="U927" s="521"/>
    </row>
    <row r="928" spans="3:21">
      <c r="C928" s="314"/>
      <c r="G928" s="167"/>
      <c r="J928" s="314"/>
      <c r="K928" s="314"/>
      <c r="M928" s="350"/>
      <c r="O928" s="225"/>
      <c r="R928" s="314"/>
      <c r="T928" s="498"/>
      <c r="U928" s="521"/>
    </row>
    <row r="929" spans="3:21">
      <c r="C929" s="314"/>
      <c r="G929" s="167"/>
      <c r="J929" s="314"/>
      <c r="K929" s="314"/>
      <c r="M929" s="350"/>
      <c r="O929" s="225"/>
      <c r="R929" s="314"/>
      <c r="T929" s="498"/>
      <c r="U929" s="521"/>
    </row>
    <row r="930" spans="3:21">
      <c r="C930" s="314"/>
      <c r="G930" s="167"/>
      <c r="J930" s="314"/>
      <c r="K930" s="314"/>
      <c r="M930" s="350"/>
      <c r="O930" s="225"/>
      <c r="R930" s="314"/>
      <c r="T930" s="498"/>
      <c r="U930" s="521"/>
    </row>
    <row r="931" spans="3:21">
      <c r="C931" s="314"/>
      <c r="G931" s="167"/>
      <c r="J931" s="314"/>
      <c r="K931" s="314"/>
      <c r="M931" s="350"/>
      <c r="O931" s="225"/>
      <c r="R931" s="314"/>
      <c r="T931" s="498"/>
      <c r="U931" s="521"/>
    </row>
    <row r="932" spans="3:21">
      <c r="C932" s="314"/>
      <c r="G932" s="167"/>
      <c r="J932" s="314"/>
      <c r="K932" s="314"/>
      <c r="M932" s="350"/>
      <c r="O932" s="225"/>
      <c r="R932" s="314"/>
      <c r="T932" s="498"/>
      <c r="U932" s="521"/>
    </row>
    <row r="933" spans="3:21">
      <c r="C933" s="314"/>
      <c r="G933" s="167"/>
      <c r="J933" s="314"/>
      <c r="K933" s="314"/>
      <c r="M933" s="350"/>
      <c r="O933" s="225"/>
      <c r="R933" s="314"/>
      <c r="T933" s="498"/>
      <c r="U933" s="521"/>
    </row>
    <row r="934" spans="3:21">
      <c r="C934" s="314"/>
      <c r="G934" s="167"/>
      <c r="J934" s="314"/>
      <c r="K934" s="314"/>
      <c r="M934" s="350"/>
      <c r="O934" s="225"/>
      <c r="R934" s="314"/>
      <c r="T934" s="498"/>
      <c r="U934" s="521"/>
    </row>
    <row r="935" spans="3:21">
      <c r="C935" s="314"/>
      <c r="G935" s="167"/>
      <c r="J935" s="314"/>
      <c r="K935" s="314"/>
      <c r="M935" s="350"/>
      <c r="O935" s="225"/>
      <c r="R935" s="314"/>
      <c r="T935" s="498"/>
      <c r="U935" s="521"/>
    </row>
    <row r="936" spans="3:21">
      <c r="C936" s="314"/>
      <c r="G936" s="167"/>
      <c r="J936" s="314"/>
      <c r="K936" s="314"/>
      <c r="M936" s="350"/>
      <c r="O936" s="225"/>
      <c r="R936" s="314"/>
      <c r="T936" s="498"/>
      <c r="U936" s="521"/>
    </row>
    <row r="937" spans="3:21">
      <c r="C937" s="314"/>
      <c r="G937" s="167"/>
      <c r="J937" s="314"/>
      <c r="K937" s="314"/>
      <c r="M937" s="350"/>
      <c r="O937" s="225"/>
      <c r="R937" s="314"/>
      <c r="T937" s="498"/>
      <c r="U937" s="521"/>
    </row>
    <row r="938" spans="3:21">
      <c r="C938" s="314"/>
      <c r="G938" s="167"/>
      <c r="J938" s="314"/>
      <c r="K938" s="314"/>
      <c r="M938" s="350"/>
      <c r="O938" s="225"/>
      <c r="R938" s="314"/>
      <c r="T938" s="498"/>
      <c r="U938" s="521"/>
    </row>
    <row r="939" spans="3:21">
      <c r="C939" s="314"/>
      <c r="G939" s="167"/>
      <c r="J939" s="314"/>
      <c r="K939" s="314"/>
      <c r="M939" s="350"/>
      <c r="O939" s="225"/>
      <c r="R939" s="314"/>
      <c r="T939" s="498"/>
      <c r="U939" s="521"/>
    </row>
    <row r="940" spans="3:21">
      <c r="C940" s="314"/>
      <c r="G940" s="167"/>
      <c r="J940" s="314"/>
      <c r="K940" s="314"/>
      <c r="M940" s="350"/>
      <c r="O940" s="225"/>
      <c r="R940" s="314"/>
      <c r="T940" s="498"/>
      <c r="U940" s="521"/>
    </row>
    <row r="941" spans="3:21">
      <c r="C941" s="314"/>
      <c r="G941" s="167"/>
      <c r="J941" s="314"/>
      <c r="K941" s="314"/>
      <c r="M941" s="350"/>
      <c r="O941" s="225"/>
      <c r="R941" s="314"/>
      <c r="T941" s="498"/>
      <c r="U941" s="521"/>
    </row>
    <row r="942" spans="3:21">
      <c r="C942" s="314"/>
      <c r="G942" s="167"/>
      <c r="J942" s="314"/>
      <c r="K942" s="314"/>
      <c r="M942" s="350"/>
      <c r="O942" s="225"/>
      <c r="R942" s="314"/>
      <c r="T942" s="498"/>
      <c r="U942" s="521"/>
    </row>
    <row r="943" spans="3:21">
      <c r="C943" s="314"/>
      <c r="G943" s="167"/>
      <c r="J943" s="314"/>
      <c r="K943" s="314"/>
      <c r="M943" s="350"/>
      <c r="O943" s="225"/>
      <c r="R943" s="314"/>
      <c r="T943" s="498"/>
      <c r="U943" s="521"/>
    </row>
    <row r="944" spans="3:21">
      <c r="C944" s="314"/>
      <c r="G944" s="167"/>
      <c r="J944" s="314"/>
      <c r="K944" s="314"/>
      <c r="M944" s="350"/>
      <c r="O944" s="225"/>
      <c r="R944" s="314"/>
      <c r="T944" s="498"/>
      <c r="U944" s="521"/>
    </row>
    <row r="945" spans="3:21">
      <c r="C945" s="314"/>
      <c r="G945" s="167"/>
      <c r="J945" s="314"/>
      <c r="K945" s="314"/>
      <c r="M945" s="350"/>
      <c r="O945" s="225"/>
      <c r="R945" s="314"/>
      <c r="T945" s="498"/>
      <c r="U945" s="521"/>
    </row>
    <row r="946" spans="3:21">
      <c r="C946" s="314"/>
      <c r="G946" s="167"/>
      <c r="J946" s="314"/>
      <c r="K946" s="314"/>
      <c r="M946" s="350"/>
      <c r="O946" s="225"/>
      <c r="R946" s="314"/>
      <c r="T946" s="498"/>
      <c r="U946" s="521"/>
    </row>
    <row r="947" spans="3:21">
      <c r="C947" s="314"/>
      <c r="G947" s="167"/>
      <c r="J947" s="314"/>
      <c r="K947" s="314"/>
      <c r="M947" s="350"/>
      <c r="O947" s="225"/>
      <c r="R947" s="314"/>
      <c r="T947" s="498"/>
      <c r="U947" s="521"/>
    </row>
    <row r="948" spans="3:21">
      <c r="C948" s="314"/>
      <c r="G948" s="167"/>
      <c r="J948" s="314"/>
      <c r="K948" s="314"/>
      <c r="M948" s="350"/>
      <c r="O948" s="225"/>
      <c r="R948" s="314"/>
      <c r="T948" s="498"/>
      <c r="U948" s="521"/>
    </row>
    <row r="949" spans="3:21">
      <c r="C949" s="314"/>
      <c r="G949" s="167"/>
      <c r="J949" s="314"/>
      <c r="K949" s="314"/>
      <c r="M949" s="350"/>
      <c r="O949" s="225"/>
      <c r="R949" s="314"/>
      <c r="T949" s="498"/>
      <c r="U949" s="521"/>
    </row>
    <row r="950" spans="3:21">
      <c r="C950" s="314"/>
      <c r="G950" s="167"/>
      <c r="J950" s="314"/>
      <c r="K950" s="314"/>
      <c r="M950" s="350"/>
      <c r="O950" s="225"/>
      <c r="R950" s="314"/>
      <c r="T950" s="498"/>
      <c r="U950" s="521"/>
    </row>
    <row r="951" spans="3:21">
      <c r="C951" s="314"/>
      <c r="G951" s="167"/>
      <c r="J951" s="314"/>
      <c r="K951" s="314"/>
      <c r="M951" s="350"/>
      <c r="O951" s="225"/>
      <c r="R951" s="314"/>
      <c r="T951" s="498"/>
      <c r="U951" s="521"/>
    </row>
    <row r="952" spans="3:21">
      <c r="C952" s="314"/>
      <c r="G952" s="167"/>
      <c r="J952" s="314"/>
      <c r="K952" s="314"/>
      <c r="M952" s="350"/>
      <c r="O952" s="225"/>
      <c r="R952" s="314"/>
      <c r="T952" s="498"/>
      <c r="U952" s="521"/>
    </row>
    <row r="953" spans="3:21">
      <c r="C953" s="314"/>
      <c r="G953" s="167"/>
      <c r="J953" s="314"/>
      <c r="K953" s="314"/>
      <c r="M953" s="350"/>
      <c r="O953" s="225"/>
      <c r="R953" s="314"/>
      <c r="T953" s="498"/>
      <c r="U953" s="521"/>
    </row>
    <row r="954" spans="3:21">
      <c r="C954" s="314"/>
      <c r="G954" s="167"/>
      <c r="J954" s="314"/>
      <c r="K954" s="314"/>
      <c r="M954" s="350"/>
      <c r="O954" s="225"/>
      <c r="R954" s="314"/>
      <c r="T954" s="498"/>
      <c r="U954" s="521"/>
    </row>
    <row r="955" spans="3:21">
      <c r="C955" s="314"/>
      <c r="G955" s="167"/>
      <c r="J955" s="314"/>
      <c r="K955" s="314"/>
      <c r="M955" s="350"/>
      <c r="O955" s="225"/>
      <c r="R955" s="314"/>
      <c r="T955" s="498"/>
      <c r="U955" s="521"/>
    </row>
    <row r="956" spans="3:21">
      <c r="C956" s="314"/>
      <c r="G956" s="167"/>
      <c r="J956" s="314"/>
      <c r="K956" s="314"/>
      <c r="M956" s="350"/>
      <c r="O956" s="225"/>
      <c r="R956" s="314"/>
      <c r="T956" s="498"/>
      <c r="U956" s="521"/>
    </row>
    <row r="957" spans="3:21">
      <c r="C957" s="314"/>
      <c r="G957" s="167"/>
      <c r="J957" s="314"/>
      <c r="K957" s="314"/>
      <c r="M957" s="350"/>
      <c r="O957" s="225"/>
      <c r="R957" s="314"/>
      <c r="T957" s="498"/>
      <c r="U957" s="521"/>
    </row>
    <row r="958" spans="3:21">
      <c r="C958" s="314"/>
      <c r="G958" s="167"/>
      <c r="J958" s="314"/>
      <c r="K958" s="314"/>
      <c r="M958" s="350"/>
      <c r="O958" s="225"/>
      <c r="R958" s="314"/>
      <c r="T958" s="498"/>
      <c r="U958" s="521"/>
    </row>
    <row r="959" spans="3:21">
      <c r="C959" s="314"/>
      <c r="G959" s="167"/>
      <c r="J959" s="314"/>
      <c r="K959" s="314"/>
      <c r="M959" s="350"/>
      <c r="O959" s="225"/>
      <c r="R959" s="314"/>
      <c r="T959" s="498"/>
      <c r="U959" s="521"/>
    </row>
    <row r="960" spans="3:21">
      <c r="C960" s="314"/>
      <c r="G960" s="167"/>
      <c r="J960" s="314"/>
      <c r="K960" s="314"/>
      <c r="M960" s="350"/>
      <c r="O960" s="225"/>
      <c r="R960" s="314"/>
      <c r="T960" s="498"/>
      <c r="U960" s="521"/>
    </row>
    <row r="961" spans="3:21">
      <c r="C961" s="314"/>
      <c r="G961" s="167"/>
      <c r="J961" s="314"/>
      <c r="K961" s="314"/>
      <c r="M961" s="350"/>
      <c r="O961" s="225"/>
      <c r="R961" s="314"/>
      <c r="T961" s="498"/>
      <c r="U961" s="521"/>
    </row>
    <row r="962" spans="3:21">
      <c r="C962" s="314"/>
      <c r="G962" s="167"/>
      <c r="J962" s="314"/>
      <c r="K962" s="314"/>
      <c r="M962" s="350"/>
      <c r="O962" s="225"/>
      <c r="R962" s="314"/>
      <c r="T962" s="498"/>
      <c r="U962" s="521"/>
    </row>
    <row r="963" spans="3:21">
      <c r="C963" s="314"/>
      <c r="G963" s="167"/>
      <c r="J963" s="314"/>
      <c r="K963" s="314"/>
      <c r="M963" s="350"/>
      <c r="O963" s="225"/>
      <c r="R963" s="314"/>
      <c r="T963" s="498"/>
      <c r="U963" s="521"/>
    </row>
    <row r="964" spans="3:21">
      <c r="C964" s="314"/>
      <c r="G964" s="167"/>
      <c r="J964" s="314"/>
      <c r="K964" s="314"/>
      <c r="M964" s="350"/>
      <c r="O964" s="225"/>
      <c r="R964" s="314"/>
      <c r="T964" s="498"/>
      <c r="U964" s="521"/>
    </row>
    <row r="965" spans="3:21">
      <c r="C965" s="314"/>
      <c r="G965" s="167"/>
      <c r="J965" s="314"/>
      <c r="K965" s="314"/>
      <c r="M965" s="350"/>
      <c r="O965" s="225"/>
      <c r="R965" s="314"/>
      <c r="T965" s="498"/>
      <c r="U965" s="521"/>
    </row>
    <row r="966" spans="3:21">
      <c r="C966" s="314"/>
      <c r="G966" s="167"/>
      <c r="J966" s="314"/>
      <c r="K966" s="314"/>
      <c r="M966" s="350"/>
      <c r="O966" s="225"/>
      <c r="R966" s="314"/>
      <c r="T966" s="498"/>
      <c r="U966" s="521"/>
    </row>
    <row r="967" spans="3:21">
      <c r="C967" s="314"/>
      <c r="G967" s="167"/>
      <c r="J967" s="314"/>
      <c r="K967" s="314"/>
      <c r="M967" s="350"/>
      <c r="O967" s="225"/>
      <c r="R967" s="314"/>
      <c r="T967" s="498"/>
      <c r="U967" s="521"/>
    </row>
    <row r="968" spans="3:21">
      <c r="C968" s="314"/>
      <c r="G968" s="167"/>
      <c r="J968" s="314"/>
      <c r="K968" s="314"/>
      <c r="M968" s="350"/>
      <c r="O968" s="225"/>
      <c r="R968" s="314"/>
      <c r="T968" s="498"/>
      <c r="U968" s="521"/>
    </row>
    <row r="969" spans="3:21">
      <c r="C969" s="314"/>
      <c r="G969" s="167"/>
      <c r="J969" s="314"/>
      <c r="K969" s="314"/>
      <c r="M969" s="350"/>
      <c r="O969" s="225"/>
      <c r="R969" s="314"/>
      <c r="T969" s="498"/>
      <c r="U969" s="521"/>
    </row>
    <row r="970" spans="3:21">
      <c r="C970" s="314"/>
      <c r="G970" s="167"/>
      <c r="J970" s="314"/>
      <c r="K970" s="314"/>
      <c r="M970" s="350"/>
      <c r="O970" s="225"/>
      <c r="R970" s="314"/>
      <c r="T970" s="498"/>
      <c r="U970" s="521"/>
    </row>
    <row r="971" spans="3:21">
      <c r="C971" s="314"/>
      <c r="G971" s="167"/>
      <c r="J971" s="314"/>
      <c r="K971" s="314"/>
      <c r="M971" s="350"/>
      <c r="O971" s="225"/>
      <c r="R971" s="314"/>
      <c r="T971" s="498"/>
      <c r="U971" s="521"/>
    </row>
    <row r="972" spans="3:21">
      <c r="C972" s="314"/>
      <c r="G972" s="167"/>
      <c r="J972" s="314"/>
      <c r="K972" s="314"/>
      <c r="M972" s="350"/>
      <c r="O972" s="225"/>
      <c r="R972" s="314"/>
      <c r="T972" s="498"/>
      <c r="U972" s="521"/>
    </row>
    <row r="973" spans="3:21">
      <c r="C973" s="314"/>
      <c r="G973" s="167"/>
      <c r="J973" s="314"/>
      <c r="K973" s="314"/>
      <c r="M973" s="350"/>
      <c r="O973" s="225"/>
      <c r="R973" s="314"/>
      <c r="T973" s="498"/>
      <c r="U973" s="521"/>
    </row>
    <row r="974" spans="3:21">
      <c r="C974" s="314"/>
      <c r="G974" s="167"/>
      <c r="J974" s="314"/>
      <c r="K974" s="314"/>
      <c r="M974" s="350"/>
      <c r="O974" s="225"/>
      <c r="R974" s="314"/>
      <c r="T974" s="498"/>
      <c r="U974" s="521"/>
    </row>
    <row r="975" spans="3:21">
      <c r="C975" s="314"/>
      <c r="G975" s="167"/>
      <c r="J975" s="314"/>
      <c r="K975" s="314"/>
      <c r="M975" s="350"/>
      <c r="O975" s="225"/>
      <c r="R975" s="314"/>
      <c r="T975" s="498"/>
      <c r="U975" s="521"/>
    </row>
    <row r="976" spans="3:21">
      <c r="C976" s="314"/>
      <c r="G976" s="167"/>
      <c r="J976" s="314"/>
      <c r="K976" s="314"/>
      <c r="M976" s="350"/>
      <c r="O976" s="225"/>
      <c r="R976" s="314"/>
      <c r="T976" s="498"/>
      <c r="U976" s="521"/>
    </row>
    <row r="977" spans="3:21">
      <c r="C977" s="314"/>
      <c r="G977" s="167"/>
      <c r="J977" s="314"/>
      <c r="K977" s="314"/>
      <c r="M977" s="350"/>
      <c r="O977" s="225"/>
      <c r="R977" s="314"/>
      <c r="T977" s="498"/>
      <c r="U977" s="521"/>
    </row>
    <row r="978" spans="3:21">
      <c r="C978" s="314"/>
      <c r="G978" s="167"/>
      <c r="J978" s="314"/>
      <c r="K978" s="314"/>
      <c r="M978" s="350"/>
      <c r="O978" s="225"/>
      <c r="R978" s="314"/>
      <c r="T978" s="498"/>
      <c r="U978" s="521"/>
    </row>
    <row r="979" spans="3:21">
      <c r="C979" s="314"/>
      <c r="G979" s="167"/>
      <c r="J979" s="314"/>
      <c r="K979" s="314"/>
      <c r="M979" s="350"/>
      <c r="O979" s="225"/>
      <c r="R979" s="314"/>
      <c r="T979" s="498"/>
      <c r="U979" s="521"/>
    </row>
    <row r="980" spans="3:21">
      <c r="C980" s="314"/>
      <c r="G980" s="167"/>
      <c r="J980" s="314"/>
      <c r="K980" s="314"/>
      <c r="M980" s="350"/>
      <c r="O980" s="225"/>
      <c r="R980" s="314"/>
      <c r="T980" s="498"/>
      <c r="U980" s="521"/>
    </row>
    <row r="981" spans="3:21">
      <c r="C981" s="314"/>
      <c r="G981" s="167"/>
      <c r="J981" s="314"/>
      <c r="K981" s="314"/>
      <c r="M981" s="350"/>
      <c r="O981" s="225"/>
      <c r="R981" s="314"/>
      <c r="T981" s="498"/>
      <c r="U981" s="521"/>
    </row>
    <row r="982" spans="3:21">
      <c r="C982" s="314"/>
      <c r="G982" s="167"/>
      <c r="J982" s="314"/>
      <c r="K982" s="314"/>
      <c r="M982" s="350"/>
      <c r="O982" s="225"/>
      <c r="R982" s="314"/>
      <c r="T982" s="498"/>
      <c r="U982" s="521"/>
    </row>
    <row r="983" spans="3:21">
      <c r="C983" s="314"/>
      <c r="G983" s="167"/>
      <c r="J983" s="314"/>
      <c r="K983" s="314"/>
      <c r="M983" s="350"/>
      <c r="O983" s="225"/>
      <c r="R983" s="314"/>
      <c r="T983" s="498"/>
      <c r="U983" s="521"/>
    </row>
    <row r="984" spans="3:21">
      <c r="C984" s="314"/>
      <c r="G984" s="167"/>
      <c r="J984" s="314"/>
      <c r="K984" s="314"/>
      <c r="M984" s="350"/>
      <c r="O984" s="225"/>
      <c r="R984" s="314"/>
      <c r="T984" s="498"/>
      <c r="U984" s="521"/>
    </row>
    <row r="985" spans="3:21">
      <c r="C985" s="314"/>
      <c r="G985" s="167"/>
      <c r="J985" s="314"/>
      <c r="K985" s="314"/>
      <c r="M985" s="350"/>
      <c r="O985" s="225"/>
      <c r="R985" s="314"/>
      <c r="T985" s="498"/>
      <c r="U985" s="521"/>
    </row>
    <row r="986" spans="3:21">
      <c r="C986" s="314"/>
      <c r="G986" s="167"/>
      <c r="J986" s="314"/>
      <c r="K986" s="314"/>
      <c r="M986" s="350"/>
      <c r="O986" s="225"/>
      <c r="R986" s="314"/>
      <c r="T986" s="498"/>
      <c r="U986" s="521"/>
    </row>
    <row r="987" spans="3:21">
      <c r="C987" s="314"/>
      <c r="G987" s="167"/>
      <c r="J987" s="314"/>
      <c r="K987" s="314"/>
      <c r="M987" s="350"/>
      <c r="O987" s="225"/>
      <c r="R987" s="314"/>
      <c r="T987" s="498"/>
      <c r="U987" s="521"/>
    </row>
    <row r="988" spans="3:21">
      <c r="C988" s="314"/>
      <c r="G988" s="167"/>
      <c r="J988" s="314"/>
      <c r="K988" s="314"/>
      <c r="M988" s="350"/>
      <c r="O988" s="225"/>
      <c r="R988" s="314"/>
      <c r="T988" s="498"/>
      <c r="U988" s="521"/>
    </row>
    <row r="989" spans="3:21">
      <c r="C989" s="314"/>
      <c r="G989" s="167"/>
      <c r="J989" s="314"/>
      <c r="K989" s="314"/>
      <c r="M989" s="350"/>
      <c r="O989" s="225"/>
      <c r="R989" s="314"/>
      <c r="T989" s="498"/>
      <c r="U989" s="521"/>
    </row>
    <row r="990" spans="3:21">
      <c r="C990" s="314"/>
      <c r="G990" s="167"/>
      <c r="J990" s="314"/>
      <c r="K990" s="314"/>
      <c r="M990" s="350"/>
      <c r="O990" s="225"/>
      <c r="R990" s="314"/>
      <c r="T990" s="498"/>
      <c r="U990" s="521"/>
    </row>
    <row r="991" spans="3:21">
      <c r="C991" s="314"/>
      <c r="G991" s="167"/>
      <c r="J991" s="314"/>
      <c r="K991" s="314"/>
      <c r="M991" s="350"/>
      <c r="O991" s="225"/>
      <c r="R991" s="314"/>
      <c r="T991" s="498"/>
      <c r="U991" s="521"/>
    </row>
    <row r="992" spans="3:21">
      <c r="C992" s="314"/>
      <c r="G992" s="167"/>
      <c r="J992" s="314"/>
      <c r="K992" s="314"/>
      <c r="M992" s="350"/>
      <c r="O992" s="225"/>
      <c r="R992" s="314"/>
      <c r="T992" s="498"/>
      <c r="U992" s="521"/>
    </row>
    <row r="993" spans="3:21">
      <c r="C993" s="314"/>
      <c r="G993" s="167"/>
      <c r="J993" s="314"/>
      <c r="K993" s="314"/>
      <c r="M993" s="350"/>
      <c r="O993" s="225"/>
      <c r="R993" s="314"/>
      <c r="T993" s="498"/>
      <c r="U993" s="521"/>
    </row>
    <row r="994" spans="3:21">
      <c r="C994" s="314"/>
      <c r="G994" s="167"/>
      <c r="J994" s="314"/>
      <c r="K994" s="314"/>
      <c r="M994" s="350"/>
      <c r="O994" s="225"/>
      <c r="R994" s="314"/>
      <c r="T994" s="498"/>
      <c r="U994" s="521"/>
    </row>
    <row r="995" spans="3:21">
      <c r="C995" s="314"/>
      <c r="G995" s="167"/>
      <c r="J995" s="314"/>
      <c r="K995" s="314"/>
      <c r="M995" s="350"/>
      <c r="O995" s="225"/>
      <c r="R995" s="314"/>
      <c r="T995" s="498"/>
      <c r="U995" s="521"/>
    </row>
    <row r="996" spans="3:21">
      <c r="C996" s="314"/>
      <c r="G996" s="167"/>
      <c r="J996" s="314"/>
      <c r="K996" s="314"/>
      <c r="M996" s="350"/>
      <c r="O996" s="225"/>
      <c r="R996" s="314"/>
      <c r="T996" s="498"/>
      <c r="U996" s="521"/>
    </row>
    <row r="997" spans="3:21">
      <c r="C997" s="314"/>
      <c r="G997" s="167"/>
      <c r="J997" s="314"/>
      <c r="K997" s="314"/>
      <c r="M997" s="350"/>
      <c r="O997" s="225"/>
      <c r="R997" s="314"/>
      <c r="T997" s="498"/>
      <c r="U997" s="521"/>
    </row>
    <row r="998" spans="3:21">
      <c r="C998" s="314"/>
      <c r="G998" s="167"/>
      <c r="J998" s="314"/>
      <c r="K998" s="314"/>
      <c r="M998" s="350"/>
      <c r="O998" s="225"/>
      <c r="R998" s="314"/>
      <c r="T998" s="498"/>
      <c r="U998" s="521"/>
    </row>
    <row r="999" spans="3:21">
      <c r="C999" s="314"/>
      <c r="G999" s="167"/>
      <c r="J999" s="314"/>
      <c r="K999" s="314"/>
      <c r="M999" s="350"/>
      <c r="O999" s="225"/>
      <c r="R999" s="314"/>
      <c r="T999" s="498"/>
      <c r="U999" s="521"/>
    </row>
    <row r="1000" spans="3:21">
      <c r="C1000" s="314"/>
      <c r="G1000" s="167"/>
      <c r="J1000" s="314"/>
      <c r="K1000" s="314"/>
      <c r="M1000" s="350"/>
      <c r="O1000" s="225"/>
      <c r="R1000" s="314"/>
      <c r="T1000" s="498"/>
      <c r="U1000" s="521"/>
    </row>
    <row r="1001" spans="3:21">
      <c r="C1001" s="314"/>
      <c r="G1001" s="167"/>
      <c r="J1001" s="314"/>
      <c r="K1001" s="314"/>
      <c r="M1001" s="350"/>
      <c r="O1001" s="225"/>
      <c r="R1001" s="314"/>
      <c r="T1001" s="498"/>
      <c r="U1001" s="521"/>
    </row>
    <row r="1002" spans="3:21">
      <c r="C1002" s="314"/>
      <c r="G1002" s="167"/>
      <c r="J1002" s="314"/>
      <c r="K1002" s="314"/>
      <c r="M1002" s="350"/>
      <c r="O1002" s="225"/>
      <c r="R1002" s="314"/>
      <c r="T1002" s="498"/>
      <c r="U1002" s="521"/>
    </row>
    <row r="1003" spans="3:21">
      <c r="C1003" s="314"/>
      <c r="G1003" s="167"/>
      <c r="J1003" s="314"/>
      <c r="K1003" s="314"/>
      <c r="M1003" s="350"/>
      <c r="O1003" s="225"/>
      <c r="R1003" s="314"/>
      <c r="T1003" s="498"/>
      <c r="U1003" s="521"/>
    </row>
    <row r="1004" spans="3:21">
      <c r="C1004" s="314"/>
      <c r="G1004" s="167"/>
      <c r="J1004" s="314"/>
      <c r="K1004" s="314"/>
      <c r="M1004" s="350"/>
      <c r="O1004" s="225"/>
      <c r="R1004" s="314"/>
      <c r="T1004" s="498"/>
      <c r="U1004" s="521"/>
    </row>
    <row r="1005" spans="3:21">
      <c r="C1005" s="314"/>
      <c r="G1005" s="167"/>
      <c r="J1005" s="314"/>
      <c r="K1005" s="314"/>
      <c r="M1005" s="350"/>
      <c r="O1005" s="225"/>
      <c r="R1005" s="314"/>
      <c r="T1005" s="498"/>
      <c r="U1005" s="521"/>
    </row>
    <row r="1006" spans="3:21">
      <c r="C1006" s="314"/>
      <c r="G1006" s="167"/>
      <c r="J1006" s="314"/>
      <c r="K1006" s="314"/>
      <c r="M1006" s="350"/>
      <c r="O1006" s="225"/>
      <c r="R1006" s="314"/>
      <c r="T1006" s="498"/>
      <c r="U1006" s="521"/>
    </row>
    <row r="1007" spans="3:21">
      <c r="C1007" s="314"/>
      <c r="G1007" s="167"/>
      <c r="J1007" s="314"/>
      <c r="K1007" s="314"/>
      <c r="M1007" s="350"/>
      <c r="O1007" s="225"/>
      <c r="R1007" s="314"/>
      <c r="T1007" s="498"/>
      <c r="U1007" s="521"/>
    </row>
    <row r="1008" spans="3:21">
      <c r="C1008" s="314"/>
      <c r="G1008" s="167"/>
      <c r="J1008" s="314"/>
      <c r="K1008" s="314"/>
      <c r="M1008" s="350"/>
      <c r="O1008" s="225"/>
      <c r="R1008" s="314"/>
      <c r="T1008" s="498"/>
      <c r="U1008" s="521"/>
    </row>
    <row r="1009" spans="3:21">
      <c r="C1009" s="314"/>
      <c r="G1009" s="167"/>
      <c r="J1009" s="314"/>
      <c r="K1009" s="314"/>
      <c r="M1009" s="350"/>
      <c r="O1009" s="225"/>
      <c r="R1009" s="314"/>
      <c r="T1009" s="498"/>
      <c r="U1009" s="521"/>
    </row>
    <row r="1010" spans="3:21">
      <c r="C1010" s="314"/>
      <c r="G1010" s="167"/>
      <c r="J1010" s="314"/>
      <c r="K1010" s="314"/>
      <c r="M1010" s="350"/>
      <c r="O1010" s="225"/>
      <c r="R1010" s="314"/>
      <c r="T1010" s="498"/>
      <c r="U1010" s="521"/>
    </row>
    <row r="1011" spans="3:21">
      <c r="C1011" s="314"/>
      <c r="G1011" s="167"/>
      <c r="J1011" s="314"/>
      <c r="K1011" s="314"/>
      <c r="M1011" s="350"/>
      <c r="O1011" s="225"/>
      <c r="R1011" s="314"/>
      <c r="T1011" s="498"/>
      <c r="U1011" s="521"/>
    </row>
    <row r="1012" spans="3:21">
      <c r="C1012" s="314"/>
      <c r="G1012" s="167"/>
      <c r="J1012" s="314"/>
      <c r="K1012" s="314"/>
      <c r="M1012" s="350"/>
      <c r="O1012" s="225"/>
      <c r="R1012" s="314"/>
      <c r="T1012" s="498"/>
      <c r="U1012" s="521"/>
    </row>
    <row r="1013" spans="3:21">
      <c r="C1013" s="314"/>
      <c r="G1013" s="167"/>
      <c r="J1013" s="314"/>
      <c r="K1013" s="314"/>
      <c r="M1013" s="350"/>
      <c r="O1013" s="225"/>
      <c r="R1013" s="314"/>
      <c r="T1013" s="498"/>
      <c r="U1013" s="521"/>
    </row>
    <row r="1014" spans="3:21">
      <c r="C1014" s="314"/>
      <c r="G1014" s="167"/>
      <c r="J1014" s="314"/>
      <c r="K1014" s="314"/>
      <c r="M1014" s="350"/>
      <c r="O1014" s="225"/>
      <c r="R1014" s="314"/>
      <c r="T1014" s="498"/>
      <c r="U1014" s="521"/>
    </row>
    <row r="1015" spans="3:21">
      <c r="C1015" s="314"/>
      <c r="G1015" s="167"/>
      <c r="J1015" s="314"/>
      <c r="K1015" s="314"/>
      <c r="M1015" s="350"/>
      <c r="O1015" s="225"/>
      <c r="R1015" s="314"/>
      <c r="T1015" s="498"/>
      <c r="U1015" s="521"/>
    </row>
    <row r="1016" spans="3:21">
      <c r="C1016" s="314"/>
      <c r="G1016" s="167"/>
      <c r="J1016" s="314"/>
      <c r="K1016" s="314"/>
      <c r="M1016" s="350"/>
      <c r="O1016" s="225"/>
      <c r="R1016" s="314"/>
      <c r="T1016" s="498"/>
      <c r="U1016" s="521"/>
    </row>
    <row r="1017" spans="3:21">
      <c r="C1017" s="314"/>
      <c r="G1017" s="167"/>
      <c r="J1017" s="314"/>
      <c r="K1017" s="314"/>
      <c r="M1017" s="350"/>
      <c r="O1017" s="225"/>
      <c r="R1017" s="314"/>
      <c r="T1017" s="498"/>
      <c r="U1017" s="521"/>
    </row>
    <row r="1018" spans="3:21">
      <c r="C1018" s="314"/>
      <c r="G1018" s="167"/>
      <c r="J1018" s="314"/>
      <c r="K1018" s="314"/>
      <c r="M1018" s="350"/>
      <c r="O1018" s="225"/>
      <c r="R1018" s="314"/>
      <c r="T1018" s="498"/>
      <c r="U1018" s="521"/>
    </row>
    <row r="1019" spans="3:21">
      <c r="C1019" s="314"/>
      <c r="G1019" s="167"/>
      <c r="J1019" s="314"/>
      <c r="K1019" s="314"/>
      <c r="M1019" s="350"/>
      <c r="O1019" s="225"/>
      <c r="R1019" s="314"/>
      <c r="T1019" s="498"/>
      <c r="U1019" s="521"/>
    </row>
    <row r="1020" spans="3:21">
      <c r="C1020" s="314"/>
      <c r="G1020" s="167"/>
      <c r="J1020" s="314"/>
      <c r="K1020" s="314"/>
      <c r="M1020" s="350"/>
      <c r="O1020" s="225"/>
      <c r="R1020" s="314"/>
      <c r="T1020" s="498"/>
      <c r="U1020" s="521"/>
    </row>
    <row r="1021" spans="3:21">
      <c r="C1021" s="314"/>
      <c r="G1021" s="167"/>
      <c r="J1021" s="314"/>
      <c r="K1021" s="314"/>
      <c r="M1021" s="350"/>
      <c r="O1021" s="225"/>
      <c r="R1021" s="314"/>
      <c r="T1021" s="498"/>
      <c r="U1021" s="521"/>
    </row>
    <row r="1022" spans="3:21">
      <c r="C1022" s="314"/>
      <c r="G1022" s="167"/>
      <c r="J1022" s="314"/>
      <c r="K1022" s="314"/>
      <c r="M1022" s="350"/>
      <c r="O1022" s="225"/>
      <c r="R1022" s="314"/>
      <c r="T1022" s="498"/>
      <c r="U1022" s="521"/>
    </row>
    <row r="1023" spans="3:21">
      <c r="C1023" s="314"/>
      <c r="G1023" s="167"/>
      <c r="J1023" s="314"/>
      <c r="K1023" s="314"/>
      <c r="M1023" s="350"/>
      <c r="O1023" s="225"/>
      <c r="R1023" s="314"/>
      <c r="T1023" s="498"/>
      <c r="U1023" s="521"/>
    </row>
    <row r="1024" spans="3:21">
      <c r="C1024" s="314"/>
      <c r="G1024" s="167"/>
      <c r="J1024" s="314"/>
      <c r="K1024" s="314"/>
      <c r="M1024" s="350"/>
      <c r="O1024" s="225"/>
      <c r="R1024" s="314"/>
      <c r="T1024" s="498"/>
      <c r="U1024" s="521"/>
    </row>
    <row r="1025" spans="3:21">
      <c r="C1025" s="314"/>
      <c r="G1025" s="167"/>
      <c r="J1025" s="314"/>
      <c r="K1025" s="314"/>
      <c r="M1025" s="350"/>
      <c r="O1025" s="225"/>
      <c r="R1025" s="314"/>
      <c r="T1025" s="498"/>
      <c r="U1025" s="521"/>
    </row>
    <row r="1026" spans="3:21">
      <c r="C1026" s="314"/>
      <c r="G1026" s="167"/>
      <c r="J1026" s="314"/>
      <c r="K1026" s="314"/>
      <c r="M1026" s="350"/>
      <c r="O1026" s="225"/>
      <c r="R1026" s="314"/>
      <c r="T1026" s="498"/>
      <c r="U1026" s="521"/>
    </row>
    <row r="1027" spans="3:21">
      <c r="C1027" s="314"/>
      <c r="G1027" s="167"/>
      <c r="J1027" s="314"/>
      <c r="K1027" s="314"/>
      <c r="M1027" s="350"/>
      <c r="O1027" s="225"/>
      <c r="R1027" s="314"/>
      <c r="T1027" s="498"/>
      <c r="U1027" s="521"/>
    </row>
    <row r="1028" spans="3:21">
      <c r="C1028" s="314"/>
      <c r="G1028" s="167"/>
      <c r="J1028" s="314"/>
      <c r="K1028" s="314"/>
      <c r="M1028" s="350"/>
      <c r="O1028" s="225"/>
      <c r="R1028" s="314"/>
      <c r="T1028" s="498"/>
      <c r="U1028" s="521"/>
    </row>
    <row r="1029" spans="3:21">
      <c r="C1029" s="314"/>
      <c r="G1029" s="167"/>
      <c r="J1029" s="314"/>
      <c r="K1029" s="314"/>
      <c r="M1029" s="350"/>
      <c r="O1029" s="225"/>
      <c r="R1029" s="314"/>
      <c r="T1029" s="498"/>
      <c r="U1029" s="521"/>
    </row>
    <row r="1030" spans="3:21">
      <c r="C1030" s="314"/>
      <c r="G1030" s="167"/>
      <c r="J1030" s="314"/>
      <c r="K1030" s="314"/>
      <c r="M1030" s="350"/>
      <c r="O1030" s="225"/>
      <c r="R1030" s="314"/>
      <c r="T1030" s="498"/>
      <c r="U1030" s="521"/>
    </row>
    <row r="1031" spans="3:21">
      <c r="C1031" s="314"/>
      <c r="G1031" s="167"/>
      <c r="J1031" s="314"/>
      <c r="K1031" s="314"/>
      <c r="M1031" s="350"/>
      <c r="O1031" s="225"/>
      <c r="R1031" s="314"/>
      <c r="T1031" s="498"/>
      <c r="U1031" s="521"/>
    </row>
    <row r="1032" spans="3:21">
      <c r="C1032" s="314"/>
      <c r="G1032" s="167"/>
      <c r="J1032" s="314"/>
      <c r="K1032" s="314"/>
      <c r="M1032" s="350"/>
      <c r="O1032" s="225"/>
      <c r="R1032" s="314"/>
      <c r="T1032" s="498"/>
      <c r="U1032" s="521"/>
    </row>
    <row r="1033" spans="3:21">
      <c r="C1033" s="314"/>
      <c r="G1033" s="167"/>
      <c r="J1033" s="314"/>
      <c r="K1033" s="314"/>
      <c r="M1033" s="350"/>
      <c r="O1033" s="225"/>
      <c r="R1033" s="314"/>
      <c r="T1033" s="498"/>
      <c r="U1033" s="521"/>
    </row>
    <row r="1034" spans="3:21">
      <c r="C1034" s="314"/>
      <c r="G1034" s="167"/>
      <c r="J1034" s="314"/>
      <c r="K1034" s="314"/>
      <c r="M1034" s="350"/>
      <c r="O1034" s="225"/>
      <c r="R1034" s="314"/>
      <c r="T1034" s="498"/>
      <c r="U1034" s="521"/>
    </row>
    <row r="1035" spans="3:21">
      <c r="C1035" s="314"/>
      <c r="G1035" s="167"/>
      <c r="J1035" s="314"/>
      <c r="K1035" s="314"/>
      <c r="M1035" s="350"/>
      <c r="O1035" s="225"/>
      <c r="R1035" s="314"/>
      <c r="T1035" s="498"/>
      <c r="U1035" s="521"/>
    </row>
    <row r="1036" spans="3:21">
      <c r="C1036" s="314"/>
      <c r="G1036" s="167"/>
      <c r="J1036" s="314"/>
      <c r="K1036" s="314"/>
      <c r="M1036" s="350"/>
      <c r="O1036" s="225"/>
      <c r="R1036" s="314"/>
      <c r="T1036" s="498"/>
      <c r="U1036" s="521"/>
    </row>
    <row r="1037" spans="3:21">
      <c r="C1037" s="314"/>
      <c r="G1037" s="167"/>
      <c r="J1037" s="314"/>
      <c r="K1037" s="314"/>
      <c r="M1037" s="350"/>
      <c r="O1037" s="225"/>
      <c r="R1037" s="314"/>
      <c r="T1037" s="498"/>
      <c r="U1037" s="521"/>
    </row>
    <row r="1038" spans="3:21">
      <c r="C1038" s="314"/>
      <c r="G1038" s="167"/>
      <c r="J1038" s="314"/>
      <c r="K1038" s="314"/>
      <c r="M1038" s="350"/>
      <c r="O1038" s="225"/>
      <c r="R1038" s="314"/>
      <c r="T1038" s="498"/>
      <c r="U1038" s="521"/>
    </row>
    <row r="1039" spans="3:21">
      <c r="C1039" s="314"/>
      <c r="G1039" s="167"/>
      <c r="J1039" s="314"/>
      <c r="K1039" s="314"/>
      <c r="M1039" s="350"/>
      <c r="O1039" s="225"/>
      <c r="R1039" s="314"/>
      <c r="T1039" s="498"/>
      <c r="U1039" s="521"/>
    </row>
    <row r="1040" spans="3:21">
      <c r="C1040" s="314"/>
      <c r="G1040" s="167"/>
      <c r="J1040" s="314"/>
      <c r="K1040" s="314"/>
      <c r="M1040" s="350"/>
      <c r="O1040" s="225"/>
      <c r="R1040" s="314"/>
      <c r="T1040" s="498"/>
      <c r="U1040" s="521"/>
    </row>
    <row r="1041" spans="3:21">
      <c r="C1041" s="314"/>
      <c r="G1041" s="167"/>
      <c r="J1041" s="314"/>
      <c r="K1041" s="314"/>
      <c r="M1041" s="350"/>
      <c r="R1041" s="314"/>
      <c r="T1041" s="499"/>
      <c r="U1041" s="522"/>
    </row>
    <row r="1042" spans="3:21">
      <c r="C1042" s="314"/>
      <c r="G1042" s="167"/>
      <c r="J1042" s="314"/>
      <c r="K1042" s="314"/>
      <c r="M1042" s="350"/>
      <c r="R1042" s="314"/>
      <c r="T1042" s="499"/>
      <c r="U1042" s="522"/>
    </row>
    <row r="1043" spans="3:21">
      <c r="C1043" s="314"/>
      <c r="G1043" s="167"/>
      <c r="J1043" s="314"/>
      <c r="K1043" s="314"/>
      <c r="M1043" s="350"/>
      <c r="R1043" s="314"/>
      <c r="T1043" s="499"/>
      <c r="U1043" s="522"/>
    </row>
    <row r="1044" spans="3:21">
      <c r="C1044" s="314"/>
      <c r="G1044" s="167"/>
      <c r="J1044" s="314"/>
      <c r="K1044" s="314"/>
      <c r="M1044" s="350"/>
      <c r="R1044" s="314"/>
      <c r="T1044" s="499"/>
      <c r="U1044" s="522"/>
    </row>
    <row r="1045" spans="3:21">
      <c r="C1045" s="314"/>
    </row>
    <row r="1046" spans="3:21">
      <c r="C1046" s="314"/>
    </row>
  </sheetData>
  <mergeCells count="3">
    <mergeCell ref="B1:E1"/>
    <mergeCell ref="B6:F6"/>
    <mergeCell ref="H7:I7"/>
  </mergeCells>
  <conditionalFormatting sqref="E2">
    <cfRule type="notContainsBlanks" dxfId="0" priority="1">
      <formula>LEN(TRIM(E2))&gt;0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2024 January</vt:lpstr>
      <vt:lpstr>2024 February</vt:lpstr>
      <vt:lpstr>2024 April</vt:lpstr>
      <vt:lpstr>2024 May</vt:lpstr>
      <vt:lpstr>2024 March</vt:lpstr>
      <vt:lpstr>2024 June</vt:lpstr>
      <vt:lpstr>2024 July</vt:lpstr>
      <vt:lpstr>2024 August</vt:lpstr>
      <vt:lpstr>2024 September</vt:lpstr>
      <vt:lpstr>2024 October</vt:lpstr>
      <vt:lpstr>2024 November</vt:lpstr>
      <vt:lpstr>2024 December</vt:lpstr>
      <vt:lpstr>2025 January</vt:lpstr>
      <vt:lpstr>2025 February</vt:lpstr>
      <vt:lpstr>2025 August</vt:lpstr>
      <vt:lpstr>2025 March</vt:lpstr>
      <vt:lpstr>2025 September</vt:lpstr>
      <vt:lpstr>2025 April</vt:lpstr>
      <vt:lpstr>2025 May</vt:lpstr>
      <vt:lpstr>2025 June</vt:lpstr>
      <vt:lpstr>2025 July</vt:lpstr>
      <vt:lpstr>2025 October</vt:lpstr>
      <vt:lpstr>2025 November</vt:lpstr>
      <vt:lpstr>2025 December</vt:lpstr>
      <vt:lpstr>2026 January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 M</cp:lastModifiedBy>
  <dcterms:modified xsi:type="dcterms:W3CDTF">2026-01-03T23:58:25Z</dcterms:modified>
</cp:coreProperties>
</file>